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ЭтаКнига" defaultThemeVersion="124226"/>
  <bookViews>
    <workbookView xWindow="120" yWindow="105" windowWidth="15120" windowHeight="8010" firstSheet="2" activeTab="2"/>
  </bookViews>
  <sheets>
    <sheet name="РАСЧЁТЫ по ДМШ бюджет" sheetId="4" state="hidden" r:id="rId1"/>
    <sheet name="ШТАТЫ по старой МОДЕЛИ (4)" sheetId="17" state="hidden" r:id="rId2"/>
    <sheet name="ШТАТЫ по НОВОЙ МОДЕЛИ " sheetId="9" r:id="rId3"/>
    <sheet name="Лист1" sheetId="1" state="hidden" r:id="rId4"/>
    <sheet name="Лист2" sheetId="2" state="hidden" r:id="rId5"/>
    <sheet name="Лист3" sheetId="3" state="hidden" r:id="rId6"/>
    <sheet name="РАСЧЁТЫ по ДМШ бюджет0106" sheetId="5" state="hidden" r:id="rId7"/>
    <sheet name="расчеты к штатному" sheetId="7" state="hidden" r:id="rId8"/>
    <sheet name="расчеты к штатному " sheetId="20" r:id="rId9"/>
    <sheet name="ШТАТЫ по НОВОЙ МОДЕЛИ (3)" sheetId="32" state="hidden" r:id="rId10"/>
    <sheet name="расчеты к штатному (6)" sheetId="31" state="hidden" r:id="rId11"/>
    <sheet name="ШТАТЫ по РБ" sheetId="28" state="hidden" r:id="rId12"/>
    <sheet name="разница сент  20" sheetId="27" state="hidden" r:id="rId13"/>
    <sheet name="ШТАТЫ по по старому" sheetId="30" state="hidden" r:id="rId14"/>
    <sheet name="по старому расчет" sheetId="29" state="hidden" r:id="rId15"/>
    <sheet name="расчеты к старое" sheetId="24" state="hidden" r:id="rId16"/>
    <sheet name="разница" sheetId="25" state="hidden" r:id="rId17"/>
    <sheet name="ШТАТЫ по республики" sheetId="26" state="hidden" r:id="rId18"/>
    <sheet name="расчеты к штатному (4)" sheetId="22" state="hidden" r:id="rId19"/>
    <sheet name="расчеты к штатному (5)" sheetId="23" state="hidden" r:id="rId20"/>
    <sheet name="расчеты к штатному МБ" sheetId="21" state="hidden" r:id="rId21"/>
    <sheet name="расчеты по старому" sheetId="8" state="hidden" r:id="rId22"/>
    <sheet name="оклад" sheetId="12" state="hidden" r:id="rId23"/>
    <sheet name="1" sheetId="11" state="hidden" r:id="rId24"/>
    <sheet name="по алфавиту" sheetId="6" state="hidden" r:id="rId25"/>
    <sheet name="Лист4" sheetId="13" state="hidden" r:id="rId26"/>
    <sheet name="ШТАТЫ по старой МОДЕЛИ (3)" sheetId="16" state="hidden" r:id="rId27"/>
    <sheet name="расчеты к штатному старое" sheetId="14" state="hidden" r:id="rId28"/>
    <sheet name="ШТАТЫ на разницу" sheetId="18" state="hidden" r:id="rId29"/>
    <sheet name="расчеты к штатному разница" sheetId="15" state="hidden" r:id="rId30"/>
    <sheet name="расчеты к штатному (2)" sheetId="19" state="hidden" r:id="rId31"/>
  </sheets>
  <definedNames>
    <definedName name="_xlnm._FilterDatabase" localSheetId="23" hidden="1">'1'!$A$27:$AR$167</definedName>
    <definedName name="_xlnm._FilterDatabase" localSheetId="22" hidden="1">оклад!$A$27:$AT$166</definedName>
    <definedName name="_xlnm._FilterDatabase" localSheetId="24" hidden="1">'по алфавиту'!$A$6:$AQ$154</definedName>
    <definedName name="_xlnm._FilterDatabase" localSheetId="14" hidden="1">'по старому расчет'!$A$27:$AR$166</definedName>
    <definedName name="_xlnm._FilterDatabase" localSheetId="16" hidden="1">разница!$A$27:$AR$166</definedName>
    <definedName name="_xlnm._FilterDatabase" localSheetId="12" hidden="1">'разница сент  20'!$A$27:$AR$166</definedName>
    <definedName name="_xlnm._FilterDatabase" localSheetId="15" hidden="1">'расчеты к старое'!$A$27:$AR$166</definedName>
    <definedName name="_xlnm._FilterDatabase" localSheetId="7" hidden="1">'расчеты к штатному'!$A$26:$AR$182</definedName>
    <definedName name="_xlnm._FilterDatabase" localSheetId="8" hidden="1">'расчеты к штатному '!$A$27:$AR$171</definedName>
    <definedName name="_xlnm._FilterDatabase" localSheetId="30" hidden="1">'расчеты к штатному (2)'!$A$8:$AQ$116</definedName>
    <definedName name="_xlnm._FilterDatabase" localSheetId="18" hidden="1">'расчеты к штатному (4)'!$A$22:$AQ$154</definedName>
    <definedName name="_xlnm._FilterDatabase" localSheetId="19" hidden="1">'расчеты к штатному (5)'!$A$2:$AQ$107</definedName>
    <definedName name="_xlnm._FilterDatabase" localSheetId="10" hidden="1">'расчеты к штатному (6)'!$A$21:$AQ$158</definedName>
    <definedName name="_xlnm._FilterDatabase" localSheetId="20" hidden="1">'расчеты к штатному МБ'!$A$27:$AR$171</definedName>
    <definedName name="_xlnm._FilterDatabase" localSheetId="29" hidden="1">'расчеты к штатному разница'!$A$27:$AQ$166</definedName>
    <definedName name="_xlnm._FilterDatabase" localSheetId="27" hidden="1">'расчеты к штатному старое'!$A$27:$AQ$166</definedName>
    <definedName name="_xlnm._FilterDatabase" localSheetId="0" hidden="1">'РАСЧЁТЫ по ДМШ бюджет'!$A$6:$AP$161</definedName>
    <definedName name="_xlnm._FilterDatabase" localSheetId="6" hidden="1">'РАСЧЁТЫ по ДМШ бюджет0106'!$A$28:$AR$159</definedName>
    <definedName name="_xlnm._FilterDatabase" localSheetId="21" hidden="1">'расчеты по старому'!$A$27:$AQ$166</definedName>
    <definedName name="_xlnm.Print_Area" localSheetId="23">'1'!$A$2:$X$167</definedName>
    <definedName name="_xlnm.Print_Area" localSheetId="22">оклад!$A$2:$AD$166</definedName>
    <definedName name="_xlnm.Print_Area" localSheetId="24">'по алфавиту'!$A$127:$X$154</definedName>
    <definedName name="_xlnm.Print_Area" localSheetId="14">'по старому расчет'!$A$2:$X$165</definedName>
    <definedName name="_xlnm.Print_Area" localSheetId="16">разница!$A$2:$X$166</definedName>
    <definedName name="_xlnm.Print_Area" localSheetId="12">'разница сент  20'!$A$2:$X$165</definedName>
    <definedName name="_xlnm.Print_Area" localSheetId="15">'расчеты к старое'!$A$2:$X$166</definedName>
    <definedName name="_xlnm.Print_Area" localSheetId="7">'расчеты к штатному'!$A$2:$X$182</definedName>
    <definedName name="_xlnm.Print_Area" localSheetId="8">'расчеты к штатному '!$A$2:$X$170</definedName>
    <definedName name="_xlnm.Print_Area" localSheetId="30">'расчеты к штатному (2)'!$A$3:$W$120</definedName>
    <definedName name="_xlnm.Print_Area" localSheetId="18">'расчеты к штатному (4)'!$A$2:$W$153</definedName>
    <definedName name="_xlnm.Print_Area" localSheetId="19">'расчеты к штатному (5)'!$A$2:$W$107</definedName>
    <definedName name="_xlnm.Print_Area" localSheetId="10">'расчеты к штатному (6)'!$A$1:$W$157</definedName>
    <definedName name="_xlnm.Print_Area" localSheetId="20">'расчеты к штатному МБ'!$A$6:$X$25</definedName>
    <definedName name="_xlnm.Print_Area" localSheetId="29">'расчеты к штатному разница'!$A$2:$W$166</definedName>
    <definedName name="_xlnm.Print_Area" localSheetId="27">'расчеты к штатному старое'!$A$2:$W$166</definedName>
    <definedName name="_xlnm.Print_Area" localSheetId="0">'РАСЧЁТЫ по ДМШ бюджет'!$A$2:$W$161</definedName>
    <definedName name="_xlnm.Print_Area" localSheetId="6">'РАСЧЁТЫ по ДМШ бюджет0106'!$A$132:$X$159</definedName>
    <definedName name="_xlnm.Print_Area" localSheetId="21">'расчеты по старому'!$A$6:$Q$166</definedName>
    <definedName name="_xlnm.Print_Area" localSheetId="2">'ШТАТЫ по НОВОЙ МОДЕЛИ '!$A$1:$Q$51</definedName>
    <definedName name="_xlnm.Print_Area" localSheetId="9">'ШТАТЫ по НОВОЙ МОДЕЛИ (3)'!$A$1:$Q$51</definedName>
    <definedName name="_xlnm.Print_Area" localSheetId="13">'ШТАТЫ по по старому'!$A$1:$Q$50</definedName>
    <definedName name="_xlnm.Print_Area" localSheetId="11">'ШТАТЫ по РБ'!$A$1:$Q$50</definedName>
    <definedName name="_xlnm.Print_Area" localSheetId="17">'ШТАТЫ по республики'!$A$1:$Q$29</definedName>
    <definedName name="_xlnm.Print_Area" localSheetId="26">'ШТАТЫ по старой МОДЕЛИ (3)'!$A$1:$Q$50</definedName>
  </definedNames>
  <calcPr calcId="125725" iterate="1"/>
</workbook>
</file>

<file path=xl/calcChain.xml><?xml version="1.0" encoding="utf-8"?>
<calcChain xmlns="http://schemas.openxmlformats.org/spreadsheetml/2006/main">
  <c r="F47" i="9"/>
  <c r="I37" i="32"/>
  <c r="K53" l="1"/>
  <c r="J53"/>
  <c r="I35"/>
  <c r="P37" l="1"/>
  <c r="F47"/>
  <c r="O46"/>
  <c r="P46" s="1"/>
  <c r="Q46" s="1"/>
  <c r="M46"/>
  <c r="I46"/>
  <c r="P45"/>
  <c r="Q45" s="1"/>
  <c r="O44"/>
  <c r="P44" s="1"/>
  <c r="Q44" s="1"/>
  <c r="M44"/>
  <c r="I44"/>
  <c r="P43"/>
  <c r="Q43" s="1"/>
  <c r="M43"/>
  <c r="I43"/>
  <c r="P42"/>
  <c r="Q42" s="1"/>
  <c r="O42"/>
  <c r="M42"/>
  <c r="I42"/>
  <c r="O41"/>
  <c r="K41"/>
  <c r="I41"/>
  <c r="M41" s="1"/>
  <c r="P41" s="1"/>
  <c r="Q41" s="1"/>
  <c r="O40"/>
  <c r="O47" s="1"/>
  <c r="M40"/>
  <c r="M47" s="1"/>
  <c r="K40"/>
  <c r="K47" s="1"/>
  <c r="I40"/>
  <c r="O38"/>
  <c r="N38"/>
  <c r="N48" s="1"/>
  <c r="M38"/>
  <c r="K38"/>
  <c r="F38"/>
  <c r="F35"/>
  <c r="F48" s="1"/>
  <c r="O34"/>
  <c r="M34"/>
  <c r="K34"/>
  <c r="I34"/>
  <c r="P34" s="1"/>
  <c r="Q34" s="1"/>
  <c r="O33"/>
  <c r="I33"/>
  <c r="K33" s="1"/>
  <c r="O32"/>
  <c r="M32"/>
  <c r="K32"/>
  <c r="I32"/>
  <c r="P32" s="1"/>
  <c r="Q32" s="1"/>
  <c r="O31"/>
  <c r="I31"/>
  <c r="K31" s="1"/>
  <c r="O30"/>
  <c r="M30"/>
  <c r="K30"/>
  <c r="I30"/>
  <c r="P30" s="1"/>
  <c r="Q30" s="1"/>
  <c r="O29"/>
  <c r="I29"/>
  <c r="K29" s="1"/>
  <c r="O28"/>
  <c r="M28"/>
  <c r="K28"/>
  <c r="I28"/>
  <c r="P28" s="1"/>
  <c r="Q28" s="1"/>
  <c r="O27"/>
  <c r="I27"/>
  <c r="K27" s="1"/>
  <c r="O26"/>
  <c r="M26"/>
  <c r="K26"/>
  <c r="I26"/>
  <c r="P26" s="1"/>
  <c r="Q26" s="1"/>
  <c r="O25"/>
  <c r="I25"/>
  <c r="K25" s="1"/>
  <c r="O24"/>
  <c r="M24"/>
  <c r="K24"/>
  <c r="I24"/>
  <c r="P24" s="1"/>
  <c r="Q24" s="1"/>
  <c r="O23"/>
  <c r="I23"/>
  <c r="K23" s="1"/>
  <c r="O22"/>
  <c r="M22"/>
  <c r="K22"/>
  <c r="I22"/>
  <c r="P22" s="1"/>
  <c r="Q22" s="1"/>
  <c r="O21"/>
  <c r="M21" s="1"/>
  <c r="P21" s="1"/>
  <c r="Q21" s="1"/>
  <c r="I21"/>
  <c r="I20"/>
  <c r="O19"/>
  <c r="K19" s="1"/>
  <c r="I19"/>
  <c r="I18"/>
  <c r="O17"/>
  <c r="M17" s="1"/>
  <c r="I17"/>
  <c r="P37" i="9"/>
  <c r="Q48"/>
  <c r="P42"/>
  <c r="M42"/>
  <c r="I42"/>
  <c r="I43"/>
  <c r="O47"/>
  <c r="M43"/>
  <c r="P43" s="1"/>
  <c r="P38" i="32" l="1"/>
  <c r="Q37"/>
  <c r="Q38" s="1"/>
  <c r="I38"/>
  <c r="K17"/>
  <c r="P25"/>
  <c r="Q25" s="1"/>
  <c r="P33"/>
  <c r="Q33" s="1"/>
  <c r="M19"/>
  <c r="P19" s="1"/>
  <c r="Q19" s="1"/>
  <c r="O18"/>
  <c r="O20"/>
  <c r="M20" s="1"/>
  <c r="M23"/>
  <c r="P23" s="1"/>
  <c r="Q23" s="1"/>
  <c r="M25"/>
  <c r="M27"/>
  <c r="P27" s="1"/>
  <c r="Q27" s="1"/>
  <c r="M29"/>
  <c r="P29" s="1"/>
  <c r="Q29" s="1"/>
  <c r="M31"/>
  <c r="P31" s="1"/>
  <c r="Q31" s="1"/>
  <c r="M33"/>
  <c r="P17"/>
  <c r="P40"/>
  <c r="P47" i="9"/>
  <c r="Q43"/>
  <c r="O48"/>
  <c r="K48"/>
  <c r="N38"/>
  <c r="O38"/>
  <c r="K19"/>
  <c r="O19"/>
  <c r="I19"/>
  <c r="I18"/>
  <c r="O18" s="1"/>
  <c r="M20"/>
  <c r="O20"/>
  <c r="I20"/>
  <c r="I30"/>
  <c r="I29"/>
  <c r="I28"/>
  <c r="P36" i="20"/>
  <c r="Q36" s="1"/>
  <c r="U36" l="1"/>
  <c r="X36" s="1"/>
  <c r="K20" i="32"/>
  <c r="P20" s="1"/>
  <c r="Q20" s="1"/>
  <c r="Q40"/>
  <c r="Q47" s="1"/>
  <c r="P47"/>
  <c r="O35"/>
  <c r="O48" s="1"/>
  <c r="Q17"/>
  <c r="P18"/>
  <c r="Q18" s="1"/>
  <c r="M18"/>
  <c r="M19" i="9"/>
  <c r="P19" s="1"/>
  <c r="Q19" s="1"/>
  <c r="M18"/>
  <c r="P18" s="1"/>
  <c r="M28"/>
  <c r="P35" i="32" l="1"/>
  <c r="P48" s="1"/>
  <c r="K18"/>
  <c r="K35" s="1"/>
  <c r="K48" s="1"/>
  <c r="M35"/>
  <c r="M48" s="1"/>
  <c r="Q35"/>
  <c r="Q48" s="1"/>
  <c r="K18" i="9"/>
  <c r="P52" i="20" l="1"/>
  <c r="Q52" s="1"/>
  <c r="L82"/>
  <c r="L143"/>
  <c r="W19"/>
  <c r="M128"/>
  <c r="M129"/>
  <c r="M130"/>
  <c r="M131"/>
  <c r="M132"/>
  <c r="M133"/>
  <c r="M134"/>
  <c r="M135"/>
  <c r="M136"/>
  <c r="M137"/>
  <c r="M138"/>
  <c r="M139"/>
  <c r="M140"/>
  <c r="M141"/>
  <c r="M142"/>
  <c r="M127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06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84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27"/>
  <c r="K163" i="31"/>
  <c r="O109"/>
  <c r="T109" s="1"/>
  <c r="O152"/>
  <c r="T152" s="1"/>
  <c r="O47"/>
  <c r="T47" s="1"/>
  <c r="O87"/>
  <c r="T87" s="1"/>
  <c r="O150"/>
  <c r="T150" s="1"/>
  <c r="T146"/>
  <c r="O146"/>
  <c r="O144"/>
  <c r="T144" s="1"/>
  <c r="O136"/>
  <c r="T136" s="1"/>
  <c r="O139"/>
  <c r="T139" s="1"/>
  <c r="O56"/>
  <c r="T56" s="1"/>
  <c r="O119"/>
  <c r="T119" s="1"/>
  <c r="V9"/>
  <c r="O9"/>
  <c r="T9" s="1"/>
  <c r="V155"/>
  <c r="O155"/>
  <c r="Q108" s="1"/>
  <c r="V108"/>
  <c r="T108"/>
  <c r="O108"/>
  <c r="Q46" s="1"/>
  <c r="V46"/>
  <c r="O46"/>
  <c r="T46" s="1"/>
  <c r="V132"/>
  <c r="Y133" s="1"/>
  <c r="O132"/>
  <c r="T132" s="1"/>
  <c r="V31"/>
  <c r="O31"/>
  <c r="V57"/>
  <c r="O57"/>
  <c r="T57" s="1"/>
  <c r="V11"/>
  <c r="O11"/>
  <c r="T11" s="1"/>
  <c r="O17"/>
  <c r="T17" s="1"/>
  <c r="W17" s="1"/>
  <c r="O153"/>
  <c r="T153" s="1"/>
  <c r="W153" s="1"/>
  <c r="O34"/>
  <c r="T34" s="1"/>
  <c r="O16"/>
  <c r="T16" s="1"/>
  <c r="O135"/>
  <c r="T135" s="1"/>
  <c r="O122"/>
  <c r="O94"/>
  <c r="T94" s="1"/>
  <c r="O151"/>
  <c r="L151"/>
  <c r="O131"/>
  <c r="L131"/>
  <c r="O145"/>
  <c r="L145"/>
  <c r="O112"/>
  <c r="L112"/>
  <c r="O104"/>
  <c r="L104"/>
  <c r="O101"/>
  <c r="L101"/>
  <c r="O97"/>
  <c r="L97"/>
  <c r="O89"/>
  <c r="L89"/>
  <c r="O91"/>
  <c r="L91"/>
  <c r="X83"/>
  <c r="O83"/>
  <c r="L83"/>
  <c r="X68"/>
  <c r="O68"/>
  <c r="L68"/>
  <c r="X62"/>
  <c r="O62"/>
  <c r="L62"/>
  <c r="X50"/>
  <c r="O50"/>
  <c r="L50"/>
  <c r="X45"/>
  <c r="O45"/>
  <c r="L45"/>
  <c r="O40"/>
  <c r="L40"/>
  <c r="O15"/>
  <c r="L15"/>
  <c r="O133"/>
  <c r="L133"/>
  <c r="K160" s="1"/>
  <c r="O129"/>
  <c r="P129" s="1"/>
  <c r="L129"/>
  <c r="O124"/>
  <c r="L124"/>
  <c r="O111"/>
  <c r="P111" s="1"/>
  <c r="L111"/>
  <c r="Y116"/>
  <c r="X116"/>
  <c r="O116"/>
  <c r="L116"/>
  <c r="Y110"/>
  <c r="O110"/>
  <c r="L110"/>
  <c r="O107"/>
  <c r="L107"/>
  <c r="Z103"/>
  <c r="AB103" s="1"/>
  <c r="AC103" s="1"/>
  <c r="Y103"/>
  <c r="X103"/>
  <c r="O103"/>
  <c r="P103" s="1"/>
  <c r="L103"/>
  <c r="X92"/>
  <c r="O92"/>
  <c r="L92"/>
  <c r="V90"/>
  <c r="O90"/>
  <c r="P90" s="1"/>
  <c r="L90"/>
  <c r="X84"/>
  <c r="O84"/>
  <c r="P84" s="1"/>
  <c r="L84"/>
  <c r="O69"/>
  <c r="L69"/>
  <c r="Y64"/>
  <c r="X64"/>
  <c r="V64"/>
  <c r="Y84" s="1"/>
  <c r="O64"/>
  <c r="P64" s="1"/>
  <c r="L64"/>
  <c r="Y58"/>
  <c r="O58"/>
  <c r="P58" s="1"/>
  <c r="L58"/>
  <c r="O41"/>
  <c r="L41"/>
  <c r="O26"/>
  <c r="P26" s="1"/>
  <c r="L26"/>
  <c r="O20"/>
  <c r="L20"/>
  <c r="Y14"/>
  <c r="X14"/>
  <c r="O14"/>
  <c r="P14" s="1"/>
  <c r="L14"/>
  <c r="Y10"/>
  <c r="O10"/>
  <c r="L10"/>
  <c r="Z6"/>
  <c r="AB6" s="1"/>
  <c r="AC6" s="1"/>
  <c r="O6"/>
  <c r="P6" s="1"/>
  <c r="L6"/>
  <c r="O142"/>
  <c r="P142" s="1"/>
  <c r="L142"/>
  <c r="Y137"/>
  <c r="O137"/>
  <c r="L137"/>
  <c r="O134"/>
  <c r="P134" s="1"/>
  <c r="L134"/>
  <c r="O130"/>
  <c r="L130"/>
  <c r="O128"/>
  <c r="P128" s="1"/>
  <c r="L128"/>
  <c r="O123"/>
  <c r="L123"/>
  <c r="Y120"/>
  <c r="V120"/>
  <c r="Y123" s="1"/>
  <c r="O120"/>
  <c r="P120" s="1"/>
  <c r="L120"/>
  <c r="O102"/>
  <c r="P102" s="1"/>
  <c r="L102"/>
  <c r="O99"/>
  <c r="L99"/>
  <c r="O73"/>
  <c r="P73" s="1"/>
  <c r="T73" s="1"/>
  <c r="L73"/>
  <c r="O80"/>
  <c r="L80"/>
  <c r="Y79"/>
  <c r="X79"/>
  <c r="O79"/>
  <c r="P79" s="1"/>
  <c r="L79"/>
  <c r="Y53"/>
  <c r="X53"/>
  <c r="O53"/>
  <c r="L53"/>
  <c r="O52"/>
  <c r="P52" s="1"/>
  <c r="L52"/>
  <c r="Y48"/>
  <c r="V48"/>
  <c r="O48"/>
  <c r="P48" s="1"/>
  <c r="L48"/>
  <c r="O37"/>
  <c r="L37"/>
  <c r="Y27"/>
  <c r="X27"/>
  <c r="V27"/>
  <c r="O27"/>
  <c r="P27" s="1"/>
  <c r="L27"/>
  <c r="Y25"/>
  <c r="X25"/>
  <c r="O25"/>
  <c r="P25" s="1"/>
  <c r="T25" s="1"/>
  <c r="L25"/>
  <c r="Y19"/>
  <c r="X19"/>
  <c r="O19"/>
  <c r="L19"/>
  <c r="Z13"/>
  <c r="AB13" s="1"/>
  <c r="AC13" s="1"/>
  <c r="O13"/>
  <c r="P13" s="1"/>
  <c r="L13"/>
  <c r="O157"/>
  <c r="P157" s="1"/>
  <c r="L157"/>
  <c r="O156"/>
  <c r="L156"/>
  <c r="O154"/>
  <c r="L154"/>
  <c r="O149"/>
  <c r="L149"/>
  <c r="P148"/>
  <c r="O148"/>
  <c r="L148"/>
  <c r="X147"/>
  <c r="V147"/>
  <c r="Y147" s="1"/>
  <c r="O147"/>
  <c r="P147" s="1"/>
  <c r="L147"/>
  <c r="O141"/>
  <c r="L141"/>
  <c r="Y138"/>
  <c r="X138"/>
  <c r="O138"/>
  <c r="P138" s="1"/>
  <c r="L138"/>
  <c r="V127"/>
  <c r="O127"/>
  <c r="P127" s="1"/>
  <c r="T127" s="1"/>
  <c r="L127"/>
  <c r="Y126"/>
  <c r="X126"/>
  <c r="O126"/>
  <c r="L126"/>
  <c r="O125"/>
  <c r="P125" s="1"/>
  <c r="T125" s="1"/>
  <c r="L125"/>
  <c r="Y118"/>
  <c r="X118"/>
  <c r="O118"/>
  <c r="L118"/>
  <c r="Y117"/>
  <c r="X117"/>
  <c r="O117"/>
  <c r="P117" s="1"/>
  <c r="L117"/>
  <c r="O115"/>
  <c r="L115"/>
  <c r="P114"/>
  <c r="T114" s="1"/>
  <c r="O114"/>
  <c r="L114"/>
  <c r="O106"/>
  <c r="L106"/>
  <c r="O105"/>
  <c r="P105" s="1"/>
  <c r="L105"/>
  <c r="Y100"/>
  <c r="X100"/>
  <c r="O100"/>
  <c r="L100"/>
  <c r="O98"/>
  <c r="P98" s="1"/>
  <c r="L98"/>
  <c r="Y96"/>
  <c r="X96"/>
  <c r="O96"/>
  <c r="L96"/>
  <c r="Y95"/>
  <c r="X95"/>
  <c r="O95"/>
  <c r="P95" s="1"/>
  <c r="L95"/>
  <c r="O74"/>
  <c r="L74"/>
  <c r="O88"/>
  <c r="L88"/>
  <c r="Y86"/>
  <c r="X86"/>
  <c r="O86"/>
  <c r="L86"/>
  <c r="Y82"/>
  <c r="X82"/>
  <c r="O82"/>
  <c r="P82" s="1"/>
  <c r="L82"/>
  <c r="O81"/>
  <c r="L81"/>
  <c r="Y78"/>
  <c r="X78"/>
  <c r="O78"/>
  <c r="P78" s="1"/>
  <c r="L78"/>
  <c r="X77"/>
  <c r="V77"/>
  <c r="Y77" s="1"/>
  <c r="O77"/>
  <c r="P77" s="1"/>
  <c r="L77"/>
  <c r="O76"/>
  <c r="L76"/>
  <c r="X75"/>
  <c r="V75"/>
  <c r="Y75" s="1"/>
  <c r="O75"/>
  <c r="P75" s="1"/>
  <c r="L75"/>
  <c r="Y72"/>
  <c r="X72"/>
  <c r="O72"/>
  <c r="P72" s="1"/>
  <c r="L72"/>
  <c r="Y70"/>
  <c r="X70"/>
  <c r="O70"/>
  <c r="L70"/>
  <c r="Y67"/>
  <c r="X67"/>
  <c r="O67"/>
  <c r="L67"/>
  <c r="Y66"/>
  <c r="X66"/>
  <c r="O66"/>
  <c r="L66"/>
  <c r="Y61"/>
  <c r="X61"/>
  <c r="O61"/>
  <c r="P61" s="1"/>
  <c r="L61"/>
  <c r="Y60"/>
  <c r="X60"/>
  <c r="O60"/>
  <c r="L60"/>
  <c r="O59"/>
  <c r="L59"/>
  <c r="O55"/>
  <c r="L55"/>
  <c r="O54"/>
  <c r="P54" s="1"/>
  <c r="L54"/>
  <c r="Y51"/>
  <c r="X51"/>
  <c r="O51"/>
  <c r="L51"/>
  <c r="Y49"/>
  <c r="X49"/>
  <c r="O49"/>
  <c r="P49" s="1"/>
  <c r="L49"/>
  <c r="Y44"/>
  <c r="X44"/>
  <c r="O44"/>
  <c r="L44"/>
  <c r="O42"/>
  <c r="P42" s="1"/>
  <c r="L42"/>
  <c r="O38"/>
  <c r="L38"/>
  <c r="O36"/>
  <c r="P36" s="1"/>
  <c r="L36"/>
  <c r="O33"/>
  <c r="L33"/>
  <c r="Y32"/>
  <c r="X32"/>
  <c r="O32"/>
  <c r="P32" s="1"/>
  <c r="L32"/>
  <c r="O24"/>
  <c r="L24"/>
  <c r="O23"/>
  <c r="P23" s="1"/>
  <c r="L23"/>
  <c r="Y22"/>
  <c r="X22"/>
  <c r="O22"/>
  <c r="L22"/>
  <c r="Y12"/>
  <c r="X12"/>
  <c r="O12"/>
  <c r="P12" s="1"/>
  <c r="L12"/>
  <c r="Y8"/>
  <c r="X8"/>
  <c r="O8"/>
  <c r="L8"/>
  <c r="O7"/>
  <c r="P7" s="1"/>
  <c r="L7"/>
  <c r="Y4"/>
  <c r="X4"/>
  <c r="O4"/>
  <c r="L4"/>
  <c r="Y2"/>
  <c r="X2"/>
  <c r="O2"/>
  <c r="P2" s="1"/>
  <c r="L2"/>
  <c r="K167" s="1"/>
  <c r="O18"/>
  <c r="T18" s="1"/>
  <c r="X121"/>
  <c r="O121"/>
  <c r="T121" s="1"/>
  <c r="Y121" s="1"/>
  <c r="X113"/>
  <c r="O113"/>
  <c r="X35"/>
  <c r="O35"/>
  <c r="T35" s="1"/>
  <c r="Y35" s="1"/>
  <c r="X65"/>
  <c r="O65"/>
  <c r="T65" s="1"/>
  <c r="Y65" s="1"/>
  <c r="V30"/>
  <c r="O30"/>
  <c r="V29"/>
  <c r="O29"/>
  <c r="X28"/>
  <c r="O28"/>
  <c r="T28" s="1"/>
  <c r="Y28" s="1"/>
  <c r="X1"/>
  <c r="O1"/>
  <c r="T1" s="1"/>
  <c r="Y1" s="1"/>
  <c r="X3"/>
  <c r="O3"/>
  <c r="T3" s="1"/>
  <c r="Y3" s="1"/>
  <c r="O63"/>
  <c r="X93"/>
  <c r="O93"/>
  <c r="T93" s="1"/>
  <c r="Y93" s="1"/>
  <c r="X85"/>
  <c r="O85"/>
  <c r="T85" s="1"/>
  <c r="Y85" s="1"/>
  <c r="X140"/>
  <c r="O140"/>
  <c r="T140" s="1"/>
  <c r="X43"/>
  <c r="O43"/>
  <c r="P43" s="1"/>
  <c r="T43" s="1"/>
  <c r="W43" s="1"/>
  <c r="Z43" s="1"/>
  <c r="AA43" s="1"/>
  <c r="X71"/>
  <c r="O71"/>
  <c r="P71" s="1"/>
  <c r="X39"/>
  <c r="O39"/>
  <c r="P39" s="1"/>
  <c r="T39" s="1"/>
  <c r="X5"/>
  <c r="O5"/>
  <c r="P5" s="1"/>
  <c r="X143"/>
  <c r="O143"/>
  <c r="P143" s="1"/>
  <c r="X21"/>
  <c r="O21"/>
  <c r="P21" s="1"/>
  <c r="P20" i="20"/>
  <c r="W20"/>
  <c r="M170" l="1"/>
  <c r="U20"/>
  <c r="X20" s="1"/>
  <c r="W52"/>
  <c r="Q94" i="31"/>
  <c r="Q57"/>
  <c r="X58" s="1"/>
  <c r="T122"/>
  <c r="W122" s="1"/>
  <c r="Q132"/>
  <c r="X133" s="1"/>
  <c r="T75"/>
  <c r="W75" s="1"/>
  <c r="Z75" s="1"/>
  <c r="AA103"/>
  <c r="T155"/>
  <c r="W155" s="1"/>
  <c r="W114"/>
  <c r="W125"/>
  <c r="Q155"/>
  <c r="P154"/>
  <c r="T154" s="1"/>
  <c r="T90"/>
  <c r="W90" s="1"/>
  <c r="Q11"/>
  <c r="T103"/>
  <c r="W103" s="1"/>
  <c r="Z124" s="1"/>
  <c r="T78"/>
  <c r="W78" s="1"/>
  <c r="Z78" s="1"/>
  <c r="T98"/>
  <c r="W98" s="1"/>
  <c r="Z98" s="1"/>
  <c r="AA98" s="1"/>
  <c r="T13"/>
  <c r="W13" s="1"/>
  <c r="W25"/>
  <c r="Z27" s="1"/>
  <c r="T128"/>
  <c r="W128" s="1"/>
  <c r="T142"/>
  <c r="W142" s="1"/>
  <c r="T26"/>
  <c r="W26" s="1"/>
  <c r="W85"/>
  <c r="Z85" s="1"/>
  <c r="AA85" s="1"/>
  <c r="W65"/>
  <c r="Z65" s="1"/>
  <c r="AA65" s="1"/>
  <c r="W18"/>
  <c r="AA13"/>
  <c r="W73"/>
  <c r="T120"/>
  <c r="W120" s="1"/>
  <c r="Z123" s="1"/>
  <c r="AB123" s="1"/>
  <c r="AC123" s="1"/>
  <c r="T64"/>
  <c r="W64" s="1"/>
  <c r="T129"/>
  <c r="W129" s="1"/>
  <c r="Q34"/>
  <c r="Q9"/>
  <c r="X10" s="1"/>
  <c r="W93"/>
  <c r="Z93" s="1"/>
  <c r="AA93" s="1"/>
  <c r="W3"/>
  <c r="Z3" s="1"/>
  <c r="AA3" s="1"/>
  <c r="W35"/>
  <c r="Z35" s="1"/>
  <c r="AA35" s="1"/>
  <c r="T7"/>
  <c r="W7" s="1"/>
  <c r="Z7" s="1"/>
  <c r="AA7" s="1"/>
  <c r="T23"/>
  <c r="W23" s="1"/>
  <c r="Z23" s="1"/>
  <c r="AA23" s="1"/>
  <c r="T36"/>
  <c r="W36" s="1"/>
  <c r="Z36" s="1"/>
  <c r="AA36" s="1"/>
  <c r="T49"/>
  <c r="W49" s="1"/>
  <c r="Z49" s="1"/>
  <c r="P59"/>
  <c r="T59" s="1"/>
  <c r="W59" s="1"/>
  <c r="Z59" s="1"/>
  <c r="P67"/>
  <c r="T67" s="1"/>
  <c r="W67" s="1"/>
  <c r="Z67" s="1"/>
  <c r="P88"/>
  <c r="T88" s="1"/>
  <c r="T147"/>
  <c r="W147" s="1"/>
  <c r="Z147" s="1"/>
  <c r="T52"/>
  <c r="W52" s="1"/>
  <c r="Z53" s="1"/>
  <c r="AA6"/>
  <c r="P110"/>
  <c r="T110" s="1"/>
  <c r="W110" s="1"/>
  <c r="W94"/>
  <c r="Z122" s="1"/>
  <c r="AA122" s="1"/>
  <c r="Q153"/>
  <c r="Q31"/>
  <c r="P69"/>
  <c r="T69" s="1"/>
  <c r="W69" s="1"/>
  <c r="K162"/>
  <c r="L162" s="1"/>
  <c r="P76"/>
  <c r="P156"/>
  <c r="T156" s="1"/>
  <c r="W156" s="1"/>
  <c r="Z156" s="1"/>
  <c r="Y140"/>
  <c r="W140"/>
  <c r="Z140" s="1"/>
  <c r="AA140" s="1"/>
  <c r="T63"/>
  <c r="W63" s="1"/>
  <c r="T113"/>
  <c r="Y113" s="1"/>
  <c r="P70"/>
  <c r="P41"/>
  <c r="T41" s="1"/>
  <c r="W41" s="1"/>
  <c r="P116"/>
  <c r="P45"/>
  <c r="R45" s="1"/>
  <c r="Y50" s="1"/>
  <c r="P50"/>
  <c r="R50" s="1"/>
  <c r="P62"/>
  <c r="R62" s="1"/>
  <c r="P68"/>
  <c r="P83"/>
  <c r="R83" s="1"/>
  <c r="T83" s="1"/>
  <c r="P97"/>
  <c r="R97" s="1"/>
  <c r="P104"/>
  <c r="R104" s="1"/>
  <c r="T104" s="1"/>
  <c r="W104" s="1"/>
  <c r="Z112" s="1"/>
  <c r="P8"/>
  <c r="T8" s="1"/>
  <c r="W8" s="1"/>
  <c r="Z8" s="1"/>
  <c r="P24"/>
  <c r="T24" s="1"/>
  <c r="W24" s="1"/>
  <c r="Z24" s="1"/>
  <c r="P38"/>
  <c r="T38" s="1"/>
  <c r="W38" s="1"/>
  <c r="Z38" s="1"/>
  <c r="P51"/>
  <c r="T51" s="1"/>
  <c r="P60"/>
  <c r="T60" s="1"/>
  <c r="P81"/>
  <c r="T81" s="1"/>
  <c r="P74"/>
  <c r="T74" s="1"/>
  <c r="W74" s="1"/>
  <c r="P100"/>
  <c r="P115"/>
  <c r="P126"/>
  <c r="T126" s="1"/>
  <c r="W126" s="1"/>
  <c r="Z126" s="1"/>
  <c r="P53"/>
  <c r="T53" s="1"/>
  <c r="P99"/>
  <c r="T99" s="1"/>
  <c r="W99" s="1"/>
  <c r="P123"/>
  <c r="P130"/>
  <c r="T130" s="1"/>
  <c r="P10"/>
  <c r="P92"/>
  <c r="T92" s="1"/>
  <c r="P133"/>
  <c r="T133" s="1"/>
  <c r="P15"/>
  <c r="P40"/>
  <c r="P89"/>
  <c r="P145"/>
  <c r="P131"/>
  <c r="P151"/>
  <c r="R151" s="1"/>
  <c r="P4"/>
  <c r="T4" s="1"/>
  <c r="P22"/>
  <c r="T22" s="1"/>
  <c r="P66"/>
  <c r="T66" s="1"/>
  <c r="P96"/>
  <c r="T96" s="1"/>
  <c r="P149"/>
  <c r="T149" s="1"/>
  <c r="P80"/>
  <c r="T80" s="1"/>
  <c r="P137"/>
  <c r="T137" s="1"/>
  <c r="P20"/>
  <c r="T20" s="1"/>
  <c r="P107"/>
  <c r="T107" s="1"/>
  <c r="P124"/>
  <c r="T124" s="1"/>
  <c r="W135"/>
  <c r="Q122"/>
  <c r="X123" s="1"/>
  <c r="W16"/>
  <c r="Q135"/>
  <c r="W34"/>
  <c r="Q16"/>
  <c r="Q119"/>
  <c r="X120" s="1"/>
  <c r="W56"/>
  <c r="Z139" s="1"/>
  <c r="AA139" s="1"/>
  <c r="Q56"/>
  <c r="W139"/>
  <c r="Z136" s="1"/>
  <c r="AA136" s="1"/>
  <c r="Q139"/>
  <c r="W136"/>
  <c r="Q136"/>
  <c r="X137" s="1"/>
  <c r="W144"/>
  <c r="Q144"/>
  <c r="W146"/>
  <c r="Q146"/>
  <c r="W150"/>
  <c r="Q150"/>
  <c r="X151" s="1"/>
  <c r="W87"/>
  <c r="Q87"/>
  <c r="W47"/>
  <c r="Q47"/>
  <c r="X48" s="1"/>
  <c r="W152"/>
  <c r="Q152"/>
  <c r="W109"/>
  <c r="W46"/>
  <c r="Q109"/>
  <c r="X110" s="1"/>
  <c r="T31"/>
  <c r="W31" s="1"/>
  <c r="T143"/>
  <c r="R39"/>
  <c r="AP39" s="1"/>
  <c r="Y43"/>
  <c r="W121"/>
  <c r="Z121" s="1"/>
  <c r="AA121" s="1"/>
  <c r="AJ166"/>
  <c r="T12"/>
  <c r="W12" s="1"/>
  <c r="Z12" s="1"/>
  <c r="T54"/>
  <c r="W54" s="1"/>
  <c r="Z54" s="1"/>
  <c r="T61"/>
  <c r="W61" s="1"/>
  <c r="Z61" s="1"/>
  <c r="T95"/>
  <c r="W95" s="1"/>
  <c r="Z95" s="1"/>
  <c r="T105"/>
  <c r="W105" s="1"/>
  <c r="Z105" s="1"/>
  <c r="W127"/>
  <c r="Z127" s="1"/>
  <c r="T157"/>
  <c r="W157" s="1"/>
  <c r="T79"/>
  <c r="W79" s="1"/>
  <c r="Z80" s="1"/>
  <c r="T102"/>
  <c r="W102" s="1"/>
  <c r="Z120" s="1"/>
  <c r="T134"/>
  <c r="W134" s="1"/>
  <c r="Z137" s="1"/>
  <c r="T14"/>
  <c r="W14" s="1"/>
  <c r="Q17"/>
  <c r="W57"/>
  <c r="W119"/>
  <c r="P91"/>
  <c r="P101"/>
  <c r="R101" s="1"/>
  <c r="P112"/>
  <c r="R112" s="1"/>
  <c r="T112" s="1"/>
  <c r="W112" s="1"/>
  <c r="T29"/>
  <c r="W29" s="1"/>
  <c r="T30"/>
  <c r="P33"/>
  <c r="T33" s="1"/>
  <c r="P44"/>
  <c r="T44" s="1"/>
  <c r="P55"/>
  <c r="T55" s="1"/>
  <c r="P86"/>
  <c r="T86" s="1"/>
  <c r="P106"/>
  <c r="T106" s="1"/>
  <c r="P118"/>
  <c r="T118" s="1"/>
  <c r="P141"/>
  <c r="T141" s="1"/>
  <c r="P19"/>
  <c r="T19" s="1"/>
  <c r="P37"/>
  <c r="T37" s="1"/>
  <c r="T21"/>
  <c r="T5"/>
  <c r="T71"/>
  <c r="W1"/>
  <c r="Z1" s="1"/>
  <c r="AA1" s="1"/>
  <c r="W28"/>
  <c r="Z28" s="1"/>
  <c r="AA28" s="1"/>
  <c r="T32"/>
  <c r="W32" s="1"/>
  <c r="Z32" s="1"/>
  <c r="T42"/>
  <c r="W42" s="1"/>
  <c r="T72"/>
  <c r="W72" s="1"/>
  <c r="Z72" s="1"/>
  <c r="T82"/>
  <c r="W82" s="1"/>
  <c r="Z82" s="1"/>
  <c r="T117"/>
  <c r="W117" s="1"/>
  <c r="Z117" s="1"/>
  <c r="T138"/>
  <c r="W138" s="1"/>
  <c r="Z138" s="1"/>
  <c r="T148"/>
  <c r="W148" s="1"/>
  <c r="Z148" s="1"/>
  <c r="T27"/>
  <c r="W27" s="1"/>
  <c r="T123"/>
  <c r="T6"/>
  <c r="W6" s="1"/>
  <c r="T10"/>
  <c r="T58"/>
  <c r="W58" s="1"/>
  <c r="Z64" s="1"/>
  <c r="T84"/>
  <c r="W84" s="1"/>
  <c r="T111"/>
  <c r="W111" s="1"/>
  <c r="R40"/>
  <c r="T40" s="1"/>
  <c r="W108"/>
  <c r="T2"/>
  <c r="W2" s="1"/>
  <c r="T77"/>
  <c r="W77" s="1"/>
  <c r="Z77" s="1"/>
  <c r="T48"/>
  <c r="W48" s="1"/>
  <c r="W11"/>
  <c r="Z57" s="1"/>
  <c r="AA57" s="1"/>
  <c r="W132"/>
  <c r="W9"/>
  <c r="Z155" l="1"/>
  <c r="AA155" s="1"/>
  <c r="Z58"/>
  <c r="AB58" s="1"/>
  <c r="AC58" s="1"/>
  <c r="Z109"/>
  <c r="AA109" s="1"/>
  <c r="X17"/>
  <c r="Y17" s="1"/>
  <c r="Z9"/>
  <c r="AA9" s="1"/>
  <c r="Z10"/>
  <c r="AA10" s="1"/>
  <c r="Z153"/>
  <c r="AA153" s="1"/>
  <c r="Z16"/>
  <c r="AA16" s="1"/>
  <c r="Z84"/>
  <c r="AB84" s="1"/>
  <c r="AC84" s="1"/>
  <c r="Z47"/>
  <c r="AA47" s="1"/>
  <c r="Z135"/>
  <c r="AA135" s="1"/>
  <c r="Y45"/>
  <c r="X11"/>
  <c r="Y11" s="1"/>
  <c r="Z116"/>
  <c r="AA116" s="1"/>
  <c r="Z133"/>
  <c r="AA133" s="1"/>
  <c r="Z19"/>
  <c r="AB19" s="1"/>
  <c r="AC19" s="1"/>
  <c r="Z17"/>
  <c r="AA17" s="1"/>
  <c r="W39"/>
  <c r="Z39" s="1"/>
  <c r="AA39" s="1"/>
  <c r="W20"/>
  <c r="AA123"/>
  <c r="X109"/>
  <c r="Y109" s="1"/>
  <c r="X47"/>
  <c r="Y47" s="1"/>
  <c r="X139"/>
  <c r="Y139" s="1"/>
  <c r="AB133"/>
  <c r="AC133" s="1"/>
  <c r="W88"/>
  <c r="W33"/>
  <c r="Z33" s="1"/>
  <c r="AB33" s="1"/>
  <c r="AC33" s="1"/>
  <c r="AA75"/>
  <c r="AB75"/>
  <c r="AC75" s="1"/>
  <c r="W123"/>
  <c r="Z128" s="1"/>
  <c r="AA128" s="1"/>
  <c r="W80"/>
  <c r="AB23"/>
  <c r="AC23" s="1"/>
  <c r="W141"/>
  <c r="Z141" s="1"/>
  <c r="AB141" s="1"/>
  <c r="AC141" s="1"/>
  <c r="AB36"/>
  <c r="AC36" s="1"/>
  <c r="AB67"/>
  <c r="AC67" s="1"/>
  <c r="AA67"/>
  <c r="AB78"/>
  <c r="AC78" s="1"/>
  <c r="AA78"/>
  <c r="T45"/>
  <c r="W45" s="1"/>
  <c r="Z50" s="1"/>
  <c r="W154"/>
  <c r="T62"/>
  <c r="Y68" s="1"/>
  <c r="R15"/>
  <c r="T15" s="1"/>
  <c r="W15" s="1"/>
  <c r="W107"/>
  <c r="Z110" s="1"/>
  <c r="AA110" s="1"/>
  <c r="W137"/>
  <c r="Z142" s="1"/>
  <c r="AA142" s="1"/>
  <c r="AA84"/>
  <c r="AB59"/>
  <c r="AC59" s="1"/>
  <c r="AA59"/>
  <c r="AB53"/>
  <c r="AC53" s="1"/>
  <c r="AA53"/>
  <c r="AB124"/>
  <c r="AC124" s="1"/>
  <c r="AA124"/>
  <c r="AA49"/>
  <c r="AB49"/>
  <c r="AC49" s="1"/>
  <c r="AB116"/>
  <c r="AC116" s="1"/>
  <c r="AA19"/>
  <c r="W96"/>
  <c r="Z96" s="1"/>
  <c r="AB96" s="1"/>
  <c r="AC96" s="1"/>
  <c r="W133"/>
  <c r="T50"/>
  <c r="Y62" s="1"/>
  <c r="X9"/>
  <c r="Y9" s="1"/>
  <c r="AB98"/>
  <c r="AC98" s="1"/>
  <c r="AB7"/>
  <c r="AC7" s="1"/>
  <c r="X122"/>
  <c r="Y122" s="1"/>
  <c r="AB27"/>
  <c r="AC27" s="1"/>
  <c r="AA27"/>
  <c r="T151"/>
  <c r="W151" s="1"/>
  <c r="Z152" s="1"/>
  <c r="AA152" s="1"/>
  <c r="W62"/>
  <c r="Z68" s="1"/>
  <c r="AA68" s="1"/>
  <c r="W10"/>
  <c r="W60"/>
  <c r="Z60" s="1"/>
  <c r="AA60" s="1"/>
  <c r="W53"/>
  <c r="Z79" s="1"/>
  <c r="AB79" s="1"/>
  <c r="AC79" s="1"/>
  <c r="W86"/>
  <c r="Z86" s="1"/>
  <c r="AA86" s="1"/>
  <c r="W83"/>
  <c r="Z91" s="1"/>
  <c r="AA91" s="1"/>
  <c r="W92"/>
  <c r="T97"/>
  <c r="W97" s="1"/>
  <c r="T76"/>
  <c r="W76" s="1"/>
  <c r="AB138"/>
  <c r="AC138" s="1"/>
  <c r="AA138"/>
  <c r="AB82"/>
  <c r="AC82" s="1"/>
  <c r="AA82"/>
  <c r="AA38"/>
  <c r="AB38"/>
  <c r="AC38" s="1"/>
  <c r="AB68"/>
  <c r="AC68" s="1"/>
  <c r="AA137"/>
  <c r="AB137"/>
  <c r="AC137" s="1"/>
  <c r="AB61"/>
  <c r="AC61" s="1"/>
  <c r="AA61"/>
  <c r="AA24"/>
  <c r="AB24"/>
  <c r="AC24" s="1"/>
  <c r="AB10"/>
  <c r="AC10" s="1"/>
  <c r="AB117"/>
  <c r="AC117" s="1"/>
  <c r="AA117"/>
  <c r="AA8"/>
  <c r="AB8"/>
  <c r="AC8" s="1"/>
  <c r="AB112"/>
  <c r="AC112" s="1"/>
  <c r="AA112"/>
  <c r="AA58"/>
  <c r="AA156"/>
  <c r="AB156"/>
  <c r="AC156" s="1"/>
  <c r="AA77"/>
  <c r="AB77"/>
  <c r="AC77" s="1"/>
  <c r="AA126"/>
  <c r="AB126"/>
  <c r="AC126" s="1"/>
  <c r="AB72"/>
  <c r="AC72" s="1"/>
  <c r="AA72"/>
  <c r="AB32"/>
  <c r="AC32" s="1"/>
  <c r="AA32"/>
  <c r="AB120"/>
  <c r="AC120" s="1"/>
  <c r="AA120"/>
  <c r="Z2"/>
  <c r="Y5"/>
  <c r="W5"/>
  <c r="Z5" s="1"/>
  <c r="AA5" s="1"/>
  <c r="AB54"/>
  <c r="AC54" s="1"/>
  <c r="AA54"/>
  <c r="AB95"/>
  <c r="AC95" s="1"/>
  <c r="AA95"/>
  <c r="AA147"/>
  <c r="AB147"/>
  <c r="AC147" s="1"/>
  <c r="Y71"/>
  <c r="W71"/>
  <c r="Z71" s="1"/>
  <c r="AA71" s="1"/>
  <c r="X29"/>
  <c r="Z29"/>
  <c r="AA29" s="1"/>
  <c r="W143"/>
  <c r="Z143" s="1"/>
  <c r="AA143" s="1"/>
  <c r="Y143"/>
  <c r="AJ34"/>
  <c r="AB12"/>
  <c r="AC12" s="1"/>
  <c r="AA12"/>
  <c r="AB105"/>
  <c r="AC105" s="1"/>
  <c r="AA105"/>
  <c r="Y39"/>
  <c r="X155"/>
  <c r="Y155" s="1"/>
  <c r="R91"/>
  <c r="Y92" s="1"/>
  <c r="R89"/>
  <c r="T100"/>
  <c r="W100" s="1"/>
  <c r="Z100" s="1"/>
  <c r="X135"/>
  <c r="Y135" s="1"/>
  <c r="W149"/>
  <c r="Z150" s="1"/>
  <c r="AA150" s="1"/>
  <c r="W66"/>
  <c r="Z66" s="1"/>
  <c r="W4"/>
  <c r="Z4" s="1"/>
  <c r="W130"/>
  <c r="W81"/>
  <c r="Z81" s="1"/>
  <c r="W51"/>
  <c r="Z51" s="1"/>
  <c r="T70"/>
  <c r="R145"/>
  <c r="T145" s="1"/>
  <c r="W145" s="1"/>
  <c r="Z146" s="1"/>
  <c r="AA146" s="1"/>
  <c r="T115"/>
  <c r="W115" s="1"/>
  <c r="Z115" s="1"/>
  <c r="W37"/>
  <c r="Z48" s="1"/>
  <c r="W106"/>
  <c r="W55"/>
  <c r="Z55" s="1"/>
  <c r="T101"/>
  <c r="W101" s="1"/>
  <c r="R68"/>
  <c r="T68" s="1"/>
  <c r="T116"/>
  <c r="W116" s="1"/>
  <c r="Z111" s="1"/>
  <c r="K164"/>
  <c r="X153"/>
  <c r="Y153" s="1"/>
  <c r="X46"/>
  <c r="Y46" s="1"/>
  <c r="X152"/>
  <c r="Y152" s="1"/>
  <c r="X136"/>
  <c r="Y136" s="1"/>
  <c r="W124"/>
  <c r="W22"/>
  <c r="Z22" s="1"/>
  <c r="W40"/>
  <c r="Z45" s="1"/>
  <c r="W113"/>
  <c r="Z113" s="1"/>
  <c r="AA113" s="1"/>
  <c r="Y21"/>
  <c r="W21"/>
  <c r="AA127"/>
  <c r="AB127"/>
  <c r="AC127" s="1"/>
  <c r="X108"/>
  <c r="Y108" s="1"/>
  <c r="Z108"/>
  <c r="AA108" s="1"/>
  <c r="AA80"/>
  <c r="AB80"/>
  <c r="AC80" s="1"/>
  <c r="AB148"/>
  <c r="AC148" s="1"/>
  <c r="AA148"/>
  <c r="AB64"/>
  <c r="AC64" s="1"/>
  <c r="AA64"/>
  <c r="R131"/>
  <c r="W19"/>
  <c r="Z25" s="1"/>
  <c r="W118"/>
  <c r="Z118" s="1"/>
  <c r="W44"/>
  <c r="Z44" s="1"/>
  <c r="W30"/>
  <c r="Z31" s="1"/>
  <c r="AA31" s="1"/>
  <c r="X57"/>
  <c r="Y57" s="1"/>
  <c r="X16"/>
  <c r="Y16" s="1"/>
  <c r="AJ165"/>
  <c r="AJ168" s="1"/>
  <c r="Y20" i="20"/>
  <c r="Z20" s="1"/>
  <c r="AA20"/>
  <c r="AB20" s="1"/>
  <c r="X119" i="31" l="1"/>
  <c r="Y119" s="1"/>
  <c r="X87"/>
  <c r="Y87" s="1"/>
  <c r="X31"/>
  <c r="Y31" s="1"/>
  <c r="X34"/>
  <c r="Y34" s="1"/>
  <c r="X146"/>
  <c r="Y146" s="1"/>
  <c r="L160"/>
  <c r="X150"/>
  <c r="Y150" s="1"/>
  <c r="Z144"/>
  <c r="AA144" s="1"/>
  <c r="Z34"/>
  <c r="AA34" s="1"/>
  <c r="Z14"/>
  <c r="AA14" s="1"/>
  <c r="Z11"/>
  <c r="AA11" s="1"/>
  <c r="X144"/>
  <c r="Y144" s="1"/>
  <c r="Z87"/>
  <c r="AA87" s="1"/>
  <c r="X56"/>
  <c r="Y56" s="1"/>
  <c r="AB109"/>
  <c r="Z119"/>
  <c r="AA119" s="1"/>
  <c r="Z56"/>
  <c r="AA56" s="1"/>
  <c r="Z46"/>
  <c r="AA46" s="1"/>
  <c r="AB110"/>
  <c r="AC110" s="1"/>
  <c r="AA96"/>
  <c r="AA33"/>
  <c r="AB60"/>
  <c r="AC60" s="1"/>
  <c r="AA79"/>
  <c r="AB128"/>
  <c r="AC128" s="1"/>
  <c r="AA141"/>
  <c r="AB142"/>
  <c r="AC142" s="1"/>
  <c r="W50"/>
  <c r="Z62" s="1"/>
  <c r="AB86"/>
  <c r="AC86" s="1"/>
  <c r="AB91"/>
  <c r="AC91" s="1"/>
  <c r="AB14"/>
  <c r="AC14" s="1"/>
  <c r="AA100"/>
  <c r="AB100"/>
  <c r="AC100" s="1"/>
  <c r="Y83"/>
  <c r="AA44"/>
  <c r="AB44"/>
  <c r="AC44" s="1"/>
  <c r="X30"/>
  <c r="Y30" s="1"/>
  <c r="Z30"/>
  <c r="AA30" s="1"/>
  <c r="L167"/>
  <c r="L171" s="1"/>
  <c r="Z21"/>
  <c r="AB2"/>
  <c r="AA2"/>
  <c r="AB25"/>
  <c r="AC25" s="1"/>
  <c r="AA25"/>
  <c r="AA22"/>
  <c r="AB22"/>
  <c r="AC22" s="1"/>
  <c r="AA55"/>
  <c r="AB55"/>
  <c r="AC55" s="1"/>
  <c r="AA66"/>
  <c r="AB66"/>
  <c r="AC66" s="1"/>
  <c r="AA115"/>
  <c r="AB115"/>
  <c r="AC115" s="1"/>
  <c r="AB50"/>
  <c r="AC50" s="1"/>
  <c r="AA50"/>
  <c r="AA118"/>
  <c r="AB118"/>
  <c r="AC118" s="1"/>
  <c r="AB45"/>
  <c r="AC45" s="1"/>
  <c r="AA45"/>
  <c r="AA81"/>
  <c r="AB81"/>
  <c r="AC81" s="1"/>
  <c r="AA4"/>
  <c r="AB4"/>
  <c r="AC4" s="1"/>
  <c r="Z40"/>
  <c r="T89"/>
  <c r="W89" s="1"/>
  <c r="Z90" s="1"/>
  <c r="W70"/>
  <c r="Z70" s="1"/>
  <c r="Z94" s="1"/>
  <c r="T91"/>
  <c r="W91" s="1"/>
  <c r="W68"/>
  <c r="Z83" s="1"/>
  <c r="Y29"/>
  <c r="AA48"/>
  <c r="AB48"/>
  <c r="AC48" s="1"/>
  <c r="AA51"/>
  <c r="AB51"/>
  <c r="AC51" s="1"/>
  <c r="AB111"/>
  <c r="AC111" s="1"/>
  <c r="AA111"/>
  <c r="T131"/>
  <c r="Y151" s="1"/>
  <c r="Z89" l="1"/>
  <c r="AA89" s="1"/>
  <c r="Z92"/>
  <c r="AB90"/>
  <c r="AC90" s="1"/>
  <c r="AA90"/>
  <c r="AA62"/>
  <c r="AB62"/>
  <c r="AC62" s="1"/>
  <c r="Y158"/>
  <c r="W131"/>
  <c r="X158"/>
  <c r="AJ57"/>
  <c r="AB40"/>
  <c r="AC40" s="1"/>
  <c r="AA40"/>
  <c r="AB89"/>
  <c r="AC89" s="1"/>
  <c r="AA70"/>
  <c r="AB70"/>
  <c r="AC70" s="1"/>
  <c r="AC2"/>
  <c r="AB83"/>
  <c r="AC83" s="1"/>
  <c r="AA83"/>
  <c r="AA21"/>
  <c r="AJ167"/>
  <c r="AB92" l="1"/>
  <c r="AC92" s="1"/>
  <c r="AA92"/>
  <c r="M162"/>
  <c r="X132"/>
  <c r="Y132" s="1"/>
  <c r="Z132"/>
  <c r="AA132" s="1"/>
  <c r="AJ171"/>
  <c r="AB94"/>
  <c r="AC94"/>
  <c r="AC158" s="1"/>
  <c r="AC161" s="1"/>
  <c r="AC159"/>
  <c r="AA158"/>
  <c r="Z151"/>
  <c r="AB151" l="1"/>
  <c r="AC151" s="1"/>
  <c r="AA151"/>
  <c r="AA160" l="1"/>
  <c r="AC160"/>
  <c r="P127" i="20" l="1"/>
  <c r="P128"/>
  <c r="P129"/>
  <c r="P130"/>
  <c r="P131"/>
  <c r="P132"/>
  <c r="P133"/>
  <c r="P134"/>
  <c r="P135"/>
  <c r="P136"/>
  <c r="P137"/>
  <c r="P138"/>
  <c r="P139"/>
  <c r="P140"/>
  <c r="P141"/>
  <c r="P142"/>
  <c r="Q135" l="1"/>
  <c r="Q140"/>
  <c r="S140" s="1"/>
  <c r="Q132"/>
  <c r="S132" s="1"/>
  <c r="Q128"/>
  <c r="Q141"/>
  <c r="Q133"/>
  <c r="Q129"/>
  <c r="Q139"/>
  <c r="Q131"/>
  <c r="S131" s="1"/>
  <c r="U131" s="1"/>
  <c r="Q138"/>
  <c r="S138" s="1"/>
  <c r="Q137"/>
  <c r="S137" s="1"/>
  <c r="Q142"/>
  <c r="S142" s="1"/>
  <c r="Q134"/>
  <c r="S134" s="1"/>
  <c r="Q130"/>
  <c r="S130" s="1"/>
  <c r="Q136"/>
  <c r="S136" s="1"/>
  <c r="U136" s="1"/>
  <c r="S129"/>
  <c r="S139"/>
  <c r="U139" s="1"/>
  <c r="U132"/>
  <c r="L126"/>
  <c r="X133" l="1"/>
  <c r="U129"/>
  <c r="X129" s="1"/>
  <c r="S133"/>
  <c r="U133" s="1"/>
  <c r="W139"/>
  <c r="X135"/>
  <c r="X131"/>
  <c r="S135"/>
  <c r="U135" s="1"/>
  <c r="S141"/>
  <c r="U141" s="1"/>
  <c r="U134"/>
  <c r="X132"/>
  <c r="X142"/>
  <c r="X139"/>
  <c r="U140"/>
  <c r="X140" s="1"/>
  <c r="S128"/>
  <c r="U128" s="1"/>
  <c r="X128" s="1"/>
  <c r="W134"/>
  <c r="X136"/>
  <c r="U137"/>
  <c r="X137" s="1"/>
  <c r="U142"/>
  <c r="U130"/>
  <c r="X130" s="1"/>
  <c r="U138"/>
  <c r="X138" s="1"/>
  <c r="L104"/>
  <c r="X141" l="1"/>
  <c r="X134"/>
  <c r="L170"/>
  <c r="W151"/>
  <c r="P151"/>
  <c r="U151" s="1"/>
  <c r="P123" l="1"/>
  <c r="Q123" s="1"/>
  <c r="P27"/>
  <c r="Q27" s="1"/>
  <c r="P28"/>
  <c r="Q28" s="1"/>
  <c r="P29"/>
  <c r="Q29" s="1"/>
  <c r="P30"/>
  <c r="Q30" s="1"/>
  <c r="P31"/>
  <c r="Q31" s="1"/>
  <c r="P32"/>
  <c r="Q32" s="1"/>
  <c r="P33"/>
  <c r="Q33" s="1"/>
  <c r="P34"/>
  <c r="Q34" s="1"/>
  <c r="P35"/>
  <c r="Q35" s="1"/>
  <c r="P37"/>
  <c r="Q37" s="1"/>
  <c r="P38"/>
  <c r="Q38" s="1"/>
  <c r="P39"/>
  <c r="Q39" s="1"/>
  <c r="P40"/>
  <c r="Q40" s="1"/>
  <c r="P41"/>
  <c r="Q41" s="1"/>
  <c r="P42"/>
  <c r="Q42" s="1"/>
  <c r="P43"/>
  <c r="Q43" s="1"/>
  <c r="P44"/>
  <c r="P45"/>
  <c r="Q45" s="1"/>
  <c r="P46"/>
  <c r="Q46" s="1"/>
  <c r="P47"/>
  <c r="Q47" s="1"/>
  <c r="P48"/>
  <c r="Q48" s="1"/>
  <c r="P49"/>
  <c r="Q49" s="1"/>
  <c r="P50"/>
  <c r="Q50" s="1"/>
  <c r="P51"/>
  <c r="Q51" s="1"/>
  <c r="P53"/>
  <c r="Q53" s="1"/>
  <c r="P54"/>
  <c r="P55"/>
  <c r="Q55" s="1"/>
  <c r="P56"/>
  <c r="Q56" s="1"/>
  <c r="P57"/>
  <c r="Q57" s="1"/>
  <c r="P58"/>
  <c r="Q58" s="1"/>
  <c r="P59"/>
  <c r="Q59" s="1"/>
  <c r="P60"/>
  <c r="Q60" s="1"/>
  <c r="P61"/>
  <c r="Q61" s="1"/>
  <c r="P62"/>
  <c r="Q62" s="1"/>
  <c r="P63"/>
  <c r="Q63" s="1"/>
  <c r="P64"/>
  <c r="Q64" s="1"/>
  <c r="P65"/>
  <c r="Q65" s="1"/>
  <c r="P66"/>
  <c r="Q66" s="1"/>
  <c r="P67"/>
  <c r="Q67" s="1"/>
  <c r="P68"/>
  <c r="Q68" s="1"/>
  <c r="P69"/>
  <c r="Q69" s="1"/>
  <c r="P70"/>
  <c r="Q70" s="1"/>
  <c r="P71"/>
  <c r="P72"/>
  <c r="Q72" s="1"/>
  <c r="P73"/>
  <c r="P74"/>
  <c r="Q74" s="1"/>
  <c r="P75"/>
  <c r="Q75" s="1"/>
  <c r="P76"/>
  <c r="P77"/>
  <c r="Q77" s="1"/>
  <c r="P78"/>
  <c r="Q78" s="1"/>
  <c r="P79"/>
  <c r="Q79" s="1"/>
  <c r="P80"/>
  <c r="Q80" s="1"/>
  <c r="P81"/>
  <c r="Q81" s="1"/>
  <c r="Q44" l="1"/>
  <c r="U44" s="1"/>
  <c r="W54"/>
  <c r="Q54"/>
  <c r="U54" s="1"/>
  <c r="Q71"/>
  <c r="U71" s="1"/>
  <c r="X71" s="1"/>
  <c r="Q73"/>
  <c r="U73" s="1"/>
  <c r="Q76"/>
  <c r="U123"/>
  <c r="X123" s="1"/>
  <c r="U81"/>
  <c r="U65"/>
  <c r="U57"/>
  <c r="U49"/>
  <c r="U41"/>
  <c r="U33"/>
  <c r="U77"/>
  <c r="U69"/>
  <c r="U61"/>
  <c r="U53"/>
  <c r="U45"/>
  <c r="U37"/>
  <c r="U29"/>
  <c r="U27"/>
  <c r="X27" s="1"/>
  <c r="U79"/>
  <c r="U63"/>
  <c r="U39"/>
  <c r="U31"/>
  <c r="U55"/>
  <c r="U47"/>
  <c r="U75"/>
  <c r="U67"/>
  <c r="U59"/>
  <c r="U51"/>
  <c r="U43"/>
  <c r="X43" s="1"/>
  <c r="AA43" s="1"/>
  <c r="U35"/>
  <c r="U80"/>
  <c r="U72"/>
  <c r="U68"/>
  <c r="U64"/>
  <c r="U60"/>
  <c r="U56"/>
  <c r="U52"/>
  <c r="X52" s="1"/>
  <c r="U48"/>
  <c r="U40"/>
  <c r="U32"/>
  <c r="U28"/>
  <c r="U78"/>
  <c r="U74"/>
  <c r="U70"/>
  <c r="U66"/>
  <c r="U62"/>
  <c r="U58"/>
  <c r="U50"/>
  <c r="U46"/>
  <c r="U42"/>
  <c r="U38"/>
  <c r="U34"/>
  <c r="U30"/>
  <c r="X54" l="1"/>
  <c r="W76"/>
  <c r="W44"/>
  <c r="X44" s="1"/>
  <c r="W73"/>
  <c r="X73" s="1"/>
  <c r="U76"/>
  <c r="X76" s="1"/>
  <c r="X77"/>
  <c r="AA77" s="1"/>
  <c r="AB77" s="1"/>
  <c r="AB43"/>
  <c r="AC43"/>
  <c r="AD43" s="1"/>
  <c r="AC77" l="1"/>
  <c r="AD77" s="1"/>
  <c r="X80" l="1"/>
  <c r="AA44" l="1"/>
  <c r="AB44" s="1"/>
  <c r="AA73"/>
  <c r="AB73" s="1"/>
  <c r="X56"/>
  <c r="AA56" s="1"/>
  <c r="AC56" s="1"/>
  <c r="AD56" s="1"/>
  <c r="X78"/>
  <c r="X79"/>
  <c r="AA36" l="1"/>
  <c r="AC36" s="1"/>
  <c r="AD36" s="1"/>
  <c r="AC44"/>
  <c r="AD44" s="1"/>
  <c r="AB56"/>
  <c r="AC73"/>
  <c r="AD73" s="1"/>
  <c r="P38" i="9"/>
  <c r="AB36" i="20" l="1"/>
  <c r="P37" i="28"/>
  <c r="Q37" s="1"/>
  <c r="X165" i="29"/>
  <c r="F47" i="28"/>
  <c r="I22"/>
  <c r="I23"/>
  <c r="I24"/>
  <c r="I25"/>
  <c r="I26"/>
  <c r="I27"/>
  <c r="I28"/>
  <c r="I29"/>
  <c r="I30"/>
  <c r="I31"/>
  <c r="I32"/>
  <c r="I33"/>
  <c r="I34"/>
  <c r="P37" i="30"/>
  <c r="Q37" s="1"/>
  <c r="O46"/>
  <c r="Q46"/>
  <c r="P46"/>
  <c r="P41"/>
  <c r="P42"/>
  <c r="P43"/>
  <c r="P44"/>
  <c r="P45"/>
  <c r="P40"/>
  <c r="W165" i="29"/>
  <c r="P18" i="30"/>
  <c r="M34"/>
  <c r="P34"/>
  <c r="P33"/>
  <c r="M33"/>
  <c r="M32"/>
  <c r="P32" s="1"/>
  <c r="O47"/>
  <c r="O35"/>
  <c r="M30"/>
  <c r="I32"/>
  <c r="P17"/>
  <c r="P165" i="29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6"/>
  <c r="S165"/>
  <c r="P20" i="30"/>
  <c r="Q20" s="1"/>
  <c r="M19"/>
  <c r="P19" s="1"/>
  <c r="P35" s="1"/>
  <c r="M165" i="29"/>
  <c r="S9"/>
  <c r="F46" i="30"/>
  <c r="O45"/>
  <c r="M45"/>
  <c r="I45"/>
  <c r="Q44"/>
  <c r="O43"/>
  <c r="Q43" s="1"/>
  <c r="M43"/>
  <c r="I43"/>
  <c r="O42"/>
  <c r="M42"/>
  <c r="I42"/>
  <c r="O41"/>
  <c r="I41"/>
  <c r="K41" s="1"/>
  <c r="O40"/>
  <c r="M40"/>
  <c r="K40"/>
  <c r="I40"/>
  <c r="N38"/>
  <c r="N47" s="1"/>
  <c r="M38"/>
  <c r="K38"/>
  <c r="I38"/>
  <c r="F38"/>
  <c r="O37"/>
  <c r="F35"/>
  <c r="F47" s="1"/>
  <c r="O34"/>
  <c r="K34"/>
  <c r="O33"/>
  <c r="K33"/>
  <c r="O32"/>
  <c r="K32"/>
  <c r="O31"/>
  <c r="I31"/>
  <c r="K31" s="1"/>
  <c r="O30"/>
  <c r="K30"/>
  <c r="O29"/>
  <c r="I29"/>
  <c r="K29" s="1"/>
  <c r="O28"/>
  <c r="M28"/>
  <c r="K28"/>
  <c r="I28"/>
  <c r="P28" s="1"/>
  <c r="Q28" s="1"/>
  <c r="O27"/>
  <c r="I27"/>
  <c r="K27" s="1"/>
  <c r="O26"/>
  <c r="M26"/>
  <c r="K26"/>
  <c r="I26"/>
  <c r="P26" s="1"/>
  <c r="Q26" s="1"/>
  <c r="O25"/>
  <c r="I25"/>
  <c r="K25" s="1"/>
  <c r="O24"/>
  <c r="M24"/>
  <c r="K24"/>
  <c r="I24"/>
  <c r="P24" s="1"/>
  <c r="Q24" s="1"/>
  <c r="O23"/>
  <c r="I23"/>
  <c r="K23" s="1"/>
  <c r="O22"/>
  <c r="M22"/>
  <c r="K22"/>
  <c r="I22"/>
  <c r="P22" s="1"/>
  <c r="Q22" s="1"/>
  <c r="O21"/>
  <c r="M21"/>
  <c r="P21" s="1"/>
  <c r="Q21" s="1"/>
  <c r="O20"/>
  <c r="M20"/>
  <c r="K20" s="1"/>
  <c r="O19"/>
  <c r="O18"/>
  <c r="O17"/>
  <c r="L175" i="29"/>
  <c r="L171"/>
  <c r="L168"/>
  <c r="AB164"/>
  <c r="X164"/>
  <c r="AA165" s="1"/>
  <c r="AB165" s="1"/>
  <c r="U164"/>
  <c r="P164"/>
  <c r="R163" s="1"/>
  <c r="Y164" s="1"/>
  <c r="Z164" s="1"/>
  <c r="AB163"/>
  <c r="X163"/>
  <c r="AA164" s="1"/>
  <c r="U163"/>
  <c r="P163"/>
  <c r="R162" s="1"/>
  <c r="Y163" s="1"/>
  <c r="Z163" s="1"/>
  <c r="AB162"/>
  <c r="X162"/>
  <c r="AA163" s="1"/>
  <c r="U162"/>
  <c r="P162"/>
  <c r="X161"/>
  <c r="AA162" s="1"/>
  <c r="U161"/>
  <c r="R161"/>
  <c r="Y162" s="1"/>
  <c r="Z162" s="1"/>
  <c r="P161"/>
  <c r="X160"/>
  <c r="AA161" s="1"/>
  <c r="AB161" s="1"/>
  <c r="U160"/>
  <c r="R160"/>
  <c r="P160"/>
  <c r="AB159"/>
  <c r="X159"/>
  <c r="AA160" s="1"/>
  <c r="AB160" s="1"/>
  <c r="U159"/>
  <c r="R159"/>
  <c r="P159"/>
  <c r="AB158"/>
  <c r="X158"/>
  <c r="AA159" s="1"/>
  <c r="U158"/>
  <c r="R158"/>
  <c r="Y159" s="1"/>
  <c r="Z159" s="1"/>
  <c r="P158"/>
  <c r="X157"/>
  <c r="AA158" s="1"/>
  <c r="U157"/>
  <c r="R157"/>
  <c r="Y158" s="1"/>
  <c r="Z158" s="1"/>
  <c r="P157"/>
  <c r="X156"/>
  <c r="AA157" s="1"/>
  <c r="AB157" s="1"/>
  <c r="U156"/>
  <c r="R156"/>
  <c r="P156"/>
  <c r="AB155"/>
  <c r="X155"/>
  <c r="AA156" s="1"/>
  <c r="AB156" s="1"/>
  <c r="U155"/>
  <c r="R155"/>
  <c r="P155"/>
  <c r="X154"/>
  <c r="AA155" s="1"/>
  <c r="U154"/>
  <c r="R154"/>
  <c r="Y155" s="1"/>
  <c r="Z155" s="1"/>
  <c r="P154"/>
  <c r="W153"/>
  <c r="R153"/>
  <c r="P153"/>
  <c r="U153" s="1"/>
  <c r="W152"/>
  <c r="R152"/>
  <c r="P152"/>
  <c r="U152" s="1"/>
  <c r="W151"/>
  <c r="U151"/>
  <c r="P151"/>
  <c r="W150"/>
  <c r="U150"/>
  <c r="R150"/>
  <c r="P150"/>
  <c r="W149"/>
  <c r="R149"/>
  <c r="P149"/>
  <c r="U149" s="1"/>
  <c r="W148"/>
  <c r="P148"/>
  <c r="U148" s="1"/>
  <c r="W147"/>
  <c r="U147"/>
  <c r="R147"/>
  <c r="P147"/>
  <c r="X147" s="1"/>
  <c r="AA148" s="1"/>
  <c r="AB148" s="1"/>
  <c r="W146"/>
  <c r="U146"/>
  <c r="R146"/>
  <c r="P146"/>
  <c r="X146" s="1"/>
  <c r="X145"/>
  <c r="AA146" s="1"/>
  <c r="AB146" s="1"/>
  <c r="U145"/>
  <c r="R145"/>
  <c r="P145"/>
  <c r="AB144"/>
  <c r="X144"/>
  <c r="AA145" s="1"/>
  <c r="AB145" s="1"/>
  <c r="U144"/>
  <c r="R144"/>
  <c r="P144"/>
  <c r="AB143"/>
  <c r="X143"/>
  <c r="AA144" s="1"/>
  <c r="U143"/>
  <c r="R143"/>
  <c r="Y144" s="1"/>
  <c r="Z144" s="1"/>
  <c r="P143"/>
  <c r="X142"/>
  <c r="AA143" s="1"/>
  <c r="U142"/>
  <c r="R142"/>
  <c r="Y143" s="1"/>
  <c r="Z143" s="1"/>
  <c r="P142"/>
  <c r="X141"/>
  <c r="AA142" s="1"/>
  <c r="AB142" s="1"/>
  <c r="U141"/>
  <c r="R141"/>
  <c r="P141"/>
  <c r="X140"/>
  <c r="AA141" s="1"/>
  <c r="AB141" s="1"/>
  <c r="U140"/>
  <c r="R140"/>
  <c r="P140"/>
  <c r="U139"/>
  <c r="R139"/>
  <c r="P139"/>
  <c r="X139" s="1"/>
  <c r="L138"/>
  <c r="Y137"/>
  <c r="P137"/>
  <c r="M137"/>
  <c r="P136"/>
  <c r="M136"/>
  <c r="U135"/>
  <c r="S135"/>
  <c r="AK135" s="1"/>
  <c r="P135"/>
  <c r="M135"/>
  <c r="S134"/>
  <c r="AK134" s="1"/>
  <c r="P134"/>
  <c r="M134"/>
  <c r="P133"/>
  <c r="M133"/>
  <c r="P132"/>
  <c r="M132"/>
  <c r="U131"/>
  <c r="S131"/>
  <c r="AK131" s="1"/>
  <c r="P131"/>
  <c r="M131"/>
  <c r="Y130"/>
  <c r="P130"/>
  <c r="M130"/>
  <c r="Y129"/>
  <c r="P129"/>
  <c r="M129"/>
  <c r="Y128"/>
  <c r="S128"/>
  <c r="AK128" s="1"/>
  <c r="P128"/>
  <c r="M128"/>
  <c r="Y127"/>
  <c r="U127"/>
  <c r="Z128" s="1"/>
  <c r="S127"/>
  <c r="AK127" s="1"/>
  <c r="P127"/>
  <c r="M127"/>
  <c r="Y126"/>
  <c r="P126"/>
  <c r="M126"/>
  <c r="S125"/>
  <c r="AK125" s="1"/>
  <c r="P125"/>
  <c r="M125"/>
  <c r="S124"/>
  <c r="P124"/>
  <c r="M124"/>
  <c r="Z123"/>
  <c r="Y123"/>
  <c r="L123"/>
  <c r="Z122"/>
  <c r="Y122"/>
  <c r="P122"/>
  <c r="M122"/>
  <c r="P121"/>
  <c r="M121"/>
  <c r="U120"/>
  <c r="P120"/>
  <c r="M120"/>
  <c r="Z119"/>
  <c r="Y119"/>
  <c r="P119"/>
  <c r="M119"/>
  <c r="Z118"/>
  <c r="Y118"/>
  <c r="P118"/>
  <c r="M118"/>
  <c r="P117"/>
  <c r="M117"/>
  <c r="U116"/>
  <c r="P116"/>
  <c r="M116"/>
  <c r="Z115"/>
  <c r="Y115"/>
  <c r="P115"/>
  <c r="M115"/>
  <c r="Z114"/>
  <c r="Y114"/>
  <c r="P114"/>
  <c r="M114"/>
  <c r="Z113"/>
  <c r="Y113"/>
  <c r="U113"/>
  <c r="X113" s="1"/>
  <c r="AA114" s="1"/>
  <c r="AB114" s="1"/>
  <c r="P113"/>
  <c r="M113"/>
  <c r="P112"/>
  <c r="M112"/>
  <c r="Z111"/>
  <c r="Y111"/>
  <c r="U111"/>
  <c r="X111" s="1"/>
  <c r="AA112" s="1"/>
  <c r="P111"/>
  <c r="M111"/>
  <c r="P110"/>
  <c r="M110"/>
  <c r="Z109"/>
  <c r="Y109"/>
  <c r="U109"/>
  <c r="X109" s="1"/>
  <c r="AA111" s="1"/>
  <c r="P109"/>
  <c r="M109"/>
  <c r="Z108"/>
  <c r="Y108"/>
  <c r="U108"/>
  <c r="P108"/>
  <c r="M108"/>
  <c r="X107"/>
  <c r="AA108" s="1"/>
  <c r="U107"/>
  <c r="P107"/>
  <c r="M107"/>
  <c r="P106"/>
  <c r="M106"/>
  <c r="P105"/>
  <c r="M105"/>
  <c r="Z104"/>
  <c r="Y104"/>
  <c r="P104"/>
  <c r="M104"/>
  <c r="Z103"/>
  <c r="Y103"/>
  <c r="X103"/>
  <c r="AA104" s="1"/>
  <c r="AC104" s="1"/>
  <c r="AD104" s="1"/>
  <c r="U103"/>
  <c r="P103"/>
  <c r="M103"/>
  <c r="AA102"/>
  <c r="P102"/>
  <c r="M102"/>
  <c r="Z100"/>
  <c r="Y100"/>
  <c r="L100"/>
  <c r="P99"/>
  <c r="M99"/>
  <c r="Z98"/>
  <c r="Y98"/>
  <c r="X98"/>
  <c r="AA99" s="1"/>
  <c r="U98"/>
  <c r="P98"/>
  <c r="M98"/>
  <c r="P97"/>
  <c r="M97"/>
  <c r="P96"/>
  <c r="M96"/>
  <c r="U95"/>
  <c r="P95"/>
  <c r="M95"/>
  <c r="U94"/>
  <c r="X94" s="1"/>
  <c r="P94"/>
  <c r="M94"/>
  <c r="Z93"/>
  <c r="Y93"/>
  <c r="U93"/>
  <c r="P93"/>
  <c r="M93"/>
  <c r="Z92"/>
  <c r="Y92"/>
  <c r="P92"/>
  <c r="M92"/>
  <c r="U91"/>
  <c r="P91"/>
  <c r="M91"/>
  <c r="U90"/>
  <c r="X90" s="1"/>
  <c r="P90"/>
  <c r="M90"/>
  <c r="P89"/>
  <c r="M89"/>
  <c r="P88"/>
  <c r="M88"/>
  <c r="Z87"/>
  <c r="Y87"/>
  <c r="P87"/>
  <c r="M87"/>
  <c r="Z86"/>
  <c r="Y86"/>
  <c r="U86"/>
  <c r="X86" s="1"/>
  <c r="AA87" s="1"/>
  <c r="P86"/>
  <c r="M86"/>
  <c r="P85"/>
  <c r="M85"/>
  <c r="Z84"/>
  <c r="Y84"/>
  <c r="U84"/>
  <c r="X84" s="1"/>
  <c r="P84"/>
  <c r="M84"/>
  <c r="P83"/>
  <c r="M83"/>
  <c r="Z82"/>
  <c r="Y82"/>
  <c r="U82"/>
  <c r="X82" s="1"/>
  <c r="P82"/>
  <c r="M82"/>
  <c r="Z81"/>
  <c r="Y81"/>
  <c r="U81"/>
  <c r="P81"/>
  <c r="M81"/>
  <c r="Z80"/>
  <c r="Y80"/>
  <c r="P80"/>
  <c r="M80"/>
  <c r="AC79"/>
  <c r="AD79" s="1"/>
  <c r="AB79"/>
  <c r="AA79"/>
  <c r="U79"/>
  <c r="P79"/>
  <c r="M79"/>
  <c r="AD77"/>
  <c r="AC77"/>
  <c r="AB77"/>
  <c r="AA77"/>
  <c r="L77"/>
  <c r="P76"/>
  <c r="M76"/>
  <c r="P75"/>
  <c r="M75"/>
  <c r="Z74"/>
  <c r="Y74"/>
  <c r="P74"/>
  <c r="M74"/>
  <c r="P73"/>
  <c r="M73"/>
  <c r="Z72"/>
  <c r="Y72"/>
  <c r="P72"/>
  <c r="M72"/>
  <c r="Z71"/>
  <c r="Y71"/>
  <c r="U71"/>
  <c r="X71" s="1"/>
  <c r="AA71" s="1"/>
  <c r="P71"/>
  <c r="M71"/>
  <c r="P70"/>
  <c r="M70"/>
  <c r="Z69"/>
  <c r="Y69"/>
  <c r="U69"/>
  <c r="X69" s="1"/>
  <c r="AA69" s="1"/>
  <c r="P69"/>
  <c r="M69"/>
  <c r="Z68"/>
  <c r="Y68"/>
  <c r="U68"/>
  <c r="P68"/>
  <c r="M68"/>
  <c r="X67"/>
  <c r="AA67" s="1"/>
  <c r="AB67" s="1"/>
  <c r="U67"/>
  <c r="P67"/>
  <c r="M67"/>
  <c r="P66"/>
  <c r="M66"/>
  <c r="P65"/>
  <c r="M65"/>
  <c r="U64"/>
  <c r="P64"/>
  <c r="M64"/>
  <c r="Z63"/>
  <c r="Y63"/>
  <c r="P63"/>
  <c r="M63"/>
  <c r="Z62"/>
  <c r="Y62"/>
  <c r="P62"/>
  <c r="M62"/>
  <c r="P61"/>
  <c r="M61"/>
  <c r="Z60"/>
  <c r="Y60"/>
  <c r="P60"/>
  <c r="M60"/>
  <c r="Z59"/>
  <c r="Y59"/>
  <c r="U59"/>
  <c r="X59" s="1"/>
  <c r="AA59" s="1"/>
  <c r="P59"/>
  <c r="M59"/>
  <c r="P58"/>
  <c r="M58"/>
  <c r="P57"/>
  <c r="M57"/>
  <c r="Z56"/>
  <c r="Y56"/>
  <c r="P56"/>
  <c r="M56"/>
  <c r="Z55"/>
  <c r="Y55"/>
  <c r="X55"/>
  <c r="AA55" s="1"/>
  <c r="U55"/>
  <c r="P55"/>
  <c r="M55"/>
  <c r="Z54"/>
  <c r="Y54"/>
  <c r="U54"/>
  <c r="P54"/>
  <c r="M54"/>
  <c r="Z53"/>
  <c r="Y53"/>
  <c r="P53"/>
  <c r="M53"/>
  <c r="U52"/>
  <c r="P52"/>
  <c r="X52" s="1"/>
  <c r="M52"/>
  <c r="Z51"/>
  <c r="Y51"/>
  <c r="P51"/>
  <c r="M51"/>
  <c r="Z50"/>
  <c r="Y50"/>
  <c r="P50"/>
  <c r="M50"/>
  <c r="Z49"/>
  <c r="Y49"/>
  <c r="U49"/>
  <c r="X49" s="1"/>
  <c r="AA49" s="1"/>
  <c r="P49"/>
  <c r="M49"/>
  <c r="P48"/>
  <c r="M48"/>
  <c r="Z47"/>
  <c r="Y47"/>
  <c r="U47"/>
  <c r="X47" s="1"/>
  <c r="AA47" s="1"/>
  <c r="P47"/>
  <c r="M47"/>
  <c r="Z46"/>
  <c r="Y46"/>
  <c r="U46"/>
  <c r="P46"/>
  <c r="M46"/>
  <c r="Z45"/>
  <c r="Y45"/>
  <c r="P45"/>
  <c r="M45"/>
  <c r="Z44"/>
  <c r="Y44"/>
  <c r="P44"/>
  <c r="M44"/>
  <c r="P43"/>
  <c r="M43"/>
  <c r="Z42"/>
  <c r="Y42"/>
  <c r="P42"/>
  <c r="M42"/>
  <c r="Z41"/>
  <c r="Y41"/>
  <c r="U41"/>
  <c r="X41" s="1"/>
  <c r="AA41" s="1"/>
  <c r="P41"/>
  <c r="M41"/>
  <c r="Z40"/>
  <c r="Y40"/>
  <c r="U40"/>
  <c r="P40"/>
  <c r="M40"/>
  <c r="X39"/>
  <c r="U39"/>
  <c r="P39"/>
  <c r="M39"/>
  <c r="P38"/>
  <c r="M38"/>
  <c r="P37"/>
  <c r="M37"/>
  <c r="Z36"/>
  <c r="Y36"/>
  <c r="P36"/>
  <c r="M36"/>
  <c r="Z35"/>
  <c r="Y35"/>
  <c r="U35"/>
  <c r="X35" s="1"/>
  <c r="AA35" s="1"/>
  <c r="P35"/>
  <c r="M35"/>
  <c r="P34"/>
  <c r="M34"/>
  <c r="P33"/>
  <c r="M33"/>
  <c r="Z32"/>
  <c r="Y32"/>
  <c r="P32"/>
  <c r="M32"/>
  <c r="Z31"/>
  <c r="Y31"/>
  <c r="X31"/>
  <c r="AA31" s="1"/>
  <c r="U31"/>
  <c r="P31"/>
  <c r="M31"/>
  <c r="Z30"/>
  <c r="Y30"/>
  <c r="U30"/>
  <c r="P30"/>
  <c r="M30"/>
  <c r="U29"/>
  <c r="X29" s="1"/>
  <c r="AA29" s="1"/>
  <c r="P29"/>
  <c r="M29"/>
  <c r="Z28"/>
  <c r="Y28"/>
  <c r="U28"/>
  <c r="P28"/>
  <c r="M28"/>
  <c r="Z27"/>
  <c r="Y27"/>
  <c r="P27"/>
  <c r="M27"/>
  <c r="P25"/>
  <c r="Y24"/>
  <c r="AA24"/>
  <c r="AB24" s="1"/>
  <c r="U24"/>
  <c r="Z24" s="1"/>
  <c r="P24"/>
  <c r="Y23"/>
  <c r="U23"/>
  <c r="Z23" s="1"/>
  <c r="P23"/>
  <c r="Y22"/>
  <c r="U22"/>
  <c r="Z22" s="1"/>
  <c r="P22"/>
  <c r="Y21"/>
  <c r="P21"/>
  <c r="W20"/>
  <c r="P20"/>
  <c r="U20" s="1"/>
  <c r="W19"/>
  <c r="P19"/>
  <c r="U19" s="1"/>
  <c r="Y18"/>
  <c r="U18"/>
  <c r="Z18" s="1"/>
  <c r="P18"/>
  <c r="Y17"/>
  <c r="U17"/>
  <c r="Z17" s="1"/>
  <c r="P17"/>
  <c r="Y16"/>
  <c r="U16"/>
  <c r="Z16" s="1"/>
  <c r="P16"/>
  <c r="P15"/>
  <c r="Y14"/>
  <c r="P14"/>
  <c r="U14" s="1"/>
  <c r="Z14" s="1"/>
  <c r="Y13"/>
  <c r="U13"/>
  <c r="Z13" s="1"/>
  <c r="P13"/>
  <c r="Y12"/>
  <c r="U12"/>
  <c r="Z12" s="1"/>
  <c r="P12"/>
  <c r="Y11"/>
  <c r="P11"/>
  <c r="Y10"/>
  <c r="P10"/>
  <c r="Z9"/>
  <c r="Y9"/>
  <c r="P9"/>
  <c r="Y8"/>
  <c r="P8"/>
  <c r="Y7"/>
  <c r="P7"/>
  <c r="Y6"/>
  <c r="P6"/>
  <c r="K38" i="28"/>
  <c r="Z9" i="27"/>
  <c r="F46" i="28"/>
  <c r="O45"/>
  <c r="M45"/>
  <c r="Q44"/>
  <c r="M43"/>
  <c r="P42"/>
  <c r="Q42" s="1"/>
  <c r="M42"/>
  <c r="K41"/>
  <c r="O46"/>
  <c r="M40"/>
  <c r="K40"/>
  <c r="N38"/>
  <c r="N47" s="1"/>
  <c r="M38"/>
  <c r="I38"/>
  <c r="F38"/>
  <c r="O37"/>
  <c r="F35"/>
  <c r="K33"/>
  <c r="O32"/>
  <c r="M32"/>
  <c r="P32" s="1"/>
  <c r="Q32" s="1"/>
  <c r="K32"/>
  <c r="O31"/>
  <c r="O30"/>
  <c r="O29"/>
  <c r="K29"/>
  <c r="O28"/>
  <c r="M28"/>
  <c r="P28" s="1"/>
  <c r="Q28" s="1"/>
  <c r="K28"/>
  <c r="O27"/>
  <c r="O26"/>
  <c r="O25"/>
  <c r="K25"/>
  <c r="O24"/>
  <c r="M24"/>
  <c r="P24" s="1"/>
  <c r="Q24" s="1"/>
  <c r="K24"/>
  <c r="O23"/>
  <c r="O22"/>
  <c r="O21"/>
  <c r="O20"/>
  <c r="O19"/>
  <c r="O18"/>
  <c r="O17"/>
  <c r="L175" i="27"/>
  <c r="L171"/>
  <c r="L168"/>
  <c r="U164"/>
  <c r="X164" s="1"/>
  <c r="AA165" s="1"/>
  <c r="AB165" s="1"/>
  <c r="U163"/>
  <c r="R163"/>
  <c r="X163"/>
  <c r="AA164" s="1"/>
  <c r="AB164" s="1"/>
  <c r="U162"/>
  <c r="X162" s="1"/>
  <c r="AA163" s="1"/>
  <c r="AB163" s="1"/>
  <c r="R162"/>
  <c r="U161"/>
  <c r="X161" s="1"/>
  <c r="AA162" s="1"/>
  <c r="AB162" s="1"/>
  <c r="R161"/>
  <c r="U160"/>
  <c r="R160"/>
  <c r="X160"/>
  <c r="AA161" s="1"/>
  <c r="AB161" s="1"/>
  <c r="U159"/>
  <c r="R159"/>
  <c r="X159"/>
  <c r="AA160" s="1"/>
  <c r="AB160" s="1"/>
  <c r="U158"/>
  <c r="X158" s="1"/>
  <c r="AA159" s="1"/>
  <c r="AB159" s="1"/>
  <c r="R158"/>
  <c r="U157"/>
  <c r="X157" s="1"/>
  <c r="AA158" s="1"/>
  <c r="AB158" s="1"/>
  <c r="R157"/>
  <c r="U156"/>
  <c r="R156"/>
  <c r="X156"/>
  <c r="AA157" s="1"/>
  <c r="AB157" s="1"/>
  <c r="U155"/>
  <c r="R155"/>
  <c r="X155"/>
  <c r="AA156" s="1"/>
  <c r="AB156" s="1"/>
  <c r="U154"/>
  <c r="X154" s="1"/>
  <c r="AA155" s="1"/>
  <c r="AB155" s="1"/>
  <c r="R154"/>
  <c r="U153"/>
  <c r="X153" s="1"/>
  <c r="AA154" s="1"/>
  <c r="AB154" s="1"/>
  <c r="R153"/>
  <c r="R152"/>
  <c r="U151"/>
  <c r="U150"/>
  <c r="X150" s="1"/>
  <c r="R150"/>
  <c r="U149"/>
  <c r="X149" s="1"/>
  <c r="R149"/>
  <c r="R148"/>
  <c r="U148"/>
  <c r="U147"/>
  <c r="U146"/>
  <c r="R146"/>
  <c r="X146"/>
  <c r="U145"/>
  <c r="X145" s="1"/>
  <c r="AA146" s="1"/>
  <c r="AB146" s="1"/>
  <c r="R145"/>
  <c r="U144"/>
  <c r="X144" s="1"/>
  <c r="AA145" s="1"/>
  <c r="AB145" s="1"/>
  <c r="R144"/>
  <c r="U143"/>
  <c r="X143" s="1"/>
  <c r="AA144" s="1"/>
  <c r="AB144" s="1"/>
  <c r="R143"/>
  <c r="U142"/>
  <c r="X142" s="1"/>
  <c r="AA143" s="1"/>
  <c r="AB143" s="1"/>
  <c r="R142"/>
  <c r="U141"/>
  <c r="R141"/>
  <c r="X141"/>
  <c r="AA142" s="1"/>
  <c r="AB142" s="1"/>
  <c r="U140"/>
  <c r="R140"/>
  <c r="X140"/>
  <c r="AA141" s="1"/>
  <c r="AB141" s="1"/>
  <c r="R139"/>
  <c r="U139"/>
  <c r="L138"/>
  <c r="Y137"/>
  <c r="M137"/>
  <c r="M136"/>
  <c r="M135"/>
  <c r="M134"/>
  <c r="M133"/>
  <c r="M132"/>
  <c r="M131"/>
  <c r="Y130"/>
  <c r="M130"/>
  <c r="Y129"/>
  <c r="M129"/>
  <c r="Y128"/>
  <c r="M128"/>
  <c r="Y127"/>
  <c r="M127"/>
  <c r="Y126"/>
  <c r="M126"/>
  <c r="M125"/>
  <c r="M124"/>
  <c r="Z123"/>
  <c r="Y123"/>
  <c r="L123"/>
  <c r="L165" s="1"/>
  <c r="Z122"/>
  <c r="Y122"/>
  <c r="M122"/>
  <c r="M121"/>
  <c r="M120"/>
  <c r="Z119"/>
  <c r="Y119"/>
  <c r="M119"/>
  <c r="Z118"/>
  <c r="Y118"/>
  <c r="M118"/>
  <c r="M117"/>
  <c r="M116"/>
  <c r="Z115"/>
  <c r="Y115"/>
  <c r="M115"/>
  <c r="Z114"/>
  <c r="Y114"/>
  <c r="M114"/>
  <c r="Z113"/>
  <c r="Y113"/>
  <c r="M113"/>
  <c r="M112"/>
  <c r="Z111"/>
  <c r="Y111"/>
  <c r="M111"/>
  <c r="M110"/>
  <c r="Z109"/>
  <c r="Y109"/>
  <c r="M109"/>
  <c r="Z108"/>
  <c r="Y108"/>
  <c r="M108"/>
  <c r="M107"/>
  <c r="M106"/>
  <c r="M105"/>
  <c r="Z104"/>
  <c r="Y104"/>
  <c r="M104"/>
  <c r="Z103"/>
  <c r="Y103"/>
  <c r="M103"/>
  <c r="AD102"/>
  <c r="AC102"/>
  <c r="AA102"/>
  <c r="AB102" s="1"/>
  <c r="M102"/>
  <c r="Z100"/>
  <c r="Y100"/>
  <c r="L100"/>
  <c r="M99"/>
  <c r="Z98"/>
  <c r="Y98"/>
  <c r="M98"/>
  <c r="M97"/>
  <c r="M96"/>
  <c r="M95"/>
  <c r="M94"/>
  <c r="Z93"/>
  <c r="Y93"/>
  <c r="M93"/>
  <c r="Z92"/>
  <c r="Y92"/>
  <c r="M92"/>
  <c r="M91"/>
  <c r="M90"/>
  <c r="M89"/>
  <c r="M88"/>
  <c r="Z87"/>
  <c r="Y87"/>
  <c r="M87"/>
  <c r="Z86"/>
  <c r="Y86"/>
  <c r="M86"/>
  <c r="M85"/>
  <c r="Z84"/>
  <c r="Y84"/>
  <c r="M84"/>
  <c r="M83"/>
  <c r="Z82"/>
  <c r="Y82"/>
  <c r="M82"/>
  <c r="Z81"/>
  <c r="Y81"/>
  <c r="M81"/>
  <c r="Z80"/>
  <c r="Y80"/>
  <c r="M80"/>
  <c r="AB79"/>
  <c r="AA79"/>
  <c r="AC79" s="1"/>
  <c r="AD79" s="1"/>
  <c r="M79"/>
  <c r="AC77"/>
  <c r="AD77" s="1"/>
  <c r="AB77"/>
  <c r="AA77"/>
  <c r="L77"/>
  <c r="M76"/>
  <c r="M75"/>
  <c r="Z74"/>
  <c r="Y74"/>
  <c r="M74"/>
  <c r="M73"/>
  <c r="Z72"/>
  <c r="Y72"/>
  <c r="M72"/>
  <c r="Z71"/>
  <c r="Y71"/>
  <c r="M71"/>
  <c r="M70"/>
  <c r="Z69"/>
  <c r="Y69"/>
  <c r="M69"/>
  <c r="Z68"/>
  <c r="Y68"/>
  <c r="M68"/>
  <c r="M67"/>
  <c r="M66"/>
  <c r="M65"/>
  <c r="M64"/>
  <c r="Z63"/>
  <c r="Y63"/>
  <c r="M63"/>
  <c r="Z62"/>
  <c r="Y62"/>
  <c r="M62"/>
  <c r="M61"/>
  <c r="Z60"/>
  <c r="Y60"/>
  <c r="M60"/>
  <c r="Z59"/>
  <c r="Y59"/>
  <c r="M59"/>
  <c r="M58"/>
  <c r="M57"/>
  <c r="Z56"/>
  <c r="Y56"/>
  <c r="M56"/>
  <c r="Z55"/>
  <c r="Y55"/>
  <c r="M55"/>
  <c r="Z54"/>
  <c r="Y54"/>
  <c r="M54"/>
  <c r="Z53"/>
  <c r="Y53"/>
  <c r="M53"/>
  <c r="M52"/>
  <c r="Z51"/>
  <c r="Y51"/>
  <c r="M51"/>
  <c r="Z50"/>
  <c r="Y50"/>
  <c r="M50"/>
  <c r="Z49"/>
  <c r="Y49"/>
  <c r="M49"/>
  <c r="M48"/>
  <c r="Z47"/>
  <c r="Y47"/>
  <c r="M47"/>
  <c r="Z46"/>
  <c r="Y46"/>
  <c r="M46"/>
  <c r="Z45"/>
  <c r="Y45"/>
  <c r="M45"/>
  <c r="Z44"/>
  <c r="Y44"/>
  <c r="M44"/>
  <c r="M43"/>
  <c r="Z42"/>
  <c r="Y42"/>
  <c r="M42"/>
  <c r="Z41"/>
  <c r="Y41"/>
  <c r="M41"/>
  <c r="Z40"/>
  <c r="Y40"/>
  <c r="M40"/>
  <c r="M39"/>
  <c r="M38"/>
  <c r="M37"/>
  <c r="Z36"/>
  <c r="Y36"/>
  <c r="M36"/>
  <c r="Z35"/>
  <c r="Y35"/>
  <c r="M35"/>
  <c r="M34"/>
  <c r="M33"/>
  <c r="Z32"/>
  <c r="Y32"/>
  <c r="M32"/>
  <c r="Z31"/>
  <c r="Y31"/>
  <c r="M31"/>
  <c r="Z30"/>
  <c r="Y30"/>
  <c r="M30"/>
  <c r="M29"/>
  <c r="Z28"/>
  <c r="Y28"/>
  <c r="M28"/>
  <c r="Z27"/>
  <c r="Y27"/>
  <c r="M27"/>
  <c r="L170" s="1"/>
  <c r="M170" s="1"/>
  <c r="U25"/>
  <c r="X25" s="1"/>
  <c r="Y24"/>
  <c r="U24"/>
  <c r="Z24" s="1"/>
  <c r="Y23"/>
  <c r="U23"/>
  <c r="Z23" s="1"/>
  <c r="Y22"/>
  <c r="Y21"/>
  <c r="U21"/>
  <c r="U20"/>
  <c r="W165"/>
  <c r="U19"/>
  <c r="X19" s="1"/>
  <c r="Y18"/>
  <c r="U18"/>
  <c r="Z18" s="1"/>
  <c r="Y17"/>
  <c r="U17"/>
  <c r="Z17" s="1"/>
  <c r="Y16"/>
  <c r="U15"/>
  <c r="X15" s="1"/>
  <c r="Y14"/>
  <c r="X14"/>
  <c r="AA14" s="1"/>
  <c r="AB14" s="1"/>
  <c r="U14"/>
  <c r="Z14" s="1"/>
  <c r="Y13"/>
  <c r="U13"/>
  <c r="Z13" s="1"/>
  <c r="Y12"/>
  <c r="Y11"/>
  <c r="Y10"/>
  <c r="Y9"/>
  <c r="Y8"/>
  <c r="Y7"/>
  <c r="Y6"/>
  <c r="O26" i="26"/>
  <c r="I18"/>
  <c r="I19"/>
  <c r="I20"/>
  <c r="I21"/>
  <c r="I17"/>
  <c r="U9" i="24"/>
  <c r="Z9" s="1"/>
  <c r="U8"/>
  <c r="K19" i="26"/>
  <c r="P19" s="1"/>
  <c r="M165" i="25"/>
  <c r="AA77"/>
  <c r="AB77" s="1"/>
  <c r="F26" i="26"/>
  <c r="N25"/>
  <c r="M25"/>
  <c r="F25"/>
  <c r="O24"/>
  <c r="I25"/>
  <c r="F22"/>
  <c r="O21"/>
  <c r="O20"/>
  <c r="O19"/>
  <c r="O18"/>
  <c r="O17"/>
  <c r="P150" i="24"/>
  <c r="U150" s="1"/>
  <c r="P151"/>
  <c r="P152"/>
  <c r="P153"/>
  <c r="P145" i="20"/>
  <c r="P140" i="25" s="1"/>
  <c r="P146" i="20"/>
  <c r="P141" i="25" s="1"/>
  <c r="P147" i="20"/>
  <c r="P142" i="25" s="1"/>
  <c r="P148" i="20"/>
  <c r="P143" i="25" s="1"/>
  <c r="P149" i="20"/>
  <c r="P144" i="25" s="1"/>
  <c r="P150" i="20"/>
  <c r="P145" i="25" s="1"/>
  <c r="P146"/>
  <c r="P152" i="20"/>
  <c r="P147" i="25" s="1"/>
  <c r="P153" i="20"/>
  <c r="P148" i="25" s="1"/>
  <c r="P154" i="20"/>
  <c r="P149" i="25" s="1"/>
  <c r="P155" i="20"/>
  <c r="P156"/>
  <c r="P144"/>
  <c r="P139" i="25" s="1"/>
  <c r="U6" i="24"/>
  <c r="W154" i="25"/>
  <c r="W155"/>
  <c r="W156"/>
  <c r="W157"/>
  <c r="W158"/>
  <c r="W159"/>
  <c r="W160"/>
  <c r="W161"/>
  <c r="W162"/>
  <c r="W163"/>
  <c r="W164"/>
  <c r="P26"/>
  <c r="P77"/>
  <c r="P78"/>
  <c r="P100"/>
  <c r="P101"/>
  <c r="P123"/>
  <c r="U77"/>
  <c r="U78"/>
  <c r="U100"/>
  <c r="U101"/>
  <c r="U123"/>
  <c r="S165" i="24"/>
  <c r="W165"/>
  <c r="X9"/>
  <c r="L175" i="25"/>
  <c r="L171"/>
  <c r="L168"/>
  <c r="L138"/>
  <c r="Y137"/>
  <c r="M137"/>
  <c r="M136"/>
  <c r="M135"/>
  <c r="M134"/>
  <c r="M133"/>
  <c r="M132"/>
  <c r="M131"/>
  <c r="Y130"/>
  <c r="M130"/>
  <c r="Y129"/>
  <c r="M129"/>
  <c r="Y128"/>
  <c r="M128"/>
  <c r="Y127"/>
  <c r="M127"/>
  <c r="Y126"/>
  <c r="M126"/>
  <c r="M125"/>
  <c r="M124"/>
  <c r="Z123"/>
  <c r="Y123"/>
  <c r="L123"/>
  <c r="L165" s="1"/>
  <c r="Z122"/>
  <c r="Y122"/>
  <c r="M122"/>
  <c r="M121"/>
  <c r="M120"/>
  <c r="Z119"/>
  <c r="Y119"/>
  <c r="M119"/>
  <c r="Z118"/>
  <c r="Y118"/>
  <c r="M118"/>
  <c r="M117"/>
  <c r="M116"/>
  <c r="Z115"/>
  <c r="Y115"/>
  <c r="M115"/>
  <c r="Z114"/>
  <c r="Y114"/>
  <c r="M114"/>
  <c r="Z113"/>
  <c r="Y113"/>
  <c r="M113"/>
  <c r="M112"/>
  <c r="Z111"/>
  <c r="Y111"/>
  <c r="M111"/>
  <c r="M110"/>
  <c r="Z109"/>
  <c r="Y109"/>
  <c r="M109"/>
  <c r="Z108"/>
  <c r="Y108"/>
  <c r="M108"/>
  <c r="M107"/>
  <c r="M106"/>
  <c r="M105"/>
  <c r="Z104"/>
  <c r="Y104"/>
  <c r="M104"/>
  <c r="Z103"/>
  <c r="Y103"/>
  <c r="M103"/>
  <c r="AA102"/>
  <c r="AB102" s="1"/>
  <c r="M102"/>
  <c r="Z100"/>
  <c r="Y100"/>
  <c r="L100"/>
  <c r="M99"/>
  <c r="Z98"/>
  <c r="Y98"/>
  <c r="M98"/>
  <c r="M97"/>
  <c r="M96"/>
  <c r="M95"/>
  <c r="M94"/>
  <c r="Z93"/>
  <c r="Y93"/>
  <c r="M93"/>
  <c r="Z92"/>
  <c r="Y92"/>
  <c r="M92"/>
  <c r="M91"/>
  <c r="M90"/>
  <c r="M89"/>
  <c r="M88"/>
  <c r="Z87"/>
  <c r="Y87"/>
  <c r="M87"/>
  <c r="Z86"/>
  <c r="Y86"/>
  <c r="M86"/>
  <c r="M85"/>
  <c r="Z84"/>
  <c r="Y84"/>
  <c r="M84"/>
  <c r="M83"/>
  <c r="Z82"/>
  <c r="Y82"/>
  <c r="M82"/>
  <c r="Z81"/>
  <c r="Y81"/>
  <c r="M81"/>
  <c r="Z80"/>
  <c r="Y80"/>
  <c r="M80"/>
  <c r="AB79"/>
  <c r="AA79"/>
  <c r="AC79" s="1"/>
  <c r="AD79" s="1"/>
  <c r="M79"/>
  <c r="L77"/>
  <c r="M76"/>
  <c r="M75"/>
  <c r="Z74"/>
  <c r="Y74"/>
  <c r="M74"/>
  <c r="M73"/>
  <c r="Z72"/>
  <c r="Y72"/>
  <c r="M72"/>
  <c r="Z71"/>
  <c r="Y71"/>
  <c r="M71"/>
  <c r="M70"/>
  <c r="Z69"/>
  <c r="Y69"/>
  <c r="M69"/>
  <c r="Z68"/>
  <c r="Y68"/>
  <c r="M68"/>
  <c r="M67"/>
  <c r="M66"/>
  <c r="M65"/>
  <c r="M64"/>
  <c r="Z63"/>
  <c r="Y63"/>
  <c r="M63"/>
  <c r="Z62"/>
  <c r="Y62"/>
  <c r="M62"/>
  <c r="M61"/>
  <c r="Z60"/>
  <c r="Y60"/>
  <c r="M60"/>
  <c r="Z59"/>
  <c r="Y59"/>
  <c r="M59"/>
  <c r="M58"/>
  <c r="M57"/>
  <c r="Z56"/>
  <c r="Y56"/>
  <c r="M56"/>
  <c r="Z55"/>
  <c r="Y55"/>
  <c r="M55"/>
  <c r="Z54"/>
  <c r="Y54"/>
  <c r="M54"/>
  <c r="Z53"/>
  <c r="Y53"/>
  <c r="M53"/>
  <c r="M52"/>
  <c r="Z51"/>
  <c r="Y51"/>
  <c r="M51"/>
  <c r="Z50"/>
  <c r="Y50"/>
  <c r="M50"/>
  <c r="Z49"/>
  <c r="Y49"/>
  <c r="M49"/>
  <c r="M48"/>
  <c r="Z47"/>
  <c r="Y47"/>
  <c r="M47"/>
  <c r="Z46"/>
  <c r="Y46"/>
  <c r="M46"/>
  <c r="Z45"/>
  <c r="Y45"/>
  <c r="M45"/>
  <c r="Z44"/>
  <c r="Y44"/>
  <c r="M44"/>
  <c r="M43"/>
  <c r="Z42"/>
  <c r="Y42"/>
  <c r="M42"/>
  <c r="Z41"/>
  <c r="Y41"/>
  <c r="M41"/>
  <c r="Z40"/>
  <c r="Y40"/>
  <c r="M40"/>
  <c r="M39"/>
  <c r="M38"/>
  <c r="M37"/>
  <c r="Z36"/>
  <c r="Y36"/>
  <c r="M36"/>
  <c r="Z35"/>
  <c r="Y35"/>
  <c r="M35"/>
  <c r="M34"/>
  <c r="M33"/>
  <c r="Z32"/>
  <c r="Y32"/>
  <c r="M32"/>
  <c r="Z31"/>
  <c r="Y31"/>
  <c r="M31"/>
  <c r="Z30"/>
  <c r="Y30"/>
  <c r="M30"/>
  <c r="M29"/>
  <c r="Z28"/>
  <c r="Y28"/>
  <c r="M28"/>
  <c r="Z27"/>
  <c r="Y27"/>
  <c r="M27"/>
  <c r="Y24"/>
  <c r="Y23"/>
  <c r="Y22"/>
  <c r="Y21"/>
  <c r="W20"/>
  <c r="W19"/>
  <c r="Y18"/>
  <c r="Y17"/>
  <c r="Y16"/>
  <c r="Y14"/>
  <c r="Y13"/>
  <c r="Y12"/>
  <c r="Y11"/>
  <c r="Y10"/>
  <c r="Y9"/>
  <c r="Y8"/>
  <c r="Y7"/>
  <c r="Y6"/>
  <c r="L175" i="24"/>
  <c r="L171"/>
  <c r="L168"/>
  <c r="U164"/>
  <c r="X164" s="1"/>
  <c r="AA165" s="1"/>
  <c r="AB165" s="1"/>
  <c r="P164"/>
  <c r="AA163"/>
  <c r="AB163" s="1"/>
  <c r="U163"/>
  <c r="X163" s="1"/>
  <c r="AA164" s="1"/>
  <c r="AB164" s="1"/>
  <c r="R163"/>
  <c r="Y164" s="1"/>
  <c r="Z164" s="1"/>
  <c r="P163"/>
  <c r="AA162"/>
  <c r="AB162" s="1"/>
  <c r="U162"/>
  <c r="X162" s="1"/>
  <c r="R162"/>
  <c r="Y163" s="1"/>
  <c r="Z163" s="1"/>
  <c r="P162"/>
  <c r="AA161"/>
  <c r="AB161" s="1"/>
  <c r="U161"/>
  <c r="X161" s="1"/>
  <c r="R161"/>
  <c r="Y162" s="1"/>
  <c r="Z162" s="1"/>
  <c r="P161"/>
  <c r="AA160"/>
  <c r="AB160" s="1"/>
  <c r="U160"/>
  <c r="X160" s="1"/>
  <c r="R160"/>
  <c r="Y161" s="1"/>
  <c r="Z161" s="1"/>
  <c r="P160"/>
  <c r="AA159"/>
  <c r="AB159" s="1"/>
  <c r="U159"/>
  <c r="X159" s="1"/>
  <c r="R159"/>
  <c r="Y160" s="1"/>
  <c r="Z160" s="1"/>
  <c r="P159"/>
  <c r="AA158"/>
  <c r="AB158" s="1"/>
  <c r="U158"/>
  <c r="X158" s="1"/>
  <c r="R158"/>
  <c r="Y159" s="1"/>
  <c r="Z159" s="1"/>
  <c r="P158"/>
  <c r="U157"/>
  <c r="X157" s="1"/>
  <c r="R157"/>
  <c r="Y158" s="1"/>
  <c r="Z158" s="1"/>
  <c r="P157"/>
  <c r="AA156"/>
  <c r="AB156" s="1"/>
  <c r="U156"/>
  <c r="X156" s="1"/>
  <c r="AA157" s="1"/>
  <c r="AB157" s="1"/>
  <c r="R156"/>
  <c r="P156"/>
  <c r="U155"/>
  <c r="X155" s="1"/>
  <c r="R155"/>
  <c r="Y156" s="1"/>
  <c r="Z156" s="1"/>
  <c r="P155"/>
  <c r="U154"/>
  <c r="X154" s="1"/>
  <c r="AA155" s="1"/>
  <c r="AB155" s="1"/>
  <c r="R154"/>
  <c r="P154"/>
  <c r="W153"/>
  <c r="U153"/>
  <c r="R153"/>
  <c r="W152"/>
  <c r="R152"/>
  <c r="U152"/>
  <c r="W151"/>
  <c r="U151"/>
  <c r="W150"/>
  <c r="W149"/>
  <c r="U149"/>
  <c r="P149"/>
  <c r="W148"/>
  <c r="R148"/>
  <c r="P148"/>
  <c r="U148" s="1"/>
  <c r="W147"/>
  <c r="P147"/>
  <c r="U147" s="1"/>
  <c r="W146"/>
  <c r="U146"/>
  <c r="P146"/>
  <c r="X146" s="1"/>
  <c r="AA147" s="1"/>
  <c r="AB147" s="1"/>
  <c r="U145"/>
  <c r="X145" s="1"/>
  <c r="AA146" s="1"/>
  <c r="AB146" s="1"/>
  <c r="R145"/>
  <c r="Y146" s="1"/>
  <c r="Z146" s="1"/>
  <c r="P145"/>
  <c r="AA144"/>
  <c r="AB144" s="1"/>
  <c r="U144"/>
  <c r="X144" s="1"/>
  <c r="AA145" s="1"/>
  <c r="AB145" s="1"/>
  <c r="R144"/>
  <c r="P144"/>
  <c r="U143"/>
  <c r="X143" s="1"/>
  <c r="R143"/>
  <c r="Y144" s="1"/>
  <c r="Z144" s="1"/>
  <c r="P143"/>
  <c r="AA142"/>
  <c r="AB142" s="1"/>
  <c r="U142"/>
  <c r="X142" s="1"/>
  <c r="AA143" s="1"/>
  <c r="AB143" s="1"/>
  <c r="R142"/>
  <c r="P142"/>
  <c r="U141"/>
  <c r="X141" s="1"/>
  <c r="R141"/>
  <c r="Y142" s="1"/>
  <c r="Z142" s="1"/>
  <c r="P141"/>
  <c r="U140"/>
  <c r="X140" s="1"/>
  <c r="AA141" s="1"/>
  <c r="AB141" s="1"/>
  <c r="R140"/>
  <c r="P140"/>
  <c r="R139"/>
  <c r="P139"/>
  <c r="L138"/>
  <c r="Y137"/>
  <c r="P137"/>
  <c r="M137"/>
  <c r="P136"/>
  <c r="M136"/>
  <c r="P135"/>
  <c r="M135"/>
  <c r="P134"/>
  <c r="M134"/>
  <c r="P133"/>
  <c r="M133"/>
  <c r="P132"/>
  <c r="M132"/>
  <c r="P131"/>
  <c r="M131"/>
  <c r="Y130"/>
  <c r="P130"/>
  <c r="M130"/>
  <c r="Y129"/>
  <c r="P129"/>
  <c r="M129"/>
  <c r="Y128"/>
  <c r="P128"/>
  <c r="M128"/>
  <c r="Y127"/>
  <c r="P127"/>
  <c r="M127"/>
  <c r="Y126"/>
  <c r="P126"/>
  <c r="M126"/>
  <c r="P125"/>
  <c r="M125"/>
  <c r="P124"/>
  <c r="M124"/>
  <c r="Z123"/>
  <c r="Y123"/>
  <c r="L123"/>
  <c r="L165" s="1"/>
  <c r="Z122"/>
  <c r="Y122"/>
  <c r="U122"/>
  <c r="X122" s="1"/>
  <c r="AA123" s="1"/>
  <c r="P122"/>
  <c r="M122"/>
  <c r="P121"/>
  <c r="M121"/>
  <c r="P120"/>
  <c r="M120"/>
  <c r="Z119"/>
  <c r="Y119"/>
  <c r="P119"/>
  <c r="M119"/>
  <c r="Z118"/>
  <c r="Y118"/>
  <c r="P118"/>
  <c r="U118" s="1"/>
  <c r="M118"/>
  <c r="P117"/>
  <c r="M117"/>
  <c r="P116"/>
  <c r="M116"/>
  <c r="Z115"/>
  <c r="Y115"/>
  <c r="P115"/>
  <c r="M115"/>
  <c r="Z114"/>
  <c r="Y114"/>
  <c r="U114"/>
  <c r="P114"/>
  <c r="M114"/>
  <c r="Z113"/>
  <c r="Y113"/>
  <c r="P113"/>
  <c r="M113"/>
  <c r="U112"/>
  <c r="X112" s="1"/>
  <c r="AA113" s="1"/>
  <c r="P112"/>
  <c r="M112"/>
  <c r="Z111"/>
  <c r="Y111"/>
  <c r="U111"/>
  <c r="P111"/>
  <c r="M111"/>
  <c r="U110"/>
  <c r="X110" s="1"/>
  <c r="P110"/>
  <c r="M110"/>
  <c r="Z109"/>
  <c r="Y109"/>
  <c r="U109"/>
  <c r="P109"/>
  <c r="M109"/>
  <c r="Z108"/>
  <c r="Y108"/>
  <c r="P108"/>
  <c r="M108"/>
  <c r="U107"/>
  <c r="P107"/>
  <c r="M107"/>
  <c r="P106"/>
  <c r="U106" s="1"/>
  <c r="M106"/>
  <c r="P105"/>
  <c r="M105"/>
  <c r="Z104"/>
  <c r="Y104"/>
  <c r="U104"/>
  <c r="P104"/>
  <c r="M104"/>
  <c r="Z103"/>
  <c r="Y103"/>
  <c r="P103"/>
  <c r="M103"/>
  <c r="AC102"/>
  <c r="AD102" s="1"/>
  <c r="AA102"/>
  <c r="AB102" s="1"/>
  <c r="P102"/>
  <c r="U102" s="1"/>
  <c r="X102" s="1"/>
  <c r="AA103" s="1"/>
  <c r="M102"/>
  <c r="Z100"/>
  <c r="Y100"/>
  <c r="L100"/>
  <c r="U99"/>
  <c r="X99" s="1"/>
  <c r="AA100" s="1"/>
  <c r="P99"/>
  <c r="M99"/>
  <c r="Z98"/>
  <c r="Y98"/>
  <c r="U98"/>
  <c r="P98"/>
  <c r="M98"/>
  <c r="U97"/>
  <c r="X97" s="1"/>
  <c r="AA98" s="1"/>
  <c r="P97"/>
  <c r="M97"/>
  <c r="P96"/>
  <c r="M96"/>
  <c r="P95"/>
  <c r="M95"/>
  <c r="U94"/>
  <c r="P94"/>
  <c r="M94"/>
  <c r="Z93"/>
  <c r="Y93"/>
  <c r="P93"/>
  <c r="M93"/>
  <c r="Z92"/>
  <c r="Y92"/>
  <c r="P92"/>
  <c r="M92"/>
  <c r="P91"/>
  <c r="M91"/>
  <c r="U90"/>
  <c r="P90"/>
  <c r="M90"/>
  <c r="P89"/>
  <c r="U89" s="1"/>
  <c r="X89" s="1"/>
  <c r="M89"/>
  <c r="P88"/>
  <c r="M88"/>
  <c r="Z87"/>
  <c r="Y87"/>
  <c r="U87"/>
  <c r="P87"/>
  <c r="X87" s="1"/>
  <c r="AA88" s="1"/>
  <c r="M87"/>
  <c r="Z86"/>
  <c r="Y86"/>
  <c r="P86"/>
  <c r="M86"/>
  <c r="U85"/>
  <c r="P85"/>
  <c r="X85" s="1"/>
  <c r="AA86" s="1"/>
  <c r="M85"/>
  <c r="Z84"/>
  <c r="Y84"/>
  <c r="P84"/>
  <c r="M84"/>
  <c r="U83"/>
  <c r="P83"/>
  <c r="M83"/>
  <c r="Z82"/>
  <c r="Y82"/>
  <c r="P82"/>
  <c r="M82"/>
  <c r="Z81"/>
  <c r="Y81"/>
  <c r="P81"/>
  <c r="M81"/>
  <c r="Z80"/>
  <c r="Y80"/>
  <c r="P80"/>
  <c r="M80"/>
  <c r="AA79"/>
  <c r="AC79" s="1"/>
  <c r="AD79" s="1"/>
  <c r="P79"/>
  <c r="M79"/>
  <c r="AC77"/>
  <c r="AD77" s="1"/>
  <c r="AB77"/>
  <c r="AA77"/>
  <c r="L77"/>
  <c r="P76"/>
  <c r="U76" s="1"/>
  <c r="X76" s="1"/>
  <c r="M76"/>
  <c r="P75"/>
  <c r="M75"/>
  <c r="Z74"/>
  <c r="Y74"/>
  <c r="U74"/>
  <c r="P74"/>
  <c r="M74"/>
  <c r="P73"/>
  <c r="M73"/>
  <c r="Z72"/>
  <c r="Y72"/>
  <c r="P72"/>
  <c r="U72" s="1"/>
  <c r="M72"/>
  <c r="Z71"/>
  <c r="Y71"/>
  <c r="U71"/>
  <c r="P71"/>
  <c r="M71"/>
  <c r="P70"/>
  <c r="U70" s="1"/>
  <c r="M70"/>
  <c r="Z69"/>
  <c r="Y69"/>
  <c r="U69"/>
  <c r="P69"/>
  <c r="M69"/>
  <c r="Z68"/>
  <c r="Y68"/>
  <c r="P68"/>
  <c r="M68"/>
  <c r="U67"/>
  <c r="P67"/>
  <c r="M67"/>
  <c r="U66"/>
  <c r="X66" s="1"/>
  <c r="P66"/>
  <c r="M66"/>
  <c r="P65"/>
  <c r="M65"/>
  <c r="P64"/>
  <c r="M64"/>
  <c r="Z63"/>
  <c r="Y63"/>
  <c r="P63"/>
  <c r="M63"/>
  <c r="Z62"/>
  <c r="Y62"/>
  <c r="P62"/>
  <c r="U62" s="1"/>
  <c r="M62"/>
  <c r="P61"/>
  <c r="M61"/>
  <c r="Z60"/>
  <c r="Y60"/>
  <c r="U60"/>
  <c r="X60" s="1"/>
  <c r="AA60" s="1"/>
  <c r="P60"/>
  <c r="M60"/>
  <c r="Z59"/>
  <c r="Y59"/>
  <c r="U59"/>
  <c r="P59"/>
  <c r="M59"/>
  <c r="U58"/>
  <c r="X58" s="1"/>
  <c r="P58"/>
  <c r="M58"/>
  <c r="P57"/>
  <c r="M57"/>
  <c r="Z56"/>
  <c r="Y56"/>
  <c r="P56"/>
  <c r="U56" s="1"/>
  <c r="M56"/>
  <c r="Z55"/>
  <c r="Y55"/>
  <c r="U55"/>
  <c r="P55"/>
  <c r="X55" s="1"/>
  <c r="AA55" s="1"/>
  <c r="M55"/>
  <c r="Z54"/>
  <c r="Y54"/>
  <c r="P54"/>
  <c r="M54"/>
  <c r="Z53"/>
  <c r="Y53"/>
  <c r="P53"/>
  <c r="M53"/>
  <c r="P52"/>
  <c r="M52"/>
  <c r="Z51"/>
  <c r="Y51"/>
  <c r="P51"/>
  <c r="M51"/>
  <c r="Z50"/>
  <c r="Y50"/>
  <c r="P50"/>
  <c r="U50" s="1"/>
  <c r="M50"/>
  <c r="Z49"/>
  <c r="Y49"/>
  <c r="U49"/>
  <c r="P49"/>
  <c r="X49" s="1"/>
  <c r="AA49" s="1"/>
  <c r="M49"/>
  <c r="P48"/>
  <c r="U48" s="1"/>
  <c r="M48"/>
  <c r="Z47"/>
  <c r="Y47"/>
  <c r="U47"/>
  <c r="P47"/>
  <c r="M47"/>
  <c r="Z46"/>
  <c r="Y46"/>
  <c r="P46"/>
  <c r="M46"/>
  <c r="Z45"/>
  <c r="Y45"/>
  <c r="P45"/>
  <c r="M45"/>
  <c r="Z44"/>
  <c r="Y44"/>
  <c r="P44"/>
  <c r="U44" s="1"/>
  <c r="X44" s="1"/>
  <c r="AA44" s="1"/>
  <c r="M44"/>
  <c r="P43"/>
  <c r="M43"/>
  <c r="Z42"/>
  <c r="Y42"/>
  <c r="U42"/>
  <c r="P42"/>
  <c r="M42"/>
  <c r="Z41"/>
  <c r="Y41"/>
  <c r="U41"/>
  <c r="P41"/>
  <c r="M41"/>
  <c r="Z40"/>
  <c r="Y40"/>
  <c r="P40"/>
  <c r="M40"/>
  <c r="U39"/>
  <c r="P39"/>
  <c r="M39"/>
  <c r="P38"/>
  <c r="U38" s="1"/>
  <c r="M38"/>
  <c r="P37"/>
  <c r="M37"/>
  <c r="Z36"/>
  <c r="Y36"/>
  <c r="U36"/>
  <c r="X36" s="1"/>
  <c r="AA36" s="1"/>
  <c r="P36"/>
  <c r="M36"/>
  <c r="Z35"/>
  <c r="Y35"/>
  <c r="U35"/>
  <c r="P35"/>
  <c r="M35"/>
  <c r="U34"/>
  <c r="P34"/>
  <c r="M34"/>
  <c r="P33"/>
  <c r="M33"/>
  <c r="Z32"/>
  <c r="Y32"/>
  <c r="P32"/>
  <c r="U32" s="1"/>
  <c r="M32"/>
  <c r="Z31"/>
  <c r="Y31"/>
  <c r="U31"/>
  <c r="P31"/>
  <c r="M31"/>
  <c r="Z30"/>
  <c r="Y30"/>
  <c r="P30"/>
  <c r="M30"/>
  <c r="U29"/>
  <c r="P29"/>
  <c r="M29"/>
  <c r="Z28"/>
  <c r="Y28"/>
  <c r="P28"/>
  <c r="M28"/>
  <c r="Z27"/>
  <c r="Y27"/>
  <c r="P27"/>
  <c r="M27"/>
  <c r="L170" s="1"/>
  <c r="M170" s="1"/>
  <c r="P25"/>
  <c r="U25" s="1"/>
  <c r="X25" s="1"/>
  <c r="Y24"/>
  <c r="U24"/>
  <c r="Z24" s="1"/>
  <c r="P24"/>
  <c r="Y23"/>
  <c r="P23"/>
  <c r="Y22"/>
  <c r="P22"/>
  <c r="Y21"/>
  <c r="X21"/>
  <c r="AA21" s="1"/>
  <c r="AB21" s="1"/>
  <c r="P21"/>
  <c r="U21" s="1"/>
  <c r="Z21" s="1"/>
  <c r="W20"/>
  <c r="P20"/>
  <c r="U20" s="1"/>
  <c r="X20" s="1"/>
  <c r="Y20" s="1"/>
  <c r="W19"/>
  <c r="P19"/>
  <c r="U19" s="1"/>
  <c r="Y18"/>
  <c r="U18"/>
  <c r="Z18" s="1"/>
  <c r="P18"/>
  <c r="Y17"/>
  <c r="P17"/>
  <c r="Y16"/>
  <c r="P16"/>
  <c r="P15"/>
  <c r="U15" s="1"/>
  <c r="X15" s="1"/>
  <c r="Y14"/>
  <c r="U14"/>
  <c r="Z14" s="1"/>
  <c r="P14"/>
  <c r="Y13"/>
  <c r="P13"/>
  <c r="Y12"/>
  <c r="P12"/>
  <c r="Y11"/>
  <c r="P11"/>
  <c r="Y10"/>
  <c r="P10"/>
  <c r="AQ9"/>
  <c r="Y9"/>
  <c r="P9"/>
  <c r="Y8"/>
  <c r="P8"/>
  <c r="Y7"/>
  <c r="P7"/>
  <c r="Y6"/>
  <c r="P6"/>
  <c r="Q37" i="9"/>
  <c r="W108" i="23"/>
  <c r="K116"/>
  <c r="K112"/>
  <c r="K109"/>
  <c r="X105"/>
  <c r="O105"/>
  <c r="L105"/>
  <c r="O97"/>
  <c r="P97" s="1"/>
  <c r="L97"/>
  <c r="O82"/>
  <c r="L82"/>
  <c r="O76"/>
  <c r="P76" s="1"/>
  <c r="R76" s="1"/>
  <c r="L76"/>
  <c r="O73"/>
  <c r="L73"/>
  <c r="O62"/>
  <c r="P62" s="1"/>
  <c r="L62"/>
  <c r="O64"/>
  <c r="L64"/>
  <c r="X58"/>
  <c r="O58"/>
  <c r="L58"/>
  <c r="X44"/>
  <c r="O44"/>
  <c r="L44"/>
  <c r="X40"/>
  <c r="O40"/>
  <c r="L40"/>
  <c r="X32"/>
  <c r="O32"/>
  <c r="L32"/>
  <c r="X29"/>
  <c r="O29"/>
  <c r="L29"/>
  <c r="O25"/>
  <c r="P25" s="1"/>
  <c r="R25" s="1"/>
  <c r="L25"/>
  <c r="O11"/>
  <c r="L11"/>
  <c r="X98"/>
  <c r="O98"/>
  <c r="P98" s="1"/>
  <c r="T98" s="1"/>
  <c r="L98"/>
  <c r="O94"/>
  <c r="P94" s="1"/>
  <c r="T94" s="1"/>
  <c r="L94"/>
  <c r="O81"/>
  <c r="L81"/>
  <c r="Y85"/>
  <c r="X85"/>
  <c r="O85"/>
  <c r="P85" s="1"/>
  <c r="L85"/>
  <c r="Y80"/>
  <c r="X80"/>
  <c r="O80"/>
  <c r="P80" s="1"/>
  <c r="T80" s="1"/>
  <c r="L80"/>
  <c r="O79"/>
  <c r="P79" s="1"/>
  <c r="T79" s="1"/>
  <c r="L79"/>
  <c r="O90"/>
  <c r="L90"/>
  <c r="Y75"/>
  <c r="X75"/>
  <c r="O75"/>
  <c r="P75" s="1"/>
  <c r="L75"/>
  <c r="Y72"/>
  <c r="X72"/>
  <c r="O72"/>
  <c r="P72" s="1"/>
  <c r="T72" s="1"/>
  <c r="L72"/>
  <c r="X65"/>
  <c r="O65"/>
  <c r="P65" s="1"/>
  <c r="L65"/>
  <c r="O63"/>
  <c r="P63" s="1"/>
  <c r="T63" s="1"/>
  <c r="L63"/>
  <c r="Y59"/>
  <c r="X59"/>
  <c r="O59"/>
  <c r="P59" s="1"/>
  <c r="L59"/>
  <c r="O46"/>
  <c r="P46" s="1"/>
  <c r="L46"/>
  <c r="X41"/>
  <c r="O41"/>
  <c r="P41" s="1"/>
  <c r="L41"/>
  <c r="Y36"/>
  <c r="X36"/>
  <c r="O36"/>
  <c r="L36"/>
  <c r="O26"/>
  <c r="P26" s="1"/>
  <c r="L26"/>
  <c r="O19"/>
  <c r="L19"/>
  <c r="O13"/>
  <c r="L13"/>
  <c r="Y10"/>
  <c r="X10"/>
  <c r="O10"/>
  <c r="P10" s="1"/>
  <c r="T10" s="1"/>
  <c r="L10"/>
  <c r="Y7"/>
  <c r="X7"/>
  <c r="O7"/>
  <c r="L7"/>
  <c r="Z4"/>
  <c r="AA4" s="1"/>
  <c r="O4"/>
  <c r="P4" s="1"/>
  <c r="T4" s="1"/>
  <c r="L4"/>
  <c r="O103"/>
  <c r="P103" s="1"/>
  <c r="T103" s="1"/>
  <c r="L103"/>
  <c r="Y100"/>
  <c r="X100"/>
  <c r="O100"/>
  <c r="P100" s="1"/>
  <c r="L100"/>
  <c r="O99"/>
  <c r="P99" s="1"/>
  <c r="T99" s="1"/>
  <c r="L99"/>
  <c r="O96"/>
  <c r="P96" s="1"/>
  <c r="L96"/>
  <c r="O95"/>
  <c r="L95"/>
  <c r="O93"/>
  <c r="P93" s="1"/>
  <c r="L93"/>
  <c r="Y89"/>
  <c r="X89"/>
  <c r="O89"/>
  <c r="L89"/>
  <c r="Y88"/>
  <c r="X88"/>
  <c r="O88"/>
  <c r="P88" s="1"/>
  <c r="L88"/>
  <c r="O74"/>
  <c r="L74"/>
  <c r="O69"/>
  <c r="P69" s="1"/>
  <c r="L69"/>
  <c r="O49"/>
  <c r="L49"/>
  <c r="O56"/>
  <c r="P56" s="1"/>
  <c r="L56"/>
  <c r="Y55"/>
  <c r="X55"/>
  <c r="O55"/>
  <c r="P55" s="1"/>
  <c r="L55"/>
  <c r="Y35"/>
  <c r="X35"/>
  <c r="O35"/>
  <c r="P35" s="1"/>
  <c r="L35"/>
  <c r="O34"/>
  <c r="P34" s="1"/>
  <c r="L34"/>
  <c r="X30"/>
  <c r="O30"/>
  <c r="P30" s="1"/>
  <c r="L30"/>
  <c r="O23"/>
  <c r="P23" s="1"/>
  <c r="L23"/>
  <c r="Y20"/>
  <c r="X20"/>
  <c r="O20"/>
  <c r="P20" s="1"/>
  <c r="L20"/>
  <c r="Y17"/>
  <c r="X17"/>
  <c r="O17"/>
  <c r="L17"/>
  <c r="X12"/>
  <c r="O12"/>
  <c r="P12" s="1"/>
  <c r="L12"/>
  <c r="Z9"/>
  <c r="O9"/>
  <c r="L9"/>
  <c r="O107"/>
  <c r="L107"/>
  <c r="O106"/>
  <c r="L106"/>
  <c r="Y104"/>
  <c r="X104"/>
  <c r="O104"/>
  <c r="L104"/>
  <c r="O102"/>
  <c r="L102"/>
  <c r="Y101"/>
  <c r="X101"/>
  <c r="O101"/>
  <c r="P101" s="1"/>
  <c r="L101"/>
  <c r="Y92"/>
  <c r="X92"/>
  <c r="O92"/>
  <c r="L92"/>
  <c r="O91"/>
  <c r="L91"/>
  <c r="Y87"/>
  <c r="X87"/>
  <c r="O87"/>
  <c r="P87" s="1"/>
  <c r="L87"/>
  <c r="Y86"/>
  <c r="X86"/>
  <c r="O86"/>
  <c r="L86"/>
  <c r="O84"/>
  <c r="L84"/>
  <c r="O83"/>
  <c r="P83" s="1"/>
  <c r="L83"/>
  <c r="O78"/>
  <c r="L78"/>
  <c r="O77"/>
  <c r="L77"/>
  <c r="Y71"/>
  <c r="X71"/>
  <c r="O71"/>
  <c r="P71" s="1"/>
  <c r="T71" s="1"/>
  <c r="L71"/>
  <c r="Y70"/>
  <c r="X70"/>
  <c r="O70"/>
  <c r="P70" s="1"/>
  <c r="L70"/>
  <c r="O68"/>
  <c r="L68"/>
  <c r="Y67"/>
  <c r="X67"/>
  <c r="O67"/>
  <c r="P67" s="1"/>
  <c r="L67"/>
  <c r="Y66"/>
  <c r="X66"/>
  <c r="O66"/>
  <c r="P66" s="1"/>
  <c r="L66"/>
  <c r="O50"/>
  <c r="L50"/>
  <c r="O61"/>
  <c r="L61"/>
  <c r="Y60"/>
  <c r="X60"/>
  <c r="O60"/>
  <c r="L60"/>
  <c r="Y57"/>
  <c r="X57"/>
  <c r="O57"/>
  <c r="P57" s="1"/>
  <c r="L57"/>
  <c r="Y54"/>
  <c r="X54"/>
  <c r="O54"/>
  <c r="L54"/>
  <c r="Y53"/>
  <c r="X53"/>
  <c r="O53"/>
  <c r="P53" s="1"/>
  <c r="L53"/>
  <c r="O52"/>
  <c r="L52"/>
  <c r="Y51"/>
  <c r="X51"/>
  <c r="O51"/>
  <c r="P51" s="1"/>
  <c r="T51" s="1"/>
  <c r="L51"/>
  <c r="Y48"/>
  <c r="X48"/>
  <c r="O48"/>
  <c r="P48" s="1"/>
  <c r="L48"/>
  <c r="Y47"/>
  <c r="X47"/>
  <c r="O47"/>
  <c r="P47" s="1"/>
  <c r="L47"/>
  <c r="O45"/>
  <c r="P45" s="1"/>
  <c r="T45" s="1"/>
  <c r="L45"/>
  <c r="Y43"/>
  <c r="X43"/>
  <c r="O43"/>
  <c r="P43" s="1"/>
  <c r="L43"/>
  <c r="Y42"/>
  <c r="X42"/>
  <c r="O42"/>
  <c r="L42"/>
  <c r="Y39"/>
  <c r="X39"/>
  <c r="O39"/>
  <c r="P39" s="1"/>
  <c r="L39"/>
  <c r="Y38"/>
  <c r="X38"/>
  <c r="O38"/>
  <c r="P38" s="1"/>
  <c r="T38" s="1"/>
  <c r="L38"/>
  <c r="O37"/>
  <c r="P37" s="1"/>
  <c r="L37"/>
  <c r="Y33"/>
  <c r="X33"/>
  <c r="O33"/>
  <c r="L33"/>
  <c r="Y31"/>
  <c r="X31"/>
  <c r="O31"/>
  <c r="P31" s="1"/>
  <c r="L31"/>
  <c r="Y28"/>
  <c r="X28"/>
  <c r="O28"/>
  <c r="L28"/>
  <c r="O27"/>
  <c r="P27" s="1"/>
  <c r="L27"/>
  <c r="O24"/>
  <c r="L24"/>
  <c r="O22"/>
  <c r="P22" s="1"/>
  <c r="L22"/>
  <c r="Y21"/>
  <c r="X21"/>
  <c r="O21"/>
  <c r="P21" s="1"/>
  <c r="L21"/>
  <c r="Y18"/>
  <c r="X18"/>
  <c r="O18"/>
  <c r="L18"/>
  <c r="O16"/>
  <c r="P16" s="1"/>
  <c r="L16"/>
  <c r="O15"/>
  <c r="P15" s="1"/>
  <c r="L15"/>
  <c r="Y14"/>
  <c r="X14"/>
  <c r="O14"/>
  <c r="P14" s="1"/>
  <c r="T14" s="1"/>
  <c r="L14"/>
  <c r="Y8"/>
  <c r="X8"/>
  <c r="O8"/>
  <c r="L8"/>
  <c r="Y6"/>
  <c r="X6"/>
  <c r="O6"/>
  <c r="L6"/>
  <c r="O5"/>
  <c r="L5"/>
  <c r="Y3"/>
  <c r="X3"/>
  <c r="O3"/>
  <c r="L3"/>
  <c r="Y2"/>
  <c r="X2"/>
  <c r="O2"/>
  <c r="P2" s="1"/>
  <c r="L2"/>
  <c r="P151" i="25" l="1"/>
  <c r="P22" i="28"/>
  <c r="Q22" s="1"/>
  <c r="P23"/>
  <c r="Q23" s="1"/>
  <c r="K23"/>
  <c r="K27"/>
  <c r="K31"/>
  <c r="Q45" i="30"/>
  <c r="Q42"/>
  <c r="Q34"/>
  <c r="P30"/>
  <c r="K35"/>
  <c r="K47" s="1"/>
  <c r="Q32"/>
  <c r="I35"/>
  <c r="AA19" i="29"/>
  <c r="AB19" s="1"/>
  <c r="Q19" i="30"/>
  <c r="X125" i="29"/>
  <c r="AA126" s="1"/>
  <c r="AC126" s="1"/>
  <c r="AD126" s="1"/>
  <c r="X127"/>
  <c r="AA128" s="1"/>
  <c r="AB128" s="1"/>
  <c r="X131"/>
  <c r="AA132" s="1"/>
  <c r="AC132" s="1"/>
  <c r="AD132" s="1"/>
  <c r="U125"/>
  <c r="Z126" s="1"/>
  <c r="AB104"/>
  <c r="X79"/>
  <c r="AA80" s="1"/>
  <c r="AB80" s="1"/>
  <c r="X64"/>
  <c r="AA64" s="1"/>
  <c r="AB64" s="1"/>
  <c r="AC67"/>
  <c r="AD67" s="1"/>
  <c r="AA14"/>
  <c r="AB14" s="1"/>
  <c r="AA18"/>
  <c r="AB18" s="1"/>
  <c r="AA23"/>
  <c r="AB23" s="1"/>
  <c r="Q38" i="30"/>
  <c r="P38"/>
  <c r="P47" s="1"/>
  <c r="K46"/>
  <c r="P25"/>
  <c r="Q25" s="1"/>
  <c r="P29"/>
  <c r="Q29" s="1"/>
  <c r="K18"/>
  <c r="Q18" s="1"/>
  <c r="M23"/>
  <c r="P23" s="1"/>
  <c r="Q23" s="1"/>
  <c r="M25"/>
  <c r="M27"/>
  <c r="P27" s="1"/>
  <c r="Q27" s="1"/>
  <c r="M29"/>
  <c r="M31"/>
  <c r="P31" s="1"/>
  <c r="Q31" s="1"/>
  <c r="M41"/>
  <c r="Q41" s="1"/>
  <c r="M17"/>
  <c r="AC47" i="29"/>
  <c r="AD47" s="1"/>
  <c r="AB47"/>
  <c r="AC111"/>
  <c r="AD111" s="1"/>
  <c r="AB111"/>
  <c r="AB112"/>
  <c r="AC112"/>
  <c r="AD112" s="1"/>
  <c r="AB126"/>
  <c r="AC41"/>
  <c r="AD41" s="1"/>
  <c r="AB41"/>
  <c r="AC87"/>
  <c r="AD87" s="1"/>
  <c r="AB87"/>
  <c r="AB29"/>
  <c r="AC29"/>
  <c r="AD29" s="1"/>
  <c r="AC55"/>
  <c r="AD55" s="1"/>
  <c r="AB55"/>
  <c r="AC59"/>
  <c r="AD59" s="1"/>
  <c r="AB59"/>
  <c r="AC71"/>
  <c r="AD71" s="1"/>
  <c r="AB71"/>
  <c r="AB99"/>
  <c r="AC99"/>
  <c r="AD99" s="1"/>
  <c r="AB108"/>
  <c r="AC108"/>
  <c r="AD108" s="1"/>
  <c r="AK124"/>
  <c r="AC31"/>
  <c r="AD31" s="1"/>
  <c r="AB31"/>
  <c r="AC35"/>
  <c r="AD35" s="1"/>
  <c r="AB35"/>
  <c r="AC49"/>
  <c r="AD49" s="1"/>
  <c r="AB49"/>
  <c r="AC69"/>
  <c r="AD69" s="1"/>
  <c r="AB69"/>
  <c r="U21"/>
  <c r="Z21" s="1"/>
  <c r="U36"/>
  <c r="X36" s="1"/>
  <c r="AA36" s="1"/>
  <c r="U56"/>
  <c r="X56" s="1"/>
  <c r="AA56" s="1"/>
  <c r="U72"/>
  <c r="X72" s="1"/>
  <c r="AA72" s="1"/>
  <c r="U76"/>
  <c r="X76" s="1"/>
  <c r="U97"/>
  <c r="X97" s="1"/>
  <c r="AA98" s="1"/>
  <c r="U99"/>
  <c r="U104"/>
  <c r="X104" s="1"/>
  <c r="U115"/>
  <c r="U25"/>
  <c r="U37"/>
  <c r="X37" s="1"/>
  <c r="AA37" s="1"/>
  <c r="U57"/>
  <c r="X57" s="1"/>
  <c r="U105"/>
  <c r="X105" s="1"/>
  <c r="U10"/>
  <c r="Z10" s="1"/>
  <c r="U11"/>
  <c r="Z11" s="1"/>
  <c r="U43"/>
  <c r="X43" s="1"/>
  <c r="AA43" s="1"/>
  <c r="U45"/>
  <c r="X45" s="1"/>
  <c r="AA45" s="1"/>
  <c r="U65"/>
  <c r="X65" s="1"/>
  <c r="U88"/>
  <c r="X88" s="1"/>
  <c r="AA147"/>
  <c r="AB147" s="1"/>
  <c r="Y147"/>
  <c r="Z147" s="1"/>
  <c r="X68"/>
  <c r="AA68" s="1"/>
  <c r="X91"/>
  <c r="AA92" s="1"/>
  <c r="X116"/>
  <c r="U124"/>
  <c r="Y153"/>
  <c r="Z153" s="1"/>
  <c r="R164"/>
  <c r="Y165" s="1"/>
  <c r="Z165" s="1"/>
  <c r="AA12"/>
  <c r="AB12" s="1"/>
  <c r="AA16"/>
  <c r="AB16" s="1"/>
  <c r="X28"/>
  <c r="AA28" s="1"/>
  <c r="X40"/>
  <c r="AA40" s="1"/>
  <c r="X81"/>
  <c r="AA82" s="1"/>
  <c r="X93"/>
  <c r="AA94" s="1"/>
  <c r="X108"/>
  <c r="AA109" s="1"/>
  <c r="AC114"/>
  <c r="AD114" s="1"/>
  <c r="X120"/>
  <c r="AC128"/>
  <c r="AD128" s="1"/>
  <c r="S137"/>
  <c r="AK137" s="1"/>
  <c r="L165"/>
  <c r="Y142"/>
  <c r="Z142" s="1"/>
  <c r="Y146"/>
  <c r="Z146" s="1"/>
  <c r="Z148"/>
  <c r="X151"/>
  <c r="AA152" s="1"/>
  <c r="AB152" s="1"/>
  <c r="Y157"/>
  <c r="Z157" s="1"/>
  <c r="Y161"/>
  <c r="Z161" s="1"/>
  <c r="U53"/>
  <c r="X53" s="1"/>
  <c r="AA53" s="1"/>
  <c r="U74"/>
  <c r="AB102"/>
  <c r="AC102"/>
  <c r="AD102" s="1"/>
  <c r="U118"/>
  <c r="X118" s="1"/>
  <c r="AA119" s="1"/>
  <c r="U121"/>
  <c r="X121" s="1"/>
  <c r="AA122" s="1"/>
  <c r="AA140"/>
  <c r="AB140" s="1"/>
  <c r="U27"/>
  <c r="X27" s="1"/>
  <c r="U73"/>
  <c r="X73" s="1"/>
  <c r="AA73" s="1"/>
  <c r="U75"/>
  <c r="X75" s="1"/>
  <c r="AA75" s="1"/>
  <c r="U80"/>
  <c r="X80" s="1"/>
  <c r="AA81" s="1"/>
  <c r="U92"/>
  <c r="X92" s="1"/>
  <c r="AA93" s="1"/>
  <c r="U119"/>
  <c r="X119" s="1"/>
  <c r="AA120" s="1"/>
  <c r="U6"/>
  <c r="U7"/>
  <c r="Z7" s="1"/>
  <c r="U8"/>
  <c r="Z8" s="1"/>
  <c r="AA8"/>
  <c r="AB8" s="1"/>
  <c r="AA9"/>
  <c r="AB9" s="1"/>
  <c r="AQ9"/>
  <c r="U15"/>
  <c r="U33"/>
  <c r="X33"/>
  <c r="AA33" s="1"/>
  <c r="U51"/>
  <c r="X51" s="1"/>
  <c r="AA51" s="1"/>
  <c r="U61"/>
  <c r="X61"/>
  <c r="AA61" s="1"/>
  <c r="U63"/>
  <c r="X63" s="1"/>
  <c r="AA63" s="1"/>
  <c r="U66"/>
  <c r="U96"/>
  <c r="X96" s="1"/>
  <c r="U114"/>
  <c r="U117"/>
  <c r="X117" s="1"/>
  <c r="AA118" s="1"/>
  <c r="S129"/>
  <c r="AK129" s="1"/>
  <c r="U129"/>
  <c r="Z130" s="1"/>
  <c r="AA22"/>
  <c r="AB22" s="1"/>
  <c r="X54"/>
  <c r="AA54" s="1"/>
  <c r="Q138"/>
  <c r="Y148"/>
  <c r="X149"/>
  <c r="AA150" s="1"/>
  <c r="AB150" s="1"/>
  <c r="AA13"/>
  <c r="AB13" s="1"/>
  <c r="AA17"/>
  <c r="AB17" s="1"/>
  <c r="Y19"/>
  <c r="Z19" s="1"/>
  <c r="X30"/>
  <c r="AA30" s="1"/>
  <c r="X46"/>
  <c r="AA46" s="1"/>
  <c r="X95"/>
  <c r="X115"/>
  <c r="AA116" s="1"/>
  <c r="U128"/>
  <c r="Z129" s="1"/>
  <c r="S133"/>
  <c r="AK133" s="1"/>
  <c r="U134"/>
  <c r="X134" s="1"/>
  <c r="AA135" s="1"/>
  <c r="X135"/>
  <c r="Y140"/>
  <c r="Z140" s="1"/>
  <c r="Y141"/>
  <c r="Z141" s="1"/>
  <c r="Y145"/>
  <c r="Z145" s="1"/>
  <c r="R148"/>
  <c r="Y149" s="1"/>
  <c r="Z149" s="1"/>
  <c r="X150"/>
  <c r="X153"/>
  <c r="AA154" s="1"/>
  <c r="AB154" s="1"/>
  <c r="Y156"/>
  <c r="Z156" s="1"/>
  <c r="Y160"/>
  <c r="Z160" s="1"/>
  <c r="L170"/>
  <c r="X148"/>
  <c r="AA149" s="1"/>
  <c r="AB149" s="1"/>
  <c r="R151"/>
  <c r="Y152" s="1"/>
  <c r="Z152" s="1"/>
  <c r="X152"/>
  <c r="AA153" s="1"/>
  <c r="AB153" s="1"/>
  <c r="X124"/>
  <c r="AA125" s="1"/>
  <c r="U137"/>
  <c r="X137" s="1"/>
  <c r="P45" i="28"/>
  <c r="Q45" s="1"/>
  <c r="P43"/>
  <c r="Q43" s="1"/>
  <c r="M34"/>
  <c r="P34" s="1"/>
  <c r="Q34" s="1"/>
  <c r="K26"/>
  <c r="K30"/>
  <c r="K34"/>
  <c r="M26"/>
  <c r="P26" s="1"/>
  <c r="Q26" s="1"/>
  <c r="M30"/>
  <c r="P30" s="1"/>
  <c r="Q30" s="1"/>
  <c r="M22"/>
  <c r="K22"/>
  <c r="M46"/>
  <c r="P38"/>
  <c r="Q38"/>
  <c r="K46"/>
  <c r="M23"/>
  <c r="M25"/>
  <c r="P25" s="1"/>
  <c r="Q25" s="1"/>
  <c r="M27"/>
  <c r="P27" s="1"/>
  <c r="Q27" s="1"/>
  <c r="M29"/>
  <c r="P29" s="1"/>
  <c r="Q29" s="1"/>
  <c r="M31"/>
  <c r="P31" s="1"/>
  <c r="Q31" s="1"/>
  <c r="M33"/>
  <c r="P33" s="1"/>
  <c r="Q33" s="1"/>
  <c r="P40"/>
  <c r="M41"/>
  <c r="P41" s="1"/>
  <c r="Q41" s="1"/>
  <c r="O35"/>
  <c r="O47" s="1"/>
  <c r="Y158" i="27"/>
  <c r="Z158" s="1"/>
  <c r="Y162"/>
  <c r="Z162" s="1"/>
  <c r="Y144"/>
  <c r="Z144" s="1"/>
  <c r="Y154"/>
  <c r="Y155"/>
  <c r="Z155" s="1"/>
  <c r="Y159"/>
  <c r="Z159" s="1"/>
  <c r="Y163"/>
  <c r="Z163" s="1"/>
  <c r="Y141"/>
  <c r="Z141" s="1"/>
  <c r="X24"/>
  <c r="AA24" s="1"/>
  <c r="AB24" s="1"/>
  <c r="X23"/>
  <c r="AA23" s="1"/>
  <c r="AB23" s="1"/>
  <c r="X18"/>
  <c r="AA18" s="1"/>
  <c r="AB18" s="1"/>
  <c r="Y19"/>
  <c r="Z19" s="1"/>
  <c r="AA19"/>
  <c r="AB19" s="1"/>
  <c r="U16"/>
  <c r="Z16" s="1"/>
  <c r="U12"/>
  <c r="Z12" s="1"/>
  <c r="X17"/>
  <c r="AA17" s="1"/>
  <c r="AB17" s="1"/>
  <c r="Y145"/>
  <c r="Z145" s="1"/>
  <c r="P165"/>
  <c r="R164" s="1"/>
  <c r="Y165" s="1"/>
  <c r="Z165" s="1"/>
  <c r="U22"/>
  <c r="Z22" s="1"/>
  <c r="X22"/>
  <c r="AA22" s="1"/>
  <c r="AB22" s="1"/>
  <c r="X13"/>
  <c r="AA13" s="1"/>
  <c r="AB13" s="1"/>
  <c r="X20"/>
  <c r="Y142"/>
  <c r="Z142" s="1"/>
  <c r="Y146"/>
  <c r="Z146" s="1"/>
  <c r="Y156"/>
  <c r="Z156" s="1"/>
  <c r="Y160"/>
  <c r="Z160" s="1"/>
  <c r="Y164"/>
  <c r="Z164" s="1"/>
  <c r="L172"/>
  <c r="AQ9"/>
  <c r="Z21"/>
  <c r="X21"/>
  <c r="AA21" s="1"/>
  <c r="AB21" s="1"/>
  <c r="AA147"/>
  <c r="AB147" s="1"/>
  <c r="Y147"/>
  <c r="Z147" s="1"/>
  <c r="AA150"/>
  <c r="AB150" s="1"/>
  <c r="Y150"/>
  <c r="Z150" s="1"/>
  <c r="AA151"/>
  <c r="AB151" s="1"/>
  <c r="Y151"/>
  <c r="Z151" s="1"/>
  <c r="M165"/>
  <c r="Y140"/>
  <c r="Z140" s="1"/>
  <c r="Y143"/>
  <c r="Z143" s="1"/>
  <c r="Z154"/>
  <c r="Y157"/>
  <c r="Z157" s="1"/>
  <c r="Y161"/>
  <c r="Z161" s="1"/>
  <c r="R147"/>
  <c r="X148"/>
  <c r="AA149" s="1"/>
  <c r="AB149" s="1"/>
  <c r="X147"/>
  <c r="AA148" s="1"/>
  <c r="AB148" s="1"/>
  <c r="X151"/>
  <c r="AA152" s="1"/>
  <c r="AB152" s="1"/>
  <c r="X139"/>
  <c r="U152"/>
  <c r="X152" s="1"/>
  <c r="R151"/>
  <c r="P21" i="26"/>
  <c r="Q19"/>
  <c r="O22"/>
  <c r="K18"/>
  <c r="Q18" s="1"/>
  <c r="K20"/>
  <c r="P20" s="1"/>
  <c r="Q20" s="1"/>
  <c r="I22"/>
  <c r="X150" i="24"/>
  <c r="U165"/>
  <c r="P165"/>
  <c r="P150" i="25"/>
  <c r="R149" i="24"/>
  <c r="AC102" i="25"/>
  <c r="AD102" s="1"/>
  <c r="AC77"/>
  <c r="AD77" s="1"/>
  <c r="X31" i="24"/>
  <c r="AA31" s="1"/>
  <c r="AC31" s="1"/>
  <c r="AD31" s="1"/>
  <c r="X42"/>
  <c r="AA42" s="1"/>
  <c r="X104"/>
  <c r="X114"/>
  <c r="AA115" s="1"/>
  <c r="X34"/>
  <c r="AA34" s="1"/>
  <c r="AC34" s="1"/>
  <c r="AD34" s="1"/>
  <c r="X47"/>
  <c r="AA47" s="1"/>
  <c r="X74"/>
  <c r="AA74" s="1"/>
  <c r="AB74" s="1"/>
  <c r="X83"/>
  <c r="AA84" s="1"/>
  <c r="L170" i="25"/>
  <c r="M170" s="1"/>
  <c r="AC36" i="24"/>
  <c r="AD36" s="1"/>
  <c r="AB36"/>
  <c r="AC44"/>
  <c r="AD44" s="1"/>
  <c r="AB44"/>
  <c r="AC60"/>
  <c r="AD60" s="1"/>
  <c r="AB60"/>
  <c r="AB103"/>
  <c r="AC103"/>
  <c r="AD103" s="1"/>
  <c r="AB113"/>
  <c r="AC113"/>
  <c r="AD113" s="1"/>
  <c r="AB31"/>
  <c r="AB34"/>
  <c r="AB55"/>
  <c r="AC55"/>
  <c r="AD55" s="1"/>
  <c r="AB84"/>
  <c r="AC84"/>
  <c r="AD84" s="1"/>
  <c r="AB86"/>
  <c r="AC86"/>
  <c r="AD86" s="1"/>
  <c r="AB88"/>
  <c r="AC88"/>
  <c r="AD88" s="1"/>
  <c r="AB98"/>
  <c r="AC98"/>
  <c r="AD98" s="1"/>
  <c r="AB100"/>
  <c r="AC100"/>
  <c r="AD100" s="1"/>
  <c r="AB115"/>
  <c r="AC115"/>
  <c r="AD115" s="1"/>
  <c r="AC74"/>
  <c r="AD74" s="1"/>
  <c r="AB123"/>
  <c r="AC123"/>
  <c r="AD123" s="1"/>
  <c r="AC42"/>
  <c r="AD42" s="1"/>
  <c r="AB42"/>
  <c r="AB47"/>
  <c r="AC47"/>
  <c r="AD47" s="1"/>
  <c r="AB49"/>
  <c r="AC49"/>
  <c r="AD49" s="1"/>
  <c r="X45"/>
  <c r="AA45" s="1"/>
  <c r="U45"/>
  <c r="U53"/>
  <c r="X53" s="1"/>
  <c r="AA53" s="1"/>
  <c r="U79"/>
  <c r="X79"/>
  <c r="AA80" s="1"/>
  <c r="S130"/>
  <c r="U130"/>
  <c r="U139"/>
  <c r="X139" s="1"/>
  <c r="U27"/>
  <c r="U30"/>
  <c r="X30" s="1"/>
  <c r="AA30" s="1"/>
  <c r="U43"/>
  <c r="U46"/>
  <c r="X46" s="1"/>
  <c r="AA46" s="1"/>
  <c r="U54"/>
  <c r="X54" s="1"/>
  <c r="AA54" s="1"/>
  <c r="U68"/>
  <c r="X68" s="1"/>
  <c r="AA68" s="1"/>
  <c r="U75"/>
  <c r="U92"/>
  <c r="U95"/>
  <c r="X95" s="1"/>
  <c r="U105"/>
  <c r="U117"/>
  <c r="S127"/>
  <c r="U127" s="1"/>
  <c r="S131"/>
  <c r="U131"/>
  <c r="S133"/>
  <c r="U133" s="1"/>
  <c r="X133" s="1"/>
  <c r="S135"/>
  <c r="Z20"/>
  <c r="X32"/>
  <c r="AA32" s="1"/>
  <c r="X38"/>
  <c r="AA38" s="1"/>
  <c r="X39"/>
  <c r="X48"/>
  <c r="X50"/>
  <c r="AA50" s="1"/>
  <c r="X56"/>
  <c r="AA56" s="1"/>
  <c r="X62"/>
  <c r="AA62" s="1"/>
  <c r="X70"/>
  <c r="X72"/>
  <c r="AA72" s="1"/>
  <c r="X84"/>
  <c r="X106"/>
  <c r="X118"/>
  <c r="AA119" s="1"/>
  <c r="X149"/>
  <c r="X153"/>
  <c r="M165"/>
  <c r="L172"/>
  <c r="X14"/>
  <c r="AA14" s="1"/>
  <c r="AB14" s="1"/>
  <c r="X18"/>
  <c r="AA18" s="1"/>
  <c r="AB18" s="1"/>
  <c r="AA20"/>
  <c r="AB20" s="1"/>
  <c r="X24"/>
  <c r="AA24" s="1"/>
  <c r="AB24" s="1"/>
  <c r="X41"/>
  <c r="AA41" s="1"/>
  <c r="X69"/>
  <c r="AA69" s="1"/>
  <c r="X71"/>
  <c r="AA71" s="1"/>
  <c r="AB79"/>
  <c r="X107"/>
  <c r="AA108" s="1"/>
  <c r="Y143"/>
  <c r="Z143" s="1"/>
  <c r="R146"/>
  <c r="Y147" s="1"/>
  <c r="Z147" s="1"/>
  <c r="X147"/>
  <c r="AA148" s="1"/>
  <c r="AB148" s="1"/>
  <c r="R150"/>
  <c r="Y151" s="1"/>
  <c r="Z151" s="1"/>
  <c r="X151"/>
  <c r="AA152" s="1"/>
  <c r="AB152" s="1"/>
  <c r="Y155"/>
  <c r="Z155" s="1"/>
  <c r="U28"/>
  <c r="X28" s="1"/>
  <c r="AA28" s="1"/>
  <c r="U33"/>
  <c r="X33" s="1"/>
  <c r="AA33" s="1"/>
  <c r="U51"/>
  <c r="X51" s="1"/>
  <c r="AA51" s="1"/>
  <c r="U57"/>
  <c r="X57" s="1"/>
  <c r="X63"/>
  <c r="AA63" s="1"/>
  <c r="U63"/>
  <c r="U65"/>
  <c r="X65" s="1"/>
  <c r="U73"/>
  <c r="X73" s="1"/>
  <c r="AA73" s="1"/>
  <c r="U93"/>
  <c r="X93" s="1"/>
  <c r="AA94" s="1"/>
  <c r="X96"/>
  <c r="U96"/>
  <c r="U108"/>
  <c r="X108" s="1"/>
  <c r="AA109" s="1"/>
  <c r="U116"/>
  <c r="X116"/>
  <c r="U119"/>
  <c r="X119" s="1"/>
  <c r="AA120" s="1"/>
  <c r="X121"/>
  <c r="AA122" s="1"/>
  <c r="U121"/>
  <c r="S124"/>
  <c r="S128"/>
  <c r="U128"/>
  <c r="Z129" s="1"/>
  <c r="R164"/>
  <c r="Y165" s="1"/>
  <c r="Z165" s="1"/>
  <c r="U7"/>
  <c r="AA9"/>
  <c r="AB9" s="1"/>
  <c r="U10"/>
  <c r="U11"/>
  <c r="U12"/>
  <c r="Z12" s="1"/>
  <c r="U16"/>
  <c r="Z16" s="1"/>
  <c r="U22"/>
  <c r="Z22" s="1"/>
  <c r="X22"/>
  <c r="AA22" s="1"/>
  <c r="AB22" s="1"/>
  <c r="U52"/>
  <c r="X52"/>
  <c r="U64"/>
  <c r="X64"/>
  <c r="AA64" s="1"/>
  <c r="U120"/>
  <c r="X120"/>
  <c r="S129"/>
  <c r="U129" s="1"/>
  <c r="Z130" s="1"/>
  <c r="S137"/>
  <c r="U137" s="1"/>
  <c r="X137" s="1"/>
  <c r="X35"/>
  <c r="AA35" s="1"/>
  <c r="X94"/>
  <c r="X98"/>
  <c r="AA99" s="1"/>
  <c r="X109"/>
  <c r="AA111" s="1"/>
  <c r="X111"/>
  <c r="AA112" s="1"/>
  <c r="U13"/>
  <c r="Z13" s="1"/>
  <c r="U17"/>
  <c r="Z17" s="1"/>
  <c r="X19"/>
  <c r="U23"/>
  <c r="Z23" s="1"/>
  <c r="X29"/>
  <c r="AA29" s="1"/>
  <c r="X59"/>
  <c r="AA59" s="1"/>
  <c r="X67"/>
  <c r="AA67" s="1"/>
  <c r="U82"/>
  <c r="X82" s="1"/>
  <c r="U84"/>
  <c r="U86"/>
  <c r="X86" s="1"/>
  <c r="AA87" s="1"/>
  <c r="X90"/>
  <c r="U91"/>
  <c r="U103"/>
  <c r="X103" s="1"/>
  <c r="AA104" s="1"/>
  <c r="U113"/>
  <c r="X113" s="1"/>
  <c r="AA114" s="1"/>
  <c r="Y141"/>
  <c r="Z141" s="1"/>
  <c r="Y145"/>
  <c r="Z145" s="1"/>
  <c r="R147"/>
  <c r="Y148" s="1"/>
  <c r="Z148" s="1"/>
  <c r="X148"/>
  <c r="AA149" s="1"/>
  <c r="AB149" s="1"/>
  <c r="R151"/>
  <c r="X152"/>
  <c r="Y157"/>
  <c r="Z157" s="1"/>
  <c r="T37" i="23"/>
  <c r="W37" s="1"/>
  <c r="Z37" s="1"/>
  <c r="AB37" s="1"/>
  <c r="AC37" s="1"/>
  <c r="T39"/>
  <c r="W39" s="1"/>
  <c r="Z39" s="1"/>
  <c r="AA39" s="1"/>
  <c r="T67"/>
  <c r="W67" s="1"/>
  <c r="Z67" s="1"/>
  <c r="T23"/>
  <c r="W23" s="1"/>
  <c r="W51"/>
  <c r="Z51" s="1"/>
  <c r="AA51" s="1"/>
  <c r="T101"/>
  <c r="W101" s="1"/>
  <c r="Z101" s="1"/>
  <c r="T96"/>
  <c r="W96" s="1"/>
  <c r="T46"/>
  <c r="W46" s="1"/>
  <c r="AB51"/>
  <c r="AC51" s="1"/>
  <c r="W71"/>
  <c r="Z71" s="1"/>
  <c r="AB71" s="1"/>
  <c r="AC71" s="1"/>
  <c r="T2"/>
  <c r="W2" s="1"/>
  <c r="Z2" s="1"/>
  <c r="T22"/>
  <c r="W22" s="1"/>
  <c r="Z22" s="1"/>
  <c r="P24"/>
  <c r="T24" s="1"/>
  <c r="P33"/>
  <c r="T33" s="1"/>
  <c r="W33" s="1"/>
  <c r="Z33" s="1"/>
  <c r="P61"/>
  <c r="T61" s="1"/>
  <c r="P68"/>
  <c r="T68" s="1"/>
  <c r="W68" s="1"/>
  <c r="Z68" s="1"/>
  <c r="P78"/>
  <c r="T78" s="1"/>
  <c r="W78" s="1"/>
  <c r="P102"/>
  <c r="P106"/>
  <c r="T12"/>
  <c r="W12" s="1"/>
  <c r="Z17" s="1"/>
  <c r="T56"/>
  <c r="W56" s="1"/>
  <c r="P49"/>
  <c r="T49" s="1"/>
  <c r="W49" s="1"/>
  <c r="P13"/>
  <c r="T13" s="1"/>
  <c r="W13" s="1"/>
  <c r="T59"/>
  <c r="W59" s="1"/>
  <c r="Z63" s="1"/>
  <c r="W79"/>
  <c r="Z80" s="1"/>
  <c r="AA80" s="1"/>
  <c r="W94"/>
  <c r="T27"/>
  <c r="T93"/>
  <c r="W93" s="1"/>
  <c r="T15"/>
  <c r="W15" s="1"/>
  <c r="Z15" s="1"/>
  <c r="AB15" s="1"/>
  <c r="AC15" s="1"/>
  <c r="T16"/>
  <c r="W16" s="1"/>
  <c r="Z16" s="1"/>
  <c r="T21"/>
  <c r="W21" s="1"/>
  <c r="Z21" s="1"/>
  <c r="T31"/>
  <c r="W31" s="1"/>
  <c r="Z31" s="1"/>
  <c r="W38"/>
  <c r="Z38" s="1"/>
  <c r="AB38" s="1"/>
  <c r="AC38" s="1"/>
  <c r="T47"/>
  <c r="W47" s="1"/>
  <c r="Z47" s="1"/>
  <c r="T53"/>
  <c r="W53" s="1"/>
  <c r="Z53" s="1"/>
  <c r="T70"/>
  <c r="W70" s="1"/>
  <c r="Z70" s="1"/>
  <c r="T83"/>
  <c r="W83" s="1"/>
  <c r="T30"/>
  <c r="T55"/>
  <c r="W55" s="1"/>
  <c r="Z56" s="1"/>
  <c r="T88"/>
  <c r="W88" s="1"/>
  <c r="Z89" s="1"/>
  <c r="AA89" s="1"/>
  <c r="AB4"/>
  <c r="AC4" s="1"/>
  <c r="T75"/>
  <c r="W75" s="1"/>
  <c r="T85"/>
  <c r="W85" s="1"/>
  <c r="W98"/>
  <c r="T57"/>
  <c r="W57" s="1"/>
  <c r="Z57" s="1"/>
  <c r="T48"/>
  <c r="W48" s="1"/>
  <c r="Z48" s="1"/>
  <c r="P60"/>
  <c r="T60" s="1"/>
  <c r="P50"/>
  <c r="P84"/>
  <c r="T84" s="1"/>
  <c r="W84" s="1"/>
  <c r="Z84" s="1"/>
  <c r="P91"/>
  <c r="P92"/>
  <c r="T92" s="1"/>
  <c r="W92" s="1"/>
  <c r="Z92" s="1"/>
  <c r="P104"/>
  <c r="P107"/>
  <c r="T34"/>
  <c r="W34" s="1"/>
  <c r="Z35" s="1"/>
  <c r="W99"/>
  <c r="Z100" s="1"/>
  <c r="AB100" s="1"/>
  <c r="AC100" s="1"/>
  <c r="P7"/>
  <c r="T7" s="1"/>
  <c r="W10"/>
  <c r="P19"/>
  <c r="W63"/>
  <c r="T65"/>
  <c r="W65" s="1"/>
  <c r="Z72" s="1"/>
  <c r="R62"/>
  <c r="T62" s="1"/>
  <c r="W62" s="1"/>
  <c r="T76"/>
  <c r="W76" s="1"/>
  <c r="R97"/>
  <c r="AA9"/>
  <c r="AB9"/>
  <c r="AC9" s="1"/>
  <c r="P32"/>
  <c r="P82"/>
  <c r="R82" s="1"/>
  <c r="T82" s="1"/>
  <c r="W82" s="1"/>
  <c r="P105"/>
  <c r="R105" s="1"/>
  <c r="P28"/>
  <c r="T28" s="1"/>
  <c r="W28" s="1"/>
  <c r="Z28" s="1"/>
  <c r="P9"/>
  <c r="T9" s="1"/>
  <c r="W9" s="1"/>
  <c r="P89"/>
  <c r="T89" s="1"/>
  <c r="P11"/>
  <c r="R11" s="1"/>
  <c r="P29"/>
  <c r="P58"/>
  <c r="R58" s="1"/>
  <c r="T58" s="1"/>
  <c r="P42"/>
  <c r="P52"/>
  <c r="T52" s="1"/>
  <c r="W52" s="1"/>
  <c r="P17"/>
  <c r="T17" s="1"/>
  <c r="P36"/>
  <c r="T36" s="1"/>
  <c r="W36" s="1"/>
  <c r="P44"/>
  <c r="T66"/>
  <c r="W66" s="1"/>
  <c r="Z66" s="1"/>
  <c r="T20"/>
  <c r="W20" s="1"/>
  <c r="T35"/>
  <c r="W35" s="1"/>
  <c r="T100"/>
  <c r="W100" s="1"/>
  <c r="T26"/>
  <c r="W26" s="1"/>
  <c r="Z36" s="1"/>
  <c r="T41"/>
  <c r="W41" s="1"/>
  <c r="Z59" s="1"/>
  <c r="T87"/>
  <c r="W87" s="1"/>
  <c r="Z87" s="1"/>
  <c r="T69"/>
  <c r="W69" s="1"/>
  <c r="W4"/>
  <c r="Z7" s="1"/>
  <c r="W72"/>
  <c r="T25"/>
  <c r="P54"/>
  <c r="P95"/>
  <c r="T95" s="1"/>
  <c r="W95" s="1"/>
  <c r="P81"/>
  <c r="P64"/>
  <c r="K111"/>
  <c r="L111" s="1"/>
  <c r="P3"/>
  <c r="T3" s="1"/>
  <c r="W3" s="1"/>
  <c r="P6"/>
  <c r="T6" s="1"/>
  <c r="W6" s="1"/>
  <c r="Z6" s="1"/>
  <c r="P77"/>
  <c r="T77" s="1"/>
  <c r="P86"/>
  <c r="T86" s="1"/>
  <c r="P74"/>
  <c r="P90"/>
  <c r="T90" s="1"/>
  <c r="W90" s="1"/>
  <c r="P40"/>
  <c r="P73"/>
  <c r="W14"/>
  <c r="Z14" s="1"/>
  <c r="T43"/>
  <c r="W43" s="1"/>
  <c r="Z43" s="1"/>
  <c r="P5"/>
  <c r="T5" s="1"/>
  <c r="W5" s="1"/>
  <c r="Z5" s="1"/>
  <c r="P8"/>
  <c r="P18"/>
  <c r="T18" s="1"/>
  <c r="W18" s="1"/>
  <c r="Z18" s="1"/>
  <c r="W45"/>
  <c r="W103"/>
  <c r="W80"/>
  <c r="W27"/>
  <c r="W30"/>
  <c r="Q30" i="30" l="1"/>
  <c r="Q33"/>
  <c r="U133" i="29"/>
  <c r="AB132"/>
  <c r="X128"/>
  <c r="AA129" s="1"/>
  <c r="AC80"/>
  <c r="AD80" s="1"/>
  <c r="AC64"/>
  <c r="AD64" s="1"/>
  <c r="AA7"/>
  <c r="AB7" s="1"/>
  <c r="Q40" i="30"/>
  <c r="M35"/>
  <c r="M47" s="1"/>
  <c r="M46"/>
  <c r="K17"/>
  <c r="Q17" s="1"/>
  <c r="AC122" i="29"/>
  <c r="AD122" s="1"/>
  <c r="AB122"/>
  <c r="AB93"/>
  <c r="AC93"/>
  <c r="AD93" s="1"/>
  <c r="AC73"/>
  <c r="AD73" s="1"/>
  <c r="AB73"/>
  <c r="AB53"/>
  <c r="AC53"/>
  <c r="AD53" s="1"/>
  <c r="AC75"/>
  <c r="AD75" s="1"/>
  <c r="AB75"/>
  <c r="AA27"/>
  <c r="AC43"/>
  <c r="AD43" s="1"/>
  <c r="AB43"/>
  <c r="AC72"/>
  <c r="AD72" s="1"/>
  <c r="AB72"/>
  <c r="AB120"/>
  <c r="AC120"/>
  <c r="AD120" s="1"/>
  <c r="AB81"/>
  <c r="AC81"/>
  <c r="AD81" s="1"/>
  <c r="AB119"/>
  <c r="AC119"/>
  <c r="AD119" s="1"/>
  <c r="AB45"/>
  <c r="AC45"/>
  <c r="AD45" s="1"/>
  <c r="AC116"/>
  <c r="AD116" s="1"/>
  <c r="AB116"/>
  <c r="AC98"/>
  <c r="AD98" s="1"/>
  <c r="AB98"/>
  <c r="AC36"/>
  <c r="AD36" s="1"/>
  <c r="AB36"/>
  <c r="X70"/>
  <c r="AC37"/>
  <c r="AD37" s="1"/>
  <c r="AB37"/>
  <c r="AC56"/>
  <c r="AD56" s="1"/>
  <c r="AB56"/>
  <c r="M170"/>
  <c r="L172"/>
  <c r="AA151"/>
  <c r="AB151" s="1"/>
  <c r="Y151"/>
  <c r="Z151" s="1"/>
  <c r="AC61"/>
  <c r="AD61" s="1"/>
  <c r="AB61"/>
  <c r="AC33"/>
  <c r="AD33" s="1"/>
  <c r="AB33"/>
  <c r="AC82"/>
  <c r="AD82" s="1"/>
  <c r="AB82"/>
  <c r="AB68"/>
  <c r="AC68"/>
  <c r="AD68" s="1"/>
  <c r="AB135"/>
  <c r="AC135"/>
  <c r="AD135" s="1"/>
  <c r="AB30"/>
  <c r="AC30"/>
  <c r="AD30" s="1"/>
  <c r="Z6"/>
  <c r="AB94"/>
  <c r="AC94"/>
  <c r="AD94" s="1"/>
  <c r="AB92"/>
  <c r="AC92"/>
  <c r="AD92" s="1"/>
  <c r="X50"/>
  <c r="AA50" s="1"/>
  <c r="M168"/>
  <c r="X133"/>
  <c r="X99"/>
  <c r="AA100" s="1"/>
  <c r="X74"/>
  <c r="AA74" s="1"/>
  <c r="X129"/>
  <c r="AA130" s="1"/>
  <c r="U110"/>
  <c r="X110" s="1"/>
  <c r="U87"/>
  <c r="X87" s="1"/>
  <c r="AA88" s="1"/>
  <c r="U44"/>
  <c r="X44" s="1"/>
  <c r="AA44" s="1"/>
  <c r="U70"/>
  <c r="U38"/>
  <c r="X38" s="1"/>
  <c r="AA38" s="1"/>
  <c r="U102"/>
  <c r="X102" s="1"/>
  <c r="AA103" s="1"/>
  <c r="U60"/>
  <c r="X60" s="1"/>
  <c r="AA60" s="1"/>
  <c r="U50"/>
  <c r="U34"/>
  <c r="X34" s="1"/>
  <c r="AA34" s="1"/>
  <c r="AA11"/>
  <c r="AB11" s="1"/>
  <c r="S126"/>
  <c r="U112"/>
  <c r="X112" s="1"/>
  <c r="AA113" s="1"/>
  <c r="U89"/>
  <c r="X89" s="1"/>
  <c r="U83"/>
  <c r="X83" s="1"/>
  <c r="AA84" s="1"/>
  <c r="AA21"/>
  <c r="AB21" s="1"/>
  <c r="AB46"/>
  <c r="AC46"/>
  <c r="AD46" s="1"/>
  <c r="AC125"/>
  <c r="AD125" s="1"/>
  <c r="AB125"/>
  <c r="AB54"/>
  <c r="AC54"/>
  <c r="AD54" s="1"/>
  <c r="AC118"/>
  <c r="AD118" s="1"/>
  <c r="AB118"/>
  <c r="AB63"/>
  <c r="AC63"/>
  <c r="AD63" s="1"/>
  <c r="AB51"/>
  <c r="AC51"/>
  <c r="AD51" s="1"/>
  <c r="AA6"/>
  <c r="AC109"/>
  <c r="AD109" s="1"/>
  <c r="AB109"/>
  <c r="AB28"/>
  <c r="AC28"/>
  <c r="AD28" s="1"/>
  <c r="AB129"/>
  <c r="AC129"/>
  <c r="AD129" s="1"/>
  <c r="AA20"/>
  <c r="AB20" s="1"/>
  <c r="Y20"/>
  <c r="AB40"/>
  <c r="AC40"/>
  <c r="AD40" s="1"/>
  <c r="AC164"/>
  <c r="Q165"/>
  <c r="S130"/>
  <c r="AK130" s="1"/>
  <c r="Y150"/>
  <c r="Z150" s="1"/>
  <c r="Y154"/>
  <c r="Z154" s="1"/>
  <c r="S132"/>
  <c r="X114"/>
  <c r="AA115" s="1"/>
  <c r="X66"/>
  <c r="S136"/>
  <c r="U42"/>
  <c r="X42" s="1"/>
  <c r="AA42" s="1"/>
  <c r="U106"/>
  <c r="X106" s="1"/>
  <c r="U62"/>
  <c r="X62" s="1"/>
  <c r="AA62" s="1"/>
  <c r="U58"/>
  <c r="X58" s="1"/>
  <c r="U48"/>
  <c r="X48" s="1"/>
  <c r="U32"/>
  <c r="X32" s="1"/>
  <c r="AA10"/>
  <c r="AB10" s="1"/>
  <c r="U122"/>
  <c r="X122" s="1"/>
  <c r="AA123" s="1"/>
  <c r="U85"/>
  <c r="X85" s="1"/>
  <c r="AA86" s="1"/>
  <c r="P46" i="28"/>
  <c r="Q40"/>
  <c r="Q46" s="1"/>
  <c r="X12" i="27"/>
  <c r="AA12" s="1"/>
  <c r="AB12" s="1"/>
  <c r="AA153"/>
  <c r="AB153" s="1"/>
  <c r="Y153"/>
  <c r="Z153" s="1"/>
  <c r="Y20"/>
  <c r="Z20" s="1"/>
  <c r="AA20"/>
  <c r="AB20" s="1"/>
  <c r="M168"/>
  <c r="AC164"/>
  <c r="AA140"/>
  <c r="AB140" s="1"/>
  <c r="Y149"/>
  <c r="Z149" s="1"/>
  <c r="Y148"/>
  <c r="Z148" s="1"/>
  <c r="X16"/>
  <c r="AA16" s="1"/>
  <c r="AB16" s="1"/>
  <c r="Y152"/>
  <c r="Z152" s="1"/>
  <c r="Q21" i="26"/>
  <c r="AA153" i="24"/>
  <c r="AB153" s="1"/>
  <c r="AA154"/>
  <c r="AB154" s="1"/>
  <c r="AA151"/>
  <c r="AB151" s="1"/>
  <c r="X165"/>
  <c r="Y154"/>
  <c r="Z154" s="1"/>
  <c r="X12"/>
  <c r="AA12" s="1"/>
  <c r="AB12" s="1"/>
  <c r="X128"/>
  <c r="AA129" s="1"/>
  <c r="U135"/>
  <c r="X135" s="1"/>
  <c r="X131"/>
  <c r="AA132" s="1"/>
  <c r="AB132" s="1"/>
  <c r="L172" i="25"/>
  <c r="AB129" i="24"/>
  <c r="AC129"/>
  <c r="AD129" s="1"/>
  <c r="AC120"/>
  <c r="AD120" s="1"/>
  <c r="AB120"/>
  <c r="AB73"/>
  <c r="AC73"/>
  <c r="AD73" s="1"/>
  <c r="AB46"/>
  <c r="AC46"/>
  <c r="AD46" s="1"/>
  <c r="AC104"/>
  <c r="AD104" s="1"/>
  <c r="AB104"/>
  <c r="Z7"/>
  <c r="X7"/>
  <c r="AA7" s="1"/>
  <c r="AB7" s="1"/>
  <c r="AC122"/>
  <c r="AD122" s="1"/>
  <c r="AB122"/>
  <c r="AB109"/>
  <c r="AC109"/>
  <c r="AD109" s="1"/>
  <c r="AB63"/>
  <c r="AC63"/>
  <c r="AD63" s="1"/>
  <c r="AB33"/>
  <c r="AC33"/>
  <c r="AD33" s="1"/>
  <c r="AB30"/>
  <c r="AC30"/>
  <c r="AD30" s="1"/>
  <c r="AC53"/>
  <c r="AD53" s="1"/>
  <c r="AB53"/>
  <c r="AC94"/>
  <c r="AD94" s="1"/>
  <c r="AB94"/>
  <c r="AB51"/>
  <c r="AC51"/>
  <c r="AD51" s="1"/>
  <c r="M168"/>
  <c r="AC164"/>
  <c r="AA140"/>
  <c r="AB140" s="1"/>
  <c r="Y140"/>
  <c r="Z140" s="1"/>
  <c r="Z11"/>
  <c r="X11"/>
  <c r="AA11" s="1"/>
  <c r="AB11" s="1"/>
  <c r="Z128"/>
  <c r="X127"/>
  <c r="AA128" s="1"/>
  <c r="AB68"/>
  <c r="AC68"/>
  <c r="AD68" s="1"/>
  <c r="AC45"/>
  <c r="AD45" s="1"/>
  <c r="AB45"/>
  <c r="S134"/>
  <c r="U134" s="1"/>
  <c r="AB59"/>
  <c r="AC59"/>
  <c r="AD59" s="1"/>
  <c r="AC29"/>
  <c r="AD29" s="1"/>
  <c r="AB29"/>
  <c r="AB112"/>
  <c r="AC112"/>
  <c r="AD112" s="1"/>
  <c r="AB35"/>
  <c r="AC35"/>
  <c r="AD35" s="1"/>
  <c r="AB28"/>
  <c r="AC28"/>
  <c r="AD28" s="1"/>
  <c r="AB119"/>
  <c r="AC119"/>
  <c r="AD119" s="1"/>
  <c r="AC87"/>
  <c r="AD87" s="1"/>
  <c r="AB87"/>
  <c r="AB54"/>
  <c r="AC54"/>
  <c r="AD54" s="1"/>
  <c r="AB80"/>
  <c r="AC80"/>
  <c r="AD80" s="1"/>
  <c r="S136"/>
  <c r="U136" s="1"/>
  <c r="AC67"/>
  <c r="AD67" s="1"/>
  <c r="AB67"/>
  <c r="AB108"/>
  <c r="AC108"/>
  <c r="AD108" s="1"/>
  <c r="AB41"/>
  <c r="AC41"/>
  <c r="AD41" s="1"/>
  <c r="AC72"/>
  <c r="AD72" s="1"/>
  <c r="AB72"/>
  <c r="AC50"/>
  <c r="AD50" s="1"/>
  <c r="AB50"/>
  <c r="AC32"/>
  <c r="AD32" s="1"/>
  <c r="AB32"/>
  <c r="S125"/>
  <c r="U125" s="1"/>
  <c r="Z126" s="1"/>
  <c r="Y19"/>
  <c r="AA19"/>
  <c r="AB19" s="1"/>
  <c r="AB99"/>
  <c r="AC99"/>
  <c r="AD99" s="1"/>
  <c r="AB69"/>
  <c r="AC69"/>
  <c r="AD69" s="1"/>
  <c r="AC56"/>
  <c r="AD56" s="1"/>
  <c r="AB56"/>
  <c r="AB38"/>
  <c r="AC38"/>
  <c r="AD38" s="1"/>
  <c r="X61"/>
  <c r="AA61" s="1"/>
  <c r="X23"/>
  <c r="AA23" s="1"/>
  <c r="AB23" s="1"/>
  <c r="X91"/>
  <c r="AA92" s="1"/>
  <c r="X129"/>
  <c r="AA130" s="1"/>
  <c r="X130"/>
  <c r="AA131" s="1"/>
  <c r="U80"/>
  <c r="X80" s="1"/>
  <c r="AA81" s="1"/>
  <c r="U61"/>
  <c r="U37"/>
  <c r="X16"/>
  <c r="AA16" s="1"/>
  <c r="AB16" s="1"/>
  <c r="Y153"/>
  <c r="Z153" s="1"/>
  <c r="X13"/>
  <c r="AA13" s="1"/>
  <c r="AB13" s="1"/>
  <c r="S126"/>
  <c r="Z127" s="1"/>
  <c r="U81"/>
  <c r="X81" s="1"/>
  <c r="AA82" s="1"/>
  <c r="U40"/>
  <c r="X40" s="1"/>
  <c r="AA40" s="1"/>
  <c r="Y152"/>
  <c r="Z152" s="1"/>
  <c r="Q165"/>
  <c r="U124"/>
  <c r="X124" s="1"/>
  <c r="AA125" s="1"/>
  <c r="Y149"/>
  <c r="Z149" s="1"/>
  <c r="X17"/>
  <c r="AA17" s="1"/>
  <c r="AB17" s="1"/>
  <c r="U115"/>
  <c r="X115" s="1"/>
  <c r="AA116" s="1"/>
  <c r="U88"/>
  <c r="X88" s="1"/>
  <c r="S132"/>
  <c r="U132" s="1"/>
  <c r="AB111"/>
  <c r="AC111"/>
  <c r="AD111" s="1"/>
  <c r="AC64"/>
  <c r="AD64" s="1"/>
  <c r="AB64"/>
  <c r="Z10"/>
  <c r="X10"/>
  <c r="AA10" s="1"/>
  <c r="AB10" s="1"/>
  <c r="Z8"/>
  <c r="X8"/>
  <c r="AA8" s="1"/>
  <c r="AB8" s="1"/>
  <c r="Z6"/>
  <c r="X6"/>
  <c r="AB71"/>
  <c r="AC71"/>
  <c r="AD71" s="1"/>
  <c r="AA150"/>
  <c r="AB150" s="1"/>
  <c r="Y150"/>
  <c r="Z150" s="1"/>
  <c r="AC114"/>
  <c r="AD114" s="1"/>
  <c r="AB114"/>
  <c r="AC62"/>
  <c r="AD62" s="1"/>
  <c r="AB62"/>
  <c r="X117"/>
  <c r="AA118" s="1"/>
  <c r="X105"/>
  <c r="X92"/>
  <c r="AA93" s="1"/>
  <c r="X75"/>
  <c r="AA75" s="1"/>
  <c r="X43"/>
  <c r="AA43" s="1"/>
  <c r="X27"/>
  <c r="T97" i="23"/>
  <c r="Y98"/>
  <c r="Y29"/>
  <c r="Z85"/>
  <c r="Z103"/>
  <c r="AB103" s="1"/>
  <c r="AC103" s="1"/>
  <c r="Z81"/>
  <c r="T11"/>
  <c r="Y12"/>
  <c r="AA37"/>
  <c r="AA15"/>
  <c r="AB80"/>
  <c r="AC80" s="1"/>
  <c r="AA100"/>
  <c r="AB39"/>
  <c r="AC39" s="1"/>
  <c r="W61"/>
  <c r="AA71"/>
  <c r="AA22"/>
  <c r="AB22"/>
  <c r="AC22" s="1"/>
  <c r="W60"/>
  <c r="Z60" s="1"/>
  <c r="W24"/>
  <c r="Z24" s="1"/>
  <c r="AB24" s="1"/>
  <c r="AC24" s="1"/>
  <c r="AA38"/>
  <c r="R32"/>
  <c r="T32" s="1"/>
  <c r="T19"/>
  <c r="W19" s="1"/>
  <c r="T106"/>
  <c r="W106" s="1"/>
  <c r="Z106" s="1"/>
  <c r="AA106" s="1"/>
  <c r="AA68"/>
  <c r="AB68"/>
  <c r="AC68" s="1"/>
  <c r="Y105"/>
  <c r="W97"/>
  <c r="AB48"/>
  <c r="AC48" s="1"/>
  <c r="AA48"/>
  <c r="AB81"/>
  <c r="AC81" s="1"/>
  <c r="AA81"/>
  <c r="AA17"/>
  <c r="AB17"/>
  <c r="AC17" s="1"/>
  <c r="AA35"/>
  <c r="AB35"/>
  <c r="AC35" s="1"/>
  <c r="AB53"/>
  <c r="AC53" s="1"/>
  <c r="AA53"/>
  <c r="R73"/>
  <c r="T73" s="1"/>
  <c r="T104"/>
  <c r="W104" s="1"/>
  <c r="Z104" s="1"/>
  <c r="W7"/>
  <c r="Z10" s="1"/>
  <c r="AA10" s="1"/>
  <c r="R64"/>
  <c r="T54"/>
  <c r="W54" s="1"/>
  <c r="Z54" s="1"/>
  <c r="AB54" s="1"/>
  <c r="AC54" s="1"/>
  <c r="AB89"/>
  <c r="AC89" s="1"/>
  <c r="T50"/>
  <c r="W50" s="1"/>
  <c r="W77"/>
  <c r="Z77" s="1"/>
  <c r="AB77" s="1"/>
  <c r="AC77" s="1"/>
  <c r="T107"/>
  <c r="W107" s="1"/>
  <c r="T91"/>
  <c r="W91" s="1"/>
  <c r="T102"/>
  <c r="W102" s="1"/>
  <c r="Z102" s="1"/>
  <c r="K113"/>
  <c r="T42"/>
  <c r="W42" s="1"/>
  <c r="Z42" s="1"/>
  <c r="AA42" s="1"/>
  <c r="Z3"/>
  <c r="AA28"/>
  <c r="AB28"/>
  <c r="AC28" s="1"/>
  <c r="AB5"/>
  <c r="AC5" s="1"/>
  <c r="AA5"/>
  <c r="AA103"/>
  <c r="L109"/>
  <c r="AA6"/>
  <c r="AB6"/>
  <c r="AC6" s="1"/>
  <c r="AA18"/>
  <c r="AB18"/>
  <c r="AC18" s="1"/>
  <c r="AB59"/>
  <c r="AC59" s="1"/>
  <c r="AA59"/>
  <c r="AA66"/>
  <c r="AB66"/>
  <c r="AC66" s="1"/>
  <c r="AA14"/>
  <c r="AB14"/>
  <c r="AC14" s="1"/>
  <c r="AA72"/>
  <c r="AB72"/>
  <c r="AC72" s="1"/>
  <c r="AB87"/>
  <c r="AC87" s="1"/>
  <c r="AA87"/>
  <c r="AA47"/>
  <c r="AB47"/>
  <c r="AC47" s="1"/>
  <c r="AA7"/>
  <c r="AB7"/>
  <c r="AC7" s="1"/>
  <c r="AA101"/>
  <c r="AB101"/>
  <c r="AC101" s="1"/>
  <c r="AA33"/>
  <c r="AB33"/>
  <c r="AC33" s="1"/>
  <c r="AB2"/>
  <c r="AA2"/>
  <c r="AA36"/>
  <c r="AB36"/>
  <c r="AC36" s="1"/>
  <c r="AB92"/>
  <c r="AC92" s="1"/>
  <c r="AA92"/>
  <c r="AB57"/>
  <c r="AC57" s="1"/>
  <c r="AA57"/>
  <c r="AA16"/>
  <c r="AB16"/>
  <c r="AC16" s="1"/>
  <c r="W86"/>
  <c r="Z86" s="1"/>
  <c r="T105"/>
  <c r="W105" s="1"/>
  <c r="W25"/>
  <c r="Z29" s="1"/>
  <c r="R40"/>
  <c r="T74"/>
  <c r="W74" s="1"/>
  <c r="Z88" s="1"/>
  <c r="T81"/>
  <c r="W81" s="1"/>
  <c r="Z82" s="1"/>
  <c r="R44"/>
  <c r="T44" s="1"/>
  <c r="Y58" s="1"/>
  <c r="W17"/>
  <c r="Z20" s="1"/>
  <c r="R29"/>
  <c r="W11"/>
  <c r="Z25" s="1"/>
  <c r="W89"/>
  <c r="Z93" s="1"/>
  <c r="AA31"/>
  <c r="AB31"/>
  <c r="AC31" s="1"/>
  <c r="AB85"/>
  <c r="AC85" s="1"/>
  <c r="AA85"/>
  <c r="AA70"/>
  <c r="AB70"/>
  <c r="AC70" s="1"/>
  <c r="AA21"/>
  <c r="AB21"/>
  <c r="AC21" s="1"/>
  <c r="AA63"/>
  <c r="AB63"/>
  <c r="AC63" s="1"/>
  <c r="AB84"/>
  <c r="AC84" s="1"/>
  <c r="AA84"/>
  <c r="AB43"/>
  <c r="AC43" s="1"/>
  <c r="AA43"/>
  <c r="AA56"/>
  <c r="AB56"/>
  <c r="AC56" s="1"/>
  <c r="AA67"/>
  <c r="AB67"/>
  <c r="AC67" s="1"/>
  <c r="T8"/>
  <c r="W8" s="1"/>
  <c r="Z8" s="1"/>
  <c r="W58"/>
  <c r="Z64" s="1"/>
  <c r="Q35" i="30" l="1"/>
  <c r="Q47" s="1"/>
  <c r="AC26" i="29"/>
  <c r="AB123"/>
  <c r="AC123"/>
  <c r="AD123" s="1"/>
  <c r="AB34"/>
  <c r="AC34"/>
  <c r="AD34" s="1"/>
  <c r="AB38"/>
  <c r="AC38"/>
  <c r="AD38" s="1"/>
  <c r="AC86"/>
  <c r="AD86" s="1"/>
  <c r="AB86"/>
  <c r="AC84"/>
  <c r="AD84" s="1"/>
  <c r="AB84"/>
  <c r="AC103"/>
  <c r="AD103" s="1"/>
  <c r="AB103"/>
  <c r="AC88"/>
  <c r="AD88" s="1"/>
  <c r="AB88"/>
  <c r="AA32"/>
  <c r="AC62"/>
  <c r="AD62" s="1"/>
  <c r="AB62"/>
  <c r="AC113"/>
  <c r="AD113" s="1"/>
  <c r="AB113"/>
  <c r="AB115"/>
  <c r="AC115"/>
  <c r="AD115" s="1"/>
  <c r="AB44"/>
  <c r="AC44"/>
  <c r="AD44" s="1"/>
  <c r="AC42"/>
  <c r="AD42" s="1"/>
  <c r="AB42"/>
  <c r="AB6"/>
  <c r="AA26"/>
  <c r="AK136"/>
  <c r="U136"/>
  <c r="Z20"/>
  <c r="Y166"/>
  <c r="AK126"/>
  <c r="Z127"/>
  <c r="AC130"/>
  <c r="AD130" s="1"/>
  <c r="AB130"/>
  <c r="AA139"/>
  <c r="AB27"/>
  <c r="AC27"/>
  <c r="M175"/>
  <c r="M179" s="1"/>
  <c r="U126"/>
  <c r="X126" s="1"/>
  <c r="AC100"/>
  <c r="AD100" s="1"/>
  <c r="AB100"/>
  <c r="AC50"/>
  <c r="AD50" s="1"/>
  <c r="AB50"/>
  <c r="AC74"/>
  <c r="AD74" s="1"/>
  <c r="AB74"/>
  <c r="AK132"/>
  <c r="U132"/>
  <c r="AC60"/>
  <c r="AD60" s="1"/>
  <c r="AB60"/>
  <c r="U130"/>
  <c r="X130" s="1"/>
  <c r="AA131" s="1"/>
  <c r="X132"/>
  <c r="AB168" i="27"/>
  <c r="AD168"/>
  <c r="Y166"/>
  <c r="AC132" i="24"/>
  <c r="AD132" s="1"/>
  <c r="X134"/>
  <c r="AA135" s="1"/>
  <c r="AC116"/>
  <c r="AD116" s="1"/>
  <c r="AB116"/>
  <c r="AB82"/>
  <c r="AC82"/>
  <c r="AD82" s="1"/>
  <c r="AB81"/>
  <c r="AC81"/>
  <c r="AD81" s="1"/>
  <c r="Z137"/>
  <c r="X136"/>
  <c r="AA137" s="1"/>
  <c r="AA27"/>
  <c r="AB61"/>
  <c r="AC61"/>
  <c r="AD61" s="1"/>
  <c r="AB40"/>
  <c r="AC40"/>
  <c r="AD40" s="1"/>
  <c r="AD168"/>
  <c r="AB168"/>
  <c r="AB93"/>
  <c r="AC93"/>
  <c r="AD93" s="1"/>
  <c r="Y166"/>
  <c r="Z19"/>
  <c r="Z166" s="1"/>
  <c r="AB128"/>
  <c r="AC128"/>
  <c r="AD128" s="1"/>
  <c r="AB75"/>
  <c r="AC75"/>
  <c r="AD75" s="1"/>
  <c r="X132"/>
  <c r="X37"/>
  <c r="AA37" s="1"/>
  <c r="U126"/>
  <c r="X126" s="1"/>
  <c r="AC26"/>
  <c r="AA6"/>
  <c r="M175"/>
  <c r="M179" s="1"/>
  <c r="AB135"/>
  <c r="AC135"/>
  <c r="AD135" s="1"/>
  <c r="AB125"/>
  <c r="AC125"/>
  <c r="AD125" s="1"/>
  <c r="AC130"/>
  <c r="AD130" s="1"/>
  <c r="AB130"/>
  <c r="AB131"/>
  <c r="AC131"/>
  <c r="AD131" s="1"/>
  <c r="AB43"/>
  <c r="AC43"/>
  <c r="AD43" s="1"/>
  <c r="AC118"/>
  <c r="AD118" s="1"/>
  <c r="AB118"/>
  <c r="AB92"/>
  <c r="AC92"/>
  <c r="AD92" s="1"/>
  <c r="X125"/>
  <c r="AA126" s="1"/>
  <c r="AA82" i="23"/>
  <c r="AB82"/>
  <c r="AC82" s="1"/>
  <c r="T40"/>
  <c r="Y44" s="1"/>
  <c r="Y41"/>
  <c r="Y32"/>
  <c r="Y30"/>
  <c r="T64"/>
  <c r="Y65"/>
  <c r="Z105"/>
  <c r="AB105" s="1"/>
  <c r="AC105" s="1"/>
  <c r="Z90"/>
  <c r="Z55"/>
  <c r="Z98"/>
  <c r="AA24"/>
  <c r="Z12"/>
  <c r="Z75"/>
  <c r="AB10"/>
  <c r="AC10" s="1"/>
  <c r="AA105"/>
  <c r="AB42"/>
  <c r="AC42" s="1"/>
  <c r="W73"/>
  <c r="W32"/>
  <c r="Z40" s="1"/>
  <c r="Y40"/>
  <c r="AB60"/>
  <c r="AC60" s="1"/>
  <c r="AA60"/>
  <c r="AB106"/>
  <c r="AC106" s="1"/>
  <c r="AB104"/>
  <c r="AC104" s="1"/>
  <c r="AA104"/>
  <c r="AA102"/>
  <c r="AB102"/>
  <c r="AC102" s="1"/>
  <c r="W44"/>
  <c r="Z58" s="1"/>
  <c r="AB58" s="1"/>
  <c r="AC58" s="1"/>
  <c r="AA54"/>
  <c r="AA77"/>
  <c r="W64"/>
  <c r="W40"/>
  <c r="AB64"/>
  <c r="AC64" s="1"/>
  <c r="AA64"/>
  <c r="AB93"/>
  <c r="AC93" s="1"/>
  <c r="AA93"/>
  <c r="AB20"/>
  <c r="AC20" s="1"/>
  <c r="AA20"/>
  <c r="AA8"/>
  <c r="AB8"/>
  <c r="AC8" s="1"/>
  <c r="AC2"/>
  <c r="T29"/>
  <c r="AB29"/>
  <c r="AC29" s="1"/>
  <c r="AA29"/>
  <c r="AB88"/>
  <c r="AC88" s="1"/>
  <c r="AA88"/>
  <c r="AA3"/>
  <c r="AB3"/>
  <c r="AC3" s="1"/>
  <c r="AB25"/>
  <c r="AC25" s="1"/>
  <c r="AA25"/>
  <c r="AA86"/>
  <c r="AB86"/>
  <c r="AC86" s="1"/>
  <c r="AA109"/>
  <c r="AC109"/>
  <c r="AA127" i="29" l="1"/>
  <c r="AB131"/>
  <c r="AC131"/>
  <c r="AD131" s="1"/>
  <c r="AD27"/>
  <c r="Z137"/>
  <c r="Z166" s="1"/>
  <c r="X136"/>
  <c r="AA137" s="1"/>
  <c r="AB26"/>
  <c r="AC32"/>
  <c r="AD32" s="1"/>
  <c r="AB32"/>
  <c r="AK138"/>
  <c r="U165"/>
  <c r="AA127" i="24"/>
  <c r="AC126"/>
  <c r="AD126" s="1"/>
  <c r="AB126"/>
  <c r="AA26"/>
  <c r="AB6"/>
  <c r="AB37"/>
  <c r="AC37"/>
  <c r="AD37" s="1"/>
  <c r="AA139"/>
  <c r="AB27"/>
  <c r="AC27"/>
  <c r="N170"/>
  <c r="AB137"/>
  <c r="AC137"/>
  <c r="AD137" s="1"/>
  <c r="Z62" i="23"/>
  <c r="AA62" s="1"/>
  <c r="Z65"/>
  <c r="AB98"/>
  <c r="AC98" s="1"/>
  <c r="AA98"/>
  <c r="Z44"/>
  <c r="AB44" s="1"/>
  <c r="AC44" s="1"/>
  <c r="Z41"/>
  <c r="AA12"/>
  <c r="AB12"/>
  <c r="AC12" s="1"/>
  <c r="AA90"/>
  <c r="AB90"/>
  <c r="AC90" s="1"/>
  <c r="AB75"/>
  <c r="AC75" s="1"/>
  <c r="AA75"/>
  <c r="AA55"/>
  <c r="AB55"/>
  <c r="AC55" s="1"/>
  <c r="AA58"/>
  <c r="AB40"/>
  <c r="AC40" s="1"/>
  <c r="AA40"/>
  <c r="AB62"/>
  <c r="AC62" s="1"/>
  <c r="W29"/>
  <c r="L116"/>
  <c r="L120" s="1"/>
  <c r="AB166" i="29" l="1"/>
  <c r="AB137"/>
  <c r="AC137"/>
  <c r="AD137" s="1"/>
  <c r="AB127"/>
  <c r="AC127"/>
  <c r="AD127" s="1"/>
  <c r="AD166"/>
  <c r="AD139"/>
  <c r="AC139"/>
  <c r="N170"/>
  <c r="AB127" i="24"/>
  <c r="AC127"/>
  <c r="AD127" s="1"/>
  <c r="AB166"/>
  <c r="AB26"/>
  <c r="AD167"/>
  <c r="AD27"/>
  <c r="AC139"/>
  <c r="Z32" i="23"/>
  <c r="Z30"/>
  <c r="AA41"/>
  <c r="AB41"/>
  <c r="AC41" s="1"/>
  <c r="AB65"/>
  <c r="AC65" s="1"/>
  <c r="AA65"/>
  <c r="AA44"/>
  <c r="M111"/>
  <c r="AD139" i="24" l="1"/>
  <c r="AD166"/>
  <c r="AD169" s="1"/>
  <c r="AA32" i="23"/>
  <c r="AB32"/>
  <c r="AC32" s="1"/>
  <c r="AB30"/>
  <c r="AC30" s="1"/>
  <c r="AA30"/>
  <c r="AC108"/>
  <c r="AC110" s="1"/>
  <c r="O107" i="22" l="1"/>
  <c r="T107" s="1"/>
  <c r="W107" s="1"/>
  <c r="O148"/>
  <c r="T148" s="1"/>
  <c r="W148" s="1"/>
  <c r="O46"/>
  <c r="T46" s="1"/>
  <c r="W46" s="1"/>
  <c r="O85"/>
  <c r="T85" s="1"/>
  <c r="W85" s="1"/>
  <c r="O146"/>
  <c r="T146" s="1"/>
  <c r="O144"/>
  <c r="T144" s="1"/>
  <c r="O143"/>
  <c r="T143" s="1"/>
  <c r="W143" s="1"/>
  <c r="Z144" s="1"/>
  <c r="AA144" s="1"/>
  <c r="O135"/>
  <c r="T135" s="1"/>
  <c r="W135" s="1"/>
  <c r="O138"/>
  <c r="T138" s="1"/>
  <c r="W138" s="1"/>
  <c r="Z135" s="1"/>
  <c r="AA135" s="1"/>
  <c r="O53"/>
  <c r="T53" s="1"/>
  <c r="W53" s="1"/>
  <c r="O117"/>
  <c r="T117" s="1"/>
  <c r="V10"/>
  <c r="Y11" s="1"/>
  <c r="O10"/>
  <c r="T10" s="1"/>
  <c r="V150"/>
  <c r="O150"/>
  <c r="V106"/>
  <c r="O106"/>
  <c r="T106" s="1"/>
  <c r="V45"/>
  <c r="O45"/>
  <c r="T45" s="1"/>
  <c r="V131"/>
  <c r="O131"/>
  <c r="T131" s="1"/>
  <c r="V84"/>
  <c r="O84"/>
  <c r="T84" s="1"/>
  <c r="V54"/>
  <c r="O54"/>
  <c r="Q18" s="1"/>
  <c r="V12"/>
  <c r="O12"/>
  <c r="T12" s="1"/>
  <c r="O18"/>
  <c r="T18" s="1"/>
  <c r="W18" s="1"/>
  <c r="O149"/>
  <c r="T149" s="1"/>
  <c r="W149" s="1"/>
  <c r="O33"/>
  <c r="T33" s="1"/>
  <c r="O17"/>
  <c r="T17" s="1"/>
  <c r="O134"/>
  <c r="T134" s="1"/>
  <c r="W134" s="1"/>
  <c r="O120"/>
  <c r="T120" s="1"/>
  <c r="W120" s="1"/>
  <c r="O20"/>
  <c r="T20" s="1"/>
  <c r="O147"/>
  <c r="L147"/>
  <c r="O130"/>
  <c r="L130"/>
  <c r="O110"/>
  <c r="L110"/>
  <c r="O102"/>
  <c r="P102" s="1"/>
  <c r="L102"/>
  <c r="O99"/>
  <c r="L99"/>
  <c r="O87"/>
  <c r="L87"/>
  <c r="O89"/>
  <c r="L89"/>
  <c r="X80"/>
  <c r="O80"/>
  <c r="L80"/>
  <c r="X65"/>
  <c r="O65"/>
  <c r="L65"/>
  <c r="X59"/>
  <c r="O59"/>
  <c r="L59"/>
  <c r="X49"/>
  <c r="O49"/>
  <c r="L49"/>
  <c r="X44"/>
  <c r="O44"/>
  <c r="L44"/>
  <c r="O39"/>
  <c r="L39"/>
  <c r="O16"/>
  <c r="L16"/>
  <c r="Y132"/>
  <c r="O132"/>
  <c r="L132"/>
  <c r="O126"/>
  <c r="L126"/>
  <c r="O109"/>
  <c r="L109"/>
  <c r="Y114"/>
  <c r="X114"/>
  <c r="O114"/>
  <c r="P114" s="1"/>
  <c r="L114"/>
  <c r="Y108"/>
  <c r="O108"/>
  <c r="L108"/>
  <c r="O105"/>
  <c r="P105" s="1"/>
  <c r="L105"/>
  <c r="O122"/>
  <c r="L122"/>
  <c r="Y101"/>
  <c r="X101"/>
  <c r="O101"/>
  <c r="P101" s="1"/>
  <c r="L101"/>
  <c r="Y98"/>
  <c r="X98"/>
  <c r="O98"/>
  <c r="L98"/>
  <c r="X90"/>
  <c r="O90"/>
  <c r="P90" s="1"/>
  <c r="L90"/>
  <c r="O88"/>
  <c r="L88"/>
  <c r="Y81"/>
  <c r="X81"/>
  <c r="O81"/>
  <c r="P81" s="1"/>
  <c r="L81"/>
  <c r="O67"/>
  <c r="L67"/>
  <c r="Y61"/>
  <c r="X61"/>
  <c r="O61"/>
  <c r="L61"/>
  <c r="Y55"/>
  <c r="O55"/>
  <c r="L55"/>
  <c r="O40"/>
  <c r="L40"/>
  <c r="O28"/>
  <c r="L28"/>
  <c r="O21"/>
  <c r="P21" s="1"/>
  <c r="L21"/>
  <c r="Y15"/>
  <c r="X15"/>
  <c r="O15"/>
  <c r="L15"/>
  <c r="O11"/>
  <c r="P11" s="1"/>
  <c r="L11"/>
  <c r="Z7"/>
  <c r="AA7" s="1"/>
  <c r="O7"/>
  <c r="L7"/>
  <c r="O141"/>
  <c r="L141"/>
  <c r="Y136"/>
  <c r="O136"/>
  <c r="P136" s="1"/>
  <c r="L136"/>
  <c r="O133"/>
  <c r="L133"/>
  <c r="O129"/>
  <c r="P129" s="1"/>
  <c r="L129"/>
  <c r="O128"/>
  <c r="L128"/>
  <c r="O125"/>
  <c r="P125" s="1"/>
  <c r="L125"/>
  <c r="Y121"/>
  <c r="O121"/>
  <c r="L121"/>
  <c r="Y118"/>
  <c r="O118"/>
  <c r="L118"/>
  <c r="O100"/>
  <c r="L100"/>
  <c r="O95"/>
  <c r="P95" s="1"/>
  <c r="L95"/>
  <c r="O71"/>
  <c r="L71"/>
  <c r="O78"/>
  <c r="P78" s="1"/>
  <c r="L78"/>
  <c r="Y77"/>
  <c r="X77"/>
  <c r="O77"/>
  <c r="L77"/>
  <c r="Y52"/>
  <c r="X52"/>
  <c r="O52"/>
  <c r="P52" s="1"/>
  <c r="L52"/>
  <c r="O51"/>
  <c r="L51"/>
  <c r="Y47"/>
  <c r="O47"/>
  <c r="P47" s="1"/>
  <c r="L47"/>
  <c r="O36"/>
  <c r="L36"/>
  <c r="Y29"/>
  <c r="X29"/>
  <c r="O29"/>
  <c r="P29" s="1"/>
  <c r="L29"/>
  <c r="Y26"/>
  <c r="X26"/>
  <c r="O26"/>
  <c r="L26"/>
  <c r="Y19"/>
  <c r="X19"/>
  <c r="O19"/>
  <c r="L19"/>
  <c r="Z14"/>
  <c r="AA14" s="1"/>
  <c r="O14"/>
  <c r="L14"/>
  <c r="O152"/>
  <c r="L152"/>
  <c r="O151"/>
  <c r="P151" s="1"/>
  <c r="L151"/>
  <c r="Y145"/>
  <c r="X145"/>
  <c r="O145"/>
  <c r="L145"/>
  <c r="O140"/>
  <c r="P140" s="1"/>
  <c r="L140"/>
  <c r="Y137"/>
  <c r="X137"/>
  <c r="O137"/>
  <c r="L137"/>
  <c r="Y124"/>
  <c r="X124"/>
  <c r="O124"/>
  <c r="P124" s="1"/>
  <c r="L124"/>
  <c r="O123"/>
  <c r="L123"/>
  <c r="Y116"/>
  <c r="X116"/>
  <c r="O116"/>
  <c r="P116" s="1"/>
  <c r="L116"/>
  <c r="Y115"/>
  <c r="X115"/>
  <c r="O115"/>
  <c r="L115"/>
  <c r="O113"/>
  <c r="P113" s="1"/>
  <c r="L113"/>
  <c r="O112"/>
  <c r="L112"/>
  <c r="O104"/>
  <c r="P104" s="1"/>
  <c r="L104"/>
  <c r="O103"/>
  <c r="L103"/>
  <c r="Y97"/>
  <c r="X97"/>
  <c r="O97"/>
  <c r="P97" s="1"/>
  <c r="L97"/>
  <c r="Y96"/>
  <c r="X96"/>
  <c r="O96"/>
  <c r="L96"/>
  <c r="O94"/>
  <c r="P94" s="1"/>
  <c r="L94"/>
  <c r="Y93"/>
  <c r="X93"/>
  <c r="O93"/>
  <c r="L93"/>
  <c r="Y92"/>
  <c r="X92"/>
  <c r="O92"/>
  <c r="P92" s="1"/>
  <c r="L92"/>
  <c r="O72"/>
  <c r="L72"/>
  <c r="O86"/>
  <c r="P86" s="1"/>
  <c r="L86"/>
  <c r="Y83"/>
  <c r="X83"/>
  <c r="O83"/>
  <c r="L83"/>
  <c r="Y79"/>
  <c r="X79"/>
  <c r="O79"/>
  <c r="L79"/>
  <c r="Y76"/>
  <c r="X76"/>
  <c r="O76"/>
  <c r="L76"/>
  <c r="Y75"/>
  <c r="X75"/>
  <c r="O75"/>
  <c r="P75" s="1"/>
  <c r="L75"/>
  <c r="O74"/>
  <c r="L74"/>
  <c r="Y73"/>
  <c r="X73"/>
  <c r="O73"/>
  <c r="P73" s="1"/>
  <c r="L73"/>
  <c r="Y70"/>
  <c r="X70"/>
  <c r="O70"/>
  <c r="L70"/>
  <c r="Y68"/>
  <c r="X68"/>
  <c r="O68"/>
  <c r="P68" s="1"/>
  <c r="L68"/>
  <c r="O66"/>
  <c r="L66"/>
  <c r="Y64"/>
  <c r="X64"/>
  <c r="O64"/>
  <c r="L64"/>
  <c r="Y63"/>
  <c r="X63"/>
  <c r="O63"/>
  <c r="L63"/>
  <c r="Y58"/>
  <c r="X58"/>
  <c r="O58"/>
  <c r="P58" s="1"/>
  <c r="L58"/>
  <c r="Y57"/>
  <c r="X57"/>
  <c r="O57"/>
  <c r="L57"/>
  <c r="O56"/>
  <c r="L56"/>
  <c r="Y50"/>
  <c r="X50"/>
  <c r="O50"/>
  <c r="L50"/>
  <c r="Y48"/>
  <c r="X48"/>
  <c r="O48"/>
  <c r="P48" s="1"/>
  <c r="L48"/>
  <c r="Y43"/>
  <c r="X43"/>
  <c r="O43"/>
  <c r="L43"/>
  <c r="O41"/>
  <c r="P41" s="1"/>
  <c r="L41"/>
  <c r="O37"/>
  <c r="L37"/>
  <c r="O35"/>
  <c r="P35" s="1"/>
  <c r="L35"/>
  <c r="Y32"/>
  <c r="X32"/>
  <c r="O32"/>
  <c r="L32"/>
  <c r="Y27"/>
  <c r="X27"/>
  <c r="O27"/>
  <c r="P27" s="1"/>
  <c r="L27"/>
  <c r="O25"/>
  <c r="L25"/>
  <c r="O24"/>
  <c r="P24" s="1"/>
  <c r="L24"/>
  <c r="Y23"/>
  <c r="X23"/>
  <c r="O23"/>
  <c r="L23"/>
  <c r="Y13"/>
  <c r="X13"/>
  <c r="O13"/>
  <c r="P13" s="1"/>
  <c r="L13"/>
  <c r="Y9"/>
  <c r="X9"/>
  <c r="O9"/>
  <c r="L9"/>
  <c r="O8"/>
  <c r="P8" s="1"/>
  <c r="L8"/>
  <c r="Y5"/>
  <c r="X5"/>
  <c r="O5"/>
  <c r="L5"/>
  <c r="Y3"/>
  <c r="X3"/>
  <c r="O3"/>
  <c r="P3" s="1"/>
  <c r="L3"/>
  <c r="O127"/>
  <c r="T127" s="1"/>
  <c r="X119"/>
  <c r="O119"/>
  <c r="T119" s="1"/>
  <c r="X111"/>
  <c r="O111"/>
  <c r="T111" s="1"/>
  <c r="Y111" s="1"/>
  <c r="X34"/>
  <c r="O34"/>
  <c r="T34" s="1"/>
  <c r="Y34" s="1"/>
  <c r="X62"/>
  <c r="O62"/>
  <c r="T62" s="1"/>
  <c r="Y62" s="1"/>
  <c r="V31"/>
  <c r="O31"/>
  <c r="V153"/>
  <c r="O153"/>
  <c r="X30"/>
  <c r="O30"/>
  <c r="X2"/>
  <c r="O2"/>
  <c r="X4"/>
  <c r="O4"/>
  <c r="T4" s="1"/>
  <c r="Y4" s="1"/>
  <c r="O60"/>
  <c r="T60" s="1"/>
  <c r="X91"/>
  <c r="O91"/>
  <c r="T91" s="1"/>
  <c r="Y91" s="1"/>
  <c r="X82"/>
  <c r="O82"/>
  <c r="X139"/>
  <c r="O139"/>
  <c r="T139" s="1"/>
  <c r="X42"/>
  <c r="O42"/>
  <c r="P42" s="1"/>
  <c r="T42" s="1"/>
  <c r="X69"/>
  <c r="O69"/>
  <c r="P69" s="1"/>
  <c r="Y38"/>
  <c r="X38"/>
  <c r="O38"/>
  <c r="AP38" s="1"/>
  <c r="X6"/>
  <c r="O6"/>
  <c r="P6" s="1"/>
  <c r="X142"/>
  <c r="O142"/>
  <c r="P142" s="1"/>
  <c r="X22"/>
  <c r="O22"/>
  <c r="P22" s="1"/>
  <c r="P114" i="20"/>
  <c r="Q114" s="1"/>
  <c r="P115"/>
  <c r="Q115" s="1"/>
  <c r="P116"/>
  <c r="P95"/>
  <c r="Q95" s="1"/>
  <c r="P100"/>
  <c r="Q100" s="1"/>
  <c r="W116" l="1"/>
  <c r="Q116"/>
  <c r="Q127"/>
  <c r="P112" i="25"/>
  <c r="Q90" i="27"/>
  <c r="U90" s="1"/>
  <c r="X90" s="1"/>
  <c r="P90" i="25"/>
  <c r="Q95" i="27"/>
  <c r="U95" s="1"/>
  <c r="X95" s="1"/>
  <c r="P95" i="25"/>
  <c r="Q110" i="27"/>
  <c r="U110" s="1"/>
  <c r="X110" s="1"/>
  <c r="P110" i="25"/>
  <c r="P124"/>
  <c r="S124" s="1"/>
  <c r="Q111" i="27"/>
  <c r="U111" s="1"/>
  <c r="X111" s="1"/>
  <c r="AA112" s="1"/>
  <c r="P111" i="25"/>
  <c r="Q106" i="22"/>
  <c r="Z46"/>
  <c r="AA46" s="1"/>
  <c r="Q148"/>
  <c r="W33"/>
  <c r="Z149" s="1"/>
  <c r="AA149" s="1"/>
  <c r="P38"/>
  <c r="W38" s="1"/>
  <c r="Z38" s="1"/>
  <c r="AA38" s="1"/>
  <c r="Q10"/>
  <c r="X11" s="1"/>
  <c r="Q53"/>
  <c r="Q143"/>
  <c r="X144" s="1"/>
  <c r="Y144" s="1"/>
  <c r="Q85"/>
  <c r="Q54"/>
  <c r="X55" s="1"/>
  <c r="Q150"/>
  <c r="Q134"/>
  <c r="W111"/>
  <c r="Z111" s="1"/>
  <c r="AA111" s="1"/>
  <c r="W17"/>
  <c r="W117"/>
  <c r="Q138"/>
  <c r="X135" s="1"/>
  <c r="Y135" s="1"/>
  <c r="W144"/>
  <c r="P110"/>
  <c r="T110" s="1"/>
  <c r="Q17"/>
  <c r="Q131"/>
  <c r="X132" s="1"/>
  <c r="Q135"/>
  <c r="T69"/>
  <c r="Y69" s="1"/>
  <c r="W4"/>
  <c r="Z4" s="1"/>
  <c r="AA4" s="1"/>
  <c r="T35"/>
  <c r="W35" s="1"/>
  <c r="Z35" s="1"/>
  <c r="T68"/>
  <c r="W68" s="1"/>
  <c r="Z68" s="1"/>
  <c r="AA68" s="1"/>
  <c r="T129"/>
  <c r="W129" s="1"/>
  <c r="R102"/>
  <c r="T102" s="1"/>
  <c r="Q120"/>
  <c r="W60"/>
  <c r="W127"/>
  <c r="T27"/>
  <c r="W27" s="1"/>
  <c r="Z27" s="1"/>
  <c r="AA27" s="1"/>
  <c r="AB14"/>
  <c r="AC14" s="1"/>
  <c r="T29"/>
  <c r="W29" s="1"/>
  <c r="T125"/>
  <c r="W125" s="1"/>
  <c r="T90"/>
  <c r="W90" s="1"/>
  <c r="T105"/>
  <c r="W105" s="1"/>
  <c r="Z108" s="1"/>
  <c r="Q33"/>
  <c r="Q45"/>
  <c r="Q117"/>
  <c r="X118" s="1"/>
  <c r="Q144"/>
  <c r="W146"/>
  <c r="Q46"/>
  <c r="T6"/>
  <c r="Y6" s="1"/>
  <c r="T22"/>
  <c r="W22" s="1"/>
  <c r="Z22" s="1"/>
  <c r="T30"/>
  <c r="Y30" s="1"/>
  <c r="P56"/>
  <c r="T56" s="1"/>
  <c r="W56" s="1"/>
  <c r="Z56" s="1"/>
  <c r="P64"/>
  <c r="T64" s="1"/>
  <c r="W64" s="1"/>
  <c r="Z64" s="1"/>
  <c r="P79"/>
  <c r="T79" s="1"/>
  <c r="W79" s="1"/>
  <c r="Z79" s="1"/>
  <c r="T86"/>
  <c r="W86" s="1"/>
  <c r="T104"/>
  <c r="W104" s="1"/>
  <c r="T116"/>
  <c r="W116" s="1"/>
  <c r="Z116" s="1"/>
  <c r="P19"/>
  <c r="T19" s="1"/>
  <c r="T78"/>
  <c r="W78" s="1"/>
  <c r="P118"/>
  <c r="T118" s="1"/>
  <c r="T136"/>
  <c r="W136" s="1"/>
  <c r="Z141" s="1"/>
  <c r="P40"/>
  <c r="P61"/>
  <c r="P126"/>
  <c r="T126" s="1"/>
  <c r="Q149"/>
  <c r="Q12"/>
  <c r="T54"/>
  <c r="W54" s="1"/>
  <c r="Q146"/>
  <c r="X147" s="1"/>
  <c r="P9"/>
  <c r="T9" s="1"/>
  <c r="W9" s="1"/>
  <c r="Z9" s="1"/>
  <c r="P70"/>
  <c r="T70" s="1"/>
  <c r="P123"/>
  <c r="T123" s="1"/>
  <c r="W42"/>
  <c r="Z42" s="1"/>
  <c r="AA42" s="1"/>
  <c r="Y42"/>
  <c r="P25"/>
  <c r="T25" s="1"/>
  <c r="W25" s="1"/>
  <c r="Z25" s="1"/>
  <c r="P72"/>
  <c r="T72" s="1"/>
  <c r="W72" s="1"/>
  <c r="P14"/>
  <c r="P112"/>
  <c r="T112" s="1"/>
  <c r="P145"/>
  <c r="P36"/>
  <c r="T36" s="1"/>
  <c r="W36" s="1"/>
  <c r="Z47" s="1"/>
  <c r="Z12"/>
  <c r="AA12" s="1"/>
  <c r="X12"/>
  <c r="Y12" s="1"/>
  <c r="T2"/>
  <c r="Y2" s="1"/>
  <c r="Y119"/>
  <c r="W119"/>
  <c r="Z119" s="1"/>
  <c r="AA119" s="1"/>
  <c r="P96"/>
  <c r="T96" s="1"/>
  <c r="P67"/>
  <c r="T67" s="1"/>
  <c r="P98"/>
  <c r="T98" s="1"/>
  <c r="W98" s="1"/>
  <c r="P108"/>
  <c r="P132"/>
  <c r="T132" s="1"/>
  <c r="W132" s="1"/>
  <c r="P16"/>
  <c r="R16" s="1"/>
  <c r="P39"/>
  <c r="R39" s="1"/>
  <c r="T39" s="1"/>
  <c r="P87"/>
  <c r="P5"/>
  <c r="T5" s="1"/>
  <c r="P23"/>
  <c r="T23" s="1"/>
  <c r="P43"/>
  <c r="T43" s="1"/>
  <c r="P57"/>
  <c r="T57" s="1"/>
  <c r="P74"/>
  <c r="T74" s="1"/>
  <c r="P93"/>
  <c r="T93" s="1"/>
  <c r="P103"/>
  <c r="T103" s="1"/>
  <c r="P137"/>
  <c r="T137" s="1"/>
  <c r="P51"/>
  <c r="T51" s="1"/>
  <c r="P71"/>
  <c r="T71" s="1"/>
  <c r="P15"/>
  <c r="T15" s="1"/>
  <c r="P88"/>
  <c r="T88" s="1"/>
  <c r="P122"/>
  <c r="T122" s="1"/>
  <c r="P109"/>
  <c r="T109" s="1"/>
  <c r="P130"/>
  <c r="R130" s="1"/>
  <c r="P147"/>
  <c r="R147" s="1"/>
  <c r="W139"/>
  <c r="Z139" s="1"/>
  <c r="AA139" s="1"/>
  <c r="Y139"/>
  <c r="P37"/>
  <c r="T37" s="1"/>
  <c r="P50"/>
  <c r="T50" s="1"/>
  <c r="P63"/>
  <c r="T63" s="1"/>
  <c r="P76"/>
  <c r="T76" s="1"/>
  <c r="P77"/>
  <c r="T77" s="1"/>
  <c r="P100"/>
  <c r="T100" s="1"/>
  <c r="P128"/>
  <c r="T128" s="1"/>
  <c r="P7"/>
  <c r="T7" s="1"/>
  <c r="P28"/>
  <c r="T28" s="1"/>
  <c r="P44"/>
  <c r="P49"/>
  <c r="P59"/>
  <c r="P65"/>
  <c r="P80"/>
  <c r="P89"/>
  <c r="P99"/>
  <c r="T99" s="1"/>
  <c r="T142"/>
  <c r="T3"/>
  <c r="W3" s="1"/>
  <c r="Z3" s="1"/>
  <c r="T13"/>
  <c r="W13" s="1"/>
  <c r="Z13" s="1"/>
  <c r="T41"/>
  <c r="W41" s="1"/>
  <c r="T73"/>
  <c r="W73" s="1"/>
  <c r="Z73" s="1"/>
  <c r="T92"/>
  <c r="W92" s="1"/>
  <c r="Z92" s="1"/>
  <c r="T97"/>
  <c r="W97" s="1"/>
  <c r="Z97" s="1"/>
  <c r="T113"/>
  <c r="W113" s="1"/>
  <c r="Z113" s="1"/>
  <c r="T124"/>
  <c r="W124" s="1"/>
  <c r="Z124" s="1"/>
  <c r="T151"/>
  <c r="W151" s="1"/>
  <c r="Z151" s="1"/>
  <c r="T47"/>
  <c r="W47" s="1"/>
  <c r="T11"/>
  <c r="W11" s="1"/>
  <c r="T81"/>
  <c r="W81" s="1"/>
  <c r="T101"/>
  <c r="W101" s="1"/>
  <c r="Z122" s="1"/>
  <c r="T114"/>
  <c r="W114" s="1"/>
  <c r="W20"/>
  <c r="W131"/>
  <c r="W106"/>
  <c r="Z107" s="1"/>
  <c r="AA107" s="1"/>
  <c r="W10"/>
  <c r="Z117" s="1"/>
  <c r="AA117" s="1"/>
  <c r="W91"/>
  <c r="Z91" s="1"/>
  <c r="AA91" s="1"/>
  <c r="W62"/>
  <c r="Z62" s="1"/>
  <c r="AA62" s="1"/>
  <c r="W34"/>
  <c r="Z34" s="1"/>
  <c r="AA34" s="1"/>
  <c r="T8"/>
  <c r="W8" s="1"/>
  <c r="Z8" s="1"/>
  <c r="T24"/>
  <c r="W24" s="1"/>
  <c r="Z24" s="1"/>
  <c r="T48"/>
  <c r="W48" s="1"/>
  <c r="Z48" s="1"/>
  <c r="T58"/>
  <c r="W58" s="1"/>
  <c r="Z58" s="1"/>
  <c r="T75"/>
  <c r="W75" s="1"/>
  <c r="Z75" s="1"/>
  <c r="T94"/>
  <c r="W94" s="1"/>
  <c r="Z94" s="1"/>
  <c r="T140"/>
  <c r="W140" s="1"/>
  <c r="Z140" s="1"/>
  <c r="T52"/>
  <c r="W52" s="1"/>
  <c r="T95"/>
  <c r="W95" s="1"/>
  <c r="T21"/>
  <c r="W21" s="1"/>
  <c r="Q84"/>
  <c r="P141"/>
  <c r="Q107"/>
  <c r="X108" s="1"/>
  <c r="T82"/>
  <c r="Y82" s="1"/>
  <c r="T153"/>
  <c r="W153" s="1"/>
  <c r="T31"/>
  <c r="W31" s="1"/>
  <c r="P32"/>
  <c r="T32" s="1"/>
  <c r="P66"/>
  <c r="T66" s="1"/>
  <c r="W66" s="1"/>
  <c r="P83"/>
  <c r="T83" s="1"/>
  <c r="P115"/>
  <c r="T115" s="1"/>
  <c r="P152"/>
  <c r="P26"/>
  <c r="T26" s="1"/>
  <c r="P121"/>
  <c r="T121" s="1"/>
  <c r="W121" s="1"/>
  <c r="Z125" s="1"/>
  <c r="P133"/>
  <c r="T133" s="1"/>
  <c r="W133" s="1"/>
  <c r="Z136" s="1"/>
  <c r="P55"/>
  <c r="T55" s="1"/>
  <c r="W55" s="1"/>
  <c r="Z61" s="1"/>
  <c r="AB7"/>
  <c r="AC7" s="1"/>
  <c r="W84"/>
  <c r="W12"/>
  <c r="Z54" s="1"/>
  <c r="AA54" s="1"/>
  <c r="W45"/>
  <c r="Z106" s="1"/>
  <c r="AA106" s="1"/>
  <c r="T150"/>
  <c r="W150" s="1"/>
  <c r="Q20"/>
  <c r="U114" i="20"/>
  <c r="S127" l="1"/>
  <c r="Q112" i="27"/>
  <c r="U112" s="1"/>
  <c r="X112" s="1"/>
  <c r="AA113" s="1"/>
  <c r="AC113" s="1"/>
  <c r="AD113" s="1"/>
  <c r="U100" i="20"/>
  <c r="U95" i="25" s="1"/>
  <c r="U115" i="20"/>
  <c r="U111" i="25" s="1"/>
  <c r="AB113" i="27"/>
  <c r="Q124"/>
  <c r="AC112"/>
  <c r="AD112" s="1"/>
  <c r="AB112"/>
  <c r="X114" i="20"/>
  <c r="X110" i="25" s="1"/>
  <c r="U110"/>
  <c r="U95" i="20"/>
  <c r="U116"/>
  <c r="Q57" i="27"/>
  <c r="U57" s="1"/>
  <c r="X57" s="1"/>
  <c r="P57" i="25"/>
  <c r="Q52" i="27"/>
  <c r="U52" s="1"/>
  <c r="X52" s="1"/>
  <c r="P52" i="25"/>
  <c r="X134" i="22"/>
  <c r="Y134" s="1"/>
  <c r="X121"/>
  <c r="Z109"/>
  <c r="AB109" s="1"/>
  <c r="AC109" s="1"/>
  <c r="X18"/>
  <c r="Y18" s="1"/>
  <c r="Z98"/>
  <c r="AB98" s="1"/>
  <c r="AC98" s="1"/>
  <c r="Z53"/>
  <c r="AA53" s="1"/>
  <c r="X138"/>
  <c r="Y138" s="1"/>
  <c r="X107"/>
  <c r="Y107" s="1"/>
  <c r="X148"/>
  <c r="Y148" s="1"/>
  <c r="X47"/>
  <c r="X143"/>
  <c r="Y143" s="1"/>
  <c r="X136"/>
  <c r="Z77"/>
  <c r="AB77" s="1"/>
  <c r="AC77" s="1"/>
  <c r="Z18"/>
  <c r="AA18" s="1"/>
  <c r="Z134"/>
  <c r="AA134" s="1"/>
  <c r="Y44"/>
  <c r="Z85"/>
  <c r="AA85" s="1"/>
  <c r="X149"/>
  <c r="Y149" s="1"/>
  <c r="X46"/>
  <c r="Y46" s="1"/>
  <c r="X85"/>
  <c r="Y85" s="1"/>
  <c r="W6"/>
  <c r="Z6" s="1"/>
  <c r="AA6" s="1"/>
  <c r="X53"/>
  <c r="Y53" s="1"/>
  <c r="W28"/>
  <c r="AB27"/>
  <c r="AC27" s="1"/>
  <c r="AA116"/>
  <c r="AB116"/>
  <c r="AC116" s="1"/>
  <c r="AA64"/>
  <c r="AB64"/>
  <c r="AC64" s="1"/>
  <c r="AA98"/>
  <c r="W110"/>
  <c r="W37"/>
  <c r="Z37" s="1"/>
  <c r="AA37" s="1"/>
  <c r="W102"/>
  <c r="W77"/>
  <c r="Z78" s="1"/>
  <c r="AA78" s="1"/>
  <c r="W15"/>
  <c r="T145"/>
  <c r="W145" s="1"/>
  <c r="Z145" s="1"/>
  <c r="AB68"/>
  <c r="AC68" s="1"/>
  <c r="X54"/>
  <c r="Y54" s="1"/>
  <c r="T40"/>
  <c r="W40" s="1"/>
  <c r="Z55" s="1"/>
  <c r="X106"/>
  <c r="Y106" s="1"/>
  <c r="AB56"/>
  <c r="AC56" s="1"/>
  <c r="AA56"/>
  <c r="AB141"/>
  <c r="AC141" s="1"/>
  <c r="AA141"/>
  <c r="AB79"/>
  <c r="AC79" s="1"/>
  <c r="AA79"/>
  <c r="AB108"/>
  <c r="AC108" s="1"/>
  <c r="AA108"/>
  <c r="W118"/>
  <c r="Z121" s="1"/>
  <c r="Y22"/>
  <c r="W26"/>
  <c r="W69"/>
  <c r="Z69" s="1"/>
  <c r="AA69" s="1"/>
  <c r="W51"/>
  <c r="Z52" s="1"/>
  <c r="AA52" s="1"/>
  <c r="W82"/>
  <c r="Z82" s="1"/>
  <c r="AA82" s="1"/>
  <c r="W96"/>
  <c r="Z96" s="1"/>
  <c r="AB96" s="1"/>
  <c r="AC96" s="1"/>
  <c r="T14"/>
  <c r="W14" s="1"/>
  <c r="Z19" s="1"/>
  <c r="W126"/>
  <c r="Z132" s="1"/>
  <c r="T61"/>
  <c r="W61" s="1"/>
  <c r="Z81" s="1"/>
  <c r="W19"/>
  <c r="Z26" s="1"/>
  <c r="X120"/>
  <c r="Y120" s="1"/>
  <c r="W115"/>
  <c r="Z115" s="1"/>
  <c r="AB115" s="1"/>
  <c r="AC115" s="1"/>
  <c r="X117"/>
  <c r="Y117" s="1"/>
  <c r="W99"/>
  <c r="W100"/>
  <c r="Z118" s="1"/>
  <c r="AA118" s="1"/>
  <c r="W76"/>
  <c r="Z76" s="1"/>
  <c r="AA76" s="1"/>
  <c r="W109"/>
  <c r="W30"/>
  <c r="Z30" s="1"/>
  <c r="AA30" s="1"/>
  <c r="Z10"/>
  <c r="AA10" s="1"/>
  <c r="X10"/>
  <c r="Y10" s="1"/>
  <c r="AB125"/>
  <c r="AC125" s="1"/>
  <c r="AA125"/>
  <c r="AA122"/>
  <c r="AB122"/>
  <c r="AC122" s="1"/>
  <c r="AB47"/>
  <c r="AC47" s="1"/>
  <c r="AA47"/>
  <c r="AA25"/>
  <c r="AB25"/>
  <c r="AC25" s="1"/>
  <c r="AB136"/>
  <c r="AC136" s="1"/>
  <c r="AA136"/>
  <c r="AA109"/>
  <c r="AB97"/>
  <c r="AC97" s="1"/>
  <c r="AA97"/>
  <c r="AB13"/>
  <c r="AC13" s="1"/>
  <c r="AA13"/>
  <c r="AA9"/>
  <c r="AB9"/>
  <c r="AC9" s="1"/>
  <c r="AB61"/>
  <c r="AC61" s="1"/>
  <c r="AA61"/>
  <c r="AB113"/>
  <c r="AC113" s="1"/>
  <c r="AA113"/>
  <c r="X153"/>
  <c r="Y153" s="1"/>
  <c r="Z153"/>
  <c r="AA153" s="1"/>
  <c r="AB124"/>
  <c r="AC124" s="1"/>
  <c r="AA124"/>
  <c r="AB73"/>
  <c r="AC73" s="1"/>
  <c r="AA73"/>
  <c r="T16"/>
  <c r="W16" s="1"/>
  <c r="AB3"/>
  <c r="AA3"/>
  <c r="AB48"/>
  <c r="AC48" s="1"/>
  <c r="AA48"/>
  <c r="X150"/>
  <c r="Y150" s="1"/>
  <c r="Z150"/>
  <c r="AA150" s="1"/>
  <c r="AB92"/>
  <c r="AC92" s="1"/>
  <c r="AA92"/>
  <c r="AB35"/>
  <c r="AC35" s="1"/>
  <c r="AA35"/>
  <c r="AA22"/>
  <c r="AA77"/>
  <c r="AB58"/>
  <c r="AC58" s="1"/>
  <c r="AA58"/>
  <c r="R87"/>
  <c r="T87" s="1"/>
  <c r="T141"/>
  <c r="W141" s="1"/>
  <c r="W83"/>
  <c r="Z83" s="1"/>
  <c r="T147"/>
  <c r="W147" s="1"/>
  <c r="Z148" s="1"/>
  <c r="AA148" s="1"/>
  <c r="W88"/>
  <c r="W137"/>
  <c r="W93"/>
  <c r="Z93" s="1"/>
  <c r="W23"/>
  <c r="Z23" s="1"/>
  <c r="W67"/>
  <c r="W112"/>
  <c r="W39"/>
  <c r="W128"/>
  <c r="W63"/>
  <c r="Z63" s="1"/>
  <c r="T130"/>
  <c r="W122"/>
  <c r="W103"/>
  <c r="Z103" s="1"/>
  <c r="W74"/>
  <c r="W43"/>
  <c r="Z43" s="1"/>
  <c r="W5"/>
  <c r="Z5" s="1"/>
  <c r="T152"/>
  <c r="W152" s="1"/>
  <c r="W2"/>
  <c r="Z2" s="1"/>
  <c r="AA2" s="1"/>
  <c r="W123"/>
  <c r="W70"/>
  <c r="Z70" s="1"/>
  <c r="AB94"/>
  <c r="AC94" s="1"/>
  <c r="AA94"/>
  <c r="AB24"/>
  <c r="AC24" s="1"/>
  <c r="AA24"/>
  <c r="AB151"/>
  <c r="AC151" s="1"/>
  <c r="AA151"/>
  <c r="AB140"/>
  <c r="AC140" s="1"/>
  <c r="AA140"/>
  <c r="Z120"/>
  <c r="AA120" s="1"/>
  <c r="R80"/>
  <c r="T80" s="1"/>
  <c r="R59"/>
  <c r="T59" s="1"/>
  <c r="Y65" s="1"/>
  <c r="R44"/>
  <c r="X31"/>
  <c r="Y31" s="1"/>
  <c r="Z31"/>
  <c r="AA31" s="1"/>
  <c r="AB75"/>
  <c r="AC75" s="1"/>
  <c r="AA75"/>
  <c r="AB8"/>
  <c r="AC8" s="1"/>
  <c r="AA8"/>
  <c r="W142"/>
  <c r="Z143" s="1"/>
  <c r="AA143" s="1"/>
  <c r="Y142"/>
  <c r="R89"/>
  <c r="R65"/>
  <c r="T65" s="1"/>
  <c r="Y80" s="1"/>
  <c r="R49"/>
  <c r="AB52"/>
  <c r="AC52" s="1"/>
  <c r="T108"/>
  <c r="W108" s="1"/>
  <c r="Z114" s="1"/>
  <c r="W32"/>
  <c r="Z32" s="1"/>
  <c r="W7"/>
  <c r="Z11" s="1"/>
  <c r="W50"/>
  <c r="Z50" s="1"/>
  <c r="W71"/>
  <c r="W57"/>
  <c r="Z57" s="1"/>
  <c r="U112" i="25" l="1"/>
  <c r="X116" i="20"/>
  <c r="U127"/>
  <c r="X127" s="1"/>
  <c r="X100"/>
  <c r="X95" i="25" s="1"/>
  <c r="Q95" s="1"/>
  <c r="U52"/>
  <c r="X115" i="20"/>
  <c r="X111" i="25" s="1"/>
  <c r="AA112" s="1"/>
  <c r="AC112" s="1"/>
  <c r="AD112" s="1"/>
  <c r="U90"/>
  <c r="X95" i="20"/>
  <c r="X90" i="25" s="1"/>
  <c r="Z39" i="22"/>
  <c r="AB39" s="1"/>
  <c r="AC39" s="1"/>
  <c r="Z17"/>
  <c r="AA17" s="1"/>
  <c r="T89"/>
  <c r="W89" s="1"/>
  <c r="Z87" s="1"/>
  <c r="AB87" s="1"/>
  <c r="AC87" s="1"/>
  <c r="Y90"/>
  <c r="X146"/>
  <c r="Y146" s="1"/>
  <c r="Z146"/>
  <c r="AA146" s="1"/>
  <c r="Z15"/>
  <c r="Z44"/>
  <c r="Z29"/>
  <c r="AA29" s="1"/>
  <c r="Z84"/>
  <c r="AA84" s="1"/>
  <c r="Z101"/>
  <c r="X17"/>
  <c r="Y17" s="1"/>
  <c r="Z137"/>
  <c r="AA137" s="1"/>
  <c r="Z138"/>
  <c r="AA138" s="1"/>
  <c r="Z90"/>
  <c r="AB90" s="1"/>
  <c r="AC90" s="1"/>
  <c r="X84"/>
  <c r="Y84" s="1"/>
  <c r="X33"/>
  <c r="Y33" s="1"/>
  <c r="Z110"/>
  <c r="AB110" s="1"/>
  <c r="AC110" s="1"/>
  <c r="Z33"/>
  <c r="AA33" s="1"/>
  <c r="AB37"/>
  <c r="AC37" s="1"/>
  <c r="AB76"/>
  <c r="AC76" s="1"/>
  <c r="AA110"/>
  <c r="AB78"/>
  <c r="AC78" s="1"/>
  <c r="AA19"/>
  <c r="AB19"/>
  <c r="AC19" s="1"/>
  <c r="AB145"/>
  <c r="AC145" s="1"/>
  <c r="AA145"/>
  <c r="AA55"/>
  <c r="AB55"/>
  <c r="AC55" s="1"/>
  <c r="AB118"/>
  <c r="AC118" s="1"/>
  <c r="W87"/>
  <c r="Z88" s="1"/>
  <c r="AA115"/>
  <c r="AA81"/>
  <c r="AB81"/>
  <c r="AC81" s="1"/>
  <c r="AA26"/>
  <c r="AB26"/>
  <c r="AC26" s="1"/>
  <c r="AA132"/>
  <c r="AB132"/>
  <c r="AC132" s="1"/>
  <c r="AA121"/>
  <c r="AB121"/>
  <c r="AC121" s="1"/>
  <c r="AA96"/>
  <c r="T49"/>
  <c r="Y59" s="1"/>
  <c r="W80"/>
  <c r="Z89" s="1"/>
  <c r="AA89" s="1"/>
  <c r="AB114"/>
  <c r="AC114" s="1"/>
  <c r="AA114"/>
  <c r="AA87"/>
  <c r="AA32"/>
  <c r="AB32"/>
  <c r="AC32" s="1"/>
  <c r="Z142"/>
  <c r="AA43"/>
  <c r="AB43"/>
  <c r="AC43" s="1"/>
  <c r="Y147"/>
  <c r="W130"/>
  <c r="AC3"/>
  <c r="AA70"/>
  <c r="AB70"/>
  <c r="AC70" s="1"/>
  <c r="AA5"/>
  <c r="AB5"/>
  <c r="AC5" s="1"/>
  <c r="AA93"/>
  <c r="AB93"/>
  <c r="AC93" s="1"/>
  <c r="AA83"/>
  <c r="AB83"/>
  <c r="AC83" s="1"/>
  <c r="AA50"/>
  <c r="AB50"/>
  <c r="AC50" s="1"/>
  <c r="Y49"/>
  <c r="T44"/>
  <c r="W44" s="1"/>
  <c r="AA103"/>
  <c r="AB103"/>
  <c r="AC103" s="1"/>
  <c r="AA23"/>
  <c r="AB23"/>
  <c r="AC23" s="1"/>
  <c r="Z20"/>
  <c r="AA57"/>
  <c r="AB57"/>
  <c r="AC57" s="1"/>
  <c r="AB44"/>
  <c r="AC44" s="1"/>
  <c r="AA44"/>
  <c r="AB137"/>
  <c r="AC137" s="1"/>
  <c r="AA39"/>
  <c r="AB11"/>
  <c r="AC11" s="1"/>
  <c r="AA11"/>
  <c r="AA63"/>
  <c r="AB63"/>
  <c r="AC63" s="1"/>
  <c r="AA90"/>
  <c r="W65"/>
  <c r="Z80" s="1"/>
  <c r="W59"/>
  <c r="Z65" s="1"/>
  <c r="X112" i="25" l="1"/>
  <c r="AA113" s="1"/>
  <c r="AC113" s="1"/>
  <c r="AD113" s="1"/>
  <c r="AB112"/>
  <c r="X53" i="20"/>
  <c r="X52" i="25" s="1"/>
  <c r="Q90"/>
  <c r="S124" i="27"/>
  <c r="X59" i="20"/>
  <c r="X57" i="25" s="1"/>
  <c r="U57"/>
  <c r="Z49" i="22"/>
  <c r="AB49" s="1"/>
  <c r="AC49" s="1"/>
  <c r="Z45"/>
  <c r="AA45" s="1"/>
  <c r="X45"/>
  <c r="AB107"/>
  <c r="AA101"/>
  <c r="AB101"/>
  <c r="AC101" s="1"/>
  <c r="AB15"/>
  <c r="AC15" s="1"/>
  <c r="AA15"/>
  <c r="Z147"/>
  <c r="AB147" s="1"/>
  <c r="AC147" s="1"/>
  <c r="Z131"/>
  <c r="AA131" s="1"/>
  <c r="X131"/>
  <c r="Y131" s="1"/>
  <c r="AB88"/>
  <c r="AC88" s="1"/>
  <c r="AA88"/>
  <c r="AB29"/>
  <c r="AC29" s="1"/>
  <c r="AB89"/>
  <c r="AC89" s="1"/>
  <c r="W49"/>
  <c r="Z59" s="1"/>
  <c r="AA147"/>
  <c r="AA142"/>
  <c r="AB65"/>
  <c r="AC65" s="1"/>
  <c r="AA65"/>
  <c r="AB20"/>
  <c r="AB80"/>
  <c r="AC80" s="1"/>
  <c r="AA80"/>
  <c r="AA49"/>
  <c r="AC20"/>
  <c r="AB113" i="25" l="1"/>
  <c r="U124" i="27"/>
  <c r="AC154" i="22"/>
  <c r="Y45"/>
  <c r="Y154" s="1"/>
  <c r="X154"/>
  <c r="AB59"/>
  <c r="AC59" s="1"/>
  <c r="AA59"/>
  <c r="AA154"/>
  <c r="P86" i="20" l="1"/>
  <c r="Q86" s="1"/>
  <c r="P87"/>
  <c r="P88"/>
  <c r="Q88" s="1"/>
  <c r="P89"/>
  <c r="P90"/>
  <c r="P91"/>
  <c r="P92"/>
  <c r="Q92" s="1"/>
  <c r="P93"/>
  <c r="Q93" s="1"/>
  <c r="P94"/>
  <c r="P96"/>
  <c r="P97"/>
  <c r="W89" l="1"/>
  <c r="P89" i="25"/>
  <c r="Q94" i="20"/>
  <c r="P85" i="25"/>
  <c r="Q90" i="20"/>
  <c r="P91" i="25"/>
  <c r="Q96" i="20"/>
  <c r="P86" i="25"/>
  <c r="Q91" i="20"/>
  <c r="P82" i="25"/>
  <c r="Q87" i="20"/>
  <c r="Q82" i="27" s="1"/>
  <c r="U82" s="1"/>
  <c r="X82" s="1"/>
  <c r="P92" i="25"/>
  <c r="Q97" i="20"/>
  <c r="W97" s="1"/>
  <c r="Q89"/>
  <c r="Q84" i="27" s="1"/>
  <c r="U84" s="1"/>
  <c r="X84" s="1"/>
  <c r="Q88"/>
  <c r="U88" s="1"/>
  <c r="X88" s="1"/>
  <c r="P88" i="25"/>
  <c r="P84"/>
  <c r="Q81" i="27"/>
  <c r="U81" s="1"/>
  <c r="X81" s="1"/>
  <c r="AA82" s="1"/>
  <c r="P81" i="25"/>
  <c r="P87"/>
  <c r="P83"/>
  <c r="Q39" i="27"/>
  <c r="U39" s="1"/>
  <c r="X39" s="1"/>
  <c r="P39" i="25"/>
  <c r="Y133" i="20"/>
  <c r="Y131"/>
  <c r="W87" l="1"/>
  <c r="U93"/>
  <c r="U88" i="25" s="1"/>
  <c r="P134"/>
  <c r="S134" s="1"/>
  <c r="Q134" i="27"/>
  <c r="P136" i="25"/>
  <c r="S136" s="1"/>
  <c r="Q136" i="27"/>
  <c r="P132" i="25"/>
  <c r="S132" s="1"/>
  <c r="Q132" i="27"/>
  <c r="U94" i="20"/>
  <c r="U89" i="25" s="1"/>
  <c r="Q89" i="27"/>
  <c r="U89" s="1"/>
  <c r="X89" s="1"/>
  <c r="U91" i="20"/>
  <c r="U86" i="25" s="1"/>
  <c r="Q86" i="27"/>
  <c r="U86" s="1"/>
  <c r="X86" s="1"/>
  <c r="AA87" s="1"/>
  <c r="U96" i="20"/>
  <c r="Q91" i="27"/>
  <c r="U88" i="20"/>
  <c r="U83" i="25" s="1"/>
  <c r="Q83" i="27"/>
  <c r="U83" s="1"/>
  <c r="X83" s="1"/>
  <c r="AA84" s="1"/>
  <c r="AB82"/>
  <c r="AC82"/>
  <c r="AD82" s="1"/>
  <c r="Q127"/>
  <c r="P127" i="25"/>
  <c r="S127" s="1"/>
  <c r="Q137" i="27"/>
  <c r="P137" i="25"/>
  <c r="S137" s="1"/>
  <c r="Q133" i="27"/>
  <c r="P133" i="25"/>
  <c r="S133" s="1"/>
  <c r="U90" i="20"/>
  <c r="Q85" i="27"/>
  <c r="U85" s="1"/>
  <c r="X85" s="1"/>
  <c r="AA86" s="1"/>
  <c r="U97" i="20"/>
  <c r="X97" s="1"/>
  <c r="Q92" i="27"/>
  <c r="U89" i="20"/>
  <c r="X89" s="1"/>
  <c r="U92"/>
  <c r="Q87" i="27"/>
  <c r="Q129"/>
  <c r="P129" i="25"/>
  <c r="S129" s="1"/>
  <c r="P135"/>
  <c r="S135" s="1"/>
  <c r="Q135" i="27"/>
  <c r="X93" i="20" l="1"/>
  <c r="X88" i="25" s="1"/>
  <c r="Q88" s="1"/>
  <c r="X91" i="20"/>
  <c r="X86" i="25" s="1"/>
  <c r="Q86" s="1"/>
  <c r="S134" i="27"/>
  <c r="U134" s="1"/>
  <c r="X134" s="1"/>
  <c r="AA135" s="1"/>
  <c r="S132"/>
  <c r="U132" s="1"/>
  <c r="X132" s="1"/>
  <c r="S135"/>
  <c r="U135" s="1"/>
  <c r="X135" s="1"/>
  <c r="X94" i="20"/>
  <c r="X89" i="25" s="1"/>
  <c r="Q89" s="1"/>
  <c r="X88" i="20"/>
  <c r="X83" i="25" s="1"/>
  <c r="AA84" s="1"/>
  <c r="S129" i="27"/>
  <c r="U129" s="1"/>
  <c r="Z130" s="1"/>
  <c r="AA87" i="25"/>
  <c r="X84"/>
  <c r="U84"/>
  <c r="AC84" i="27"/>
  <c r="AD84" s="1"/>
  <c r="AB84"/>
  <c r="AC87"/>
  <c r="AD87" s="1"/>
  <c r="AB87"/>
  <c r="AC86"/>
  <c r="AD86" s="1"/>
  <c r="AB86"/>
  <c r="X96" i="20"/>
  <c r="X91" i="25" s="1"/>
  <c r="U91"/>
  <c r="S136" i="27"/>
  <c r="U87"/>
  <c r="X87" s="1"/>
  <c r="AA88" s="1"/>
  <c r="X90" i="20"/>
  <c r="X85" i="25" s="1"/>
  <c r="U85"/>
  <c r="X92"/>
  <c r="U92"/>
  <c r="U91" i="27"/>
  <c r="X91" s="1"/>
  <c r="AA92" s="1"/>
  <c r="U87" i="25"/>
  <c r="X92" i="20"/>
  <c r="X87" i="25" s="1"/>
  <c r="U92" i="27"/>
  <c r="X92" s="1"/>
  <c r="AA93" s="1"/>
  <c r="X39" i="20"/>
  <c r="X39" i="25" s="1"/>
  <c r="U39"/>
  <c r="S137" i="27" l="1"/>
  <c r="U137" s="1"/>
  <c r="X137" s="1"/>
  <c r="Q83" i="25"/>
  <c r="Q84"/>
  <c r="S133" i="27"/>
  <c r="U133" s="1"/>
  <c r="X133" s="1"/>
  <c r="AC135"/>
  <c r="AD135" s="1"/>
  <c r="AB135"/>
  <c r="Q87" i="25"/>
  <c r="AA88"/>
  <c r="AC93" i="27"/>
  <c r="AD93" s="1"/>
  <c r="AB93"/>
  <c r="AB88"/>
  <c r="AC88"/>
  <c r="AD88" s="1"/>
  <c r="AA86" i="25"/>
  <c r="Q85"/>
  <c r="S127" i="27"/>
  <c r="AB87" i="25"/>
  <c r="AC87"/>
  <c r="AD87" s="1"/>
  <c r="U136" i="27"/>
  <c r="Z137" s="1"/>
  <c r="AC92"/>
  <c r="AD92" s="1"/>
  <c r="AB92"/>
  <c r="Q91" i="25"/>
  <c r="AA92"/>
  <c r="AC84"/>
  <c r="AD84" s="1"/>
  <c r="AB84"/>
  <c r="AA93"/>
  <c r="Q92"/>
  <c r="X129" i="27"/>
  <c r="AA130" s="1"/>
  <c r="Z133" i="20" l="1"/>
  <c r="U129" i="25"/>
  <c r="Z130" s="1"/>
  <c r="X136" i="27"/>
  <c r="AA137" s="1"/>
  <c r="AB137" s="1"/>
  <c r="X135" i="25"/>
  <c r="U135"/>
  <c r="U133"/>
  <c r="X133"/>
  <c r="AC130" i="27"/>
  <c r="AD130" s="1"/>
  <c r="AB130"/>
  <c r="U127" i="25"/>
  <c r="Z128" s="1"/>
  <c r="Z131" i="20"/>
  <c r="AC88" i="25"/>
  <c r="AD88" s="1"/>
  <c r="AB88"/>
  <c r="AB86"/>
  <c r="AC86"/>
  <c r="AD86" s="1"/>
  <c r="AB93"/>
  <c r="AC93"/>
  <c r="AD93" s="1"/>
  <c r="AC92"/>
  <c r="AD92" s="1"/>
  <c r="AB92"/>
  <c r="U127" i="27"/>
  <c r="Z128" s="1"/>
  <c r="AC137" l="1"/>
  <c r="AD137" s="1"/>
  <c r="X129" i="25"/>
  <c r="AA130" s="1"/>
  <c r="AA133" i="20"/>
  <c r="X127" i="25"/>
  <c r="AA128" s="1"/>
  <c r="AA131" i="20"/>
  <c r="X127" i="27"/>
  <c r="AA128" s="1"/>
  <c r="Q76"/>
  <c r="P76" i="25"/>
  <c r="Q48" i="27"/>
  <c r="P48" i="25"/>
  <c r="Q70" i="27"/>
  <c r="P70" i="25"/>
  <c r="Q58" i="27"/>
  <c r="U58" s="1"/>
  <c r="X58" s="1"/>
  <c r="P58" i="25"/>
  <c r="Q66" i="27"/>
  <c r="U66" s="1"/>
  <c r="X66" s="1"/>
  <c r="P66" i="25"/>
  <c r="Q65" i="27"/>
  <c r="U65" s="1"/>
  <c r="X65" s="1"/>
  <c r="P65" i="25"/>
  <c r="AB130" l="1"/>
  <c r="AC130"/>
  <c r="AD130" s="1"/>
  <c r="AC133" i="20"/>
  <c r="AD133" s="1"/>
  <c r="AB133"/>
  <c r="U58" i="25"/>
  <c r="U76"/>
  <c r="AB131" i="20"/>
  <c r="AC131"/>
  <c r="AD131" s="1"/>
  <c r="AC128" i="27"/>
  <c r="AD128" s="1"/>
  <c r="AB128"/>
  <c r="X66" i="20"/>
  <c r="X65" i="25" s="1"/>
  <c r="AB128"/>
  <c r="AC128"/>
  <c r="AD128" s="1"/>
  <c r="X48"/>
  <c r="U48"/>
  <c r="U70" i="27"/>
  <c r="X70" s="1"/>
  <c r="U76"/>
  <c r="X76" s="1"/>
  <c r="U48"/>
  <c r="X48" s="1"/>
  <c r="L176" i="21"/>
  <c r="L173"/>
  <c r="L177" s="1"/>
  <c r="P170"/>
  <c r="X169"/>
  <c r="AA169" s="1"/>
  <c r="AB169" s="1"/>
  <c r="U169"/>
  <c r="P169"/>
  <c r="AB168"/>
  <c r="Z168"/>
  <c r="X168"/>
  <c r="AA168" s="1"/>
  <c r="U168"/>
  <c r="R168"/>
  <c r="Y168" s="1"/>
  <c r="P168"/>
  <c r="X167"/>
  <c r="AA167" s="1"/>
  <c r="AB167" s="1"/>
  <c r="U167"/>
  <c r="R167"/>
  <c r="P167"/>
  <c r="AB166"/>
  <c r="Z166"/>
  <c r="X166"/>
  <c r="AA166" s="1"/>
  <c r="U166"/>
  <c r="R166"/>
  <c r="Y166" s="1"/>
  <c r="P166"/>
  <c r="X165"/>
  <c r="AA165" s="1"/>
  <c r="AB165" s="1"/>
  <c r="U165"/>
  <c r="R165"/>
  <c r="P165"/>
  <c r="AB164"/>
  <c r="Z164"/>
  <c r="X164"/>
  <c r="AA164" s="1"/>
  <c r="U164"/>
  <c r="R164"/>
  <c r="Y164" s="1"/>
  <c r="P164"/>
  <c r="X163"/>
  <c r="AA163" s="1"/>
  <c r="AB163" s="1"/>
  <c r="U163"/>
  <c r="R163"/>
  <c r="P163"/>
  <c r="AB162"/>
  <c r="Z162"/>
  <c r="X162"/>
  <c r="AA162" s="1"/>
  <c r="U162"/>
  <c r="R162"/>
  <c r="Y162" s="1"/>
  <c r="P162"/>
  <c r="X161"/>
  <c r="AA161" s="1"/>
  <c r="AB161" s="1"/>
  <c r="U161"/>
  <c r="R161"/>
  <c r="P161"/>
  <c r="AB160"/>
  <c r="Z160"/>
  <c r="X160"/>
  <c r="AA160" s="1"/>
  <c r="U160"/>
  <c r="R160"/>
  <c r="Y160" s="1"/>
  <c r="P160"/>
  <c r="W159"/>
  <c r="R159"/>
  <c r="P159"/>
  <c r="W158"/>
  <c r="R158"/>
  <c r="P158"/>
  <c r="U158" s="1"/>
  <c r="W157"/>
  <c r="R157"/>
  <c r="P157"/>
  <c r="W156"/>
  <c r="R156"/>
  <c r="P156"/>
  <c r="W155"/>
  <c r="R155"/>
  <c r="P155"/>
  <c r="W154"/>
  <c r="R154"/>
  <c r="P154"/>
  <c r="U154" s="1"/>
  <c r="W153"/>
  <c r="R153"/>
  <c r="P153"/>
  <c r="W152"/>
  <c r="U152"/>
  <c r="R152"/>
  <c r="P152"/>
  <c r="AB151"/>
  <c r="X151"/>
  <c r="AA151" s="1"/>
  <c r="U151"/>
  <c r="R151"/>
  <c r="Y151" s="1"/>
  <c r="Z151" s="1"/>
  <c r="P151"/>
  <c r="X150"/>
  <c r="AA150" s="1"/>
  <c r="AB150" s="1"/>
  <c r="U150"/>
  <c r="R150"/>
  <c r="P150"/>
  <c r="AB149"/>
  <c r="X149"/>
  <c r="AA149" s="1"/>
  <c r="U149"/>
  <c r="R149"/>
  <c r="Y149" s="1"/>
  <c r="Z149" s="1"/>
  <c r="P149"/>
  <c r="X148"/>
  <c r="AA148" s="1"/>
  <c r="AB148" s="1"/>
  <c r="U148"/>
  <c r="R148"/>
  <c r="P148"/>
  <c r="AB147"/>
  <c r="X147"/>
  <c r="AA147" s="1"/>
  <c r="U147"/>
  <c r="R147"/>
  <c r="Y147" s="1"/>
  <c r="Z147" s="1"/>
  <c r="P147"/>
  <c r="X146"/>
  <c r="AA146" s="1"/>
  <c r="AB146" s="1"/>
  <c r="U146"/>
  <c r="R146"/>
  <c r="P146"/>
  <c r="X145"/>
  <c r="U145"/>
  <c r="R145"/>
  <c r="Y145" s="1"/>
  <c r="Z145" s="1"/>
  <c r="P145"/>
  <c r="L144"/>
  <c r="Y143"/>
  <c r="P143"/>
  <c r="M143"/>
  <c r="Y142"/>
  <c r="P142"/>
  <c r="M142"/>
  <c r="P141"/>
  <c r="Q140"/>
  <c r="P140"/>
  <c r="S140" s="1"/>
  <c r="U140" s="1"/>
  <c r="M140"/>
  <c r="U139"/>
  <c r="Q139"/>
  <c r="S139" s="1"/>
  <c r="P139"/>
  <c r="M139"/>
  <c r="U138"/>
  <c r="Q138"/>
  <c r="P138"/>
  <c r="S138" s="1"/>
  <c r="P137"/>
  <c r="M137"/>
  <c r="Y136"/>
  <c r="P136"/>
  <c r="M136"/>
  <c r="Y135"/>
  <c r="P135"/>
  <c r="M135"/>
  <c r="Y134"/>
  <c r="P134"/>
  <c r="M134"/>
  <c r="Y133"/>
  <c r="P133"/>
  <c r="M133"/>
  <c r="Y132"/>
  <c r="P132"/>
  <c r="M132"/>
  <c r="P131"/>
  <c r="M131"/>
  <c r="P130"/>
  <c r="M130"/>
  <c r="P129"/>
  <c r="M129"/>
  <c r="P128"/>
  <c r="M128"/>
  <c r="Y127"/>
  <c r="Q127"/>
  <c r="P127"/>
  <c r="M127"/>
  <c r="L126"/>
  <c r="Z125"/>
  <c r="Y125"/>
  <c r="P125"/>
  <c r="U125" s="1"/>
  <c r="X125" s="1"/>
  <c r="AA125" s="1"/>
  <c r="M125"/>
  <c r="Z124"/>
  <c r="Y124"/>
  <c r="P124"/>
  <c r="M124"/>
  <c r="Z123"/>
  <c r="Y123"/>
  <c r="U123"/>
  <c r="P123"/>
  <c r="M123"/>
  <c r="P122"/>
  <c r="M122"/>
  <c r="P121"/>
  <c r="U121" s="1"/>
  <c r="X121" s="1"/>
  <c r="AA121" s="1"/>
  <c r="M121"/>
  <c r="Z120"/>
  <c r="Y120"/>
  <c r="P120"/>
  <c r="M120"/>
  <c r="Z119"/>
  <c r="Y119"/>
  <c r="U119"/>
  <c r="P119"/>
  <c r="M119"/>
  <c r="P118"/>
  <c r="M118"/>
  <c r="P117"/>
  <c r="U117" s="1"/>
  <c r="X117" s="1"/>
  <c r="AA117" s="1"/>
  <c r="M117"/>
  <c r="Z116"/>
  <c r="Y116"/>
  <c r="P116"/>
  <c r="M116"/>
  <c r="Z115"/>
  <c r="Y115"/>
  <c r="U115"/>
  <c r="P115"/>
  <c r="M115"/>
  <c r="Z114"/>
  <c r="Y114"/>
  <c r="P114"/>
  <c r="M114"/>
  <c r="AD113"/>
  <c r="X113"/>
  <c r="AA113" s="1"/>
  <c r="AC113" s="1"/>
  <c r="U113"/>
  <c r="P113"/>
  <c r="M113"/>
  <c r="Z112"/>
  <c r="Y112"/>
  <c r="P112"/>
  <c r="M112"/>
  <c r="Z111"/>
  <c r="Y111"/>
  <c r="P111"/>
  <c r="M111"/>
  <c r="Z110"/>
  <c r="Y110"/>
  <c r="P110"/>
  <c r="M110"/>
  <c r="Z109"/>
  <c r="Y109"/>
  <c r="U109"/>
  <c r="X109" s="1"/>
  <c r="AA109" s="1"/>
  <c r="AC109" s="1"/>
  <c r="AD109" s="1"/>
  <c r="P109"/>
  <c r="M109"/>
  <c r="P108"/>
  <c r="M108"/>
  <c r="P107"/>
  <c r="M107"/>
  <c r="Z106"/>
  <c r="Y106"/>
  <c r="P106"/>
  <c r="M106"/>
  <c r="Z105"/>
  <c r="Y105"/>
  <c r="X105"/>
  <c r="AA105" s="1"/>
  <c r="AC105" s="1"/>
  <c r="AD105" s="1"/>
  <c r="U105"/>
  <c r="P105"/>
  <c r="M105"/>
  <c r="AC104"/>
  <c r="AD104" s="1"/>
  <c r="AA104"/>
  <c r="AB104" s="1"/>
  <c r="L103"/>
  <c r="Z102"/>
  <c r="Y102"/>
  <c r="U102"/>
  <c r="P102"/>
  <c r="M102"/>
  <c r="P101"/>
  <c r="M101"/>
  <c r="Z100"/>
  <c r="Y100"/>
  <c r="U100"/>
  <c r="X100" s="1"/>
  <c r="AA100" s="1"/>
  <c r="AC100" s="1"/>
  <c r="AD100" s="1"/>
  <c r="P100"/>
  <c r="M100"/>
  <c r="P99"/>
  <c r="M99"/>
  <c r="Z98"/>
  <c r="Y98"/>
  <c r="U98"/>
  <c r="P98"/>
  <c r="M98"/>
  <c r="Z97"/>
  <c r="Y97"/>
  <c r="P97"/>
  <c r="M97"/>
  <c r="U96"/>
  <c r="X96" s="1"/>
  <c r="AA96" s="1"/>
  <c r="AC96" s="1"/>
  <c r="AD96" s="1"/>
  <c r="P96"/>
  <c r="M96"/>
  <c r="Z95"/>
  <c r="Y95"/>
  <c r="P95"/>
  <c r="M95"/>
  <c r="Z94"/>
  <c r="Y94"/>
  <c r="P94"/>
  <c r="M94"/>
  <c r="Z93"/>
  <c r="Y93"/>
  <c r="P93"/>
  <c r="M93"/>
  <c r="P92"/>
  <c r="U92" s="1"/>
  <c r="X92" s="1"/>
  <c r="M92"/>
  <c r="P91"/>
  <c r="M91"/>
  <c r="U90"/>
  <c r="P90"/>
  <c r="M90"/>
  <c r="Z89"/>
  <c r="Y89"/>
  <c r="P89"/>
  <c r="M89"/>
  <c r="Z88"/>
  <c r="Y88"/>
  <c r="P88"/>
  <c r="U88" s="1"/>
  <c r="X88" s="1"/>
  <c r="AA88" s="1"/>
  <c r="AC88" s="1"/>
  <c r="AD88" s="1"/>
  <c r="M88"/>
  <c r="P87"/>
  <c r="M87"/>
  <c r="Z86"/>
  <c r="Y86"/>
  <c r="P86"/>
  <c r="M86"/>
  <c r="P85"/>
  <c r="M85"/>
  <c r="Z84"/>
  <c r="Y84"/>
  <c r="X84"/>
  <c r="AA84" s="1"/>
  <c r="AC84" s="1"/>
  <c r="AD84" s="1"/>
  <c r="P84"/>
  <c r="U84" s="1"/>
  <c r="M84"/>
  <c r="Z83"/>
  <c r="Y83"/>
  <c r="P83"/>
  <c r="M83"/>
  <c r="Z82"/>
  <c r="Y82"/>
  <c r="U82"/>
  <c r="P82"/>
  <c r="M82"/>
  <c r="AA81"/>
  <c r="AB81" s="1"/>
  <c r="L81"/>
  <c r="X80"/>
  <c r="AA80" s="1"/>
  <c r="AC80" s="1"/>
  <c r="AD80" s="1"/>
  <c r="Q80"/>
  <c r="P80"/>
  <c r="U80" s="1"/>
  <c r="M80"/>
  <c r="P79"/>
  <c r="M79"/>
  <c r="Q78"/>
  <c r="U78" s="1"/>
  <c r="P78"/>
  <c r="M78"/>
  <c r="Z77"/>
  <c r="Y77"/>
  <c r="P77"/>
  <c r="M77"/>
  <c r="X76"/>
  <c r="AA76" s="1"/>
  <c r="AC76" s="1"/>
  <c r="AD76" s="1"/>
  <c r="Q76"/>
  <c r="U76" s="1"/>
  <c r="P76"/>
  <c r="M76"/>
  <c r="P75"/>
  <c r="M75"/>
  <c r="Z74"/>
  <c r="Y74"/>
  <c r="Q74"/>
  <c r="U74" s="1"/>
  <c r="P74"/>
  <c r="M74"/>
  <c r="P73"/>
  <c r="M73"/>
  <c r="Z72"/>
  <c r="Y72"/>
  <c r="X72"/>
  <c r="AA72" s="1"/>
  <c r="AC72" s="1"/>
  <c r="AD72" s="1"/>
  <c r="Q72"/>
  <c r="U72" s="1"/>
  <c r="P72"/>
  <c r="M72"/>
  <c r="Z71"/>
  <c r="Y71"/>
  <c r="P71"/>
  <c r="M71"/>
  <c r="Z70"/>
  <c r="Y70"/>
  <c r="Q70"/>
  <c r="P70"/>
  <c r="M70"/>
  <c r="Z69"/>
  <c r="Y69"/>
  <c r="P69"/>
  <c r="M69"/>
  <c r="Z68"/>
  <c r="Y68"/>
  <c r="X68"/>
  <c r="AA68" s="1"/>
  <c r="AC68" s="1"/>
  <c r="AD68" s="1"/>
  <c r="Q68"/>
  <c r="U68" s="1"/>
  <c r="P68"/>
  <c r="M68"/>
  <c r="P67"/>
  <c r="M67"/>
  <c r="Q66"/>
  <c r="P66"/>
  <c r="M66"/>
  <c r="Z65"/>
  <c r="Y65"/>
  <c r="P65"/>
  <c r="M65"/>
  <c r="Z64"/>
  <c r="Y64"/>
  <c r="X64"/>
  <c r="AA64" s="1"/>
  <c r="AC64" s="1"/>
  <c r="AD64" s="1"/>
  <c r="Q64"/>
  <c r="U64" s="1"/>
  <c r="P64"/>
  <c r="M64"/>
  <c r="Z63"/>
  <c r="Y63"/>
  <c r="P63"/>
  <c r="M63"/>
  <c r="Z62"/>
  <c r="Y62"/>
  <c r="Q62"/>
  <c r="P62"/>
  <c r="M62"/>
  <c r="P61"/>
  <c r="M61"/>
  <c r="X60"/>
  <c r="AA60" s="1"/>
  <c r="AC60" s="1"/>
  <c r="AD60" s="1"/>
  <c r="Q60"/>
  <c r="U60" s="1"/>
  <c r="P60"/>
  <c r="M60"/>
  <c r="Z59"/>
  <c r="Y59"/>
  <c r="P59"/>
  <c r="M59"/>
  <c r="Z58"/>
  <c r="Y58"/>
  <c r="Q58"/>
  <c r="P58"/>
  <c r="M58"/>
  <c r="P57"/>
  <c r="M57"/>
  <c r="Z56"/>
  <c r="Y56"/>
  <c r="Q56"/>
  <c r="P56"/>
  <c r="U56" s="1"/>
  <c r="X56" s="1"/>
  <c r="AA56" s="1"/>
  <c r="M56"/>
  <c r="Z55"/>
  <c r="Y55"/>
  <c r="P55"/>
  <c r="M55"/>
  <c r="Z54"/>
  <c r="Y54"/>
  <c r="Q54"/>
  <c r="U54" s="1"/>
  <c r="P54"/>
  <c r="M54"/>
  <c r="Z53"/>
  <c r="Y53"/>
  <c r="P53"/>
  <c r="M53"/>
  <c r="Z52"/>
  <c r="Y52"/>
  <c r="X52"/>
  <c r="AA52" s="1"/>
  <c r="Q52"/>
  <c r="P52"/>
  <c r="U52" s="1"/>
  <c r="M52"/>
  <c r="P51"/>
  <c r="M51"/>
  <c r="Z50"/>
  <c r="Y50"/>
  <c r="Q50"/>
  <c r="P50"/>
  <c r="M50"/>
  <c r="Z49"/>
  <c r="Y49"/>
  <c r="P49"/>
  <c r="M49"/>
  <c r="Z48"/>
  <c r="Y48"/>
  <c r="X48"/>
  <c r="AA48" s="1"/>
  <c r="AC48" s="1"/>
  <c r="AD48" s="1"/>
  <c r="Q48"/>
  <c r="U48" s="1"/>
  <c r="P48"/>
  <c r="M48"/>
  <c r="Z47"/>
  <c r="Y47"/>
  <c r="P47"/>
  <c r="M47"/>
  <c r="Z46"/>
  <c r="Y46"/>
  <c r="Q46"/>
  <c r="P46"/>
  <c r="M46"/>
  <c r="Z45"/>
  <c r="Y45"/>
  <c r="P45"/>
  <c r="M45"/>
  <c r="Q44"/>
  <c r="P44"/>
  <c r="U44" s="1"/>
  <c r="X44" s="1"/>
  <c r="AA44" s="1"/>
  <c r="M44"/>
  <c r="Z43"/>
  <c r="Y43"/>
  <c r="P43"/>
  <c r="M43"/>
  <c r="Z42"/>
  <c r="Y42"/>
  <c r="Q42"/>
  <c r="U42" s="1"/>
  <c r="P42"/>
  <c r="M42"/>
  <c r="Z41"/>
  <c r="Y41"/>
  <c r="P41"/>
  <c r="M41"/>
  <c r="AD40"/>
  <c r="X40"/>
  <c r="AA40" s="1"/>
  <c r="AC40" s="1"/>
  <c r="Q40"/>
  <c r="U40" s="1"/>
  <c r="P40"/>
  <c r="M40"/>
  <c r="P39"/>
  <c r="M39"/>
  <c r="Z38"/>
  <c r="Y38"/>
  <c r="Q38"/>
  <c r="P38"/>
  <c r="M38"/>
  <c r="Z37"/>
  <c r="Y37"/>
  <c r="P37"/>
  <c r="M37"/>
  <c r="Z36"/>
  <c r="Y36"/>
  <c r="Q36"/>
  <c r="P36"/>
  <c r="U36" s="1"/>
  <c r="X36" s="1"/>
  <c r="AA36" s="1"/>
  <c r="M36"/>
  <c r="P35"/>
  <c r="M35"/>
  <c r="Q34"/>
  <c r="U34" s="1"/>
  <c r="P34"/>
  <c r="M34"/>
  <c r="Z33"/>
  <c r="Y33"/>
  <c r="P33"/>
  <c r="M33"/>
  <c r="Z32"/>
  <c r="Y32"/>
  <c r="X32"/>
  <c r="AA32" s="1"/>
  <c r="Q32"/>
  <c r="P32"/>
  <c r="U32" s="1"/>
  <c r="M32"/>
  <c r="Z31"/>
  <c r="Y31"/>
  <c r="P31"/>
  <c r="M31"/>
  <c r="Q30"/>
  <c r="P30"/>
  <c r="M30"/>
  <c r="Z29"/>
  <c r="Y29"/>
  <c r="P29"/>
  <c r="M29"/>
  <c r="Z28"/>
  <c r="Y28"/>
  <c r="X28"/>
  <c r="AA28" s="1"/>
  <c r="Q28"/>
  <c r="P28"/>
  <c r="U28" s="1"/>
  <c r="M28"/>
  <c r="Z27"/>
  <c r="Y27"/>
  <c r="P27"/>
  <c r="M27"/>
  <c r="M26"/>
  <c r="X25"/>
  <c r="P25"/>
  <c r="U25" s="1"/>
  <c r="Y24"/>
  <c r="U24"/>
  <c r="Z24" s="1"/>
  <c r="P24"/>
  <c r="Y23"/>
  <c r="P23"/>
  <c r="Y22"/>
  <c r="U22"/>
  <c r="Z22" s="1"/>
  <c r="P22"/>
  <c r="X22" s="1"/>
  <c r="AA22" s="1"/>
  <c r="AB22" s="1"/>
  <c r="Z21"/>
  <c r="Y21"/>
  <c r="X21"/>
  <c r="AA21" s="1"/>
  <c r="AB21" s="1"/>
  <c r="P21"/>
  <c r="U21" s="1"/>
  <c r="W20"/>
  <c r="P20"/>
  <c r="W19"/>
  <c r="W171" s="1"/>
  <c r="P19"/>
  <c r="Y18"/>
  <c r="U18"/>
  <c r="Z18" s="1"/>
  <c r="P18"/>
  <c r="Y17"/>
  <c r="P17"/>
  <c r="U17" s="1"/>
  <c r="Z17" s="1"/>
  <c r="Y16"/>
  <c r="U16"/>
  <c r="Z16" s="1"/>
  <c r="P16"/>
  <c r="X16" s="1"/>
  <c r="AA16" s="1"/>
  <c r="AB16" s="1"/>
  <c r="P15"/>
  <c r="Y14"/>
  <c r="U14"/>
  <c r="Z14" s="1"/>
  <c r="P14"/>
  <c r="X14" s="1"/>
  <c r="AA14" s="1"/>
  <c r="AB14" s="1"/>
  <c r="Z13"/>
  <c r="Y13"/>
  <c r="X13"/>
  <c r="AA13" s="1"/>
  <c r="AB13" s="1"/>
  <c r="P13"/>
  <c r="U13" s="1"/>
  <c r="Y12"/>
  <c r="U12"/>
  <c r="P12"/>
  <c r="Y11"/>
  <c r="Q11"/>
  <c r="U11" s="1"/>
  <c r="X11" s="1"/>
  <c r="AA11" s="1"/>
  <c r="AB11" s="1"/>
  <c r="P11"/>
  <c r="Y10"/>
  <c r="Q10"/>
  <c r="U10" s="1"/>
  <c r="P10"/>
  <c r="AQ9"/>
  <c r="Z9"/>
  <c r="Y9"/>
  <c r="Q9"/>
  <c r="X9" s="1"/>
  <c r="AA9" s="1"/>
  <c r="AB9" s="1"/>
  <c r="P9"/>
  <c r="Y8"/>
  <c r="Q8"/>
  <c r="U8" s="1"/>
  <c r="P8"/>
  <c r="Y7"/>
  <c r="Q7"/>
  <c r="U7" s="1"/>
  <c r="X7" s="1"/>
  <c r="AA7" s="1"/>
  <c r="AB7" s="1"/>
  <c r="P7"/>
  <c r="Y6"/>
  <c r="Q6"/>
  <c r="P6"/>
  <c r="X81" i="20" l="1"/>
  <c r="X76" i="25" s="1"/>
  <c r="X60" i="20"/>
  <c r="X58" i="25" s="1"/>
  <c r="U65"/>
  <c r="X70"/>
  <c r="U70"/>
  <c r="X67" i="20"/>
  <c r="X66" i="25" s="1"/>
  <c r="U66"/>
  <c r="AC32" i="21"/>
  <c r="AD32" s="1"/>
  <c r="AB32"/>
  <c r="AC36"/>
  <c r="AD36" s="1"/>
  <c r="AB36"/>
  <c r="Q49"/>
  <c r="U49" s="1"/>
  <c r="AC52"/>
  <c r="AD52" s="1"/>
  <c r="AB52"/>
  <c r="Z10"/>
  <c r="X10"/>
  <c r="AA10" s="1"/>
  <c r="AB10" s="1"/>
  <c r="U15"/>
  <c r="X15"/>
  <c r="U23"/>
  <c r="Z23" s="1"/>
  <c r="AC28"/>
  <c r="AD28" s="1"/>
  <c r="AB28"/>
  <c r="U38"/>
  <c r="X38" s="1"/>
  <c r="AA38" s="1"/>
  <c r="Q57"/>
  <c r="AC121"/>
  <c r="AD121" s="1"/>
  <c r="AB121"/>
  <c r="Z8"/>
  <c r="X8"/>
  <c r="AA8" s="1"/>
  <c r="AB8" s="1"/>
  <c r="Z12"/>
  <c r="X12"/>
  <c r="AA12" s="1"/>
  <c r="AB12" s="1"/>
  <c r="AC56"/>
  <c r="AD56" s="1"/>
  <c r="AB56"/>
  <c r="X127"/>
  <c r="AA127" s="1"/>
  <c r="M171"/>
  <c r="X111"/>
  <c r="AA111" s="1"/>
  <c r="X50"/>
  <c r="AA50" s="1"/>
  <c r="X155"/>
  <c r="AA155" s="1"/>
  <c r="AB155" s="1"/>
  <c r="Q37"/>
  <c r="X37" s="1"/>
  <c r="AA37" s="1"/>
  <c r="U37"/>
  <c r="AC44"/>
  <c r="AD44" s="1"/>
  <c r="AB44"/>
  <c r="AC117"/>
  <c r="AD117" s="1"/>
  <c r="AB117"/>
  <c r="AC125"/>
  <c r="AD125" s="1"/>
  <c r="AB125"/>
  <c r="X62"/>
  <c r="AA62" s="1"/>
  <c r="U73"/>
  <c r="X73" s="1"/>
  <c r="AA73" s="1"/>
  <c r="X131"/>
  <c r="AA131" s="1"/>
  <c r="Q77"/>
  <c r="X77" s="1"/>
  <c r="AA77" s="1"/>
  <c r="U101"/>
  <c r="Q29"/>
  <c r="U29" s="1"/>
  <c r="Q33"/>
  <c r="X33" s="1"/>
  <c r="AA33" s="1"/>
  <c r="X41"/>
  <c r="AA41" s="1"/>
  <c r="Q41"/>
  <c r="Q45"/>
  <c r="X53"/>
  <c r="AA53" s="1"/>
  <c r="Q53"/>
  <c r="Q69"/>
  <c r="X85"/>
  <c r="AA85" s="1"/>
  <c r="U110"/>
  <c r="U118"/>
  <c r="AA145"/>
  <c r="AB145" s="1"/>
  <c r="Q43"/>
  <c r="U43" s="1"/>
  <c r="X43"/>
  <c r="AA43" s="1"/>
  <c r="X47"/>
  <c r="AA47" s="1"/>
  <c r="Q47"/>
  <c r="U47" s="1"/>
  <c r="Q55"/>
  <c r="U55" s="1"/>
  <c r="X55"/>
  <c r="AA55" s="1"/>
  <c r="X63"/>
  <c r="AA63" s="1"/>
  <c r="Q63"/>
  <c r="U63" s="1"/>
  <c r="Q67"/>
  <c r="U67" s="1"/>
  <c r="X67"/>
  <c r="AA67" s="1"/>
  <c r="X71"/>
  <c r="AA71" s="1"/>
  <c r="Q71"/>
  <c r="U71" s="1"/>
  <c r="Q75"/>
  <c r="U75" s="1"/>
  <c r="X75"/>
  <c r="AA75" s="1"/>
  <c r="X79"/>
  <c r="AA79" s="1"/>
  <c r="Q79"/>
  <c r="U79" s="1"/>
  <c r="U95"/>
  <c r="U99"/>
  <c r="U112"/>
  <c r="U116"/>
  <c r="U120"/>
  <c r="X120"/>
  <c r="AA120" s="1"/>
  <c r="U124"/>
  <c r="Q128"/>
  <c r="Q130"/>
  <c r="Q132"/>
  <c r="Q133"/>
  <c r="Q134"/>
  <c r="Q135"/>
  <c r="Q136"/>
  <c r="Q137"/>
  <c r="Q141"/>
  <c r="Q142"/>
  <c r="Q143"/>
  <c r="X139"/>
  <c r="AA139" s="1"/>
  <c r="Y146"/>
  <c r="Z146" s="1"/>
  <c r="Y148"/>
  <c r="Z148" s="1"/>
  <c r="Y150"/>
  <c r="Z150" s="1"/>
  <c r="X156"/>
  <c r="AA156" s="1"/>
  <c r="AB156" s="1"/>
  <c r="P171"/>
  <c r="R170" s="1"/>
  <c r="Z7"/>
  <c r="Z11"/>
  <c r="X24"/>
  <c r="AA24" s="1"/>
  <c r="AB24" s="1"/>
  <c r="U30"/>
  <c r="X30" s="1"/>
  <c r="AA30" s="1"/>
  <c r="U46"/>
  <c r="X46" s="1"/>
  <c r="AA46" s="1"/>
  <c r="AB48"/>
  <c r="AB60"/>
  <c r="U62"/>
  <c r="AB64"/>
  <c r="U70"/>
  <c r="X70" s="1"/>
  <c r="AA70" s="1"/>
  <c r="AB72"/>
  <c r="AB76"/>
  <c r="U77"/>
  <c r="X78"/>
  <c r="AA78" s="1"/>
  <c r="AB80"/>
  <c r="AC81"/>
  <c r="AD81" s="1"/>
  <c r="X82"/>
  <c r="AA82" s="1"/>
  <c r="U94"/>
  <c r="X94" s="1"/>
  <c r="AA94" s="1"/>
  <c r="AB100"/>
  <c r="AB105"/>
  <c r="U106"/>
  <c r="X106" s="1"/>
  <c r="AA106" s="1"/>
  <c r="U111"/>
  <c r="S127"/>
  <c r="X152"/>
  <c r="AA152" s="1"/>
  <c r="AB152" s="1"/>
  <c r="U153"/>
  <c r="X153" s="1"/>
  <c r="U155"/>
  <c r="U157"/>
  <c r="X157" s="1"/>
  <c r="U159"/>
  <c r="X159" s="1"/>
  <c r="Y161"/>
  <c r="Z161" s="1"/>
  <c r="Y163"/>
  <c r="Z163" s="1"/>
  <c r="Y165"/>
  <c r="Z165" s="1"/>
  <c r="Y167"/>
  <c r="Z167" s="1"/>
  <c r="R169"/>
  <c r="Y169" s="1"/>
  <c r="Z169" s="1"/>
  <c r="Q61"/>
  <c r="U61" s="1"/>
  <c r="Q65"/>
  <c r="U65" s="1"/>
  <c r="Q73"/>
  <c r="X19"/>
  <c r="U19"/>
  <c r="U20"/>
  <c r="X20" s="1"/>
  <c r="X27"/>
  <c r="AA27" s="1"/>
  <c r="Q27"/>
  <c r="U27" s="1"/>
  <c r="Q31"/>
  <c r="U31" s="1"/>
  <c r="X31"/>
  <c r="AA31" s="1"/>
  <c r="X35"/>
  <c r="AA35" s="1"/>
  <c r="Q35"/>
  <c r="U35" s="1"/>
  <c r="Q39"/>
  <c r="U39" s="1"/>
  <c r="X39"/>
  <c r="AA39" s="1"/>
  <c r="X51"/>
  <c r="Q51"/>
  <c r="U51" s="1"/>
  <c r="Q59"/>
  <c r="U59" s="1"/>
  <c r="U83"/>
  <c r="U87"/>
  <c r="X91"/>
  <c r="U91"/>
  <c r="U108"/>
  <c r="X108"/>
  <c r="Q129"/>
  <c r="S129" s="1"/>
  <c r="Q131"/>
  <c r="S131" s="1"/>
  <c r="U131"/>
  <c r="Y155"/>
  <c r="Z155" s="1"/>
  <c r="U6"/>
  <c r="X17"/>
  <c r="AA17" s="1"/>
  <c r="AB17" s="1"/>
  <c r="X18"/>
  <c r="AA18" s="1"/>
  <c r="AB18" s="1"/>
  <c r="U33"/>
  <c r="X34"/>
  <c r="AA34" s="1"/>
  <c r="AB40"/>
  <c r="U41"/>
  <c r="X42"/>
  <c r="AA42" s="1"/>
  <c r="U45"/>
  <c r="X45" s="1"/>
  <c r="AA45" s="1"/>
  <c r="U50"/>
  <c r="U53"/>
  <c r="X54"/>
  <c r="AA54" s="1"/>
  <c r="U58"/>
  <c r="X58" s="1"/>
  <c r="AA58" s="1"/>
  <c r="U66"/>
  <c r="X66" s="1"/>
  <c r="AA66" s="1"/>
  <c r="AB68"/>
  <c r="U69"/>
  <c r="X69" s="1"/>
  <c r="AA69" s="1"/>
  <c r="X74"/>
  <c r="AA74" s="1"/>
  <c r="AB84"/>
  <c r="U85"/>
  <c r="U86"/>
  <c r="X86" s="1"/>
  <c r="AA86" s="1"/>
  <c r="AB88"/>
  <c r="X90"/>
  <c r="AA90" s="1"/>
  <c r="U93"/>
  <c r="X93" s="1"/>
  <c r="AA93" s="1"/>
  <c r="AB96"/>
  <c r="X98"/>
  <c r="AA98" s="1"/>
  <c r="X102"/>
  <c r="AA102" s="1"/>
  <c r="U107"/>
  <c r="X107" s="1"/>
  <c r="AB109"/>
  <c r="AB113"/>
  <c r="U114"/>
  <c r="X114" s="1"/>
  <c r="AA114" s="1"/>
  <c r="X115"/>
  <c r="AA115" s="1"/>
  <c r="X119"/>
  <c r="AA119" s="1"/>
  <c r="U122"/>
  <c r="X122" s="1"/>
  <c r="X123"/>
  <c r="AA123" s="1"/>
  <c r="U170"/>
  <c r="X170" s="1"/>
  <c r="AA170" s="1"/>
  <c r="AB170" s="1"/>
  <c r="X138"/>
  <c r="X140"/>
  <c r="AA140" s="1"/>
  <c r="X154"/>
  <c r="AA154" s="1"/>
  <c r="AB154" s="1"/>
  <c r="U156"/>
  <c r="X158"/>
  <c r="AA158" s="1"/>
  <c r="AB158" s="1"/>
  <c r="AC86" l="1"/>
  <c r="AD86" s="1"/>
  <c r="AB86"/>
  <c r="AB69"/>
  <c r="AC69"/>
  <c r="AD69" s="1"/>
  <c r="AA159"/>
  <c r="AB159" s="1"/>
  <c r="Y159"/>
  <c r="Z159" s="1"/>
  <c r="AC30"/>
  <c r="AD30" s="1"/>
  <c r="AB30"/>
  <c r="AB33"/>
  <c r="AC33"/>
  <c r="AD33" s="1"/>
  <c r="AB77"/>
  <c r="AC77"/>
  <c r="AD77" s="1"/>
  <c r="AC58"/>
  <c r="AD58" s="1"/>
  <c r="AB58"/>
  <c r="AB45"/>
  <c r="AC45"/>
  <c r="AD45" s="1"/>
  <c r="AA153"/>
  <c r="AB153" s="1"/>
  <c r="AD173" s="1"/>
  <c r="Y153"/>
  <c r="Z153" s="1"/>
  <c r="AB106"/>
  <c r="AC106"/>
  <c r="AD106" s="1"/>
  <c r="AC46"/>
  <c r="AD46" s="1"/>
  <c r="AB46"/>
  <c r="AB114"/>
  <c r="AC114"/>
  <c r="AD114" s="1"/>
  <c r="AB37"/>
  <c r="AC37"/>
  <c r="AD37" s="1"/>
  <c r="AC66"/>
  <c r="AD66" s="1"/>
  <c r="AB66"/>
  <c r="AC94"/>
  <c r="AD94" s="1"/>
  <c r="AB94"/>
  <c r="AC70"/>
  <c r="AD70" s="1"/>
  <c r="AB70"/>
  <c r="AB93"/>
  <c r="AC93"/>
  <c r="AD93" s="1"/>
  <c r="AB73"/>
  <c r="AC73"/>
  <c r="AD73" s="1"/>
  <c r="AC38"/>
  <c r="AD38" s="1"/>
  <c r="AB38"/>
  <c r="U132"/>
  <c r="Z132" s="1"/>
  <c r="Y20"/>
  <c r="AA20"/>
  <c r="AB20" s="1"/>
  <c r="AA157"/>
  <c r="AB157" s="1"/>
  <c r="Y157"/>
  <c r="Z157" s="1"/>
  <c r="AC119"/>
  <c r="AD119" s="1"/>
  <c r="AB119"/>
  <c r="AC102"/>
  <c r="AD102" s="1"/>
  <c r="AB102"/>
  <c r="AC54"/>
  <c r="AD54" s="1"/>
  <c r="AB54"/>
  <c r="AB27"/>
  <c r="AC27"/>
  <c r="AC82"/>
  <c r="AD82" s="1"/>
  <c r="AB82"/>
  <c r="AB63"/>
  <c r="AC63"/>
  <c r="AD63" s="1"/>
  <c r="AB85"/>
  <c r="AC85"/>
  <c r="AD85" s="1"/>
  <c r="AB41"/>
  <c r="AC41"/>
  <c r="AD41" s="1"/>
  <c r="AC62"/>
  <c r="AD62" s="1"/>
  <c r="AB62"/>
  <c r="AC50"/>
  <c r="AD50" s="1"/>
  <c r="AB50"/>
  <c r="AB140"/>
  <c r="AC140"/>
  <c r="AD140" s="1"/>
  <c r="AC74"/>
  <c r="AD74" s="1"/>
  <c r="AB74"/>
  <c r="AC34"/>
  <c r="AD34" s="1"/>
  <c r="AB34"/>
  <c r="AC78"/>
  <c r="AD78" s="1"/>
  <c r="AB78"/>
  <c r="S142"/>
  <c r="U142" s="1"/>
  <c r="Z142" s="1"/>
  <c r="X137"/>
  <c r="AA137" s="1"/>
  <c r="S137"/>
  <c r="U137" s="1"/>
  <c r="S135"/>
  <c r="U135" s="1"/>
  <c r="Z135" s="1"/>
  <c r="S133"/>
  <c r="S130"/>
  <c r="U130" s="1"/>
  <c r="AC111"/>
  <c r="AD111" s="1"/>
  <c r="AB111"/>
  <c r="AC123"/>
  <c r="AD123" s="1"/>
  <c r="AB123"/>
  <c r="AC115"/>
  <c r="AD115" s="1"/>
  <c r="AB115"/>
  <c r="X141"/>
  <c r="S141"/>
  <c r="U141" s="1"/>
  <c r="AC169"/>
  <c r="Y158"/>
  <c r="Z158" s="1"/>
  <c r="U129"/>
  <c r="X83"/>
  <c r="AA83" s="1"/>
  <c r="Z19"/>
  <c r="X65"/>
  <c r="AA65" s="1"/>
  <c r="X124"/>
  <c r="AA124" s="1"/>
  <c r="X116"/>
  <c r="AA116" s="1"/>
  <c r="X99"/>
  <c r="X118"/>
  <c r="X110"/>
  <c r="AA110" s="1"/>
  <c r="X29"/>
  <c r="AA29" s="1"/>
  <c r="X101"/>
  <c r="AA101" s="1"/>
  <c r="Y152"/>
  <c r="Z152" s="1"/>
  <c r="U57"/>
  <c r="X57" s="1"/>
  <c r="X49"/>
  <c r="AA49" s="1"/>
  <c r="U97"/>
  <c r="X97" s="1"/>
  <c r="AA97" s="1"/>
  <c r="U89"/>
  <c r="X89" s="1"/>
  <c r="AA89" s="1"/>
  <c r="X87"/>
  <c r="X59"/>
  <c r="AA59" s="1"/>
  <c r="X61"/>
  <c r="AA61" s="1"/>
  <c r="Y170"/>
  <c r="Z170" s="1"/>
  <c r="X112"/>
  <c r="AA112" s="1"/>
  <c r="X95"/>
  <c r="AA95" s="1"/>
  <c r="Q171"/>
  <c r="Y154"/>
  <c r="Z154" s="1"/>
  <c r="X23"/>
  <c r="AA23" s="1"/>
  <c r="AB23" s="1"/>
  <c r="AC42"/>
  <c r="AD42" s="1"/>
  <c r="AB42"/>
  <c r="Z6"/>
  <c r="X6"/>
  <c r="AB35"/>
  <c r="AC35"/>
  <c r="AD35" s="1"/>
  <c r="Y19"/>
  <c r="AA19"/>
  <c r="AB19" s="1"/>
  <c r="AB139"/>
  <c r="AC139"/>
  <c r="AD139" s="1"/>
  <c r="AB79"/>
  <c r="AC79"/>
  <c r="AD79" s="1"/>
  <c r="AB71"/>
  <c r="AC71"/>
  <c r="AD71" s="1"/>
  <c r="AB47"/>
  <c r="AC47"/>
  <c r="AD47" s="1"/>
  <c r="AB53"/>
  <c r="AC53"/>
  <c r="AD53" s="1"/>
  <c r="AC131"/>
  <c r="AD131" s="1"/>
  <c r="AB131"/>
  <c r="AC127"/>
  <c r="AD127" s="1"/>
  <c r="AB127"/>
  <c r="AC98"/>
  <c r="AD98" s="1"/>
  <c r="AB98"/>
  <c r="AC90"/>
  <c r="AD90" s="1"/>
  <c r="AB90"/>
  <c r="AB39"/>
  <c r="AC39"/>
  <c r="AD39" s="1"/>
  <c r="AB31"/>
  <c r="AC31"/>
  <c r="AD31" s="1"/>
  <c r="Z127"/>
  <c r="S143"/>
  <c r="U143" s="1"/>
  <c r="S136"/>
  <c r="U136" s="1"/>
  <c r="S134"/>
  <c r="U134" s="1"/>
  <c r="S132"/>
  <c r="S128"/>
  <c r="U128" s="1"/>
  <c r="AB120"/>
  <c r="AC120"/>
  <c r="AD120" s="1"/>
  <c r="AB75"/>
  <c r="AC75"/>
  <c r="AD75" s="1"/>
  <c r="AB67"/>
  <c r="AC67"/>
  <c r="AD67" s="1"/>
  <c r="AB55"/>
  <c r="AC55"/>
  <c r="AD55" s="1"/>
  <c r="AB43"/>
  <c r="AC43"/>
  <c r="AD43" s="1"/>
  <c r="Y156"/>
  <c r="Z156" s="1"/>
  <c r="Z20"/>
  <c r="X129"/>
  <c r="AA129" s="1"/>
  <c r="AB89" l="1"/>
  <c r="AC89"/>
  <c r="AD89" s="1"/>
  <c r="X128"/>
  <c r="AA128" s="1"/>
  <c r="U171"/>
  <c r="Z143"/>
  <c r="X143"/>
  <c r="AA143" s="1"/>
  <c r="Z136"/>
  <c r="Z171" s="1"/>
  <c r="X136"/>
  <c r="AA136" s="1"/>
  <c r="Z134"/>
  <c r="X134"/>
  <c r="AA134" s="1"/>
  <c r="AB97"/>
  <c r="AC97"/>
  <c r="AD97" s="1"/>
  <c r="AB65"/>
  <c r="AC65"/>
  <c r="AD65" s="1"/>
  <c r="AC129"/>
  <c r="AD129" s="1"/>
  <c r="AB129"/>
  <c r="AB112"/>
  <c r="AC112"/>
  <c r="AD112" s="1"/>
  <c r="AB110"/>
  <c r="AC110"/>
  <c r="AD110" s="1"/>
  <c r="AB124"/>
  <c r="AC124"/>
  <c r="AD124" s="1"/>
  <c r="AC137"/>
  <c r="AD137" s="1"/>
  <c r="AB137"/>
  <c r="AA6"/>
  <c r="AC26"/>
  <c r="AB95"/>
  <c r="AC95"/>
  <c r="AD95" s="1"/>
  <c r="AB59"/>
  <c r="AC59"/>
  <c r="AD59" s="1"/>
  <c r="AB49"/>
  <c r="AC49"/>
  <c r="AD49" s="1"/>
  <c r="AB29"/>
  <c r="AC29"/>
  <c r="AD29" s="1"/>
  <c r="AB116"/>
  <c r="AC116"/>
  <c r="AD116" s="1"/>
  <c r="AB83"/>
  <c r="AC83"/>
  <c r="AD83" s="1"/>
  <c r="Z133"/>
  <c r="U133"/>
  <c r="X133" s="1"/>
  <c r="AA133" s="1"/>
  <c r="AD27"/>
  <c r="X132"/>
  <c r="AA132" s="1"/>
  <c r="S171"/>
  <c r="Y171"/>
  <c r="AB173"/>
  <c r="AB61"/>
  <c r="AC61"/>
  <c r="AD61" s="1"/>
  <c r="AB101"/>
  <c r="AC101"/>
  <c r="AD101" s="1"/>
  <c r="X130"/>
  <c r="AA130" s="1"/>
  <c r="X135"/>
  <c r="AA135" s="1"/>
  <c r="X142"/>
  <c r="AA142" s="1"/>
  <c r="AC135" l="1"/>
  <c r="AD135" s="1"/>
  <c r="AB135"/>
  <c r="AC128"/>
  <c r="AD128" s="1"/>
  <c r="AD144" s="1"/>
  <c r="AB128"/>
  <c r="AC142"/>
  <c r="AD142" s="1"/>
  <c r="AB142"/>
  <c r="AC136"/>
  <c r="AD136" s="1"/>
  <c r="AB136"/>
  <c r="AC132"/>
  <c r="AD132" s="1"/>
  <c r="AB132"/>
  <c r="AC130"/>
  <c r="AD130" s="1"/>
  <c r="AB130"/>
  <c r="AC133"/>
  <c r="AD133" s="1"/>
  <c r="AB133"/>
  <c r="AA26"/>
  <c r="AB6"/>
  <c r="AC134"/>
  <c r="AD134" s="1"/>
  <c r="AB134"/>
  <c r="AC143"/>
  <c r="AD143" s="1"/>
  <c r="AB143"/>
  <c r="AC144"/>
  <c r="X171"/>
  <c r="AA144"/>
  <c r="AD171" l="1"/>
  <c r="AD174" s="1"/>
  <c r="AD172"/>
  <c r="AB171"/>
  <c r="AB26"/>
  <c r="U145" i="20" l="1"/>
  <c r="U140" i="25" s="1"/>
  <c r="U146" i="20"/>
  <c r="U141" i="25" s="1"/>
  <c r="U147" i="20"/>
  <c r="U142" i="25" s="1"/>
  <c r="U148" i="20"/>
  <c r="U143" i="25" s="1"/>
  <c r="U149" i="20"/>
  <c r="U144" i="25" s="1"/>
  <c r="U150" i="20"/>
  <c r="U145" i="25" s="1"/>
  <c r="I40" i="9"/>
  <c r="M40" s="1"/>
  <c r="O40"/>
  <c r="F35"/>
  <c r="P25" i="20"/>
  <c r="I27" i="9"/>
  <c r="M27" s="1"/>
  <c r="O27"/>
  <c r="I17"/>
  <c r="O17" l="1"/>
  <c r="M17" s="1"/>
  <c r="U25" i="20"/>
  <c r="U25" i="25" s="1"/>
  <c r="P25"/>
  <c r="P40" i="9"/>
  <c r="K27"/>
  <c r="P27" s="1"/>
  <c r="Q27" s="1"/>
  <c r="P96" i="25"/>
  <c r="P116"/>
  <c r="X25" i="20" l="1"/>
  <c r="X25" i="25" s="1"/>
  <c r="U116"/>
  <c r="Q96" i="27"/>
  <c r="U96" s="1"/>
  <c r="X96" s="1"/>
  <c r="X96" i="25" l="1"/>
  <c r="X116"/>
  <c r="Q116" i="27"/>
  <c r="U116" s="1"/>
  <c r="X116" s="1"/>
  <c r="P10" i="20"/>
  <c r="Q10" l="1"/>
  <c r="U10" s="1"/>
  <c r="X10" s="1"/>
  <c r="U96" i="25"/>
  <c r="Q96" s="1"/>
  <c r="P10"/>
  <c r="P15" i="20"/>
  <c r="U15" l="1"/>
  <c r="U15" i="25" s="1"/>
  <c r="X15" s="1"/>
  <c r="P15"/>
  <c r="Z126" i="20"/>
  <c r="Y126"/>
  <c r="P125"/>
  <c r="Q125" s="1"/>
  <c r="Z121"/>
  <c r="Y121"/>
  <c r="P120"/>
  <c r="Q120" s="1"/>
  <c r="P117"/>
  <c r="Q117" s="1"/>
  <c r="Z117"/>
  <c r="Y117"/>
  <c r="Y115"/>
  <c r="P113"/>
  <c r="P169"/>
  <c r="P164" i="25" s="1"/>
  <c r="P168" i="20"/>
  <c r="P163" i="25" s="1"/>
  <c r="P167" i="20"/>
  <c r="P162" i="25" s="1"/>
  <c r="P166" i="20"/>
  <c r="P161" i="25" s="1"/>
  <c r="P165" i="20"/>
  <c r="P160" i="25" s="1"/>
  <c r="P164" i="20"/>
  <c r="P159" i="25" s="1"/>
  <c r="P163" i="20"/>
  <c r="P158" i="25" s="1"/>
  <c r="P162" i="20"/>
  <c r="P157" i="25" s="1"/>
  <c r="P161" i="20"/>
  <c r="P156" i="25" s="1"/>
  <c r="P160" i="20"/>
  <c r="P155" i="25" s="1"/>
  <c r="P159" i="20"/>
  <c r="P154" i="25" s="1"/>
  <c r="W158" i="20"/>
  <c r="P158"/>
  <c r="P153" i="25" s="1"/>
  <c r="W157" i="20"/>
  <c r="W152" i="25" s="1"/>
  <c r="P157" i="20"/>
  <c r="P152" i="25" s="1"/>
  <c r="W156" i="20"/>
  <c r="W151" i="25" s="1"/>
  <c r="W155" i="20"/>
  <c r="W150" i="25" s="1"/>
  <c r="W154" i="20"/>
  <c r="W149" i="25" s="1"/>
  <c r="W153" i="20"/>
  <c r="W148" i="25" s="1"/>
  <c r="W152" i="20"/>
  <c r="W147" i="25" s="1"/>
  <c r="W146"/>
  <c r="X146" i="20"/>
  <c r="X141" i="25" s="1"/>
  <c r="Y142" i="20"/>
  <c r="Y132"/>
  <c r="Y130"/>
  <c r="Y129"/>
  <c r="P122"/>
  <c r="P109"/>
  <c r="Q109" s="1"/>
  <c r="Z125"/>
  <c r="Y125"/>
  <c r="P124"/>
  <c r="Q124" s="1"/>
  <c r="P121"/>
  <c r="Q121" s="1"/>
  <c r="Z120"/>
  <c r="Y120"/>
  <c r="P119"/>
  <c r="Q119" s="1"/>
  <c r="P118"/>
  <c r="Q118" s="1"/>
  <c r="Z118"/>
  <c r="Y118"/>
  <c r="P114" i="25"/>
  <c r="Z113" i="20"/>
  <c r="Y113"/>
  <c r="P112"/>
  <c r="Q112" s="1"/>
  <c r="Z112"/>
  <c r="Y112"/>
  <c r="P111"/>
  <c r="Q111" s="1"/>
  <c r="P110"/>
  <c r="Q110" s="1"/>
  <c r="P108"/>
  <c r="Q108" s="1"/>
  <c r="Z108"/>
  <c r="Y108"/>
  <c r="P107"/>
  <c r="Q107" s="1"/>
  <c r="Z107"/>
  <c r="Y107"/>
  <c r="P106"/>
  <c r="AA106"/>
  <c r="AB106" s="1"/>
  <c r="Z104"/>
  <c r="Y104"/>
  <c r="P103"/>
  <c r="P102"/>
  <c r="Z102"/>
  <c r="Y102"/>
  <c r="P101"/>
  <c r="P99"/>
  <c r="P98"/>
  <c r="Z98"/>
  <c r="Y98"/>
  <c r="Z97"/>
  <c r="Y97"/>
  <c r="Z92"/>
  <c r="Y92"/>
  <c r="Z91"/>
  <c r="Y91"/>
  <c r="Z89"/>
  <c r="Y89"/>
  <c r="Z87"/>
  <c r="Y87"/>
  <c r="Z86"/>
  <c r="Y86"/>
  <c r="P85"/>
  <c r="Z85"/>
  <c r="Y85"/>
  <c r="P84"/>
  <c r="AA84"/>
  <c r="AB84" s="1"/>
  <c r="Z76"/>
  <c r="Y76"/>
  <c r="Z74"/>
  <c r="Y74"/>
  <c r="Z72"/>
  <c r="Y72"/>
  <c r="Z70"/>
  <c r="Y70"/>
  <c r="Z69"/>
  <c r="Y69"/>
  <c r="Z64"/>
  <c r="Y64"/>
  <c r="P61" i="25"/>
  <c r="Z62" i="20"/>
  <c r="Y62"/>
  <c r="P60" i="25"/>
  <c r="Z61" i="20"/>
  <c r="Y61"/>
  <c r="Z58"/>
  <c r="Y58"/>
  <c r="Z57"/>
  <c r="Y57"/>
  <c r="Z55"/>
  <c r="Y55"/>
  <c r="P54" i="25"/>
  <c r="Z54" i="20"/>
  <c r="Y54"/>
  <c r="P53" i="25"/>
  <c r="Z52" i="20"/>
  <c r="Y52"/>
  <c r="Z51"/>
  <c r="Y51"/>
  <c r="Z50"/>
  <c r="Y50"/>
  <c r="Z49"/>
  <c r="Y49"/>
  <c r="Z48"/>
  <c r="Y48"/>
  <c r="P46" i="25"/>
  <c r="Z47" i="20"/>
  <c r="Y47"/>
  <c r="Z46"/>
  <c r="Y46"/>
  <c r="P44" i="25"/>
  <c r="P43"/>
  <c r="Z42" i="20"/>
  <c r="Y42"/>
  <c r="Z41"/>
  <c r="Y41"/>
  <c r="Z40"/>
  <c r="Y40"/>
  <c r="Z35"/>
  <c r="Y35"/>
  <c r="P33" i="25"/>
  <c r="Z32" i="20"/>
  <c r="Y32"/>
  <c r="Z31"/>
  <c r="Y31"/>
  <c r="Z30"/>
  <c r="Y30"/>
  <c r="Z28"/>
  <c r="Y28"/>
  <c r="Z27"/>
  <c r="Y27"/>
  <c r="Y24"/>
  <c r="P24"/>
  <c r="Y23"/>
  <c r="P23"/>
  <c r="Y22"/>
  <c r="P22"/>
  <c r="Y21"/>
  <c r="P21"/>
  <c r="P19"/>
  <c r="Y18"/>
  <c r="P18"/>
  <c r="Y17"/>
  <c r="P17"/>
  <c r="Y16"/>
  <c r="P16"/>
  <c r="Y14"/>
  <c r="P14"/>
  <c r="Y13"/>
  <c r="P13"/>
  <c r="Y12"/>
  <c r="P12"/>
  <c r="Y11"/>
  <c r="P11"/>
  <c r="Y10"/>
  <c r="Y9"/>
  <c r="P9"/>
  <c r="Y8"/>
  <c r="P8"/>
  <c r="Y7"/>
  <c r="P7"/>
  <c r="Y6"/>
  <c r="P6"/>
  <c r="X136" i="7"/>
  <c r="U136"/>
  <c r="P136"/>
  <c r="Q136" s="1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L137"/>
  <c r="Q130"/>
  <c r="U130" s="1"/>
  <c r="P130"/>
  <c r="P131"/>
  <c r="Q128"/>
  <c r="P128"/>
  <c r="U128" s="1"/>
  <c r="Q111"/>
  <c r="P111"/>
  <c r="P112"/>
  <c r="U135"/>
  <c r="P135"/>
  <c r="Q135" s="1"/>
  <c r="U134"/>
  <c r="X134" s="1"/>
  <c r="P134"/>
  <c r="Q134" s="1"/>
  <c r="Q122" i="20" l="1"/>
  <c r="Q120" i="27" s="1"/>
  <c r="U120" s="1"/>
  <c r="X120" s="1"/>
  <c r="W153" i="25"/>
  <c r="P170" i="20"/>
  <c r="P80" i="25"/>
  <c r="Q85" i="20"/>
  <c r="P94" i="25"/>
  <c r="Q99" i="20"/>
  <c r="P98" i="25"/>
  <c r="Q102" i="20"/>
  <c r="Q98" i="27" s="1"/>
  <c r="U98" s="1"/>
  <c r="X98" s="1"/>
  <c r="AA99" s="1"/>
  <c r="P93" i="25"/>
  <c r="Q98" i="20"/>
  <c r="Q113"/>
  <c r="W113" s="1"/>
  <c r="P79" i="25"/>
  <c r="Q84" i="20"/>
  <c r="P97" i="25"/>
  <c r="Q101" i="20"/>
  <c r="P99" i="25"/>
  <c r="Q103" i="20"/>
  <c r="P102" i="25"/>
  <c r="Q106" i="20"/>
  <c r="P107" i="25"/>
  <c r="Q6" i="20"/>
  <c r="Q8"/>
  <c r="U8" s="1"/>
  <c r="X8" s="1"/>
  <c r="U12"/>
  <c r="X12" s="1"/>
  <c r="AA12" s="1"/>
  <c r="AB12" s="1"/>
  <c r="U14"/>
  <c r="X14" s="1"/>
  <c r="U17"/>
  <c r="X17"/>
  <c r="P19" i="25"/>
  <c r="U19" i="20"/>
  <c r="X19" s="1"/>
  <c r="U21"/>
  <c r="X21"/>
  <c r="U23"/>
  <c r="X23" s="1"/>
  <c r="P103" i="25"/>
  <c r="P106"/>
  <c r="P108"/>
  <c r="X15" i="20"/>
  <c r="P117" i="25"/>
  <c r="P113"/>
  <c r="P122"/>
  <c r="Q7" i="20"/>
  <c r="U7" s="1"/>
  <c r="U7" i="25" s="1"/>
  <c r="Q9" i="20"/>
  <c r="S9" s="1"/>
  <c r="S170" s="1"/>
  <c r="P11" i="25"/>
  <c r="Q11" i="20"/>
  <c r="U11" s="1"/>
  <c r="X11" s="1"/>
  <c r="U13"/>
  <c r="U13" i="25" s="1"/>
  <c r="U16" i="20"/>
  <c r="X16" s="1"/>
  <c r="AA16" s="1"/>
  <c r="AB16" s="1"/>
  <c r="U18"/>
  <c r="U18" i="25" s="1"/>
  <c r="Z18" s="1"/>
  <c r="P20"/>
  <c r="U22" i="20"/>
  <c r="X22" s="1"/>
  <c r="U24"/>
  <c r="X24" s="1"/>
  <c r="P115" i="25"/>
  <c r="P105"/>
  <c r="P109"/>
  <c r="P104"/>
  <c r="Q6" i="27"/>
  <c r="P6" i="25"/>
  <c r="P119"/>
  <c r="P126"/>
  <c r="S126" s="1"/>
  <c r="Z127" s="1"/>
  <c r="Q126" i="27"/>
  <c r="P13" i="25"/>
  <c r="P24"/>
  <c r="P7"/>
  <c r="P9"/>
  <c r="P125"/>
  <c r="S125" s="1"/>
  <c r="P128"/>
  <c r="S128" s="1"/>
  <c r="Q128" i="27"/>
  <c r="Q131"/>
  <c r="P131" i="25"/>
  <c r="S131" s="1"/>
  <c r="S131" i="27"/>
  <c r="W165" i="25"/>
  <c r="P8"/>
  <c r="P28"/>
  <c r="Q130" i="27"/>
  <c r="P130" i="25"/>
  <c r="S130" s="1"/>
  <c r="S130" i="27"/>
  <c r="P118" i="25"/>
  <c r="P16"/>
  <c r="P18"/>
  <c r="P22"/>
  <c r="Q10" i="27"/>
  <c r="U10" i="25"/>
  <c r="P12"/>
  <c r="P14"/>
  <c r="P17"/>
  <c r="P21"/>
  <c r="P23"/>
  <c r="P120"/>
  <c r="Q30" i="27"/>
  <c r="P30" i="25"/>
  <c r="Q45" i="27"/>
  <c r="U45" s="1"/>
  <c r="X45" s="1"/>
  <c r="AA45" s="1"/>
  <c r="P45" i="25"/>
  <c r="Q50" i="27"/>
  <c r="U50" s="1"/>
  <c r="X50" s="1"/>
  <c r="AA50" s="1"/>
  <c r="P50" i="25"/>
  <c r="P67"/>
  <c r="Q69" i="27"/>
  <c r="P69" i="25"/>
  <c r="Q29" i="27"/>
  <c r="U29" s="1"/>
  <c r="X29" s="1"/>
  <c r="AA29" s="1"/>
  <c r="P29" i="25"/>
  <c r="Q31" i="27"/>
  <c r="U31" s="1"/>
  <c r="X31" s="1"/>
  <c r="AA31" s="1"/>
  <c r="P31" i="25"/>
  <c r="Q35" i="27"/>
  <c r="U35" s="1"/>
  <c r="X35" s="1"/>
  <c r="AA35" s="1"/>
  <c r="P35" i="25"/>
  <c r="Q40" i="27"/>
  <c r="U40" s="1"/>
  <c r="X40" s="1"/>
  <c r="AA40" s="1"/>
  <c r="P40" i="25"/>
  <c r="Q32" i="27"/>
  <c r="U32" s="1"/>
  <c r="X32" s="1"/>
  <c r="AA32" s="1"/>
  <c r="P32" i="25"/>
  <c r="Q34" i="27"/>
  <c r="U34" s="1"/>
  <c r="X34" s="1"/>
  <c r="AA34" s="1"/>
  <c r="P34" i="25"/>
  <c r="Q36" i="27"/>
  <c r="U36" s="1"/>
  <c r="X36" s="1"/>
  <c r="AA36" s="1"/>
  <c r="P36" i="25"/>
  <c r="P38"/>
  <c r="P41"/>
  <c r="Q47" i="27"/>
  <c r="P47" i="25"/>
  <c r="Q59" i="27"/>
  <c r="P59" i="25"/>
  <c r="Q72" i="27"/>
  <c r="U72" s="1"/>
  <c r="X72" s="1"/>
  <c r="AA72" s="1"/>
  <c r="P72" i="25"/>
  <c r="Q74" i="27"/>
  <c r="U74" s="1"/>
  <c r="X74" s="1"/>
  <c r="AA74" s="1"/>
  <c r="P74" i="25"/>
  <c r="P27"/>
  <c r="P37"/>
  <c r="Q42" i="27"/>
  <c r="P42" i="25"/>
  <c r="Q49" i="27"/>
  <c r="U49" s="1"/>
  <c r="X49" s="1"/>
  <c r="AA49" s="1"/>
  <c r="P49" i="25"/>
  <c r="Q62" i="27"/>
  <c r="U62" s="1"/>
  <c r="X62" s="1"/>
  <c r="AA62" s="1"/>
  <c r="P62" i="25"/>
  <c r="P68"/>
  <c r="P73"/>
  <c r="Q75" i="27"/>
  <c r="U75" s="1"/>
  <c r="X75" s="1"/>
  <c r="AA75" s="1"/>
  <c r="P75" i="25"/>
  <c r="Q55" i="27"/>
  <c r="U55" s="1"/>
  <c r="X55" s="1"/>
  <c r="AA55" s="1"/>
  <c r="P55" i="25"/>
  <c r="Q63" i="27"/>
  <c r="U63" s="1"/>
  <c r="X63" s="1"/>
  <c r="AA63" s="1"/>
  <c r="P63" i="25"/>
  <c r="Q51" i="27"/>
  <c r="U51" s="1"/>
  <c r="X51" s="1"/>
  <c r="AA51" s="1"/>
  <c r="P51" i="25"/>
  <c r="Q56" i="27"/>
  <c r="U56" s="1"/>
  <c r="X56" s="1"/>
  <c r="AA56" s="1"/>
  <c r="P56" i="25"/>
  <c r="Q64" i="27"/>
  <c r="U64" s="1"/>
  <c r="X64" s="1"/>
  <c r="AA64" s="1"/>
  <c r="P64" i="25"/>
  <c r="Q71" i="27"/>
  <c r="U71" s="1"/>
  <c r="X71" s="1"/>
  <c r="AA71" s="1"/>
  <c r="P71" i="25"/>
  <c r="P121"/>
  <c r="X134"/>
  <c r="AA135" s="1"/>
  <c r="U134"/>
  <c r="X132"/>
  <c r="U132"/>
  <c r="AA142"/>
  <c r="AB142" s="1"/>
  <c r="Y142"/>
  <c r="Z142" s="1"/>
  <c r="U114"/>
  <c r="Q115" i="27"/>
  <c r="U115" s="1"/>
  <c r="X115" s="1"/>
  <c r="AA116" s="1"/>
  <c r="Q108"/>
  <c r="U108" s="1"/>
  <c r="X108" s="1"/>
  <c r="AA109" s="1"/>
  <c r="Q107"/>
  <c r="U107" s="1"/>
  <c r="X107" s="1"/>
  <c r="AA108" s="1"/>
  <c r="AA91" i="20"/>
  <c r="U87"/>
  <c r="X87" s="1"/>
  <c r="AA97"/>
  <c r="R150"/>
  <c r="R153"/>
  <c r="R157"/>
  <c r="U165"/>
  <c r="X148"/>
  <c r="U160"/>
  <c r="U155" i="25" s="1"/>
  <c r="U168" i="20"/>
  <c r="U163" i="25" s="1"/>
  <c r="X147" i="20"/>
  <c r="R149"/>
  <c r="R152"/>
  <c r="R154"/>
  <c r="U157"/>
  <c r="U159"/>
  <c r="U154" i="25" s="1"/>
  <c r="U163" i="20"/>
  <c r="U158" i="25" s="1"/>
  <c r="U167" i="20"/>
  <c r="U162" i="25" s="1"/>
  <c r="R155" i="20"/>
  <c r="U161"/>
  <c r="U169"/>
  <c r="U144"/>
  <c r="U164"/>
  <c r="X150"/>
  <c r="X145" i="25" s="1"/>
  <c r="U162" i="20"/>
  <c r="U166"/>
  <c r="AA147"/>
  <c r="AB147" s="1"/>
  <c r="R145"/>
  <c r="R147"/>
  <c r="R146"/>
  <c r="Y147" s="1"/>
  <c r="Z147" s="1"/>
  <c r="U153"/>
  <c r="U148" i="25" s="1"/>
  <c r="R144" i="20"/>
  <c r="R160"/>
  <c r="R168"/>
  <c r="R159"/>
  <c r="R161"/>
  <c r="R167"/>
  <c r="R151"/>
  <c r="U152"/>
  <c r="U147" i="25" s="1"/>
  <c r="R158" i="20"/>
  <c r="R164"/>
  <c r="AC84"/>
  <c r="AD84" s="1"/>
  <c r="R148"/>
  <c r="R162"/>
  <c r="Q104" i="27"/>
  <c r="U104" s="1"/>
  <c r="X104" s="1"/>
  <c r="R156" i="20"/>
  <c r="R163"/>
  <c r="R165"/>
  <c r="R166"/>
  <c r="Q106" i="27"/>
  <c r="U106" s="1"/>
  <c r="X106" s="1"/>
  <c r="U158" i="20"/>
  <c r="U153" i="25" s="1"/>
  <c r="AC106" i="20"/>
  <c r="AD106" s="1"/>
  <c r="U154"/>
  <c r="U156"/>
  <c r="Q79" i="27"/>
  <c r="Q105"/>
  <c r="U105" s="1"/>
  <c r="X105" s="1"/>
  <c r="U86" i="20"/>
  <c r="U81" i="25" s="1"/>
  <c r="Q117" i="27"/>
  <c r="U117" s="1"/>
  <c r="X117" s="1"/>
  <c r="AA118" s="1"/>
  <c r="U155" i="20"/>
  <c r="U131" i="7"/>
  <c r="Q131"/>
  <c r="X128"/>
  <c r="U111"/>
  <c r="X111" s="1"/>
  <c r="Q112"/>
  <c r="U112" s="1"/>
  <c r="X135"/>
  <c r="P133"/>
  <c r="Q133" s="1"/>
  <c r="P132"/>
  <c r="M82"/>
  <c r="M83"/>
  <c r="M84"/>
  <c r="M85"/>
  <c r="M86"/>
  <c r="M87"/>
  <c r="M88"/>
  <c r="M89"/>
  <c r="M90"/>
  <c r="M91"/>
  <c r="M92"/>
  <c r="M93"/>
  <c r="M94"/>
  <c r="M95"/>
  <c r="M96"/>
  <c r="M97"/>
  <c r="M81"/>
  <c r="P85"/>
  <c r="Q85" s="1"/>
  <c r="Q8" i="27" l="1"/>
  <c r="I19" i="28" s="1"/>
  <c r="P19" s="1"/>
  <c r="Q19" s="1"/>
  <c r="Z115" i="20"/>
  <c r="W122"/>
  <c r="W170" s="1"/>
  <c r="Q109" i="27"/>
  <c r="Q170" i="20"/>
  <c r="X7"/>
  <c r="AA7" s="1"/>
  <c r="AB7" s="1"/>
  <c r="Q9" i="27"/>
  <c r="X9" s="1"/>
  <c r="AA9" s="1"/>
  <c r="AB9" s="1"/>
  <c r="U24" i="25"/>
  <c r="Z24" s="1"/>
  <c r="X18" i="20"/>
  <c r="X13"/>
  <c r="AA13" s="1"/>
  <c r="AB13" s="1"/>
  <c r="U9"/>
  <c r="U82" i="25"/>
  <c r="Q7" i="27"/>
  <c r="U7" s="1"/>
  <c r="U6" i="20"/>
  <c r="S9" i="25"/>
  <c r="Z14" i="20"/>
  <c r="Z18"/>
  <c r="U122"/>
  <c r="U120" i="25" s="1"/>
  <c r="U113" i="20"/>
  <c r="U109" i="25" s="1"/>
  <c r="U50"/>
  <c r="Z24" i="20"/>
  <c r="X40"/>
  <c r="Z13"/>
  <c r="X31"/>
  <c r="U8" i="25"/>
  <c r="Z8" s="1"/>
  <c r="U55"/>
  <c r="X131"/>
  <c r="AA132" s="1"/>
  <c r="S128" i="27"/>
  <c r="U128" s="1"/>
  <c r="Z129" s="1"/>
  <c r="X65" i="20"/>
  <c r="U34" i="25"/>
  <c r="AA24" i="20"/>
  <c r="AB24" s="1"/>
  <c r="S126" i="27"/>
  <c r="Z127" s="1"/>
  <c r="U71" i="25"/>
  <c r="U6"/>
  <c r="X6" s="1"/>
  <c r="U42"/>
  <c r="AA17" i="20"/>
  <c r="AB17" s="1"/>
  <c r="X17" i="25"/>
  <c r="AA17" s="1"/>
  <c r="AB17" s="1"/>
  <c r="U101" i="20"/>
  <c r="U97" i="25" s="1"/>
  <c r="Q97" i="27"/>
  <c r="U97" s="1"/>
  <c r="X97" s="1"/>
  <c r="AA98" s="1"/>
  <c r="U11" i="25"/>
  <c r="Q11" i="27"/>
  <c r="AA23" i="20"/>
  <c r="AB23" s="1"/>
  <c r="X23" i="25"/>
  <c r="AA23" s="1"/>
  <c r="AB23" s="1"/>
  <c r="X166" i="20"/>
  <c r="Y167" s="1"/>
  <c r="Z167" s="1"/>
  <c r="U161" i="25"/>
  <c r="X144" i="20"/>
  <c r="U139" i="25"/>
  <c r="U106" i="20"/>
  <c r="U102" i="25" s="1"/>
  <c r="Q102" i="27"/>
  <c r="U102" s="1"/>
  <c r="X102" s="1"/>
  <c r="AA103" s="1"/>
  <c r="AC108"/>
  <c r="AD108" s="1"/>
  <c r="AB108"/>
  <c r="AC116"/>
  <c r="AD116" s="1"/>
  <c r="AB116"/>
  <c r="X114" i="25"/>
  <c r="AA115" s="1"/>
  <c r="Q114" i="27"/>
  <c r="U114" s="1"/>
  <c r="X114" s="1"/>
  <c r="AA115" s="1"/>
  <c r="U21" i="25"/>
  <c r="Z21" s="1"/>
  <c r="AA14" i="20"/>
  <c r="AB14" s="1"/>
  <c r="U14" i="25"/>
  <c r="I20" i="28"/>
  <c r="U10" i="27"/>
  <c r="U120" i="20"/>
  <c r="U118" i="25" s="1"/>
  <c r="Q118" i="27"/>
  <c r="U118" s="1"/>
  <c r="X118" s="1"/>
  <c r="AA119" s="1"/>
  <c r="Q125"/>
  <c r="I17" i="28"/>
  <c r="U6" i="27"/>
  <c r="U103" i="20"/>
  <c r="U99" i="25" s="1"/>
  <c r="Q99" i="27"/>
  <c r="U99" s="1"/>
  <c r="X99" s="1"/>
  <c r="AA100" s="1"/>
  <c r="X7" i="25"/>
  <c r="AA7" s="1"/>
  <c r="AB7" s="1"/>
  <c r="Z7"/>
  <c r="X164" i="20"/>
  <c r="X159" i="25" s="1"/>
  <c r="U159"/>
  <c r="X157" i="20"/>
  <c r="Y158" s="1"/>
  <c r="Z158" s="1"/>
  <c r="U152" i="25"/>
  <c r="X165" i="20"/>
  <c r="Y166" s="1"/>
  <c r="Z166" s="1"/>
  <c r="U160" i="25"/>
  <c r="AC99" i="27"/>
  <c r="AD99" s="1"/>
  <c r="AB99"/>
  <c r="U125" i="20"/>
  <c r="U122" i="25" s="1"/>
  <c r="Q122" i="27"/>
  <c r="U117" i="20"/>
  <c r="U113" i="25" s="1"/>
  <c r="Q113" i="27"/>
  <c r="U113" s="1"/>
  <c r="X113" s="1"/>
  <c r="AA114" s="1"/>
  <c r="X10" i="25"/>
  <c r="AA10" s="1"/>
  <c r="AB10" s="1"/>
  <c r="Z10"/>
  <c r="U130" i="27"/>
  <c r="X130" s="1"/>
  <c r="AA131" s="1"/>
  <c r="Z21" i="20"/>
  <c r="U107"/>
  <c r="U103" i="25" s="1"/>
  <c r="Q103" i="27"/>
  <c r="AA22" i="20"/>
  <c r="AB22" s="1"/>
  <c r="X22" i="25"/>
  <c r="AA22" s="1"/>
  <c r="AB22" s="1"/>
  <c r="X19"/>
  <c r="U19"/>
  <c r="X161" i="20"/>
  <c r="Y162" s="1"/>
  <c r="Z162" s="1"/>
  <c r="U156" i="25"/>
  <c r="U85" i="20"/>
  <c r="Q80" i="27"/>
  <c r="U80" s="1"/>
  <c r="X80" s="1"/>
  <c r="AA81" s="1"/>
  <c r="U99" i="20"/>
  <c r="Q94" i="27"/>
  <c r="U94" s="1"/>
  <c r="X94" s="1"/>
  <c r="AC109"/>
  <c r="AD109" s="1"/>
  <c r="AB109"/>
  <c r="Z23" i="20"/>
  <c r="U23" i="25"/>
  <c r="Z23" s="1"/>
  <c r="Z17" i="20"/>
  <c r="U17" i="25"/>
  <c r="Z17" s="1"/>
  <c r="Z12" i="20"/>
  <c r="U12" i="25"/>
  <c r="Z22" i="20"/>
  <c r="U22" i="25"/>
  <c r="Z22" s="1"/>
  <c r="Z16" i="20"/>
  <c r="U16" i="25"/>
  <c r="U121" i="20"/>
  <c r="Q119" i="27"/>
  <c r="U119" s="1"/>
  <c r="X119" s="1"/>
  <c r="AA120" s="1"/>
  <c r="AB118"/>
  <c r="AC118"/>
  <c r="AD118" s="1"/>
  <c r="U79"/>
  <c r="X79" s="1"/>
  <c r="AA80" s="1"/>
  <c r="U20" i="25"/>
  <c r="X162" i="20"/>
  <c r="Y163" s="1"/>
  <c r="Z163" s="1"/>
  <c r="U157" i="25"/>
  <c r="X169" i="20"/>
  <c r="U164" i="25"/>
  <c r="U98" i="20"/>
  <c r="U93" i="25" s="1"/>
  <c r="Q93" i="27"/>
  <c r="U109"/>
  <c r="X109" s="1"/>
  <c r="AA111" s="1"/>
  <c r="U131"/>
  <c r="X131" s="1"/>
  <c r="AA132" s="1"/>
  <c r="P138" i="25"/>
  <c r="X13"/>
  <c r="AA13" s="1"/>
  <c r="AB13" s="1"/>
  <c r="Z13"/>
  <c r="X58" i="20"/>
  <c r="U56" i="25"/>
  <c r="AC75" i="27"/>
  <c r="AD75" s="1"/>
  <c r="AB75"/>
  <c r="AC49"/>
  <c r="AD49" s="1"/>
  <c r="AB49"/>
  <c r="Q37"/>
  <c r="U37" s="1"/>
  <c r="X37" s="1"/>
  <c r="AA37" s="1"/>
  <c r="U59"/>
  <c r="X59" s="1"/>
  <c r="AA59" s="1"/>
  <c r="U41" i="25"/>
  <c r="Q41" i="27"/>
  <c r="AC32"/>
  <c r="AD32" s="1"/>
  <c r="AB32"/>
  <c r="AB29"/>
  <c r="AC29"/>
  <c r="AD29" s="1"/>
  <c r="AB45"/>
  <c r="AC45"/>
  <c r="AD45" s="1"/>
  <c r="U60" i="25"/>
  <c r="Q60" i="27"/>
  <c r="U61" i="25"/>
  <c r="Q61" i="27"/>
  <c r="U61" s="1"/>
  <c r="X61" s="1"/>
  <c r="AA61" s="1"/>
  <c r="U63" i="25"/>
  <c r="Q43" i="27"/>
  <c r="U43" s="1"/>
  <c r="X43" s="1"/>
  <c r="AA43" s="1"/>
  <c r="Q73"/>
  <c r="U73" s="1"/>
  <c r="X73" s="1"/>
  <c r="AA73" s="1"/>
  <c r="AC62"/>
  <c r="AD62" s="1"/>
  <c r="AB62"/>
  <c r="U42"/>
  <c r="X42" s="1"/>
  <c r="AA42" s="1"/>
  <c r="AC72"/>
  <c r="AD72" s="1"/>
  <c r="AB72"/>
  <c r="U47"/>
  <c r="X47" s="1"/>
  <c r="AA47" s="1"/>
  <c r="Q38"/>
  <c r="U38" s="1"/>
  <c r="X38" s="1"/>
  <c r="AA38" s="1"/>
  <c r="AC34"/>
  <c r="AD34" s="1"/>
  <c r="AB34"/>
  <c r="AB40"/>
  <c r="AC40"/>
  <c r="AD40" s="1"/>
  <c r="AC31"/>
  <c r="AD31" s="1"/>
  <c r="AB31"/>
  <c r="U69"/>
  <c r="X69" s="1"/>
  <c r="AA69" s="1"/>
  <c r="AC50"/>
  <c r="AD50" s="1"/>
  <c r="AB50"/>
  <c r="U30"/>
  <c r="X30" s="1"/>
  <c r="AA30" s="1"/>
  <c r="U46" i="25"/>
  <c r="Q46" i="27"/>
  <c r="U53" i="25"/>
  <c r="Q53" i="27"/>
  <c r="U53" s="1"/>
  <c r="X53" s="1"/>
  <c r="AA53" s="1"/>
  <c r="Q27"/>
  <c r="U44" i="25"/>
  <c r="Q44" i="27"/>
  <c r="U44" s="1"/>
  <c r="X44" s="1"/>
  <c r="AA44" s="1"/>
  <c r="U54" i="25"/>
  <c r="Q54" i="27"/>
  <c r="U54" s="1"/>
  <c r="X54" s="1"/>
  <c r="AA54" s="1"/>
  <c r="AC64"/>
  <c r="AD64" s="1"/>
  <c r="AB64"/>
  <c r="AB51"/>
  <c r="AC51"/>
  <c r="AD51" s="1"/>
  <c r="AC55"/>
  <c r="AD55" s="1"/>
  <c r="AB55"/>
  <c r="X51" i="20"/>
  <c r="U33" i="25"/>
  <c r="Q33" i="27"/>
  <c r="U33" s="1"/>
  <c r="X33" s="1"/>
  <c r="AA33" s="1"/>
  <c r="X28" i="20"/>
  <c r="Q28" i="27"/>
  <c r="U28" s="1"/>
  <c r="X28" s="1"/>
  <c r="AA28" s="1"/>
  <c r="X61" i="20"/>
  <c r="U59" i="25"/>
  <c r="U68"/>
  <c r="Q68" i="27"/>
  <c r="U68" s="1"/>
  <c r="X68" s="1"/>
  <c r="AA68" s="1"/>
  <c r="AC74"/>
  <c r="AD74" s="1"/>
  <c r="AB74"/>
  <c r="AB36"/>
  <c r="AC36"/>
  <c r="AD36" s="1"/>
  <c r="AC35"/>
  <c r="AD35" s="1"/>
  <c r="AB35"/>
  <c r="Q67"/>
  <c r="X49" i="20"/>
  <c r="U47" i="25"/>
  <c r="AB71" i="27"/>
  <c r="AC71"/>
  <c r="AD71" s="1"/>
  <c r="AC56"/>
  <c r="AD56" s="1"/>
  <c r="AB56"/>
  <c r="AB63"/>
  <c r="AC63"/>
  <c r="AD63" s="1"/>
  <c r="U124" i="20"/>
  <c r="U121" i="25" s="1"/>
  <c r="Q121" i="27"/>
  <c r="AA139" i="20"/>
  <c r="AC139" s="1"/>
  <c r="AD139" s="1"/>
  <c r="AC135" i="25"/>
  <c r="AD135" s="1"/>
  <c r="AB135"/>
  <c r="X136"/>
  <c r="AA137" s="1"/>
  <c r="U136"/>
  <c r="Z137" s="1"/>
  <c r="AA146"/>
  <c r="AB146" s="1"/>
  <c r="Y146"/>
  <c r="Z146" s="1"/>
  <c r="AA149" i="20"/>
  <c r="AB149" s="1"/>
  <c r="X143" i="25"/>
  <c r="X154" i="20"/>
  <c r="X149" i="25" s="1"/>
  <c r="U149"/>
  <c r="X151" i="20"/>
  <c r="X146" i="25" s="1"/>
  <c r="U146"/>
  <c r="AA148" i="20"/>
  <c r="AB148" s="1"/>
  <c r="X142" i="25"/>
  <c r="X156" i="20"/>
  <c r="X151" i="25" s="1"/>
  <c r="U151"/>
  <c r="R169" i="20"/>
  <c r="P165" i="25"/>
  <c r="X155" i="20"/>
  <c r="X150" i="25" s="1"/>
  <c r="U150"/>
  <c r="U118" i="20"/>
  <c r="U102"/>
  <c r="U112"/>
  <c r="U108" i="25" s="1"/>
  <c r="U111" i="20"/>
  <c r="AA116"/>
  <c r="AC116" s="1"/>
  <c r="AD116" s="1"/>
  <c r="X82" i="25"/>
  <c r="Q82" s="1"/>
  <c r="Y151" i="20"/>
  <c r="Z151" s="1"/>
  <c r="X167"/>
  <c r="X159"/>
  <c r="X168"/>
  <c r="X158"/>
  <c r="X152"/>
  <c r="X145"/>
  <c r="X140" i="25" s="1"/>
  <c r="Y149" i="20"/>
  <c r="Z149" s="1"/>
  <c r="AA151"/>
  <c r="AB151" s="1"/>
  <c r="X163"/>
  <c r="X153"/>
  <c r="X160"/>
  <c r="X149"/>
  <c r="Y148"/>
  <c r="Z148" s="1"/>
  <c r="AA93"/>
  <c r="AC93" s="1"/>
  <c r="AD93" s="1"/>
  <c r="U119"/>
  <c r="U108"/>
  <c r="U110"/>
  <c r="AC91"/>
  <c r="AD91" s="1"/>
  <c r="AB91"/>
  <c r="AA98"/>
  <c r="AC98" s="1"/>
  <c r="AD98" s="1"/>
  <c r="AA82"/>
  <c r="AB82" s="1"/>
  <c r="AA89"/>
  <c r="AB89" s="1"/>
  <c r="AA92"/>
  <c r="AC92" s="1"/>
  <c r="AD92" s="1"/>
  <c r="AC97"/>
  <c r="AD97" s="1"/>
  <c r="AB97"/>
  <c r="Z7"/>
  <c r="U84"/>
  <c r="U109"/>
  <c r="X86"/>
  <c r="AA10"/>
  <c r="AB10" s="1"/>
  <c r="Z10"/>
  <c r="X48"/>
  <c r="U132" i="7"/>
  <c r="Q132"/>
  <c r="U133"/>
  <c r="X133" s="1"/>
  <c r="X112"/>
  <c r="U85"/>
  <c r="X85" s="1"/>
  <c r="P105"/>
  <c r="Q105" s="1"/>
  <c r="U105" s="1"/>
  <c r="P106"/>
  <c r="Q106" s="1"/>
  <c r="U106" s="1"/>
  <c r="P107"/>
  <c r="P96"/>
  <c r="Q96" s="1"/>
  <c r="P95"/>
  <c r="Q95" s="1"/>
  <c r="S149"/>
  <c r="Q149"/>
  <c r="P149"/>
  <c r="P152"/>
  <c r="Q152" s="1"/>
  <c r="W168"/>
  <c r="W167"/>
  <c r="P168"/>
  <c r="R167" s="1"/>
  <c r="P167"/>
  <c r="U8" i="27" l="1"/>
  <c r="AL8" s="1"/>
  <c r="X113" i="20"/>
  <c r="X122"/>
  <c r="X120" i="25" s="1"/>
  <c r="U170" i="20"/>
  <c r="X6"/>
  <c r="X139" i="25"/>
  <c r="AA140" s="1"/>
  <c r="AB140" s="1"/>
  <c r="I18" i="28"/>
  <c r="K18" s="1"/>
  <c r="U9" i="25"/>
  <c r="X9" s="1"/>
  <c r="AA9" s="1"/>
  <c r="AQ9" i="20"/>
  <c r="X9"/>
  <c r="AA9" s="1"/>
  <c r="AB9" s="1"/>
  <c r="Z9"/>
  <c r="S165" i="25"/>
  <c r="Z8" i="20"/>
  <c r="U126" i="25"/>
  <c r="Y19" i="20"/>
  <c r="Z19" s="1"/>
  <c r="AA145"/>
  <c r="AB145" s="1"/>
  <c r="AA165"/>
  <c r="AB165" s="1"/>
  <c r="AA8"/>
  <c r="AB8" s="1"/>
  <c r="Y145"/>
  <c r="Z145" s="1"/>
  <c r="AA118"/>
  <c r="AC118" s="1"/>
  <c r="AD118" s="1"/>
  <c r="Y170"/>
  <c r="Z170" s="1"/>
  <c r="AA11"/>
  <c r="AB11" s="1"/>
  <c r="Z11"/>
  <c r="Z6"/>
  <c r="X103"/>
  <c r="AA104" s="1"/>
  <c r="AC104" s="1"/>
  <c r="AD104" s="1"/>
  <c r="U131" i="25"/>
  <c r="X34" i="20"/>
  <c r="X34" i="25" s="1"/>
  <c r="AA34" s="1"/>
  <c r="X55" i="20"/>
  <c r="AA55" s="1"/>
  <c r="AB55" s="1"/>
  <c r="X41"/>
  <c r="X41" i="25" s="1"/>
  <c r="AA41" s="1"/>
  <c r="U64"/>
  <c r="X72" i="20"/>
  <c r="AA72" s="1"/>
  <c r="X8" i="25"/>
  <c r="AA8" s="1"/>
  <c r="AB8" s="1"/>
  <c r="X57" i="20"/>
  <c r="AA57" s="1"/>
  <c r="U40" i="25"/>
  <c r="Z6"/>
  <c r="U51"/>
  <c r="X24"/>
  <c r="AA24" s="1"/>
  <c r="AB24" s="1"/>
  <c r="Y152" i="20"/>
  <c r="Z152" s="1"/>
  <c r="Y165"/>
  <c r="Z165" s="1"/>
  <c r="X106"/>
  <c r="AA107" s="1"/>
  <c r="AB107" s="1"/>
  <c r="X42"/>
  <c r="AA42" s="1"/>
  <c r="U31" i="25"/>
  <c r="AA155" i="20"/>
  <c r="AB155" s="1"/>
  <c r="AA19"/>
  <c r="AB19" s="1"/>
  <c r="X98"/>
  <c r="X93" i="25" s="1"/>
  <c r="X124" i="20"/>
  <c r="X121" i="25" s="1"/>
  <c r="AA122" s="1"/>
  <c r="U126" i="27"/>
  <c r="X126" s="1"/>
  <c r="AA127" s="1"/>
  <c r="AB127" s="1"/>
  <c r="Z130" i="20"/>
  <c r="AB131" i="27"/>
  <c r="AC131"/>
  <c r="AD131" s="1"/>
  <c r="AB132"/>
  <c r="AC132"/>
  <c r="AD132" s="1"/>
  <c r="AA161" i="20"/>
  <c r="AB161" s="1"/>
  <c r="X155" i="25"/>
  <c r="AA159" i="20"/>
  <c r="AB159" s="1"/>
  <c r="X153" i="25"/>
  <c r="AA163" i="20"/>
  <c r="AB163" s="1"/>
  <c r="X157" i="25"/>
  <c r="X99" i="20"/>
  <c r="X94" i="25" s="1"/>
  <c r="U94"/>
  <c r="AC100" i="27"/>
  <c r="AD100" s="1"/>
  <c r="AB100"/>
  <c r="Z10"/>
  <c r="X10"/>
  <c r="AA10" s="1"/>
  <c r="AB10" s="1"/>
  <c r="AB103"/>
  <c r="AC103"/>
  <c r="AD103" s="1"/>
  <c r="I21" i="28"/>
  <c r="M21" s="1"/>
  <c r="P21" s="1"/>
  <c r="Q21" s="1"/>
  <c r="U11" i="27"/>
  <c r="AA6" i="25"/>
  <c r="AB6" s="1"/>
  <c r="X84" i="20"/>
  <c r="X79" i="25" s="1"/>
  <c r="U79"/>
  <c r="X119" i="20"/>
  <c r="U117" i="25"/>
  <c r="Y168" i="20"/>
  <c r="Z168" s="1"/>
  <c r="X162" i="25"/>
  <c r="X111" i="20"/>
  <c r="U107" i="25"/>
  <c r="X102" i="20"/>
  <c r="U98" i="25"/>
  <c r="AA18" i="20"/>
  <c r="AB18" s="1"/>
  <c r="X18" i="25"/>
  <c r="AA18" s="1"/>
  <c r="AB18" s="1"/>
  <c r="Z7" i="27"/>
  <c r="X7"/>
  <c r="AA7" s="1"/>
  <c r="AB7" s="1"/>
  <c r="U93"/>
  <c r="X93" s="1"/>
  <c r="AA94" s="1"/>
  <c r="X16" i="25"/>
  <c r="AA16" s="1"/>
  <c r="AB16" s="1"/>
  <c r="Z16"/>
  <c r="X12"/>
  <c r="AA12" s="1"/>
  <c r="AB12" s="1"/>
  <c r="Z12"/>
  <c r="U103" i="27"/>
  <c r="X103" s="1"/>
  <c r="AA104" s="1"/>
  <c r="AA158" i="20"/>
  <c r="AB158" s="1"/>
  <c r="X152" i="25"/>
  <c r="M17" i="28"/>
  <c r="AC115" i="25"/>
  <c r="AD115" s="1"/>
  <c r="AB115"/>
  <c r="Y140"/>
  <c r="Z140" s="1"/>
  <c r="AC98" i="27"/>
  <c r="AD98" s="1"/>
  <c r="AB98"/>
  <c r="X109" i="20"/>
  <c r="X105" i="25" s="1"/>
  <c r="U105"/>
  <c r="X110" i="20"/>
  <c r="X106" i="25" s="1"/>
  <c r="U106"/>
  <c r="AA164" i="20"/>
  <c r="AB164" s="1"/>
  <c r="X158" i="25"/>
  <c r="AA160" i="20"/>
  <c r="AB160" s="1"/>
  <c r="X154" i="25"/>
  <c r="AA170" i="20"/>
  <c r="AB170" s="1"/>
  <c r="X164" i="25"/>
  <c r="X20"/>
  <c r="U119"/>
  <c r="X121" i="20"/>
  <c r="X85"/>
  <c r="U80" i="25"/>
  <c r="Y19"/>
  <c r="Z19" s="1"/>
  <c r="AA19"/>
  <c r="AB19" s="1"/>
  <c r="AC114" i="27"/>
  <c r="AD114" s="1"/>
  <c r="AB114"/>
  <c r="X6"/>
  <c r="Z6"/>
  <c r="AB119"/>
  <c r="AC119"/>
  <c r="AD119" s="1"/>
  <c r="X14" i="25"/>
  <c r="AA14" s="1"/>
  <c r="AB14" s="1"/>
  <c r="Z14"/>
  <c r="AB115" i="27"/>
  <c r="AC115"/>
  <c r="AD115" s="1"/>
  <c r="X62" i="20"/>
  <c r="X60" i="25" s="1"/>
  <c r="AA60" s="1"/>
  <c r="X33" i="20"/>
  <c r="AA33" s="1"/>
  <c r="AB33" s="1"/>
  <c r="X107"/>
  <c r="X46"/>
  <c r="AA46" s="1"/>
  <c r="AC46" s="1"/>
  <c r="AD46" s="1"/>
  <c r="X125"/>
  <c r="X101"/>
  <c r="X117"/>
  <c r="X120"/>
  <c r="X128" i="27"/>
  <c r="AA129" s="1"/>
  <c r="AA162" i="20"/>
  <c r="AB162" s="1"/>
  <c r="X156" i="25"/>
  <c r="U122" i="27"/>
  <c r="X122" s="1"/>
  <c r="AA123" s="1"/>
  <c r="X108" i="20"/>
  <c r="X104" i="25" s="1"/>
  <c r="U104"/>
  <c r="AA87" i="20"/>
  <c r="AB87" s="1"/>
  <c r="X81" i="25"/>
  <c r="AA169" i="20"/>
  <c r="AB169" s="1"/>
  <c r="X163" i="25"/>
  <c r="X118" i="20"/>
  <c r="AA123" s="1"/>
  <c r="U115" i="25"/>
  <c r="AC111" i="27"/>
  <c r="AD111" s="1"/>
  <c r="AB111"/>
  <c r="AB80"/>
  <c r="AC80"/>
  <c r="AD80" s="1"/>
  <c r="AB120"/>
  <c r="AC120"/>
  <c r="AD120" s="1"/>
  <c r="AC81"/>
  <c r="AD81" s="1"/>
  <c r="AB81"/>
  <c r="X8"/>
  <c r="AA8" s="1"/>
  <c r="AB8" s="1"/>
  <c r="AA166" i="20"/>
  <c r="AB166" s="1"/>
  <c r="X160" i="25"/>
  <c r="Y160"/>
  <c r="Z160" s="1"/>
  <c r="AA160"/>
  <c r="AB160" s="1"/>
  <c r="M20" i="28"/>
  <c r="K20" s="1"/>
  <c r="AA21" i="20"/>
  <c r="AB21" s="1"/>
  <c r="X21" i="25"/>
  <c r="AA21" s="1"/>
  <c r="AB21" s="1"/>
  <c r="AA167" i="20"/>
  <c r="AB167" s="1"/>
  <c r="X161" i="25"/>
  <c r="X11"/>
  <c r="AA11" s="1"/>
  <c r="AB11" s="1"/>
  <c r="Z11"/>
  <c r="AB69" i="27"/>
  <c r="AC69"/>
  <c r="AD69" s="1"/>
  <c r="AB59"/>
  <c r="AC59"/>
  <c r="AD59" s="1"/>
  <c r="AB30"/>
  <c r="AC30"/>
  <c r="AD30" s="1"/>
  <c r="X74" i="20"/>
  <c r="U72" i="25"/>
  <c r="AC54" i="27"/>
  <c r="AD54" s="1"/>
  <c r="AB54"/>
  <c r="U27"/>
  <c r="X27" s="1"/>
  <c r="AA27" s="1"/>
  <c r="U38" i="25"/>
  <c r="X38" i="20"/>
  <c r="AA31"/>
  <c r="X31" i="25"/>
  <c r="AA31" s="1"/>
  <c r="AA40" i="20"/>
  <c r="X40" i="25"/>
  <c r="AA40" s="1"/>
  <c r="AA58" i="20"/>
  <c r="X56" i="25"/>
  <c r="AA56" s="1"/>
  <c r="U27"/>
  <c r="U35"/>
  <c r="AA49" i="20"/>
  <c r="X47" i="25"/>
  <c r="AA47" s="1"/>
  <c r="X68" i="20"/>
  <c r="U67" i="25"/>
  <c r="U28"/>
  <c r="X50" i="20"/>
  <c r="U49" i="25"/>
  <c r="U75"/>
  <c r="X47" i="20"/>
  <c r="U45" i="25"/>
  <c r="AB53" i="27"/>
  <c r="AC53"/>
  <c r="AD53" s="1"/>
  <c r="AC38"/>
  <c r="AD38" s="1"/>
  <c r="AB38"/>
  <c r="AB43"/>
  <c r="AC43"/>
  <c r="AD43" s="1"/>
  <c r="AC61"/>
  <c r="AD61" s="1"/>
  <c r="AB61"/>
  <c r="U67"/>
  <c r="X67" s="1"/>
  <c r="AA67" s="1"/>
  <c r="AB68"/>
  <c r="AC68"/>
  <c r="AD68" s="1"/>
  <c r="AB28"/>
  <c r="AC28"/>
  <c r="AD28" s="1"/>
  <c r="X64" i="20"/>
  <c r="U62" i="25"/>
  <c r="U74"/>
  <c r="AC44" i="27"/>
  <c r="AD44" s="1"/>
  <c r="AB44"/>
  <c r="U73" i="25"/>
  <c r="X75" i="20"/>
  <c r="X63" i="25"/>
  <c r="AA63" s="1"/>
  <c r="AA65" i="20"/>
  <c r="X64" i="25"/>
  <c r="AA64" s="1"/>
  <c r="X37" i="20"/>
  <c r="U37" i="25"/>
  <c r="X63" i="20"/>
  <c r="X69"/>
  <c r="X75" i="25"/>
  <c r="AA75" s="1"/>
  <c r="AA48" i="20"/>
  <c r="AB48" s="1"/>
  <c r="X46" i="25"/>
  <c r="AA46" s="1"/>
  <c r="AC33" i="27"/>
  <c r="AD33" s="1"/>
  <c r="AB33"/>
  <c r="X70" i="20"/>
  <c r="U69" i="25"/>
  <c r="X45" i="20"/>
  <c r="U43" i="25"/>
  <c r="X29" i="20"/>
  <c r="U29" i="25"/>
  <c r="AA52" i="20"/>
  <c r="X51" i="25"/>
  <c r="AA51" s="1"/>
  <c r="AA61" i="20"/>
  <c r="X59" i="25"/>
  <c r="AA59" s="1"/>
  <c r="AA51" i="20"/>
  <c r="X50" i="25"/>
  <c r="AA50" s="1"/>
  <c r="X30" i="20"/>
  <c r="U30" i="25"/>
  <c r="X32" i="20"/>
  <c r="U32" i="25"/>
  <c r="X35" i="20"/>
  <c r="U36" i="25"/>
  <c r="U46" i="27"/>
  <c r="X46" s="1"/>
  <c r="AA46" s="1"/>
  <c r="AB47"/>
  <c r="AC47"/>
  <c r="AD47" s="1"/>
  <c r="AB42"/>
  <c r="AC42"/>
  <c r="AD42" s="1"/>
  <c r="AB73"/>
  <c r="AC73"/>
  <c r="AD73" s="1"/>
  <c r="U60"/>
  <c r="X60" s="1"/>
  <c r="AA60" s="1"/>
  <c r="U41"/>
  <c r="X41" s="1"/>
  <c r="AA41" s="1"/>
  <c r="AC37"/>
  <c r="AD37" s="1"/>
  <c r="AB37"/>
  <c r="Q165"/>
  <c r="U121"/>
  <c r="AB139" i="20"/>
  <c r="AC137" i="25"/>
  <c r="AD137" s="1"/>
  <c r="AB137"/>
  <c r="AB132"/>
  <c r="AC132"/>
  <c r="AD132" s="1"/>
  <c r="U130"/>
  <c r="U137"/>
  <c r="X137"/>
  <c r="AA135" i="20"/>
  <c r="AC135" s="1"/>
  <c r="AD135" s="1"/>
  <c r="Y150"/>
  <c r="Z150" s="1"/>
  <c r="X144" i="25"/>
  <c r="AA153" i="20"/>
  <c r="AB153" s="1"/>
  <c r="X147" i="25"/>
  <c r="Y150"/>
  <c r="Z150" s="1"/>
  <c r="AA150"/>
  <c r="AB150" s="1"/>
  <c r="AA141"/>
  <c r="AB141" s="1"/>
  <c r="Y141"/>
  <c r="Z141" s="1"/>
  <c r="AA143"/>
  <c r="AB143" s="1"/>
  <c r="Y143"/>
  <c r="Z143" s="1"/>
  <c r="AA154" i="20"/>
  <c r="AB154" s="1"/>
  <c r="X148" i="25"/>
  <c r="AA147"/>
  <c r="AB147" s="1"/>
  <c r="Y147"/>
  <c r="Z147" s="1"/>
  <c r="AA144"/>
  <c r="AB144" s="1"/>
  <c r="Y144"/>
  <c r="Z144" s="1"/>
  <c r="Y155" i="20"/>
  <c r="Z155" s="1"/>
  <c r="AA152"/>
  <c r="AB152" s="1"/>
  <c r="Y156"/>
  <c r="Z156" s="1"/>
  <c r="AA156"/>
  <c r="AB156" s="1"/>
  <c r="AA157"/>
  <c r="AB157" s="1"/>
  <c r="AA152" i="25"/>
  <c r="AB152" s="1"/>
  <c r="Y152"/>
  <c r="Z152" s="1"/>
  <c r="Y157" i="20"/>
  <c r="Z157" s="1"/>
  <c r="AA151" i="25"/>
  <c r="AB151" s="1"/>
  <c r="Y151"/>
  <c r="X112" i="20"/>
  <c r="X108" i="25" s="1"/>
  <c r="AA109" s="1"/>
  <c r="AB116" i="20"/>
  <c r="Y164"/>
  <c r="Z164" s="1"/>
  <c r="Y159"/>
  <c r="Z159" s="1"/>
  <c r="Y169"/>
  <c r="Z169" s="1"/>
  <c r="Y160"/>
  <c r="Z160" s="1"/>
  <c r="Y153"/>
  <c r="Z153" s="1"/>
  <c r="AB98"/>
  <c r="AA168"/>
  <c r="AB168" s="1"/>
  <c r="Y161"/>
  <c r="Z161" s="1"/>
  <c r="AB93"/>
  <c r="AC169"/>
  <c r="Y154"/>
  <c r="Z154" s="1"/>
  <c r="AA150"/>
  <c r="AB150" s="1"/>
  <c r="Z142"/>
  <c r="AA142"/>
  <c r="AB142" s="1"/>
  <c r="Y146"/>
  <c r="Z146" s="1"/>
  <c r="AA146"/>
  <c r="AB146" s="1"/>
  <c r="AA117"/>
  <c r="AB92"/>
  <c r="AC89"/>
  <c r="AD89" s="1"/>
  <c r="AC82"/>
  <c r="AD82" s="1"/>
  <c r="AA27"/>
  <c r="X132" i="7"/>
  <c r="S152"/>
  <c r="U152" s="1"/>
  <c r="X152" s="1"/>
  <c r="U149"/>
  <c r="X149" s="1"/>
  <c r="X106"/>
  <c r="U96"/>
  <c r="X96" s="1"/>
  <c r="X105"/>
  <c r="U95"/>
  <c r="X95" s="1"/>
  <c r="P23"/>
  <c r="P19"/>
  <c r="P18"/>
  <c r="Z8" i="27" l="1"/>
  <c r="Z9" i="25"/>
  <c r="U26"/>
  <c r="X170" i="20"/>
  <c r="X109" i="25"/>
  <c r="AA111" s="1"/>
  <c r="AB111" s="1"/>
  <c r="P18" i="28"/>
  <c r="Q18" s="1"/>
  <c r="AQ9" i="25"/>
  <c r="X42"/>
  <c r="AA42" s="1"/>
  <c r="AC42" s="1"/>
  <c r="AD42" s="1"/>
  <c r="U128"/>
  <c r="Z129" s="1"/>
  <c r="AB118" i="20"/>
  <c r="Z132"/>
  <c r="X126" i="25"/>
  <c r="AA127" s="1"/>
  <c r="X102"/>
  <c r="AA103" s="1"/>
  <c r="AB103" s="1"/>
  <c r="AA115" i="20"/>
  <c r="AB115" s="1"/>
  <c r="AA125"/>
  <c r="AC125" s="1"/>
  <c r="AD125" s="1"/>
  <c r="X99" i="25"/>
  <c r="Q99" s="1"/>
  <c r="AC123" i="20"/>
  <c r="AD123" s="1"/>
  <c r="AB123"/>
  <c r="AC87"/>
  <c r="AD87" s="1"/>
  <c r="AA41"/>
  <c r="AB41" s="1"/>
  <c r="AA85"/>
  <c r="AB85" s="1"/>
  <c r="AA113"/>
  <c r="AC113" s="1"/>
  <c r="AD113" s="1"/>
  <c r="X71" i="25"/>
  <c r="AA71" s="1"/>
  <c r="AB71" s="1"/>
  <c r="AC26" i="20"/>
  <c r="AA99"/>
  <c r="AB99" s="1"/>
  <c r="AA62"/>
  <c r="AC62" s="1"/>
  <c r="AD62" s="1"/>
  <c r="AA34"/>
  <c r="AC34" s="1"/>
  <c r="AD34" s="1"/>
  <c r="X54" i="25"/>
  <c r="AA54" s="1"/>
  <c r="AB54" s="1"/>
  <c r="X44"/>
  <c r="AA44" s="1"/>
  <c r="AC44" s="1"/>
  <c r="AD44" s="1"/>
  <c r="X55"/>
  <c r="AA55" s="1"/>
  <c r="AC55" s="1"/>
  <c r="AD55" s="1"/>
  <c r="I35" i="28"/>
  <c r="AC55" i="20"/>
  <c r="AD55" s="1"/>
  <c r="AC127" i="27"/>
  <c r="AD127" s="1"/>
  <c r="AA6" i="20"/>
  <c r="AA26" s="1"/>
  <c r="AB104"/>
  <c r="AC48"/>
  <c r="AD48" s="1"/>
  <c r="X33" i="25"/>
  <c r="AA33" s="1"/>
  <c r="AB33" s="1"/>
  <c r="AC94" i="27"/>
  <c r="AD94" s="1"/>
  <c r="AB94"/>
  <c r="AC123"/>
  <c r="AD123" s="1"/>
  <c r="AB123"/>
  <c r="Y164" i="25"/>
  <c r="Z164" s="1"/>
  <c r="AA164"/>
  <c r="AB164" s="1"/>
  <c r="Y157"/>
  <c r="Z157" s="1"/>
  <c r="AA157"/>
  <c r="AB157" s="1"/>
  <c r="Q93"/>
  <c r="AA94"/>
  <c r="AA102" i="20"/>
  <c r="X97" i="25"/>
  <c r="AB104" i="27"/>
  <c r="AC104"/>
  <c r="AD104" s="1"/>
  <c r="AA112" i="20"/>
  <c r="X107" i="25"/>
  <c r="AA108" s="1"/>
  <c r="AA120" i="20"/>
  <c r="X117" i="25"/>
  <c r="AA118" s="1"/>
  <c r="X115"/>
  <c r="AA116" s="1"/>
  <c r="S125" i="27"/>
  <c r="X113" i="25"/>
  <c r="AA114" s="1"/>
  <c r="AA108" i="20"/>
  <c r="X103" i="25"/>
  <c r="AA104" s="1"/>
  <c r="AA20"/>
  <c r="AB20" s="1"/>
  <c r="Y20"/>
  <c r="Z20" s="1"/>
  <c r="AA155"/>
  <c r="AB155" s="1"/>
  <c r="Y155"/>
  <c r="Z155" s="1"/>
  <c r="P17" i="28"/>
  <c r="M35"/>
  <c r="M47" s="1"/>
  <c r="Y158" i="25"/>
  <c r="Z158" s="1"/>
  <c r="AA158"/>
  <c r="AB158" s="1"/>
  <c r="AA156"/>
  <c r="AB156" s="1"/>
  <c r="Y156"/>
  <c r="Z156" s="1"/>
  <c r="AA162"/>
  <c r="AB162" s="1"/>
  <c r="Y162"/>
  <c r="Z162" s="1"/>
  <c r="AA82"/>
  <c r="Q81"/>
  <c r="AA121" i="20"/>
  <c r="X118" i="25"/>
  <c r="AA119" s="1"/>
  <c r="AA6" i="27"/>
  <c r="AA103" i="20"/>
  <c r="X98" i="25"/>
  <c r="Q79"/>
  <c r="AA80"/>
  <c r="U138"/>
  <c r="AC26"/>
  <c r="AB46" i="20"/>
  <c r="AC107"/>
  <c r="AD107" s="1"/>
  <c r="M175" i="25"/>
  <c r="P20" i="28"/>
  <c r="Q20" s="1"/>
  <c r="Q94" i="25"/>
  <c r="Y161"/>
  <c r="Z161" s="1"/>
  <c r="AA161"/>
  <c r="AB161" s="1"/>
  <c r="AB129" i="27"/>
  <c r="AC129"/>
  <c r="AD129" s="1"/>
  <c r="X80" i="25"/>
  <c r="AA86" i="20"/>
  <c r="Y153" i="25"/>
  <c r="Z153" s="1"/>
  <c r="AA153"/>
  <c r="AB153" s="1"/>
  <c r="AC109"/>
  <c r="AD109" s="1"/>
  <c r="AB109"/>
  <c r="AA126" i="20"/>
  <c r="X122" i="25"/>
  <c r="AA123" s="1"/>
  <c r="AA122" i="20"/>
  <c r="X119" i="25"/>
  <c r="AA120" s="1"/>
  <c r="AA165"/>
  <c r="AB165" s="1"/>
  <c r="Y165"/>
  <c r="Z165" s="1"/>
  <c r="Y159"/>
  <c r="Z159" s="1"/>
  <c r="AA159"/>
  <c r="AB159" s="1"/>
  <c r="AA163"/>
  <c r="AB163" s="1"/>
  <c r="Y163"/>
  <c r="Z163" s="1"/>
  <c r="X11" i="27"/>
  <c r="AA11" s="1"/>
  <c r="AB11" s="1"/>
  <c r="Z11"/>
  <c r="AA154" i="25"/>
  <c r="AB154" s="1"/>
  <c r="Y154"/>
  <c r="Z154" s="1"/>
  <c r="X26"/>
  <c r="AB135" i="20"/>
  <c r="K17" i="28"/>
  <c r="K35" s="1"/>
  <c r="K47" s="1"/>
  <c r="AA80" i="20"/>
  <c r="AB80" s="1"/>
  <c r="AC46" i="27"/>
  <c r="AD46" s="1"/>
  <c r="AB46"/>
  <c r="AC67"/>
  <c r="AD67" s="1"/>
  <c r="AB67"/>
  <c r="AB27"/>
  <c r="AC27"/>
  <c r="AA139"/>
  <c r="AC60"/>
  <c r="AD60" s="1"/>
  <c r="AB60"/>
  <c r="AC41"/>
  <c r="AD41" s="1"/>
  <c r="AB41"/>
  <c r="AC51" i="25"/>
  <c r="AD51" s="1"/>
  <c r="AB51"/>
  <c r="AC46"/>
  <c r="AD46" s="1"/>
  <c r="AB46"/>
  <c r="AA54" i="20"/>
  <c r="X53" i="25"/>
  <c r="AA53" s="1"/>
  <c r="AB64"/>
  <c r="AC64"/>
  <c r="AD64" s="1"/>
  <c r="AB63"/>
  <c r="AC63"/>
  <c r="AD63" s="1"/>
  <c r="AC58" i="20"/>
  <c r="AD58" s="1"/>
  <c r="AB58"/>
  <c r="AC31"/>
  <c r="AD31" s="1"/>
  <c r="AB31"/>
  <c r="AA32"/>
  <c r="X32" i="25"/>
  <c r="AA32" s="1"/>
  <c r="AC51" i="20"/>
  <c r="AD51" s="1"/>
  <c r="AB51"/>
  <c r="AC61"/>
  <c r="AD61" s="1"/>
  <c r="AB61"/>
  <c r="AA29"/>
  <c r="X29" i="25"/>
  <c r="AA29" s="1"/>
  <c r="AA70" i="20"/>
  <c r="X69" i="25"/>
  <c r="AA69" s="1"/>
  <c r="AA69" i="20"/>
  <c r="X68" i="25"/>
  <c r="AA68" s="1"/>
  <c r="AA37" i="20"/>
  <c r="X37" i="25"/>
  <c r="AA37" s="1"/>
  <c r="AC72" i="20"/>
  <c r="AD72" s="1"/>
  <c r="AB72"/>
  <c r="AA76"/>
  <c r="X74" i="25"/>
  <c r="AA74" s="1"/>
  <c r="AB57" i="20"/>
  <c r="AC57"/>
  <c r="AD57" s="1"/>
  <c r="AB49"/>
  <c r="AC49"/>
  <c r="AD49" s="1"/>
  <c r="AB56" i="25"/>
  <c r="AC56"/>
  <c r="AD56" s="1"/>
  <c r="AC31"/>
  <c r="AD31" s="1"/>
  <c r="AB31"/>
  <c r="AB41"/>
  <c r="AC41"/>
  <c r="AD41" s="1"/>
  <c r="AB50"/>
  <c r="AC50"/>
  <c r="AD50" s="1"/>
  <c r="AC59"/>
  <c r="AD59" s="1"/>
  <c r="AB59"/>
  <c r="AC60"/>
  <c r="AD60" s="1"/>
  <c r="AB60"/>
  <c r="AC75"/>
  <c r="AD75" s="1"/>
  <c r="AB75"/>
  <c r="AA75" i="20"/>
  <c r="X73" i="25"/>
  <c r="AA73" s="1"/>
  <c r="AC34"/>
  <c r="AD34" s="1"/>
  <c r="AB34"/>
  <c r="AB47"/>
  <c r="AC47"/>
  <c r="AD47" s="1"/>
  <c r="X27"/>
  <c r="AA27" s="1"/>
  <c r="AB40" i="20"/>
  <c r="AC40"/>
  <c r="AD40" s="1"/>
  <c r="AA74"/>
  <c r="X72" i="25"/>
  <c r="AA72" s="1"/>
  <c r="AC33" i="20"/>
  <c r="AD33" s="1"/>
  <c r="AA35"/>
  <c r="X36" i="25"/>
  <c r="AA36" s="1"/>
  <c r="AA30" i="20"/>
  <c r="X30" i="25"/>
  <c r="AA30" s="1"/>
  <c r="AC42" i="20"/>
  <c r="AD42" s="1"/>
  <c r="AB42"/>
  <c r="AC52"/>
  <c r="AD52" s="1"/>
  <c r="AB52"/>
  <c r="AA45"/>
  <c r="X43" i="25"/>
  <c r="AA43" s="1"/>
  <c r="AA63" i="20"/>
  <c r="X61" i="25"/>
  <c r="AA61" s="1"/>
  <c r="AC65" i="20"/>
  <c r="AD65" s="1"/>
  <c r="AB65"/>
  <c r="AA64"/>
  <c r="X62" i="25"/>
  <c r="AA62" s="1"/>
  <c r="AA47" i="20"/>
  <c r="X45" i="25"/>
  <c r="AA45" s="1"/>
  <c r="AA50" i="20"/>
  <c r="X49" i="25"/>
  <c r="AA49" s="1"/>
  <c r="AA28" i="20"/>
  <c r="X28" i="25"/>
  <c r="AA28" s="1"/>
  <c r="AA68" i="20"/>
  <c r="X67" i="25"/>
  <c r="AA67" s="1"/>
  <c r="X35"/>
  <c r="AA35" s="1"/>
  <c r="AC40"/>
  <c r="AD40" s="1"/>
  <c r="AB40"/>
  <c r="AA38" i="20"/>
  <c r="X38" i="25"/>
  <c r="AA38" s="1"/>
  <c r="AC164"/>
  <c r="X121" i="27"/>
  <c r="U165"/>
  <c r="AB125" i="20"/>
  <c r="AB122" i="25"/>
  <c r="AC122"/>
  <c r="AD122" s="1"/>
  <c r="X124" i="27"/>
  <c r="AA134" i="20"/>
  <c r="X130" i="25"/>
  <c r="AA131" s="1"/>
  <c r="U125"/>
  <c r="Z126" s="1"/>
  <c r="U124"/>
  <c r="AA132" i="20"/>
  <c r="X128" i="25"/>
  <c r="AA129" s="1"/>
  <c r="AB9"/>
  <c r="Y145"/>
  <c r="Z145" s="1"/>
  <c r="AA145"/>
  <c r="AB145" s="1"/>
  <c r="Y149"/>
  <c r="Z149" s="1"/>
  <c r="AA149"/>
  <c r="AB149" s="1"/>
  <c r="Y148"/>
  <c r="Z148" s="1"/>
  <c r="AA148"/>
  <c r="AB148" s="1"/>
  <c r="M168"/>
  <c r="Z151"/>
  <c r="Z129" i="20"/>
  <c r="Y171"/>
  <c r="AB117"/>
  <c r="AC117"/>
  <c r="AD117" s="1"/>
  <c r="AC142"/>
  <c r="AD142" s="1"/>
  <c r="AB27"/>
  <c r="AC27"/>
  <c r="P129" i="7"/>
  <c r="Q129" s="1"/>
  <c r="AB62" i="20" l="1"/>
  <c r="AB42" i="25"/>
  <c r="AC111"/>
  <c r="AD111" s="1"/>
  <c r="AC115" i="20"/>
  <c r="AD115" s="1"/>
  <c r="AA130"/>
  <c r="AB130" s="1"/>
  <c r="Z171"/>
  <c r="AA100" i="25"/>
  <c r="AB100" s="1"/>
  <c r="AC103"/>
  <c r="AD103" s="1"/>
  <c r="AC41" i="20"/>
  <c r="AD41" s="1"/>
  <c r="AC71" i="25"/>
  <c r="AD71" s="1"/>
  <c r="AC85" i="20"/>
  <c r="AD85" s="1"/>
  <c r="AB34"/>
  <c r="AA26" i="25"/>
  <c r="AB113" i="20"/>
  <c r="AC54" i="25"/>
  <c r="AD54" s="1"/>
  <c r="AC99" i="20"/>
  <c r="AD99" s="1"/>
  <c r="AB44" i="25"/>
  <c r="AB55"/>
  <c r="AB6" i="20"/>
  <c r="AB26" s="1"/>
  <c r="M179" i="25"/>
  <c r="AC26" i="27"/>
  <c r="AC33" i="25"/>
  <c r="AD33" s="1"/>
  <c r="AC123"/>
  <c r="AD123" s="1"/>
  <c r="AB123"/>
  <c r="AB121" i="20"/>
  <c r="AC121"/>
  <c r="AD121" s="1"/>
  <c r="AC82" i="25"/>
  <c r="AD82" s="1"/>
  <c r="AB82"/>
  <c r="AC108" i="20"/>
  <c r="AD108" s="1"/>
  <c r="AB108"/>
  <c r="S165" i="27"/>
  <c r="U125"/>
  <c r="Z126" s="1"/>
  <c r="Z166" s="1"/>
  <c r="AC120" i="20"/>
  <c r="AD120" s="1"/>
  <c r="AB120"/>
  <c r="AA128"/>
  <c r="AC128" s="1"/>
  <c r="AD128" s="1"/>
  <c r="AC122"/>
  <c r="AD122" s="1"/>
  <c r="AB122"/>
  <c r="Q80" i="25"/>
  <c r="AA81"/>
  <c r="AB80"/>
  <c r="AC80"/>
  <c r="AD80" s="1"/>
  <c r="AB119"/>
  <c r="AC119"/>
  <c r="AD119" s="1"/>
  <c r="AB104"/>
  <c r="AC104"/>
  <c r="AD104" s="1"/>
  <c r="AB118"/>
  <c r="AC118"/>
  <c r="AD118" s="1"/>
  <c r="AC94"/>
  <c r="AD94" s="1"/>
  <c r="AB94"/>
  <c r="AB120"/>
  <c r="AC120"/>
  <c r="AD120" s="1"/>
  <c r="AC86" i="20"/>
  <c r="AD86" s="1"/>
  <c r="AB86"/>
  <c r="AC103"/>
  <c r="AD103" s="1"/>
  <c r="AB103"/>
  <c r="Q17" i="28"/>
  <c r="Q35" s="1"/>
  <c r="Q47" s="1"/>
  <c r="P35"/>
  <c r="P47" s="1"/>
  <c r="AC112" i="20"/>
  <c r="AD112" s="1"/>
  <c r="AB112"/>
  <c r="AC102"/>
  <c r="AD102" s="1"/>
  <c r="AB102"/>
  <c r="M175" i="27"/>
  <c r="M179" s="1"/>
  <c r="AK22"/>
  <c r="AB126" i="20"/>
  <c r="AC126"/>
  <c r="AD126" s="1"/>
  <c r="Q98" i="25"/>
  <c r="AA99"/>
  <c r="AA26" i="27"/>
  <c r="AB6"/>
  <c r="AC114" i="25"/>
  <c r="AD114" s="1"/>
  <c r="AB114"/>
  <c r="AC116"/>
  <c r="AD116" s="1"/>
  <c r="AB116"/>
  <c r="AC108"/>
  <c r="AD108" s="1"/>
  <c r="AB108"/>
  <c r="Q97"/>
  <c r="AA98"/>
  <c r="AC80" i="20"/>
  <c r="AD80" s="1"/>
  <c r="AC38"/>
  <c r="AD38" s="1"/>
  <c r="AB38"/>
  <c r="AB28"/>
  <c r="AC28"/>
  <c r="AD28" s="1"/>
  <c r="AC47"/>
  <c r="AD47" s="1"/>
  <c r="AB47"/>
  <c r="AB63"/>
  <c r="AC63"/>
  <c r="AD63" s="1"/>
  <c r="AC30"/>
  <c r="AD30" s="1"/>
  <c r="AB30"/>
  <c r="AB72" i="25"/>
  <c r="AC72"/>
  <c r="AD72" s="1"/>
  <c r="AB27"/>
  <c r="AC27"/>
  <c r="AA139"/>
  <c r="AC75" i="20"/>
  <c r="AD75" s="1"/>
  <c r="AB75"/>
  <c r="AB76"/>
  <c r="AC76"/>
  <c r="AD76" s="1"/>
  <c r="AC37"/>
  <c r="AD37" s="1"/>
  <c r="AB37"/>
  <c r="AB70"/>
  <c r="AC70"/>
  <c r="AD70" s="1"/>
  <c r="AC32"/>
  <c r="AD32" s="1"/>
  <c r="AB32"/>
  <c r="AB54"/>
  <c r="AC54"/>
  <c r="AD54" s="1"/>
  <c r="AB38" i="25"/>
  <c r="AC38"/>
  <c r="AD38" s="1"/>
  <c r="AB35"/>
  <c r="AC35"/>
  <c r="AD35" s="1"/>
  <c r="AB28"/>
  <c r="AC28"/>
  <c r="AD28" s="1"/>
  <c r="AB45"/>
  <c r="AC45"/>
  <c r="AD45" s="1"/>
  <c r="AB61"/>
  <c r="AC61"/>
  <c r="AD61" s="1"/>
  <c r="AB30"/>
  <c r="AC30"/>
  <c r="AD30" s="1"/>
  <c r="AC73"/>
  <c r="AD73" s="1"/>
  <c r="AB73"/>
  <c r="AB74"/>
  <c r="AC74"/>
  <c r="AD74" s="1"/>
  <c r="AC37"/>
  <c r="AD37" s="1"/>
  <c r="AB37"/>
  <c r="AB69"/>
  <c r="AC69"/>
  <c r="AD69" s="1"/>
  <c r="AB32"/>
  <c r="AC32"/>
  <c r="AD32" s="1"/>
  <c r="AB53"/>
  <c r="AC53"/>
  <c r="AD53" s="1"/>
  <c r="AC68" i="20"/>
  <c r="AD68" s="1"/>
  <c r="AB68"/>
  <c r="AB50"/>
  <c r="AC50"/>
  <c r="AD50" s="1"/>
  <c r="AB64"/>
  <c r="AC64"/>
  <c r="AD64" s="1"/>
  <c r="AC45"/>
  <c r="AD45" s="1"/>
  <c r="AB45"/>
  <c r="AB35"/>
  <c r="AC35"/>
  <c r="AD35" s="1"/>
  <c r="AC69"/>
  <c r="AD69" s="1"/>
  <c r="AB69"/>
  <c r="AB29"/>
  <c r="AC29"/>
  <c r="AD29" s="1"/>
  <c r="AD27" i="27"/>
  <c r="AC139"/>
  <c r="AB67" i="25"/>
  <c r="AC67"/>
  <c r="AD67" s="1"/>
  <c r="AC49"/>
  <c r="AD49" s="1"/>
  <c r="AB49"/>
  <c r="AC62"/>
  <c r="AD62" s="1"/>
  <c r="AB62"/>
  <c r="AC43"/>
  <c r="AD43" s="1"/>
  <c r="AB43"/>
  <c r="AC36"/>
  <c r="AD36" s="1"/>
  <c r="AB36"/>
  <c r="AB74" i="20"/>
  <c r="AC74"/>
  <c r="AD74" s="1"/>
  <c r="AB68" i="25"/>
  <c r="AC68"/>
  <c r="AD68" s="1"/>
  <c r="AB29"/>
  <c r="AC29"/>
  <c r="AD29" s="1"/>
  <c r="AB168"/>
  <c r="AA122" i="27"/>
  <c r="X165"/>
  <c r="AB129" i="25"/>
  <c r="AC129"/>
  <c r="AD129" s="1"/>
  <c r="AA125" i="27"/>
  <c r="N170"/>
  <c r="AA129" i="20"/>
  <c r="X125" i="25"/>
  <c r="AA126" s="1"/>
  <c r="AB134" i="20"/>
  <c r="AC134"/>
  <c r="AD134" s="1"/>
  <c r="AB132"/>
  <c r="AC132"/>
  <c r="AD132" s="1"/>
  <c r="AC127" i="25"/>
  <c r="AD127" s="1"/>
  <c r="AB127"/>
  <c r="AC131"/>
  <c r="AD131" s="1"/>
  <c r="AB131"/>
  <c r="Z166"/>
  <c r="U165"/>
  <c r="K24" i="26" s="1"/>
  <c r="X124" i="25"/>
  <c r="AB26"/>
  <c r="AD167"/>
  <c r="Y166"/>
  <c r="AD168"/>
  <c r="AA144" i="20"/>
  <c r="AD27"/>
  <c r="U129" i="7"/>
  <c r="X129" s="1"/>
  <c r="P56"/>
  <c r="Q56" s="1"/>
  <c r="M56"/>
  <c r="P50"/>
  <c r="Q50" s="1"/>
  <c r="M50"/>
  <c r="AC100" i="25" l="1"/>
  <c r="AD100" s="1"/>
  <c r="AC130" i="20"/>
  <c r="AD130" s="1"/>
  <c r="AB128"/>
  <c r="Q165" i="25"/>
  <c r="AC81"/>
  <c r="AD81" s="1"/>
  <c r="AB81"/>
  <c r="X125" i="27"/>
  <c r="AA126" s="1"/>
  <c r="AB99" i="25"/>
  <c r="AC99"/>
  <c r="AD99" s="1"/>
  <c r="AC98"/>
  <c r="AD98" s="1"/>
  <c r="AB98"/>
  <c r="AB26" i="27"/>
  <c r="AB166" s="1"/>
  <c r="AD167"/>
  <c r="AD166"/>
  <c r="AD169" s="1"/>
  <c r="AD139"/>
  <c r="AC139" i="25"/>
  <c r="AD27"/>
  <c r="AB166"/>
  <c r="AC122" i="27"/>
  <c r="AD122" s="1"/>
  <c r="AB122"/>
  <c r="AB129" i="20"/>
  <c r="AC129"/>
  <c r="AD129" s="1"/>
  <c r="K25" i="26"/>
  <c r="P24"/>
  <c r="AC126" i="25"/>
  <c r="AD126" s="1"/>
  <c r="AB126"/>
  <c r="AB125" i="27"/>
  <c r="AC125"/>
  <c r="AD125" s="1"/>
  <c r="AA125" i="25"/>
  <c r="N170"/>
  <c r="X165"/>
  <c r="AB171" i="20"/>
  <c r="AC144"/>
  <c r="AD144"/>
  <c r="AD171" s="1"/>
  <c r="U50" i="7"/>
  <c r="X50" s="1"/>
  <c r="U56"/>
  <c r="X56" s="1"/>
  <c r="AB126" i="27" l="1"/>
  <c r="AC126"/>
  <c r="AD126" s="1"/>
  <c r="AD166" i="25"/>
  <c r="AD169" s="1"/>
  <c r="AD139"/>
  <c r="AB125"/>
  <c r="AC125"/>
  <c r="AD125" s="1"/>
  <c r="Q24" i="26"/>
  <c r="Q25" s="1"/>
  <c r="P25"/>
  <c r="P124" i="7"/>
  <c r="Q124" s="1"/>
  <c r="U124" l="1"/>
  <c r="X124" s="1"/>
  <c r="W169" l="1"/>
  <c r="K38" i="9"/>
  <c r="M38"/>
  <c r="I38"/>
  <c r="O30"/>
  <c r="I21"/>
  <c r="M21" l="1"/>
  <c r="P21" s="1"/>
  <c r="Q21" s="1"/>
  <c r="O21"/>
  <c r="P148" i="7"/>
  <c r="Q148" s="1"/>
  <c r="S148" s="1"/>
  <c r="U148" l="1"/>
  <c r="X148" s="1"/>
  <c r="L80" l="1"/>
  <c r="AA80"/>
  <c r="AC80" s="1"/>
  <c r="AD80" s="1"/>
  <c r="AA108"/>
  <c r="AC108" s="1"/>
  <c r="AD108" s="1"/>
  <c r="AA137"/>
  <c r="AC137" l="1"/>
  <c r="AD137" s="1"/>
  <c r="AB137"/>
  <c r="AB108"/>
  <c r="AB80"/>
  <c r="L184" l="1"/>
  <c r="L108" l="1"/>
  <c r="L155"/>
  <c r="P78"/>
  <c r="M74"/>
  <c r="M75"/>
  <c r="P75"/>
  <c r="M76"/>
  <c r="P74"/>
  <c r="P65"/>
  <c r="P39"/>
  <c r="P34"/>
  <c r="P33"/>
  <c r="M33"/>
  <c r="M35"/>
  <c r="P60"/>
  <c r="P61"/>
  <c r="M62"/>
  <c r="Q34" l="1"/>
  <c r="U34" s="1"/>
  <c r="X34" s="1"/>
  <c r="AA34" s="1"/>
  <c r="AB34" s="1"/>
  <c r="Q78"/>
  <c r="Q33"/>
  <c r="U33" s="1"/>
  <c r="Q74"/>
  <c r="U74" s="1"/>
  <c r="Q60"/>
  <c r="U60" s="1"/>
  <c r="Q61"/>
  <c r="U61" s="1"/>
  <c r="X61" s="1"/>
  <c r="AA61" s="1"/>
  <c r="AB61" s="1"/>
  <c r="Q65"/>
  <c r="U65" s="1"/>
  <c r="Q39"/>
  <c r="Q75"/>
  <c r="U75" s="1"/>
  <c r="N187"/>
  <c r="M64"/>
  <c r="M37"/>
  <c r="M78"/>
  <c r="P82"/>
  <c r="P83"/>
  <c r="P84"/>
  <c r="P86"/>
  <c r="P87"/>
  <c r="P88"/>
  <c r="P89"/>
  <c r="P90"/>
  <c r="P91"/>
  <c r="P92"/>
  <c r="P93"/>
  <c r="P94"/>
  <c r="P98"/>
  <c r="P99"/>
  <c r="P100"/>
  <c r="P101"/>
  <c r="P102"/>
  <c r="P103"/>
  <c r="P104"/>
  <c r="P81"/>
  <c r="P110"/>
  <c r="P113"/>
  <c r="P114"/>
  <c r="P127"/>
  <c r="P115"/>
  <c r="P125"/>
  <c r="P122"/>
  <c r="P116"/>
  <c r="P117"/>
  <c r="P123"/>
  <c r="P118"/>
  <c r="P126"/>
  <c r="P119"/>
  <c r="P120"/>
  <c r="P121"/>
  <c r="Q121" s="1"/>
  <c r="P109"/>
  <c r="P139"/>
  <c r="P140"/>
  <c r="P141"/>
  <c r="P142"/>
  <c r="P143"/>
  <c r="P144"/>
  <c r="P145"/>
  <c r="P146"/>
  <c r="P147"/>
  <c r="P150"/>
  <c r="P151"/>
  <c r="P153"/>
  <c r="P154"/>
  <c r="P138"/>
  <c r="L187"/>
  <c r="X113" l="1"/>
  <c r="X60"/>
  <c r="AA60" s="1"/>
  <c r="AC60" s="1"/>
  <c r="AD60" s="1"/>
  <c r="X65"/>
  <c r="AA65" s="1"/>
  <c r="AC65" s="1"/>
  <c r="AD65" s="1"/>
  <c r="U39"/>
  <c r="X39" s="1"/>
  <c r="AA39" s="1"/>
  <c r="X74"/>
  <c r="AA74" s="1"/>
  <c r="AB74" s="1"/>
  <c r="U78"/>
  <c r="X78" s="1"/>
  <c r="AA78" s="1"/>
  <c r="Q151"/>
  <c r="S151" s="1"/>
  <c r="Q141"/>
  <c r="Q94"/>
  <c r="U94" s="1"/>
  <c r="X94" s="1"/>
  <c r="Q86"/>
  <c r="Q153"/>
  <c r="S153" s="1"/>
  <c r="Q142"/>
  <c r="Q107"/>
  <c r="Q98"/>
  <c r="U98" s="1"/>
  <c r="Q82"/>
  <c r="U82" s="1"/>
  <c r="Q154"/>
  <c r="S154" s="1"/>
  <c r="Q147"/>
  <c r="Q143"/>
  <c r="Q139"/>
  <c r="Q103"/>
  <c r="U103" s="1"/>
  <c r="X103" s="1"/>
  <c r="Q99"/>
  <c r="Q92"/>
  <c r="U92" s="1"/>
  <c r="X92" s="1"/>
  <c r="Q88"/>
  <c r="Q83"/>
  <c r="U83" s="1"/>
  <c r="X83" s="1"/>
  <c r="X75"/>
  <c r="AA75" s="1"/>
  <c r="X33"/>
  <c r="AA33" s="1"/>
  <c r="AB33" s="1"/>
  <c r="Q145"/>
  <c r="S145" s="1"/>
  <c r="U145" s="1"/>
  <c r="X145" s="1"/>
  <c r="Q101"/>
  <c r="Q90"/>
  <c r="U90" s="1"/>
  <c r="X90" s="1"/>
  <c r="Q146"/>
  <c r="Q109"/>
  <c r="Q102"/>
  <c r="U102" s="1"/>
  <c r="Q91"/>
  <c r="Q87"/>
  <c r="U87" s="1"/>
  <c r="X87" s="1"/>
  <c r="Q138"/>
  <c r="S138" s="1"/>
  <c r="X138" s="1"/>
  <c r="Q150"/>
  <c r="S150" s="1"/>
  <c r="Q144"/>
  <c r="S144" s="1"/>
  <c r="Q140"/>
  <c r="S140" s="1"/>
  <c r="Q81"/>
  <c r="U81" s="1"/>
  <c r="Q104"/>
  <c r="U104" s="1"/>
  <c r="X104" s="1"/>
  <c r="Q100"/>
  <c r="U100" s="1"/>
  <c r="X100" s="1"/>
  <c r="AA100" s="1"/>
  <c r="Q93"/>
  <c r="U93" s="1"/>
  <c r="X93" s="1"/>
  <c r="Q89"/>
  <c r="U89" s="1"/>
  <c r="X89" s="1"/>
  <c r="Q84"/>
  <c r="U84" s="1"/>
  <c r="X84" s="1"/>
  <c r="AA84" s="1"/>
  <c r="Q119"/>
  <c r="U119" s="1"/>
  <c r="X119" s="1"/>
  <c r="AA119" s="1"/>
  <c r="Q115"/>
  <c r="Q120"/>
  <c r="U120" s="1"/>
  <c r="X120" s="1"/>
  <c r="Q125"/>
  <c r="U125" s="1"/>
  <c r="X125" s="1"/>
  <c r="U121"/>
  <c r="Q122"/>
  <c r="Q114"/>
  <c r="U114" s="1"/>
  <c r="Q117"/>
  <c r="U117" s="1"/>
  <c r="X117" s="1"/>
  <c r="Q123"/>
  <c r="Q113"/>
  <c r="U113" s="1"/>
  <c r="Q118"/>
  <c r="U118" s="1"/>
  <c r="X118" s="1"/>
  <c r="X131"/>
  <c r="Q126"/>
  <c r="U126" s="1"/>
  <c r="X126" s="1"/>
  <c r="Q116"/>
  <c r="U116" s="1"/>
  <c r="X116" s="1"/>
  <c r="Q127"/>
  <c r="U127" s="1"/>
  <c r="X127" s="1"/>
  <c r="Q110"/>
  <c r="U110" s="1"/>
  <c r="X110" s="1"/>
  <c r="AC61"/>
  <c r="AD61" s="1"/>
  <c r="AC34"/>
  <c r="AD34" s="1"/>
  <c r="L188"/>
  <c r="M99"/>
  <c r="M100"/>
  <c r="M101"/>
  <c r="M102"/>
  <c r="M103"/>
  <c r="M104"/>
  <c r="M98"/>
  <c r="M106"/>
  <c r="M107"/>
  <c r="M109"/>
  <c r="M140"/>
  <c r="M139"/>
  <c r="M146"/>
  <c r="M151"/>
  <c r="M141"/>
  <c r="M142"/>
  <c r="M143"/>
  <c r="M144"/>
  <c r="M145"/>
  <c r="M147"/>
  <c r="M150"/>
  <c r="M154"/>
  <c r="M148"/>
  <c r="M153"/>
  <c r="M138"/>
  <c r="K30" i="9" l="1"/>
  <c r="M30"/>
  <c r="X114" i="7"/>
  <c r="X107"/>
  <c r="U107"/>
  <c r="AB60"/>
  <c r="X121"/>
  <c r="AC78"/>
  <c r="AD78" s="1"/>
  <c r="AB78"/>
  <c r="AC74"/>
  <c r="AD74" s="1"/>
  <c r="AB65"/>
  <c r="AB39"/>
  <c r="AC39"/>
  <c r="AD39" s="1"/>
  <c r="AC33"/>
  <c r="AD33" s="1"/>
  <c r="X102"/>
  <c r="X98"/>
  <c r="U151"/>
  <c r="X151" s="1"/>
  <c r="U144"/>
  <c r="X144" s="1"/>
  <c r="AB75"/>
  <c r="AC75"/>
  <c r="AD75" s="1"/>
  <c r="X81"/>
  <c r="AA81" s="1"/>
  <c r="AC81" s="1"/>
  <c r="AD81" s="1"/>
  <c r="U150"/>
  <c r="X150" s="1"/>
  <c r="U109"/>
  <c r="X109" s="1"/>
  <c r="S146"/>
  <c r="U88"/>
  <c r="X88" s="1"/>
  <c r="S139"/>
  <c r="U139" s="1"/>
  <c r="X139" s="1"/>
  <c r="S143"/>
  <c r="U143" s="1"/>
  <c r="X143" s="1"/>
  <c r="U91"/>
  <c r="X91" s="1"/>
  <c r="U101"/>
  <c r="X101" s="1"/>
  <c r="U99"/>
  <c r="X99" s="1"/>
  <c r="S147"/>
  <c r="U147" s="1"/>
  <c r="X147" s="1"/>
  <c r="X82"/>
  <c r="S142"/>
  <c r="U142" s="1"/>
  <c r="X142" s="1"/>
  <c r="U153"/>
  <c r="X153" s="1"/>
  <c r="U86"/>
  <c r="X86" s="1"/>
  <c r="S141"/>
  <c r="U140"/>
  <c r="X140" s="1"/>
  <c r="U154"/>
  <c r="X154" s="1"/>
  <c r="U115"/>
  <c r="X115" s="1"/>
  <c r="U122"/>
  <c r="X122" s="1"/>
  <c r="U123"/>
  <c r="X123" s="1"/>
  <c r="AC100"/>
  <c r="AD100" s="1"/>
  <c r="AB100"/>
  <c r="AC84"/>
  <c r="AD84" s="1"/>
  <c r="AB84"/>
  <c r="AC119"/>
  <c r="AD119" s="1"/>
  <c r="AB119"/>
  <c r="P30" i="9" l="1"/>
  <c r="Q30" s="1"/>
  <c r="S182" i="7"/>
  <c r="U141"/>
  <c r="X141" s="1"/>
  <c r="U146"/>
  <c r="X146" s="1"/>
  <c r="AB81"/>
  <c r="AA104" l="1"/>
  <c r="AC104" l="1"/>
  <c r="AD104" s="1"/>
  <c r="AB104"/>
  <c r="L116" i="19"/>
  <c r="X115"/>
  <c r="P115"/>
  <c r="R115" s="1"/>
  <c r="X114"/>
  <c r="P114"/>
  <c r="R114" s="1"/>
  <c r="T114" s="1"/>
  <c r="M114"/>
  <c r="P113"/>
  <c r="R113" s="1"/>
  <c r="M113"/>
  <c r="P112"/>
  <c r="R112" s="1"/>
  <c r="M112"/>
  <c r="P111"/>
  <c r="R111" s="1"/>
  <c r="T111" s="1"/>
  <c r="W111" s="1"/>
  <c r="M111"/>
  <c r="X110"/>
  <c r="P110"/>
  <c r="R110" s="1"/>
  <c r="M110"/>
  <c r="X109"/>
  <c r="P109"/>
  <c r="R109" s="1"/>
  <c r="M109"/>
  <c r="X108"/>
  <c r="P108"/>
  <c r="R108" s="1"/>
  <c r="T108" s="1"/>
  <c r="M108"/>
  <c r="X107"/>
  <c r="P107"/>
  <c r="M107"/>
  <c r="X106"/>
  <c r="P106"/>
  <c r="R106" s="1"/>
  <c r="M106"/>
  <c r="P105"/>
  <c r="R105" s="1"/>
  <c r="M105"/>
  <c r="P104"/>
  <c r="R104" s="1"/>
  <c r="T104" s="1"/>
  <c r="W104" s="1"/>
  <c r="M104"/>
  <c r="P103"/>
  <c r="R103" s="1"/>
  <c r="M103"/>
  <c r="P102"/>
  <c r="M102"/>
  <c r="X101"/>
  <c r="P101"/>
  <c r="R101" s="1"/>
  <c r="M101"/>
  <c r="Y100"/>
  <c r="X100"/>
  <c r="P100"/>
  <c r="T100" s="1"/>
  <c r="W100" s="1"/>
  <c r="M100"/>
  <c r="Y99"/>
  <c r="X99"/>
  <c r="P99"/>
  <c r="T99" s="1"/>
  <c r="W99" s="1"/>
  <c r="M99"/>
  <c r="Y98"/>
  <c r="X98"/>
  <c r="P98"/>
  <c r="T98" s="1"/>
  <c r="W98" s="1"/>
  <c r="M98"/>
  <c r="Y97"/>
  <c r="X97"/>
  <c r="P97"/>
  <c r="T97" s="1"/>
  <c r="W97" s="1"/>
  <c r="M97"/>
  <c r="Y96"/>
  <c r="X96"/>
  <c r="P96"/>
  <c r="T96" s="1"/>
  <c r="W96" s="1"/>
  <c r="M96"/>
  <c r="P95"/>
  <c r="T95" s="1"/>
  <c r="W95" s="1"/>
  <c r="M95"/>
  <c r="P94"/>
  <c r="T94" s="1"/>
  <c r="W94" s="1"/>
  <c r="M94"/>
  <c r="Y93"/>
  <c r="X93"/>
  <c r="P93"/>
  <c r="T93" s="1"/>
  <c r="W93" s="1"/>
  <c r="M93"/>
  <c r="Y92"/>
  <c r="X92"/>
  <c r="P92"/>
  <c r="T92" s="1"/>
  <c r="W92" s="1"/>
  <c r="M92"/>
  <c r="Y91"/>
  <c r="X91"/>
  <c r="P91"/>
  <c r="T91" s="1"/>
  <c r="W91" s="1"/>
  <c r="M91"/>
  <c r="Y90"/>
  <c r="X90"/>
  <c r="P90"/>
  <c r="T90" s="1"/>
  <c r="W90" s="1"/>
  <c r="M90"/>
  <c r="P89"/>
  <c r="T89" s="1"/>
  <c r="W89" s="1"/>
  <c r="M89"/>
  <c r="Y88"/>
  <c r="X88"/>
  <c r="P88"/>
  <c r="T88" s="1"/>
  <c r="W88" s="1"/>
  <c r="M88"/>
  <c r="Y87"/>
  <c r="X87"/>
  <c r="P87"/>
  <c r="T87" s="1"/>
  <c r="W87" s="1"/>
  <c r="M87"/>
  <c r="Y86"/>
  <c r="X86"/>
  <c r="P86"/>
  <c r="T86" s="1"/>
  <c r="W86" s="1"/>
  <c r="M86"/>
  <c r="Y85"/>
  <c r="X85"/>
  <c r="P85"/>
  <c r="T85" s="1"/>
  <c r="W85" s="1"/>
  <c r="M85"/>
  <c r="Y84"/>
  <c r="X84"/>
  <c r="P84"/>
  <c r="T84" s="1"/>
  <c r="W84" s="1"/>
  <c r="M84"/>
  <c r="Y83"/>
  <c r="X83"/>
  <c r="P83"/>
  <c r="T83" s="1"/>
  <c r="W83" s="1"/>
  <c r="M83"/>
  <c r="Y82"/>
  <c r="X82"/>
  <c r="P82"/>
  <c r="T82" s="1"/>
  <c r="W82" s="1"/>
  <c r="M82"/>
  <c r="Y81"/>
  <c r="X81"/>
  <c r="P81"/>
  <c r="T81" s="1"/>
  <c r="W81" s="1"/>
  <c r="M81"/>
  <c r="P80"/>
  <c r="T80" s="1"/>
  <c r="W80" s="1"/>
  <c r="M80"/>
  <c r="Y79"/>
  <c r="X79"/>
  <c r="P79"/>
  <c r="T79" s="1"/>
  <c r="W79" s="1"/>
  <c r="M79"/>
  <c r="Y78"/>
  <c r="X78"/>
  <c r="P78"/>
  <c r="T78" s="1"/>
  <c r="W78" s="1"/>
  <c r="M78"/>
  <c r="Y77"/>
  <c r="X77"/>
  <c r="P77"/>
  <c r="T77" s="1"/>
  <c r="W77" s="1"/>
  <c r="M77"/>
  <c r="Y76"/>
  <c r="X76"/>
  <c r="P76"/>
  <c r="T76" s="1"/>
  <c r="W76" s="1"/>
  <c r="M76"/>
  <c r="Y75"/>
  <c r="X75"/>
  <c r="P75"/>
  <c r="T75" s="1"/>
  <c r="W75" s="1"/>
  <c r="M75"/>
  <c r="Y74"/>
  <c r="X74"/>
  <c r="P74"/>
  <c r="T74" s="1"/>
  <c r="W74" s="1"/>
  <c r="M74"/>
  <c r="P73"/>
  <c r="T73" s="1"/>
  <c r="W73" s="1"/>
  <c r="M73"/>
  <c r="Y72"/>
  <c r="X72"/>
  <c r="P72"/>
  <c r="T72" s="1"/>
  <c r="W72" s="1"/>
  <c r="M72"/>
  <c r="Y71"/>
  <c r="X71"/>
  <c r="P71"/>
  <c r="T71" s="1"/>
  <c r="W71" s="1"/>
  <c r="M71"/>
  <c r="Y70"/>
  <c r="X70"/>
  <c r="P70"/>
  <c r="T70" s="1"/>
  <c r="W70" s="1"/>
  <c r="M70"/>
  <c r="Y69"/>
  <c r="X69"/>
  <c r="P69"/>
  <c r="T69" s="1"/>
  <c r="W69" s="1"/>
  <c r="M69"/>
  <c r="P68"/>
  <c r="T68" s="1"/>
  <c r="W68" s="1"/>
  <c r="M68"/>
  <c r="Y67"/>
  <c r="X67"/>
  <c r="P67"/>
  <c r="T67" s="1"/>
  <c r="W67" s="1"/>
  <c r="M67"/>
  <c r="Y66"/>
  <c r="X66"/>
  <c r="P66"/>
  <c r="T66" s="1"/>
  <c r="W66" s="1"/>
  <c r="M66"/>
  <c r="Y65"/>
  <c r="X65"/>
  <c r="P65"/>
  <c r="T65" s="1"/>
  <c r="W65" s="1"/>
  <c r="M65"/>
  <c r="Y64"/>
  <c r="X64"/>
  <c r="P64"/>
  <c r="T64" s="1"/>
  <c r="W64" s="1"/>
  <c r="M64"/>
  <c r="Y63"/>
  <c r="X63"/>
  <c r="P63"/>
  <c r="T63" s="1"/>
  <c r="W63" s="1"/>
  <c r="M63"/>
  <c r="Y62"/>
  <c r="X62"/>
  <c r="P62"/>
  <c r="T62" s="1"/>
  <c r="W62" s="1"/>
  <c r="M62"/>
  <c r="Y61"/>
  <c r="X61"/>
  <c r="P61"/>
  <c r="T61" s="1"/>
  <c r="W61" s="1"/>
  <c r="M61"/>
  <c r="Y60"/>
  <c r="X60"/>
  <c r="P60"/>
  <c r="T60" s="1"/>
  <c r="W60" s="1"/>
  <c r="M60"/>
  <c r="Y59"/>
  <c r="X59"/>
  <c r="P59"/>
  <c r="M59"/>
  <c r="P58"/>
  <c r="T58" s="1"/>
  <c r="W58" s="1"/>
  <c r="M58"/>
  <c r="P57"/>
  <c r="T57" s="1"/>
  <c r="W57" s="1"/>
  <c r="M57"/>
  <c r="P56"/>
  <c r="T56" s="1"/>
  <c r="W56" s="1"/>
  <c r="M56"/>
  <c r="Y55"/>
  <c r="X55"/>
  <c r="P55"/>
  <c r="T55" s="1"/>
  <c r="W55" s="1"/>
  <c r="M55"/>
  <c r="Y54"/>
  <c r="X54"/>
  <c r="P54"/>
  <c r="T54" s="1"/>
  <c r="W54" s="1"/>
  <c r="M54"/>
  <c r="P53"/>
  <c r="T53" s="1"/>
  <c r="W53" s="1"/>
  <c r="M53"/>
  <c r="Y52"/>
  <c r="X52"/>
  <c r="P52"/>
  <c r="T52" s="1"/>
  <c r="W52" s="1"/>
  <c r="M52"/>
  <c r="Y51"/>
  <c r="X51"/>
  <c r="P51"/>
  <c r="T51" s="1"/>
  <c r="W51" s="1"/>
  <c r="M51"/>
  <c r="Y50"/>
  <c r="X50"/>
  <c r="P50"/>
  <c r="T50" s="1"/>
  <c r="W50" s="1"/>
  <c r="M50"/>
  <c r="Y49"/>
  <c r="X49"/>
  <c r="P49"/>
  <c r="T49" s="1"/>
  <c r="W49" s="1"/>
  <c r="M49"/>
  <c r="Y48"/>
  <c r="X48"/>
  <c r="P48"/>
  <c r="T48" s="1"/>
  <c r="W48" s="1"/>
  <c r="M48"/>
  <c r="Y47"/>
  <c r="X47"/>
  <c r="P47"/>
  <c r="T47" s="1"/>
  <c r="W47" s="1"/>
  <c r="M47"/>
  <c r="P46"/>
  <c r="T46" s="1"/>
  <c r="W46" s="1"/>
  <c r="M46"/>
  <c r="P45"/>
  <c r="T45" s="1"/>
  <c r="W45" s="1"/>
  <c r="M45"/>
  <c r="Y44"/>
  <c r="X44"/>
  <c r="P44"/>
  <c r="T44" s="1"/>
  <c r="W44" s="1"/>
  <c r="M44"/>
  <c r="Y43"/>
  <c r="X43"/>
  <c r="P43"/>
  <c r="T43" s="1"/>
  <c r="W43" s="1"/>
  <c r="M43"/>
  <c r="Y42"/>
  <c r="X42"/>
  <c r="P42"/>
  <c r="T42" s="1"/>
  <c r="W42" s="1"/>
  <c r="M42"/>
  <c r="Y41"/>
  <c r="X41"/>
  <c r="P41"/>
  <c r="T41" s="1"/>
  <c r="W41" s="1"/>
  <c r="M41"/>
  <c r="P40"/>
  <c r="T40" s="1"/>
  <c r="W40" s="1"/>
  <c r="M40"/>
  <c r="Y39"/>
  <c r="X39"/>
  <c r="P39"/>
  <c r="T39" s="1"/>
  <c r="W39" s="1"/>
  <c r="M39"/>
  <c r="Y38"/>
  <c r="X38"/>
  <c r="P38"/>
  <c r="T38" s="1"/>
  <c r="W38" s="1"/>
  <c r="M38"/>
  <c r="Y37"/>
  <c r="X37"/>
  <c r="P37"/>
  <c r="T37" s="1"/>
  <c r="W37" s="1"/>
  <c r="M37"/>
  <c r="Y36"/>
  <c r="X36"/>
  <c r="P36"/>
  <c r="T36" s="1"/>
  <c r="W36" s="1"/>
  <c r="M36"/>
  <c r="Y35"/>
  <c r="X35"/>
  <c r="P35"/>
  <c r="T35" s="1"/>
  <c r="W35" s="1"/>
  <c r="M35"/>
  <c r="Y34"/>
  <c r="X34"/>
  <c r="P34"/>
  <c r="T34" s="1"/>
  <c r="W34" s="1"/>
  <c r="M34"/>
  <c r="Y33"/>
  <c r="X33"/>
  <c r="P33"/>
  <c r="T33" s="1"/>
  <c r="W33" s="1"/>
  <c r="M33"/>
  <c r="Y32"/>
  <c r="X32"/>
  <c r="P32"/>
  <c r="T32" s="1"/>
  <c r="W32" s="1"/>
  <c r="M32"/>
  <c r="Y31"/>
  <c r="X31"/>
  <c r="P31"/>
  <c r="T31" s="1"/>
  <c r="W31" s="1"/>
  <c r="M31"/>
  <c r="Y30"/>
  <c r="X30"/>
  <c r="P30"/>
  <c r="T30" s="1"/>
  <c r="W30" s="1"/>
  <c r="M30"/>
  <c r="Y29"/>
  <c r="X29"/>
  <c r="P29"/>
  <c r="T29" s="1"/>
  <c r="W29" s="1"/>
  <c r="M29"/>
  <c r="Y28"/>
  <c r="X28"/>
  <c r="P28"/>
  <c r="T28" s="1"/>
  <c r="W28" s="1"/>
  <c r="M28"/>
  <c r="Y27"/>
  <c r="X27"/>
  <c r="P27"/>
  <c r="T27" s="1"/>
  <c r="W27" s="1"/>
  <c r="M27"/>
  <c r="Y26"/>
  <c r="X26"/>
  <c r="P26"/>
  <c r="T26" s="1"/>
  <c r="W26" s="1"/>
  <c r="M26"/>
  <c r="P25"/>
  <c r="T25" s="1"/>
  <c r="W25" s="1"/>
  <c r="M25"/>
  <c r="Y24"/>
  <c r="X24"/>
  <c r="P24"/>
  <c r="T24" s="1"/>
  <c r="W24" s="1"/>
  <c r="M24"/>
  <c r="Y23"/>
  <c r="X23"/>
  <c r="P23"/>
  <c r="T23" s="1"/>
  <c r="W23" s="1"/>
  <c r="M23"/>
  <c r="Y22"/>
  <c r="X22"/>
  <c r="P22"/>
  <c r="T22" s="1"/>
  <c r="W22" s="1"/>
  <c r="M22"/>
  <c r="Y21"/>
  <c r="X21"/>
  <c r="P21"/>
  <c r="T21" s="1"/>
  <c r="W21" s="1"/>
  <c r="M21"/>
  <c r="Y20"/>
  <c r="X20"/>
  <c r="P20"/>
  <c r="T20" s="1"/>
  <c r="W20" s="1"/>
  <c r="M20"/>
  <c r="P19"/>
  <c r="T19" s="1"/>
  <c r="W19" s="1"/>
  <c r="M19"/>
  <c r="Y18"/>
  <c r="X18"/>
  <c r="P18"/>
  <c r="T18" s="1"/>
  <c r="W18" s="1"/>
  <c r="M18"/>
  <c r="Y17"/>
  <c r="X17"/>
  <c r="P17"/>
  <c r="T17" s="1"/>
  <c r="W17" s="1"/>
  <c r="M17"/>
  <c r="Y16"/>
  <c r="X16"/>
  <c r="P16"/>
  <c r="T16" s="1"/>
  <c r="W16" s="1"/>
  <c r="M16"/>
  <c r="Y15"/>
  <c r="X15"/>
  <c r="P15"/>
  <c r="T15" s="1"/>
  <c r="W15" s="1"/>
  <c r="M15"/>
  <c r="Y14"/>
  <c r="X14"/>
  <c r="P14"/>
  <c r="T14" s="1"/>
  <c r="W14" s="1"/>
  <c r="M14"/>
  <c r="Y13"/>
  <c r="X13"/>
  <c r="P13"/>
  <c r="T13" s="1"/>
  <c r="W13" s="1"/>
  <c r="M13"/>
  <c r="Y12"/>
  <c r="X12"/>
  <c r="P12"/>
  <c r="T12" s="1"/>
  <c r="W12" s="1"/>
  <c r="M12"/>
  <c r="P11"/>
  <c r="T11" s="1"/>
  <c r="W11" s="1"/>
  <c r="M11"/>
  <c r="Y10"/>
  <c r="X10"/>
  <c r="P10"/>
  <c r="T10" s="1"/>
  <c r="W10" s="1"/>
  <c r="M10"/>
  <c r="Y9"/>
  <c r="X9"/>
  <c r="P9"/>
  <c r="T9" s="1"/>
  <c r="W9" s="1"/>
  <c r="M9"/>
  <c r="Y8"/>
  <c r="X8"/>
  <c r="P8"/>
  <c r="T8" s="1"/>
  <c r="W8" s="1"/>
  <c r="M8"/>
  <c r="M166" i="14"/>
  <c r="M166" i="15"/>
  <c r="O34" i="18"/>
  <c r="O33"/>
  <c r="O33" i="9"/>
  <c r="O34"/>
  <c r="P45"/>
  <c r="O46" i="18"/>
  <c r="K35" i="16"/>
  <c r="K38"/>
  <c r="P44" i="18"/>
  <c r="Q44" s="1"/>
  <c r="P37"/>
  <c r="Q37" s="1"/>
  <c r="Q38" s="1"/>
  <c r="M44"/>
  <c r="M40"/>
  <c r="I44"/>
  <c r="I40"/>
  <c r="K40" s="1"/>
  <c r="M37"/>
  <c r="M38" s="1"/>
  <c r="K37"/>
  <c r="K38" s="1"/>
  <c r="I37"/>
  <c r="I38" s="1"/>
  <c r="W27" i="14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79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03"/>
  <c r="P104"/>
  <c r="P105"/>
  <c r="P106"/>
  <c r="P107"/>
  <c r="P108"/>
  <c r="P109"/>
  <c r="P110"/>
  <c r="P111"/>
  <c r="P112"/>
  <c r="T112" s="1"/>
  <c r="P113"/>
  <c r="T113" s="1"/>
  <c r="P114"/>
  <c r="P115"/>
  <c r="P116"/>
  <c r="T116" s="1"/>
  <c r="P117"/>
  <c r="T117" s="1"/>
  <c r="P118"/>
  <c r="P119"/>
  <c r="P120"/>
  <c r="P121"/>
  <c r="P103"/>
  <c r="P129"/>
  <c r="P130"/>
  <c r="P131"/>
  <c r="P132"/>
  <c r="P133"/>
  <c r="P134"/>
  <c r="P135"/>
  <c r="P136"/>
  <c r="Y26" i="8"/>
  <c r="W140" i="14"/>
  <c r="W141"/>
  <c r="W142"/>
  <c r="W143"/>
  <c r="W144"/>
  <c r="W145"/>
  <c r="W146"/>
  <c r="W147"/>
  <c r="W148"/>
  <c r="W149"/>
  <c r="W150"/>
  <c r="W151"/>
  <c r="W152"/>
  <c r="W153"/>
  <c r="W154"/>
  <c r="W155"/>
  <c r="W156"/>
  <c r="W157"/>
  <c r="W158"/>
  <c r="W159"/>
  <c r="W160"/>
  <c r="W161"/>
  <c r="W162"/>
  <c r="W163"/>
  <c r="W164"/>
  <c r="W165"/>
  <c r="W139"/>
  <c r="P47" i="16"/>
  <c r="P37"/>
  <c r="Q37"/>
  <c r="S34"/>
  <c r="P46"/>
  <c r="P35"/>
  <c r="M38"/>
  <c r="W28" i="14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P28"/>
  <c r="T28" s="1"/>
  <c r="P29"/>
  <c r="P30"/>
  <c r="P31"/>
  <c r="P32"/>
  <c r="T32" s="1"/>
  <c r="P33"/>
  <c r="P34"/>
  <c r="P35"/>
  <c r="P36"/>
  <c r="T36" s="1"/>
  <c r="P37"/>
  <c r="P38"/>
  <c r="P39"/>
  <c r="P40"/>
  <c r="P41"/>
  <c r="P27"/>
  <c r="T29"/>
  <c r="T30"/>
  <c r="T31"/>
  <c r="T33"/>
  <c r="T34"/>
  <c r="T35"/>
  <c r="T37"/>
  <c r="T38"/>
  <c r="T39"/>
  <c r="T114"/>
  <c r="T115"/>
  <c r="T118"/>
  <c r="W124"/>
  <c r="W125"/>
  <c r="W126"/>
  <c r="W127"/>
  <c r="W128"/>
  <c r="W137"/>
  <c r="W123"/>
  <c r="O46" i="16"/>
  <c r="Q43"/>
  <c r="P43"/>
  <c r="M45"/>
  <c r="M44"/>
  <c r="M42"/>
  <c r="M40"/>
  <c r="P40" s="1"/>
  <c r="I43"/>
  <c r="M43" s="1"/>
  <c r="P42"/>
  <c r="I41"/>
  <c r="M28" i="14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27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79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03"/>
  <c r="M124"/>
  <c r="M125"/>
  <c r="M126"/>
  <c r="M127"/>
  <c r="M128"/>
  <c r="M129"/>
  <c r="M130"/>
  <c r="M131"/>
  <c r="M132"/>
  <c r="M133"/>
  <c r="M134"/>
  <c r="M135"/>
  <c r="M136"/>
  <c r="M123"/>
  <c r="Q18" i="16"/>
  <c r="Q35" s="1"/>
  <c r="Q19"/>
  <c r="Q20"/>
  <c r="Q21"/>
  <c r="Q22"/>
  <c r="Q23"/>
  <c r="Q24"/>
  <c r="Q25"/>
  <c r="Q26"/>
  <c r="Q27"/>
  <c r="Q28"/>
  <c r="Q29"/>
  <c r="Q30"/>
  <c r="Q31"/>
  <c r="Q32"/>
  <c r="Q33"/>
  <c r="Q34"/>
  <c r="Q17"/>
  <c r="O34"/>
  <c r="O33"/>
  <c r="K19"/>
  <c r="N47" i="18"/>
  <c r="F46"/>
  <c r="O45"/>
  <c r="O43"/>
  <c r="O42"/>
  <c r="O41"/>
  <c r="O38"/>
  <c r="F38"/>
  <c r="O37"/>
  <c r="F35"/>
  <c r="F47" s="1"/>
  <c r="O32"/>
  <c r="O31"/>
  <c r="O30"/>
  <c r="O29"/>
  <c r="O28"/>
  <c r="O27"/>
  <c r="O26"/>
  <c r="O25"/>
  <c r="O24"/>
  <c r="O23"/>
  <c r="O22"/>
  <c r="O21"/>
  <c r="O20"/>
  <c r="O19"/>
  <c r="O18"/>
  <c r="O17"/>
  <c r="N47" i="17"/>
  <c r="F46"/>
  <c r="O45"/>
  <c r="P45" s="1"/>
  <c r="Q45" s="1"/>
  <c r="I45"/>
  <c r="M45" s="1"/>
  <c r="P44"/>
  <c r="Q44" s="1"/>
  <c r="P43"/>
  <c r="Q43" s="1"/>
  <c r="O43"/>
  <c r="M43"/>
  <c r="I43"/>
  <c r="O42"/>
  <c r="I42"/>
  <c r="M42" s="1"/>
  <c r="O41"/>
  <c r="M41"/>
  <c r="I41"/>
  <c r="K41" s="1"/>
  <c r="K46" s="1"/>
  <c r="P40"/>
  <c r="K40"/>
  <c r="Q38"/>
  <c r="P38"/>
  <c r="O38"/>
  <c r="M38"/>
  <c r="I38"/>
  <c r="F38"/>
  <c r="R37"/>
  <c r="Q37"/>
  <c r="O37"/>
  <c r="F35"/>
  <c r="F47" s="1"/>
  <c r="O34"/>
  <c r="M34"/>
  <c r="K34"/>
  <c r="I34"/>
  <c r="P34" s="1"/>
  <c r="Q34" s="1"/>
  <c r="O33"/>
  <c r="K33"/>
  <c r="I33"/>
  <c r="O32"/>
  <c r="M32"/>
  <c r="K32"/>
  <c r="I32"/>
  <c r="P32" s="1"/>
  <c r="Q32" s="1"/>
  <c r="O31"/>
  <c r="K31"/>
  <c r="I31"/>
  <c r="O30"/>
  <c r="M30"/>
  <c r="K30"/>
  <c r="I30"/>
  <c r="P30" s="1"/>
  <c r="Q30" s="1"/>
  <c r="O29"/>
  <c r="K29"/>
  <c r="I29"/>
  <c r="O28"/>
  <c r="M28"/>
  <c r="K28"/>
  <c r="I28"/>
  <c r="P28" s="1"/>
  <c r="Q28" s="1"/>
  <c r="O27"/>
  <c r="K27"/>
  <c r="I27"/>
  <c r="O26"/>
  <c r="M26"/>
  <c r="K26"/>
  <c r="I26"/>
  <c r="P26" s="1"/>
  <c r="Q26" s="1"/>
  <c r="O25"/>
  <c r="K25"/>
  <c r="I25"/>
  <c r="O24"/>
  <c r="M24"/>
  <c r="K24"/>
  <c r="I24"/>
  <c r="P24" s="1"/>
  <c r="Q24" s="1"/>
  <c r="O23"/>
  <c r="K23"/>
  <c r="I23"/>
  <c r="O22"/>
  <c r="M22"/>
  <c r="K22"/>
  <c r="I22"/>
  <c r="P22" s="1"/>
  <c r="Q22" s="1"/>
  <c r="O21"/>
  <c r="I21"/>
  <c r="O20"/>
  <c r="M20"/>
  <c r="I20"/>
  <c r="K20" s="1"/>
  <c r="O19"/>
  <c r="I19"/>
  <c r="O18"/>
  <c r="M18"/>
  <c r="I18"/>
  <c r="K18" s="1"/>
  <c r="O17"/>
  <c r="O35" s="1"/>
  <c r="I17"/>
  <c r="I35" s="1"/>
  <c r="N47" i="16"/>
  <c r="F46"/>
  <c r="O45"/>
  <c r="I45"/>
  <c r="P45" s="1"/>
  <c r="Q45" s="1"/>
  <c r="P44"/>
  <c r="Q44" s="1"/>
  <c r="O43"/>
  <c r="O42"/>
  <c r="Q42"/>
  <c r="O41"/>
  <c r="M41"/>
  <c r="K40"/>
  <c r="F38"/>
  <c r="O37"/>
  <c r="O38" s="1"/>
  <c r="F35"/>
  <c r="F47" s="1"/>
  <c r="M34"/>
  <c r="K34"/>
  <c r="I34"/>
  <c r="I33"/>
  <c r="K33" s="1"/>
  <c r="O32"/>
  <c r="K32"/>
  <c r="I32"/>
  <c r="O31"/>
  <c r="I31"/>
  <c r="K31" s="1"/>
  <c r="O30"/>
  <c r="I30"/>
  <c r="K30" s="1"/>
  <c r="O29"/>
  <c r="I29"/>
  <c r="K29" s="1"/>
  <c r="O28"/>
  <c r="I28"/>
  <c r="I35" s="1"/>
  <c r="O27"/>
  <c r="I27"/>
  <c r="K27" s="1"/>
  <c r="O26"/>
  <c r="M26"/>
  <c r="K26"/>
  <c r="I26"/>
  <c r="O25"/>
  <c r="I25"/>
  <c r="K25" s="1"/>
  <c r="O24"/>
  <c r="I24"/>
  <c r="O23"/>
  <c r="I23"/>
  <c r="K23" s="1"/>
  <c r="O22"/>
  <c r="K22"/>
  <c r="I22"/>
  <c r="M22" s="1"/>
  <c r="O21"/>
  <c r="I21"/>
  <c r="M21" s="1"/>
  <c r="P21" s="1"/>
  <c r="O20"/>
  <c r="I20"/>
  <c r="M20" s="1"/>
  <c r="K20" s="1"/>
  <c r="O19"/>
  <c r="I19"/>
  <c r="M19" s="1"/>
  <c r="O18"/>
  <c r="I18"/>
  <c r="M18" s="1"/>
  <c r="K18" s="1"/>
  <c r="O17"/>
  <c r="I17"/>
  <c r="AA166" i="8"/>
  <c r="V155" i="15"/>
  <c r="V156"/>
  <c r="V157"/>
  <c r="V158"/>
  <c r="V159"/>
  <c r="V160"/>
  <c r="V161"/>
  <c r="V162"/>
  <c r="V163"/>
  <c r="V164"/>
  <c r="V18"/>
  <c r="T105" i="19" l="1"/>
  <c r="W105" s="1"/>
  <c r="R107"/>
  <c r="Y107" s="1"/>
  <c r="T106"/>
  <c r="W106" s="1"/>
  <c r="T110"/>
  <c r="W110" s="1"/>
  <c r="T112"/>
  <c r="W112" s="1"/>
  <c r="R102"/>
  <c r="T102" s="1"/>
  <c r="W102" s="1"/>
  <c r="T115"/>
  <c r="W115" s="1"/>
  <c r="W114"/>
  <c r="Y114"/>
  <c r="W108"/>
  <c r="Y108"/>
  <c r="T59"/>
  <c r="W59" s="1"/>
  <c r="T101"/>
  <c r="T103"/>
  <c r="W103" s="1"/>
  <c r="T109"/>
  <c r="T113"/>
  <c r="W113" s="1"/>
  <c r="O35" i="18"/>
  <c r="O47" s="1"/>
  <c r="P38"/>
  <c r="I38" i="16"/>
  <c r="P38"/>
  <c r="Q40"/>
  <c r="Q46" s="1"/>
  <c r="M46"/>
  <c r="K46"/>
  <c r="K41"/>
  <c r="O35"/>
  <c r="O47" s="1"/>
  <c r="M24"/>
  <c r="P24" s="1"/>
  <c r="K24"/>
  <c r="P26"/>
  <c r="M28"/>
  <c r="K28"/>
  <c r="M30"/>
  <c r="P30" s="1"/>
  <c r="M32"/>
  <c r="P32" s="1"/>
  <c r="P34"/>
  <c r="P22"/>
  <c r="M17"/>
  <c r="P33" i="17"/>
  <c r="Q33" s="1"/>
  <c r="M46"/>
  <c r="P42"/>
  <c r="Q42" s="1"/>
  <c r="P23"/>
  <c r="Q23" s="1"/>
  <c r="P31"/>
  <c r="Q31" s="1"/>
  <c r="M17"/>
  <c r="P18"/>
  <c r="Q18" s="1"/>
  <c r="M19"/>
  <c r="P19" s="1"/>
  <c r="Q19" s="1"/>
  <c r="P20"/>
  <c r="Q20" s="1"/>
  <c r="P41"/>
  <c r="Q41" s="1"/>
  <c r="K19"/>
  <c r="M21"/>
  <c r="P21" s="1"/>
  <c r="Q21" s="1"/>
  <c r="M23"/>
  <c r="M25"/>
  <c r="P25" s="1"/>
  <c r="Q25" s="1"/>
  <c r="M27"/>
  <c r="P27" s="1"/>
  <c r="Q27" s="1"/>
  <c r="M29"/>
  <c r="P29" s="1"/>
  <c r="Q29" s="1"/>
  <c r="M31"/>
  <c r="M33"/>
  <c r="Q40"/>
  <c r="Q46" s="1"/>
  <c r="O46"/>
  <c r="O47" s="1"/>
  <c r="P41" i="16"/>
  <c r="Q41" s="1"/>
  <c r="P18"/>
  <c r="P20"/>
  <c r="K17"/>
  <c r="P19"/>
  <c r="M23"/>
  <c r="M25"/>
  <c r="M27"/>
  <c r="P27" s="1"/>
  <c r="M29"/>
  <c r="P29" s="1"/>
  <c r="M31"/>
  <c r="P31" s="1"/>
  <c r="M33"/>
  <c r="P25"/>
  <c r="P33"/>
  <c r="P17"/>
  <c r="Y115" i="19" l="1"/>
  <c r="Y106"/>
  <c r="Y110"/>
  <c r="T107"/>
  <c r="W107" s="1"/>
  <c r="W109"/>
  <c r="Y109"/>
  <c r="W101"/>
  <c r="Y101"/>
  <c r="S45" i="16"/>
  <c r="P28"/>
  <c r="M35"/>
  <c r="M47" s="1"/>
  <c r="M35" i="17"/>
  <c r="M47" s="1"/>
  <c r="K17"/>
  <c r="P46"/>
  <c r="P23" i="16"/>
  <c r="K47"/>
  <c r="K35" i="17" l="1"/>
  <c r="K47" s="1"/>
  <c r="P17"/>
  <c r="P35" l="1"/>
  <c r="P47" s="1"/>
  <c r="Q47" s="1"/>
  <c r="Q17"/>
  <c r="Q35" s="1"/>
  <c r="L138" i="15" l="1"/>
  <c r="X137"/>
  <c r="M137"/>
  <c r="X136"/>
  <c r="M136"/>
  <c r="M135"/>
  <c r="M134"/>
  <c r="M133"/>
  <c r="X132"/>
  <c r="M132"/>
  <c r="X131"/>
  <c r="M131"/>
  <c r="X130"/>
  <c r="M130"/>
  <c r="X129"/>
  <c r="M129"/>
  <c r="X128"/>
  <c r="M128"/>
  <c r="M127"/>
  <c r="M126"/>
  <c r="M125"/>
  <c r="M124"/>
  <c r="X123"/>
  <c r="M123"/>
  <c r="L122"/>
  <c r="Y121"/>
  <c r="X121"/>
  <c r="M121"/>
  <c r="Y120"/>
  <c r="X120"/>
  <c r="M120"/>
  <c r="Y119"/>
  <c r="X119"/>
  <c r="M119"/>
  <c r="Y118"/>
  <c r="X118"/>
  <c r="M118"/>
  <c r="Y117"/>
  <c r="X117"/>
  <c r="M117"/>
  <c r="M116"/>
  <c r="M115"/>
  <c r="Y114"/>
  <c r="X114"/>
  <c r="M114"/>
  <c r="Y113"/>
  <c r="X113"/>
  <c r="M113"/>
  <c r="Y112"/>
  <c r="X112"/>
  <c r="M112"/>
  <c r="Y111"/>
  <c r="X111"/>
  <c r="M111"/>
  <c r="M110"/>
  <c r="Y109"/>
  <c r="X109"/>
  <c r="M109"/>
  <c r="Y108"/>
  <c r="X108"/>
  <c r="M108"/>
  <c r="Y107"/>
  <c r="X107"/>
  <c r="M107"/>
  <c r="Y106"/>
  <c r="X106"/>
  <c r="M106"/>
  <c r="Y105"/>
  <c r="X105"/>
  <c r="M105"/>
  <c r="Y104"/>
  <c r="X104"/>
  <c r="M104"/>
  <c r="Y103"/>
  <c r="X103"/>
  <c r="M103"/>
  <c r="L102"/>
  <c r="Y101"/>
  <c r="X101"/>
  <c r="M101"/>
  <c r="M100"/>
  <c r="Y99"/>
  <c r="X99"/>
  <c r="M99"/>
  <c r="Y98"/>
  <c r="X98"/>
  <c r="M98"/>
  <c r="Y97"/>
  <c r="X97"/>
  <c r="M97"/>
  <c r="Y96"/>
  <c r="X96"/>
  <c r="M96"/>
  <c r="Y95"/>
  <c r="X95"/>
  <c r="M95"/>
  <c r="Y94"/>
  <c r="X94"/>
  <c r="M94"/>
  <c r="M93"/>
  <c r="Y92"/>
  <c r="X92"/>
  <c r="M92"/>
  <c r="Y91"/>
  <c r="X91"/>
  <c r="M91"/>
  <c r="Y90"/>
  <c r="X90"/>
  <c r="M90"/>
  <c r="Y89"/>
  <c r="X89"/>
  <c r="M89"/>
  <c r="M88"/>
  <c r="Y87"/>
  <c r="X87"/>
  <c r="M87"/>
  <c r="Y86"/>
  <c r="X86"/>
  <c r="M86"/>
  <c r="Y85"/>
  <c r="X85"/>
  <c r="M85"/>
  <c r="Y84"/>
  <c r="X84"/>
  <c r="M84"/>
  <c r="Y83"/>
  <c r="X83"/>
  <c r="M83"/>
  <c r="Y82"/>
  <c r="X82"/>
  <c r="M82"/>
  <c r="Y81"/>
  <c r="X81"/>
  <c r="M81"/>
  <c r="Y80"/>
  <c r="X80"/>
  <c r="M80"/>
  <c r="Y79"/>
  <c r="X79"/>
  <c r="M79"/>
  <c r="L78"/>
  <c r="M77"/>
  <c r="M76"/>
  <c r="M75"/>
  <c r="Y74"/>
  <c r="X74"/>
  <c r="M74"/>
  <c r="Y73"/>
  <c r="X73"/>
  <c r="M73"/>
  <c r="M72"/>
  <c r="Y71"/>
  <c r="X71"/>
  <c r="M71"/>
  <c r="Y70"/>
  <c r="X70"/>
  <c r="M70"/>
  <c r="Y69"/>
  <c r="X69"/>
  <c r="M69"/>
  <c r="Y68"/>
  <c r="X68"/>
  <c r="M68"/>
  <c r="Y67"/>
  <c r="X67"/>
  <c r="M67"/>
  <c r="Y66"/>
  <c r="X66"/>
  <c r="M66"/>
  <c r="M65"/>
  <c r="M64"/>
  <c r="Y63"/>
  <c r="X63"/>
  <c r="M63"/>
  <c r="Y62"/>
  <c r="X62"/>
  <c r="M62"/>
  <c r="Y61"/>
  <c r="X61"/>
  <c r="M61"/>
  <c r="Y60"/>
  <c r="X60"/>
  <c r="M60"/>
  <c r="M59"/>
  <c r="Y58"/>
  <c r="X58"/>
  <c r="M58"/>
  <c r="Y57"/>
  <c r="X57"/>
  <c r="M57"/>
  <c r="Y56"/>
  <c r="X56"/>
  <c r="M56"/>
  <c r="Y55"/>
  <c r="X55"/>
  <c r="M55"/>
  <c r="Y54"/>
  <c r="X54"/>
  <c r="M54"/>
  <c r="Y53"/>
  <c r="X53"/>
  <c r="M53"/>
  <c r="Y52"/>
  <c r="X52"/>
  <c r="M52"/>
  <c r="Y51"/>
  <c r="X51"/>
  <c r="M51"/>
  <c r="Y50"/>
  <c r="X50"/>
  <c r="M50"/>
  <c r="Y49"/>
  <c r="X49"/>
  <c r="M49"/>
  <c r="Y48"/>
  <c r="X48"/>
  <c r="M48"/>
  <c r="Y47"/>
  <c r="X47"/>
  <c r="M47"/>
  <c r="Y46"/>
  <c r="X46"/>
  <c r="M46"/>
  <c r="Y45"/>
  <c r="X45"/>
  <c r="M45"/>
  <c r="M44"/>
  <c r="Y43"/>
  <c r="X43"/>
  <c r="M43"/>
  <c r="Y42"/>
  <c r="X42"/>
  <c r="M42"/>
  <c r="Y41"/>
  <c r="X41"/>
  <c r="M41"/>
  <c r="Y40"/>
  <c r="X40"/>
  <c r="M40"/>
  <c r="Y39"/>
  <c r="X39"/>
  <c r="M39"/>
  <c r="M38"/>
  <c r="Y37"/>
  <c r="X37"/>
  <c r="M37"/>
  <c r="Y36"/>
  <c r="X36"/>
  <c r="M36"/>
  <c r="Y35"/>
  <c r="X35"/>
  <c r="M35"/>
  <c r="Y34"/>
  <c r="X34"/>
  <c r="M34"/>
  <c r="Y33"/>
  <c r="X33"/>
  <c r="M33"/>
  <c r="Y32"/>
  <c r="X32"/>
  <c r="M32"/>
  <c r="Y31"/>
  <c r="X31"/>
  <c r="M31"/>
  <c r="M30"/>
  <c r="Y29"/>
  <c r="X29"/>
  <c r="M29"/>
  <c r="Y28"/>
  <c r="X28"/>
  <c r="M28"/>
  <c r="Y27"/>
  <c r="X27"/>
  <c r="M27"/>
  <c r="X25"/>
  <c r="X24"/>
  <c r="X23"/>
  <c r="X22"/>
  <c r="X21"/>
  <c r="X20"/>
  <c r="V19"/>
  <c r="X17"/>
  <c r="X16"/>
  <c r="X15"/>
  <c r="X14"/>
  <c r="X13"/>
  <c r="X12"/>
  <c r="X11"/>
  <c r="X10"/>
  <c r="X9"/>
  <c r="X8"/>
  <c r="X7"/>
  <c r="X6"/>
  <c r="P165" i="14"/>
  <c r="P164"/>
  <c r="P163"/>
  <c r="P162"/>
  <c r="P161"/>
  <c r="P160"/>
  <c r="P159"/>
  <c r="P158"/>
  <c r="Q157"/>
  <c r="P157"/>
  <c r="P156"/>
  <c r="P155"/>
  <c r="V154"/>
  <c r="P154"/>
  <c r="V153"/>
  <c r="P153"/>
  <c r="V152"/>
  <c r="P152"/>
  <c r="V151"/>
  <c r="P151"/>
  <c r="V150"/>
  <c r="P150"/>
  <c r="V149"/>
  <c r="P149"/>
  <c r="V148"/>
  <c r="P148"/>
  <c r="V147"/>
  <c r="P147"/>
  <c r="V146"/>
  <c r="P146"/>
  <c r="P145"/>
  <c r="P144"/>
  <c r="P143"/>
  <c r="P142"/>
  <c r="P141"/>
  <c r="P140"/>
  <c r="P139"/>
  <c r="L138"/>
  <c r="X137"/>
  <c r="P137"/>
  <c r="R137" s="1"/>
  <c r="T137" s="1"/>
  <c r="X136"/>
  <c r="R136"/>
  <c r="R135"/>
  <c r="T135" s="1"/>
  <c r="W135" s="1"/>
  <c r="R134"/>
  <c r="T134" s="1"/>
  <c r="W134" s="1"/>
  <c r="R133"/>
  <c r="X132"/>
  <c r="R132"/>
  <c r="T132" s="1"/>
  <c r="W132" s="1"/>
  <c r="X131"/>
  <c r="R131"/>
  <c r="T131" s="1"/>
  <c r="W131" s="1"/>
  <c r="X130"/>
  <c r="R130"/>
  <c r="X129"/>
  <c r="X128"/>
  <c r="P128"/>
  <c r="R128" s="1"/>
  <c r="T128" s="1"/>
  <c r="R127"/>
  <c r="P127"/>
  <c r="P126"/>
  <c r="R126" s="1"/>
  <c r="P125"/>
  <c r="R125" s="1"/>
  <c r="T125" s="1"/>
  <c r="P124"/>
  <c r="R124" s="1"/>
  <c r="T124" s="1"/>
  <c r="X123"/>
  <c r="P123"/>
  <c r="R123" s="1"/>
  <c r="T123" s="1"/>
  <c r="L122"/>
  <c r="Y121"/>
  <c r="X121"/>
  <c r="Y120"/>
  <c r="X120"/>
  <c r="Y119"/>
  <c r="X119"/>
  <c r="Y118"/>
  <c r="X118"/>
  <c r="Y117"/>
  <c r="X117"/>
  <c r="Y114"/>
  <c r="X114"/>
  <c r="Y113"/>
  <c r="X113"/>
  <c r="Y112"/>
  <c r="X112"/>
  <c r="Y111"/>
  <c r="X111"/>
  <c r="Y109"/>
  <c r="X109"/>
  <c r="Y108"/>
  <c r="X108"/>
  <c r="Y107"/>
  <c r="X107"/>
  <c r="Y106"/>
  <c r="X106"/>
  <c r="Y105"/>
  <c r="X105"/>
  <c r="Y104"/>
  <c r="X104"/>
  <c r="Y103"/>
  <c r="X103"/>
  <c r="T103"/>
  <c r="L102"/>
  <c r="Y101"/>
  <c r="X101"/>
  <c r="T101"/>
  <c r="T100"/>
  <c r="Y99"/>
  <c r="X99"/>
  <c r="T99"/>
  <c r="Y98"/>
  <c r="X98"/>
  <c r="T98"/>
  <c r="Y97"/>
  <c r="X97"/>
  <c r="T97"/>
  <c r="Y96"/>
  <c r="X96"/>
  <c r="T96"/>
  <c r="Y95"/>
  <c r="X95"/>
  <c r="T95"/>
  <c r="Y94"/>
  <c r="X94"/>
  <c r="T94"/>
  <c r="T93"/>
  <c r="Y92"/>
  <c r="X92"/>
  <c r="T92"/>
  <c r="Y91"/>
  <c r="X91"/>
  <c r="T91"/>
  <c r="Y90"/>
  <c r="X90"/>
  <c r="T90"/>
  <c r="Y89"/>
  <c r="X89"/>
  <c r="T89"/>
  <c r="T88"/>
  <c r="Y87"/>
  <c r="X87"/>
  <c r="T87"/>
  <c r="Y86"/>
  <c r="X86"/>
  <c r="T86"/>
  <c r="Y85"/>
  <c r="X85"/>
  <c r="T85"/>
  <c r="Y84"/>
  <c r="X84"/>
  <c r="T84"/>
  <c r="Y83"/>
  <c r="X83"/>
  <c r="T83"/>
  <c r="Y82"/>
  <c r="X82"/>
  <c r="T82"/>
  <c r="Y81"/>
  <c r="X81"/>
  <c r="T81"/>
  <c r="Y80"/>
  <c r="X80"/>
  <c r="T80"/>
  <c r="Y79"/>
  <c r="X79"/>
  <c r="L78"/>
  <c r="P77"/>
  <c r="T77" s="1"/>
  <c r="P76"/>
  <c r="T76" s="1"/>
  <c r="T75"/>
  <c r="P75"/>
  <c r="Y74"/>
  <c r="X74"/>
  <c r="T74"/>
  <c r="P74"/>
  <c r="Y73"/>
  <c r="X73"/>
  <c r="P73"/>
  <c r="T73" s="1"/>
  <c r="P72"/>
  <c r="Y71"/>
  <c r="X71"/>
  <c r="P71"/>
  <c r="T71" s="1"/>
  <c r="Y70"/>
  <c r="X70"/>
  <c r="P70"/>
  <c r="T70" s="1"/>
  <c r="Y69"/>
  <c r="X69"/>
  <c r="P69"/>
  <c r="Y68"/>
  <c r="X68"/>
  <c r="P68"/>
  <c r="Y67"/>
  <c r="X67"/>
  <c r="P67"/>
  <c r="T67" s="1"/>
  <c r="Y66"/>
  <c r="X66"/>
  <c r="P66"/>
  <c r="T66" s="1"/>
  <c r="P65"/>
  <c r="T65" s="1"/>
  <c r="P64"/>
  <c r="Y63"/>
  <c r="X63"/>
  <c r="P63"/>
  <c r="T63" s="1"/>
  <c r="Y62"/>
  <c r="X62"/>
  <c r="P62"/>
  <c r="T62" s="1"/>
  <c r="Y61"/>
  <c r="X61"/>
  <c r="P61"/>
  <c r="Y60"/>
  <c r="X60"/>
  <c r="T60"/>
  <c r="P60"/>
  <c r="T59"/>
  <c r="P59"/>
  <c r="Y58"/>
  <c r="X58"/>
  <c r="P58"/>
  <c r="T58" s="1"/>
  <c r="Y57"/>
  <c r="X57"/>
  <c r="P57"/>
  <c r="T57" s="1"/>
  <c r="Y56"/>
  <c r="X56"/>
  <c r="P56"/>
  <c r="T56" s="1"/>
  <c r="Y55"/>
  <c r="X55"/>
  <c r="T55"/>
  <c r="P55"/>
  <c r="Y54"/>
  <c r="X54"/>
  <c r="P54"/>
  <c r="T54" s="1"/>
  <c r="Y53"/>
  <c r="X53"/>
  <c r="P53"/>
  <c r="T53" s="1"/>
  <c r="Y52"/>
  <c r="X52"/>
  <c r="P52"/>
  <c r="T52" s="1"/>
  <c r="Y51"/>
  <c r="X51"/>
  <c r="T51"/>
  <c r="P51"/>
  <c r="Y50"/>
  <c r="X50"/>
  <c r="T50"/>
  <c r="P50"/>
  <c r="Y49"/>
  <c r="X49"/>
  <c r="P49"/>
  <c r="T49" s="1"/>
  <c r="Y48"/>
  <c r="X48"/>
  <c r="P48"/>
  <c r="T48" s="1"/>
  <c r="Y47"/>
  <c r="X47"/>
  <c r="P47"/>
  <c r="T47" s="1"/>
  <c r="Y46"/>
  <c r="X46"/>
  <c r="P46"/>
  <c r="Y45"/>
  <c r="X45"/>
  <c r="P45"/>
  <c r="T45" s="1"/>
  <c r="P44"/>
  <c r="T44" s="1"/>
  <c r="Y43"/>
  <c r="X43"/>
  <c r="P43"/>
  <c r="T43" s="1"/>
  <c r="Y42"/>
  <c r="X42"/>
  <c r="P42"/>
  <c r="T42" s="1"/>
  <c r="Y41"/>
  <c r="X41"/>
  <c r="T41"/>
  <c r="Y40"/>
  <c r="X40"/>
  <c r="T40"/>
  <c r="Y39"/>
  <c r="X39"/>
  <c r="Y37"/>
  <c r="X37"/>
  <c r="Y36"/>
  <c r="X36"/>
  <c r="Y35"/>
  <c r="X35"/>
  <c r="Y34"/>
  <c r="X34"/>
  <c r="Y33"/>
  <c r="X33"/>
  <c r="Y32"/>
  <c r="X32"/>
  <c r="Y31"/>
  <c r="X31"/>
  <c r="Y29"/>
  <c r="X29"/>
  <c r="Y28"/>
  <c r="X28"/>
  <c r="Y27"/>
  <c r="X27"/>
  <c r="T27"/>
  <c r="X25"/>
  <c r="P25"/>
  <c r="X24"/>
  <c r="P24"/>
  <c r="X23"/>
  <c r="T23"/>
  <c r="Y23" s="1"/>
  <c r="P23"/>
  <c r="X22"/>
  <c r="P22"/>
  <c r="X21"/>
  <c r="P21"/>
  <c r="X20"/>
  <c r="P20"/>
  <c r="V19"/>
  <c r="P19"/>
  <c r="V18"/>
  <c r="P18"/>
  <c r="X17"/>
  <c r="P17"/>
  <c r="X16"/>
  <c r="P16"/>
  <c r="X15"/>
  <c r="P15"/>
  <c r="X14"/>
  <c r="P14"/>
  <c r="X13"/>
  <c r="P13"/>
  <c r="X12"/>
  <c r="P12"/>
  <c r="X11"/>
  <c r="P11"/>
  <c r="X10"/>
  <c r="P10"/>
  <c r="X9"/>
  <c r="R9"/>
  <c r="P9"/>
  <c r="X8"/>
  <c r="P8"/>
  <c r="X7"/>
  <c r="P7"/>
  <c r="X6"/>
  <c r="P6"/>
  <c r="Q27" i="8"/>
  <c r="E6" i="13"/>
  <c r="R26" i="12"/>
  <c r="R78"/>
  <c r="R138"/>
  <c r="M171"/>
  <c r="M170"/>
  <c r="M172" s="1"/>
  <c r="V165"/>
  <c r="Z165" s="1"/>
  <c r="Q165"/>
  <c r="Z164"/>
  <c r="V164"/>
  <c r="S164"/>
  <c r="AA164" s="1"/>
  <c r="AB164" s="1"/>
  <c r="Q164"/>
  <c r="Z163"/>
  <c r="V163"/>
  <c r="S163"/>
  <c r="AA163" s="1"/>
  <c r="AB163" s="1"/>
  <c r="Q163"/>
  <c r="Z162"/>
  <c r="V162"/>
  <c r="S162"/>
  <c r="AA162" s="1"/>
  <c r="AB162" s="1"/>
  <c r="Q162"/>
  <c r="Z161"/>
  <c r="V161"/>
  <c r="S161"/>
  <c r="AA161" s="1"/>
  <c r="AB161" s="1"/>
  <c r="Q161"/>
  <c r="V160"/>
  <c r="Z160" s="1"/>
  <c r="S160"/>
  <c r="Q160"/>
  <c r="V159"/>
  <c r="Z159" s="1"/>
  <c r="S159"/>
  <c r="Q159"/>
  <c r="Z158"/>
  <c r="V158"/>
  <c r="S158"/>
  <c r="AA158" s="1"/>
  <c r="AB158" s="1"/>
  <c r="Q158"/>
  <c r="Z157"/>
  <c r="V157"/>
  <c r="S157"/>
  <c r="AA157" s="1"/>
  <c r="AB157" s="1"/>
  <c r="Q157"/>
  <c r="Z156"/>
  <c r="V156"/>
  <c r="S156"/>
  <c r="AA156" s="1"/>
  <c r="AB156" s="1"/>
  <c r="Q156"/>
  <c r="V155"/>
  <c r="Z155" s="1"/>
  <c r="S155"/>
  <c r="AA155" s="1"/>
  <c r="AB155" s="1"/>
  <c r="Q155"/>
  <c r="X154"/>
  <c r="V154"/>
  <c r="S154"/>
  <c r="Q154"/>
  <c r="X153"/>
  <c r="S153"/>
  <c r="Q153"/>
  <c r="V153" s="1"/>
  <c r="X152"/>
  <c r="S152"/>
  <c r="Q152"/>
  <c r="X151"/>
  <c r="V151"/>
  <c r="S151"/>
  <c r="Q151"/>
  <c r="X150"/>
  <c r="V150"/>
  <c r="S150"/>
  <c r="Q150"/>
  <c r="X149"/>
  <c r="S149"/>
  <c r="Q149"/>
  <c r="V149" s="1"/>
  <c r="X148"/>
  <c r="S148"/>
  <c r="Q148"/>
  <c r="X147"/>
  <c r="V147"/>
  <c r="S147"/>
  <c r="Q147"/>
  <c r="X146"/>
  <c r="V146"/>
  <c r="S146"/>
  <c r="Q146"/>
  <c r="V145"/>
  <c r="S145"/>
  <c r="Q145"/>
  <c r="V144"/>
  <c r="S144"/>
  <c r="Q144"/>
  <c r="S143" s="1"/>
  <c r="V143"/>
  <c r="Q143"/>
  <c r="S142" s="1"/>
  <c r="V142"/>
  <c r="Q142"/>
  <c r="S141" s="1"/>
  <c r="V141"/>
  <c r="Q141"/>
  <c r="S140" s="1"/>
  <c r="V140"/>
  <c r="Z140" s="1"/>
  <c r="Q140"/>
  <c r="V139"/>
  <c r="Z139" s="1"/>
  <c r="S139"/>
  <c r="AA139" s="1"/>
  <c r="AB139" s="1"/>
  <c r="Q139"/>
  <c r="L138"/>
  <c r="AA137"/>
  <c r="Q137"/>
  <c r="M137"/>
  <c r="AA136"/>
  <c r="Q136"/>
  <c r="M136"/>
  <c r="Q135"/>
  <c r="M135"/>
  <c r="Q134"/>
  <c r="M134"/>
  <c r="T133"/>
  <c r="V133" s="1"/>
  <c r="Z133" s="1"/>
  <c r="Q133"/>
  <c r="M133"/>
  <c r="AA132"/>
  <c r="Q132"/>
  <c r="T132" s="1"/>
  <c r="V132" s="1"/>
  <c r="M132"/>
  <c r="AA131"/>
  <c r="Q131"/>
  <c r="M131"/>
  <c r="AA130"/>
  <c r="Q130"/>
  <c r="M130"/>
  <c r="AA129"/>
  <c r="T129"/>
  <c r="AB129" s="1"/>
  <c r="Q129"/>
  <c r="M129"/>
  <c r="AA128"/>
  <c r="Q128"/>
  <c r="T128" s="1"/>
  <c r="V128" s="1"/>
  <c r="M128"/>
  <c r="T127"/>
  <c r="V127" s="1"/>
  <c r="Z127" s="1"/>
  <c r="Q127"/>
  <c r="M127"/>
  <c r="Q126"/>
  <c r="M126"/>
  <c r="Q125"/>
  <c r="M125"/>
  <c r="Q124"/>
  <c r="M124"/>
  <c r="AA123"/>
  <c r="Q123"/>
  <c r="M123"/>
  <c r="L122"/>
  <c r="AB121"/>
  <c r="AA121"/>
  <c r="Q121"/>
  <c r="V121" s="1"/>
  <c r="Z121" s="1"/>
  <c r="M121"/>
  <c r="AB120"/>
  <c r="AA120"/>
  <c r="Q120"/>
  <c r="V120" s="1"/>
  <c r="Z120" s="1"/>
  <c r="M120"/>
  <c r="AB119"/>
  <c r="AA119"/>
  <c r="Q119"/>
  <c r="V119" s="1"/>
  <c r="Z119" s="1"/>
  <c r="M119"/>
  <c r="AB118"/>
  <c r="AA118"/>
  <c r="Q118"/>
  <c r="V118" s="1"/>
  <c r="Z118" s="1"/>
  <c r="M118"/>
  <c r="AB117"/>
  <c r="AA117"/>
  <c r="Q117"/>
  <c r="V117" s="1"/>
  <c r="Z117" s="1"/>
  <c r="M117"/>
  <c r="Q116"/>
  <c r="V116" s="1"/>
  <c r="Z116" s="1"/>
  <c r="M116"/>
  <c r="Q115"/>
  <c r="V115" s="1"/>
  <c r="Z115" s="1"/>
  <c r="M115"/>
  <c r="AB114"/>
  <c r="AA114"/>
  <c r="Q114"/>
  <c r="V114" s="1"/>
  <c r="Z114" s="1"/>
  <c r="M114"/>
  <c r="AB113"/>
  <c r="AA113"/>
  <c r="Q113"/>
  <c r="V113" s="1"/>
  <c r="Z113" s="1"/>
  <c r="M113"/>
  <c r="AB112"/>
  <c r="AA112"/>
  <c r="Q112"/>
  <c r="V112" s="1"/>
  <c r="Z112" s="1"/>
  <c r="M112"/>
  <c r="AB111"/>
  <c r="AA111"/>
  <c r="Q111"/>
  <c r="V111" s="1"/>
  <c r="Z111" s="1"/>
  <c r="M111"/>
  <c r="Q110"/>
  <c r="V110" s="1"/>
  <c r="Z110" s="1"/>
  <c r="M110"/>
  <c r="AB109"/>
  <c r="AA109"/>
  <c r="Q109"/>
  <c r="V109" s="1"/>
  <c r="Z109" s="1"/>
  <c r="M109"/>
  <c r="AB108"/>
  <c r="AA108"/>
  <c r="Q108"/>
  <c r="V108" s="1"/>
  <c r="Z108" s="1"/>
  <c r="M108"/>
  <c r="AB107"/>
  <c r="AA107"/>
  <c r="Q107"/>
  <c r="V107" s="1"/>
  <c r="Z107" s="1"/>
  <c r="M107"/>
  <c r="AB106"/>
  <c r="AA106"/>
  <c r="Q106"/>
  <c r="V106" s="1"/>
  <c r="Z106" s="1"/>
  <c r="M106"/>
  <c r="AB105"/>
  <c r="AA105"/>
  <c r="Q105"/>
  <c r="V105" s="1"/>
  <c r="Z105" s="1"/>
  <c r="M105"/>
  <c r="AB104"/>
  <c r="AA104"/>
  <c r="Q104"/>
  <c r="V104" s="1"/>
  <c r="Z104" s="1"/>
  <c r="M104"/>
  <c r="AB103"/>
  <c r="AA103"/>
  <c r="Q103"/>
  <c r="V103" s="1"/>
  <c r="Z103" s="1"/>
  <c r="M103"/>
  <c r="L102"/>
  <c r="AB101"/>
  <c r="AA101"/>
  <c r="V101"/>
  <c r="Z101" s="1"/>
  <c r="Q101"/>
  <c r="M101"/>
  <c r="V100"/>
  <c r="Z100" s="1"/>
  <c r="Q100"/>
  <c r="M100"/>
  <c r="AB99"/>
  <c r="AA99"/>
  <c r="V99"/>
  <c r="Z99" s="1"/>
  <c r="Q99"/>
  <c r="M99"/>
  <c r="AB98"/>
  <c r="AA98"/>
  <c r="V98"/>
  <c r="Z98" s="1"/>
  <c r="Q98"/>
  <c r="M98"/>
  <c r="AB97"/>
  <c r="AA97"/>
  <c r="V97"/>
  <c r="Z97" s="1"/>
  <c r="Q97"/>
  <c r="M97"/>
  <c r="AB96"/>
  <c r="AA96"/>
  <c r="V96"/>
  <c r="Z96" s="1"/>
  <c r="Q96"/>
  <c r="M96"/>
  <c r="AB95"/>
  <c r="AA95"/>
  <c r="V95"/>
  <c r="Z95" s="1"/>
  <c r="Q95"/>
  <c r="M95"/>
  <c r="AB94"/>
  <c r="AA94"/>
  <c r="V94"/>
  <c r="Z94" s="1"/>
  <c r="Q94"/>
  <c r="M94"/>
  <c r="Q93"/>
  <c r="M93"/>
  <c r="AB92"/>
  <c r="AA92"/>
  <c r="Q92"/>
  <c r="M92"/>
  <c r="AB91"/>
  <c r="AA91"/>
  <c r="Q91"/>
  <c r="M91"/>
  <c r="AB90"/>
  <c r="AA90"/>
  <c r="Q90"/>
  <c r="M90"/>
  <c r="AB89"/>
  <c r="AA89"/>
  <c r="V89"/>
  <c r="Z89" s="1"/>
  <c r="Q89"/>
  <c r="M89"/>
  <c r="V88"/>
  <c r="Z88" s="1"/>
  <c r="Q88"/>
  <c r="M88"/>
  <c r="AB87"/>
  <c r="AA87"/>
  <c r="V87"/>
  <c r="Z87" s="1"/>
  <c r="Q87"/>
  <c r="M87"/>
  <c r="AB86"/>
  <c r="AA86"/>
  <c r="V86"/>
  <c r="Z86" s="1"/>
  <c r="Q86"/>
  <c r="M86"/>
  <c r="AB85"/>
  <c r="AA85"/>
  <c r="V85"/>
  <c r="Z85" s="1"/>
  <c r="Q85"/>
  <c r="M85"/>
  <c r="AB84"/>
  <c r="AA84"/>
  <c r="V84"/>
  <c r="Z84" s="1"/>
  <c r="Q84"/>
  <c r="M84"/>
  <c r="AB83"/>
  <c r="AA83"/>
  <c r="V83"/>
  <c r="Z83" s="1"/>
  <c r="Q83"/>
  <c r="M83"/>
  <c r="AB82"/>
  <c r="AA82"/>
  <c r="V82"/>
  <c r="Z82" s="1"/>
  <c r="Q82"/>
  <c r="M82"/>
  <c r="AB81"/>
  <c r="AA81"/>
  <c r="V81"/>
  <c r="Z81" s="1"/>
  <c r="Q81"/>
  <c r="M81"/>
  <c r="AB80"/>
  <c r="AA80"/>
  <c r="V80"/>
  <c r="Z80" s="1"/>
  <c r="Q80"/>
  <c r="M80"/>
  <c r="AB79"/>
  <c r="AA79"/>
  <c r="V79"/>
  <c r="Z79" s="1"/>
  <c r="Q79"/>
  <c r="M79"/>
  <c r="L78"/>
  <c r="Q77"/>
  <c r="V77" s="1"/>
  <c r="Z77" s="1"/>
  <c r="M77"/>
  <c r="Q76"/>
  <c r="V76" s="1"/>
  <c r="Z76" s="1"/>
  <c r="M76"/>
  <c r="Q75"/>
  <c r="M75"/>
  <c r="AB74"/>
  <c r="AA74"/>
  <c r="Q74"/>
  <c r="V74" s="1"/>
  <c r="Z74" s="1"/>
  <c r="M74"/>
  <c r="AB73"/>
  <c r="AA73"/>
  <c r="Q73"/>
  <c r="V73" s="1"/>
  <c r="Z73" s="1"/>
  <c r="M73"/>
  <c r="Q72"/>
  <c r="V72" s="1"/>
  <c r="Z72" s="1"/>
  <c r="M72"/>
  <c r="AB71"/>
  <c r="AA71"/>
  <c r="Q71"/>
  <c r="V71" s="1"/>
  <c r="Z71" s="1"/>
  <c r="M71"/>
  <c r="AB70"/>
  <c r="AA70"/>
  <c r="Q70"/>
  <c r="V70" s="1"/>
  <c r="Z70" s="1"/>
  <c r="M70"/>
  <c r="AB69"/>
  <c r="AA69"/>
  <c r="Q69"/>
  <c r="V69" s="1"/>
  <c r="Z69" s="1"/>
  <c r="M69"/>
  <c r="AB68"/>
  <c r="AA68"/>
  <c r="Q68"/>
  <c r="V68" s="1"/>
  <c r="Z68" s="1"/>
  <c r="M68"/>
  <c r="AB67"/>
  <c r="AA67"/>
  <c r="Q67"/>
  <c r="V67" s="1"/>
  <c r="Z67" s="1"/>
  <c r="M67"/>
  <c r="AB66"/>
  <c r="AA66"/>
  <c r="Q66"/>
  <c r="V66" s="1"/>
  <c r="Z66" s="1"/>
  <c r="M66"/>
  <c r="Q65"/>
  <c r="V65" s="1"/>
  <c r="Z65" s="1"/>
  <c r="M65"/>
  <c r="Q64"/>
  <c r="V64" s="1"/>
  <c r="Z64" s="1"/>
  <c r="M64"/>
  <c r="AB63"/>
  <c r="AA63"/>
  <c r="Q63"/>
  <c r="V63" s="1"/>
  <c r="Z63" s="1"/>
  <c r="M63"/>
  <c r="AB62"/>
  <c r="AA62"/>
  <c r="Q62"/>
  <c r="V62" s="1"/>
  <c r="Z62" s="1"/>
  <c r="M62"/>
  <c r="AB61"/>
  <c r="AA61"/>
  <c r="Q61"/>
  <c r="V61" s="1"/>
  <c r="Z61" s="1"/>
  <c r="M61"/>
  <c r="AB60"/>
  <c r="AA60"/>
  <c r="Q60"/>
  <c r="V60" s="1"/>
  <c r="Z60" s="1"/>
  <c r="M60"/>
  <c r="Q59"/>
  <c r="V59" s="1"/>
  <c r="Z59" s="1"/>
  <c r="M59"/>
  <c r="AB58"/>
  <c r="AA58"/>
  <c r="Q58"/>
  <c r="V58" s="1"/>
  <c r="Z58" s="1"/>
  <c r="M58"/>
  <c r="AB57"/>
  <c r="AA57"/>
  <c r="Q57"/>
  <c r="V57" s="1"/>
  <c r="Z57" s="1"/>
  <c r="M57"/>
  <c r="AB56"/>
  <c r="AA56"/>
  <c r="Q56"/>
  <c r="V56" s="1"/>
  <c r="Z56" s="1"/>
  <c r="M56"/>
  <c r="AB55"/>
  <c r="AA55"/>
  <c r="Q55"/>
  <c r="V55" s="1"/>
  <c r="Z55" s="1"/>
  <c r="M55"/>
  <c r="AB54"/>
  <c r="AA54"/>
  <c r="Q54"/>
  <c r="V54" s="1"/>
  <c r="Z54" s="1"/>
  <c r="M54"/>
  <c r="AB53"/>
  <c r="AA53"/>
  <c r="Q53"/>
  <c r="V53" s="1"/>
  <c r="Z53" s="1"/>
  <c r="M53"/>
  <c r="AB52"/>
  <c r="AA52"/>
  <c r="Q52"/>
  <c r="V52" s="1"/>
  <c r="Z52" s="1"/>
  <c r="M52"/>
  <c r="AB51"/>
  <c r="AA51"/>
  <c r="Q51"/>
  <c r="V51" s="1"/>
  <c r="Z51" s="1"/>
  <c r="M51"/>
  <c r="AB50"/>
  <c r="AA50"/>
  <c r="Q50"/>
  <c r="V50" s="1"/>
  <c r="Z50" s="1"/>
  <c r="M50"/>
  <c r="AB49"/>
  <c r="AA49"/>
  <c r="Q49"/>
  <c r="V49" s="1"/>
  <c r="Z49" s="1"/>
  <c r="M49"/>
  <c r="AB48"/>
  <c r="AA48"/>
  <c r="Q48"/>
  <c r="V48" s="1"/>
  <c r="Z48" s="1"/>
  <c r="M48"/>
  <c r="AB47"/>
  <c r="AA47"/>
  <c r="Q47"/>
  <c r="V47" s="1"/>
  <c r="Z47" s="1"/>
  <c r="M47"/>
  <c r="AB46"/>
  <c r="AA46"/>
  <c r="Q46"/>
  <c r="V46" s="1"/>
  <c r="Z46" s="1"/>
  <c r="M46"/>
  <c r="AB45"/>
  <c r="AA45"/>
  <c r="Q45"/>
  <c r="V45" s="1"/>
  <c r="Z45" s="1"/>
  <c r="M45"/>
  <c r="Q44"/>
  <c r="V44" s="1"/>
  <c r="Z44" s="1"/>
  <c r="M44"/>
  <c r="AB43"/>
  <c r="AA43"/>
  <c r="Q43"/>
  <c r="V43" s="1"/>
  <c r="Z43" s="1"/>
  <c r="M43"/>
  <c r="AB42"/>
  <c r="AA42"/>
  <c r="Q42"/>
  <c r="V42" s="1"/>
  <c r="Z42" s="1"/>
  <c r="M42"/>
  <c r="AB41"/>
  <c r="AA41"/>
  <c r="Q41"/>
  <c r="V41" s="1"/>
  <c r="Z41" s="1"/>
  <c r="M41"/>
  <c r="AB40"/>
  <c r="AA40"/>
  <c r="Q40"/>
  <c r="V40" s="1"/>
  <c r="Z40" s="1"/>
  <c r="M40"/>
  <c r="AB39"/>
  <c r="AA39"/>
  <c r="Q39"/>
  <c r="V39" s="1"/>
  <c r="Z39" s="1"/>
  <c r="M39"/>
  <c r="Q38"/>
  <c r="V38" s="1"/>
  <c r="Z38" s="1"/>
  <c r="M38"/>
  <c r="AB37"/>
  <c r="AA37"/>
  <c r="Q37"/>
  <c r="V37" s="1"/>
  <c r="Z37" s="1"/>
  <c r="M37"/>
  <c r="AB36"/>
  <c r="AA36"/>
  <c r="Q36"/>
  <c r="V36" s="1"/>
  <c r="Z36" s="1"/>
  <c r="M36"/>
  <c r="AB35"/>
  <c r="AA35"/>
  <c r="Q35"/>
  <c r="V35" s="1"/>
  <c r="Z35" s="1"/>
  <c r="M35"/>
  <c r="AB34"/>
  <c r="AA34"/>
  <c r="Q34"/>
  <c r="V34" s="1"/>
  <c r="Z34" s="1"/>
  <c r="M34"/>
  <c r="AB33"/>
  <c r="AA33"/>
  <c r="Q33"/>
  <c r="V33" s="1"/>
  <c r="Z33" s="1"/>
  <c r="M33"/>
  <c r="AB32"/>
  <c r="AA32"/>
  <c r="Q32"/>
  <c r="V32" s="1"/>
  <c r="Z32" s="1"/>
  <c r="M32"/>
  <c r="AB31"/>
  <c r="AA31"/>
  <c r="Q31"/>
  <c r="V31" s="1"/>
  <c r="Z31" s="1"/>
  <c r="M31"/>
  <c r="Q30"/>
  <c r="V30" s="1"/>
  <c r="Z30" s="1"/>
  <c r="M30"/>
  <c r="AB29"/>
  <c r="AA29"/>
  <c r="Q29"/>
  <c r="V29" s="1"/>
  <c r="Z29" s="1"/>
  <c r="M29"/>
  <c r="AB28"/>
  <c r="AA28"/>
  <c r="Q28"/>
  <c r="V28" s="1"/>
  <c r="Z28" s="1"/>
  <c r="M28"/>
  <c r="AB27"/>
  <c r="AA27"/>
  <c r="Q27"/>
  <c r="V27" s="1"/>
  <c r="Z27" s="1"/>
  <c r="M27"/>
  <c r="AA25"/>
  <c r="Q25"/>
  <c r="V25" s="1"/>
  <c r="AA24"/>
  <c r="V24"/>
  <c r="AB24" s="1"/>
  <c r="Q24"/>
  <c r="AA23"/>
  <c r="Q23"/>
  <c r="V23" s="1"/>
  <c r="AB23" s="1"/>
  <c r="AA22"/>
  <c r="Q22"/>
  <c r="AA21"/>
  <c r="Q21"/>
  <c r="V21" s="1"/>
  <c r="AA20"/>
  <c r="V20"/>
  <c r="AB20" s="1"/>
  <c r="Q20"/>
  <c r="X19"/>
  <c r="V19"/>
  <c r="Q19"/>
  <c r="X18"/>
  <c r="X166" s="1"/>
  <c r="V18"/>
  <c r="Q18"/>
  <c r="AA17"/>
  <c r="Q17"/>
  <c r="V17" s="1"/>
  <c r="AB17" s="1"/>
  <c r="AA16"/>
  <c r="Q16"/>
  <c r="AA15"/>
  <c r="Q15"/>
  <c r="V15" s="1"/>
  <c r="AA14"/>
  <c r="V14"/>
  <c r="AB14" s="1"/>
  <c r="Q14"/>
  <c r="AA13"/>
  <c r="Q13"/>
  <c r="V13" s="1"/>
  <c r="AB13" s="1"/>
  <c r="AA12"/>
  <c r="Q12"/>
  <c r="V12" s="1"/>
  <c r="AA11"/>
  <c r="Z11"/>
  <c r="V11"/>
  <c r="AB11" s="1"/>
  <c r="Q11"/>
  <c r="AA10"/>
  <c r="V10"/>
  <c r="AB10" s="1"/>
  <c r="Q10"/>
  <c r="AA9"/>
  <c r="V9"/>
  <c r="T9"/>
  <c r="AB9" s="1"/>
  <c r="Q9"/>
  <c r="AS9" s="1"/>
  <c r="AA8"/>
  <c r="V8"/>
  <c r="AB8" s="1"/>
  <c r="Q8"/>
  <c r="AA7"/>
  <c r="Q7"/>
  <c r="V7" s="1"/>
  <c r="AB7" s="1"/>
  <c r="AA6"/>
  <c r="Q6"/>
  <c r="Q166" s="1"/>
  <c r="S165" s="1"/>
  <c r="AA165" s="1"/>
  <c r="AB165" s="1"/>
  <c r="Q6" i="8"/>
  <c r="Q38" i="9"/>
  <c r="W177" i="11"/>
  <c r="X78"/>
  <c r="X102"/>
  <c r="X122"/>
  <c r="X138"/>
  <c r="T177"/>
  <c r="R78"/>
  <c r="S78"/>
  <c r="T78"/>
  <c r="U78"/>
  <c r="R102"/>
  <c r="S102"/>
  <c r="T102"/>
  <c r="U102"/>
  <c r="V102"/>
  <c r="W102"/>
  <c r="R122"/>
  <c r="S122"/>
  <c r="T122"/>
  <c r="U122"/>
  <c r="V122"/>
  <c r="U138"/>
  <c r="V138"/>
  <c r="R138"/>
  <c r="S138"/>
  <c r="T138"/>
  <c r="Q172"/>
  <c r="Q166"/>
  <c r="Q167" s="1"/>
  <c r="Q138"/>
  <c r="Q122"/>
  <c r="Q102"/>
  <c r="Q78"/>
  <c r="Q26"/>
  <c r="M172"/>
  <c r="M173" s="1"/>
  <c r="K172"/>
  <c r="M171"/>
  <c r="Q165"/>
  <c r="U165" s="1"/>
  <c r="X165" s="1"/>
  <c r="U164"/>
  <c r="Q164"/>
  <c r="X164" s="1"/>
  <c r="R163"/>
  <c r="Q163"/>
  <c r="U163" s="1"/>
  <c r="U162"/>
  <c r="Q162"/>
  <c r="X162" s="1"/>
  <c r="R161"/>
  <c r="Q161"/>
  <c r="U161" s="1"/>
  <c r="U160"/>
  <c r="Q160"/>
  <c r="X160" s="1"/>
  <c r="R159"/>
  <c r="Q159"/>
  <c r="U159" s="1"/>
  <c r="U158"/>
  <c r="Q158"/>
  <c r="X158" s="1"/>
  <c r="R157"/>
  <c r="Q157"/>
  <c r="U157" s="1"/>
  <c r="U156"/>
  <c r="X156" s="1"/>
  <c r="Q156"/>
  <c r="R155"/>
  <c r="Q155"/>
  <c r="U155" s="1"/>
  <c r="W154"/>
  <c r="Q154"/>
  <c r="W153"/>
  <c r="R153"/>
  <c r="Q153"/>
  <c r="W152"/>
  <c r="U152"/>
  <c r="Q152"/>
  <c r="X152" s="1"/>
  <c r="W151"/>
  <c r="U151"/>
  <c r="R151"/>
  <c r="Q151"/>
  <c r="X151" s="1"/>
  <c r="W150"/>
  <c r="R150"/>
  <c r="Q150"/>
  <c r="U150" s="1"/>
  <c r="W149"/>
  <c r="Q149"/>
  <c r="W148"/>
  <c r="U148"/>
  <c r="Q148"/>
  <c r="X148" s="1"/>
  <c r="W147"/>
  <c r="U147"/>
  <c r="R147"/>
  <c r="Q147"/>
  <c r="X147" s="1"/>
  <c r="W146"/>
  <c r="R146"/>
  <c r="Q146"/>
  <c r="R144" s="1"/>
  <c r="U145"/>
  <c r="R145"/>
  <c r="Q145"/>
  <c r="X145" s="1"/>
  <c r="Y145" s="1"/>
  <c r="Z145" s="1"/>
  <c r="Q144"/>
  <c r="U144" s="1"/>
  <c r="U143"/>
  <c r="Q143"/>
  <c r="X143" s="1"/>
  <c r="Q142"/>
  <c r="U142" s="1"/>
  <c r="U141"/>
  <c r="Q141"/>
  <c r="X141" s="1"/>
  <c r="Q140"/>
  <c r="U140" s="1"/>
  <c r="U139"/>
  <c r="Q139"/>
  <c r="X139" s="1"/>
  <c r="L138"/>
  <c r="Y137"/>
  <c r="S137"/>
  <c r="U137" s="1"/>
  <c r="Q137"/>
  <c r="M137"/>
  <c r="Y136"/>
  <c r="Q136"/>
  <c r="S136" s="1"/>
  <c r="M136"/>
  <c r="S135"/>
  <c r="U135" s="1"/>
  <c r="X135" s="1"/>
  <c r="Q135"/>
  <c r="M135"/>
  <c r="Q134"/>
  <c r="S134" s="1"/>
  <c r="U134" s="1"/>
  <c r="X134" s="1"/>
  <c r="M134"/>
  <c r="S133"/>
  <c r="Q133"/>
  <c r="U133" s="1"/>
  <c r="X133" s="1"/>
  <c r="M133"/>
  <c r="Y132"/>
  <c r="Q132"/>
  <c r="S132" s="1"/>
  <c r="U132" s="1"/>
  <c r="M132"/>
  <c r="Y131"/>
  <c r="S131"/>
  <c r="U131" s="1"/>
  <c r="Q131"/>
  <c r="M131"/>
  <c r="Y130"/>
  <c r="Q130"/>
  <c r="S130" s="1"/>
  <c r="M130"/>
  <c r="Y129"/>
  <c r="S129"/>
  <c r="Z129" s="1"/>
  <c r="Q129"/>
  <c r="U129" s="1"/>
  <c r="X129" s="1"/>
  <c r="M129"/>
  <c r="Y128"/>
  <c r="Q128"/>
  <c r="S128" s="1"/>
  <c r="U128" s="1"/>
  <c r="M128"/>
  <c r="S127"/>
  <c r="Q127"/>
  <c r="U127" s="1"/>
  <c r="X127" s="1"/>
  <c r="M127"/>
  <c r="Q126"/>
  <c r="S126" s="1"/>
  <c r="M126"/>
  <c r="S125"/>
  <c r="U125" s="1"/>
  <c r="X125" s="1"/>
  <c r="Q125"/>
  <c r="M125"/>
  <c r="Q124"/>
  <c r="S124" s="1"/>
  <c r="U124" s="1"/>
  <c r="X124" s="1"/>
  <c r="M124"/>
  <c r="Y123"/>
  <c r="S123"/>
  <c r="U123" s="1"/>
  <c r="Q123"/>
  <c r="M123"/>
  <c r="L122"/>
  <c r="Z121"/>
  <c r="Y121"/>
  <c r="Q121"/>
  <c r="U121" s="1"/>
  <c r="X121" s="1"/>
  <c r="M121"/>
  <c r="Z120"/>
  <c r="Y120"/>
  <c r="Q120"/>
  <c r="U120" s="1"/>
  <c r="X120" s="1"/>
  <c r="M120"/>
  <c r="Z119"/>
  <c r="Y119"/>
  <c r="Q119"/>
  <c r="U119" s="1"/>
  <c r="X119" s="1"/>
  <c r="M119"/>
  <c r="Z118"/>
  <c r="Y118"/>
  <c r="Q118"/>
  <c r="U118" s="1"/>
  <c r="X118" s="1"/>
  <c r="M118"/>
  <c r="Z117"/>
  <c r="Y117"/>
  <c r="Q117"/>
  <c r="U117" s="1"/>
  <c r="X117" s="1"/>
  <c r="M117"/>
  <c r="Q116"/>
  <c r="U116" s="1"/>
  <c r="X116" s="1"/>
  <c r="M116"/>
  <c r="Q115"/>
  <c r="U115" s="1"/>
  <c r="X115" s="1"/>
  <c r="M115"/>
  <c r="Z114"/>
  <c r="Y114"/>
  <c r="Q114"/>
  <c r="U114" s="1"/>
  <c r="X114" s="1"/>
  <c r="M114"/>
  <c r="Z113"/>
  <c r="Y113"/>
  <c r="Q113"/>
  <c r="U113" s="1"/>
  <c r="X113" s="1"/>
  <c r="M113"/>
  <c r="Z112"/>
  <c r="Y112"/>
  <c r="Q112"/>
  <c r="U112" s="1"/>
  <c r="X112" s="1"/>
  <c r="M112"/>
  <c r="Z111"/>
  <c r="Y111"/>
  <c r="Q111"/>
  <c r="U111" s="1"/>
  <c r="X111" s="1"/>
  <c r="M111"/>
  <c r="Q110"/>
  <c r="U110" s="1"/>
  <c r="X110" s="1"/>
  <c r="M110"/>
  <c r="Z109"/>
  <c r="Y109"/>
  <c r="Q109"/>
  <c r="U109" s="1"/>
  <c r="X109" s="1"/>
  <c r="M109"/>
  <c r="Z108"/>
  <c r="Y108"/>
  <c r="Q108"/>
  <c r="U108" s="1"/>
  <c r="X108" s="1"/>
  <c r="M108"/>
  <c r="Z107"/>
  <c r="Y107"/>
  <c r="Q107"/>
  <c r="U107" s="1"/>
  <c r="X107" s="1"/>
  <c r="M107"/>
  <c r="Z106"/>
  <c r="Y106"/>
  <c r="Q106"/>
  <c r="U106" s="1"/>
  <c r="X106" s="1"/>
  <c r="M106"/>
  <c r="Z105"/>
  <c r="Y105"/>
  <c r="Q105"/>
  <c r="U105" s="1"/>
  <c r="X105" s="1"/>
  <c r="M105"/>
  <c r="Z104"/>
  <c r="Y104"/>
  <c r="Q104"/>
  <c r="U104" s="1"/>
  <c r="X104" s="1"/>
  <c r="M104"/>
  <c r="Z103"/>
  <c r="Y103"/>
  <c r="Q103"/>
  <c r="U103" s="1"/>
  <c r="X103" s="1"/>
  <c r="M103"/>
  <c r="L102"/>
  <c r="Z101"/>
  <c r="Y101"/>
  <c r="Q101"/>
  <c r="U101" s="1"/>
  <c r="X101" s="1"/>
  <c r="M101"/>
  <c r="Q100"/>
  <c r="U100" s="1"/>
  <c r="X100" s="1"/>
  <c r="M100"/>
  <c r="Z99"/>
  <c r="Y99"/>
  <c r="Q99"/>
  <c r="U99" s="1"/>
  <c r="X99" s="1"/>
  <c r="M99"/>
  <c r="Z98"/>
  <c r="Y98"/>
  <c r="Q98"/>
  <c r="U98" s="1"/>
  <c r="X98" s="1"/>
  <c r="M98"/>
  <c r="Z97"/>
  <c r="Y97"/>
  <c r="Q97"/>
  <c r="U97" s="1"/>
  <c r="X97" s="1"/>
  <c r="M97"/>
  <c r="Z96"/>
  <c r="Y96"/>
  <c r="Q96"/>
  <c r="U96" s="1"/>
  <c r="X96" s="1"/>
  <c r="M96"/>
  <c r="Z95"/>
  <c r="Y95"/>
  <c r="Q95"/>
  <c r="U95" s="1"/>
  <c r="X95" s="1"/>
  <c r="M95"/>
  <c r="Z94"/>
  <c r="Y94"/>
  <c r="Q94"/>
  <c r="U94" s="1"/>
  <c r="X94" s="1"/>
  <c r="M94"/>
  <c r="Q93"/>
  <c r="U93" s="1"/>
  <c r="X93" s="1"/>
  <c r="M93"/>
  <c r="Z92"/>
  <c r="Y92"/>
  <c r="Q92"/>
  <c r="U92" s="1"/>
  <c r="X92" s="1"/>
  <c r="M92"/>
  <c r="Z91"/>
  <c r="Y91"/>
  <c r="Q91"/>
  <c r="U91" s="1"/>
  <c r="X91" s="1"/>
  <c r="M91"/>
  <c r="Z90"/>
  <c r="Y90"/>
  <c r="Q90"/>
  <c r="U90" s="1"/>
  <c r="X90" s="1"/>
  <c r="M90"/>
  <c r="Z89"/>
  <c r="Y89"/>
  <c r="Q89"/>
  <c r="U89" s="1"/>
  <c r="X89" s="1"/>
  <c r="M89"/>
  <c r="Q88"/>
  <c r="U88" s="1"/>
  <c r="X88" s="1"/>
  <c r="M88"/>
  <c r="Z87"/>
  <c r="Y87"/>
  <c r="Q87"/>
  <c r="U87" s="1"/>
  <c r="X87" s="1"/>
  <c r="M87"/>
  <c r="Z86"/>
  <c r="Y86"/>
  <c r="Q86"/>
  <c r="U86" s="1"/>
  <c r="X86" s="1"/>
  <c r="M86"/>
  <c r="Z85"/>
  <c r="Y85"/>
  <c r="Q85"/>
  <c r="U85" s="1"/>
  <c r="X85" s="1"/>
  <c r="M85"/>
  <c r="Z84"/>
  <c r="Y84"/>
  <c r="Q84"/>
  <c r="U84" s="1"/>
  <c r="X84" s="1"/>
  <c r="M84"/>
  <c r="Z83"/>
  <c r="Y83"/>
  <c r="Q83"/>
  <c r="U83" s="1"/>
  <c r="X83" s="1"/>
  <c r="M83"/>
  <c r="Z82"/>
  <c r="Y82"/>
  <c r="Q82"/>
  <c r="U82" s="1"/>
  <c r="X82" s="1"/>
  <c r="M82"/>
  <c r="Z81"/>
  <c r="Y81"/>
  <c r="Q81"/>
  <c r="U81" s="1"/>
  <c r="X81" s="1"/>
  <c r="M81"/>
  <c r="Z80"/>
  <c r="Y80"/>
  <c r="Q80"/>
  <c r="U80" s="1"/>
  <c r="X80" s="1"/>
  <c r="M80"/>
  <c r="Z79"/>
  <c r="Y79"/>
  <c r="Q79"/>
  <c r="U79" s="1"/>
  <c r="X79" s="1"/>
  <c r="M79"/>
  <c r="L78"/>
  <c r="U77"/>
  <c r="X77" s="1"/>
  <c r="Q77"/>
  <c r="M77"/>
  <c r="U76"/>
  <c r="X76" s="1"/>
  <c r="Q76"/>
  <c r="M76"/>
  <c r="U75"/>
  <c r="X75" s="1"/>
  <c r="Q75"/>
  <c r="M75"/>
  <c r="Z74"/>
  <c r="Y74"/>
  <c r="U74"/>
  <c r="X74" s="1"/>
  <c r="Q74"/>
  <c r="M74"/>
  <c r="Z73"/>
  <c r="Y73"/>
  <c r="U73"/>
  <c r="X73" s="1"/>
  <c r="Q73"/>
  <c r="M73"/>
  <c r="U72"/>
  <c r="X72" s="1"/>
  <c r="Q72"/>
  <c r="M72"/>
  <c r="Z71"/>
  <c r="Y71"/>
  <c r="U71"/>
  <c r="X71" s="1"/>
  <c r="Q71"/>
  <c r="M71"/>
  <c r="Z70"/>
  <c r="Y70"/>
  <c r="U70"/>
  <c r="X70" s="1"/>
  <c r="Q70"/>
  <c r="M70"/>
  <c r="Z69"/>
  <c r="Y69"/>
  <c r="U69"/>
  <c r="X69" s="1"/>
  <c r="Q69"/>
  <c r="M69"/>
  <c r="Z68"/>
  <c r="Y68"/>
  <c r="U68"/>
  <c r="X68" s="1"/>
  <c r="Q68"/>
  <c r="M68"/>
  <c r="Z67"/>
  <c r="Y67"/>
  <c r="U67"/>
  <c r="X67" s="1"/>
  <c r="Q67"/>
  <c r="M67"/>
  <c r="Z66"/>
  <c r="Y66"/>
  <c r="U66"/>
  <c r="X66" s="1"/>
  <c r="Q66"/>
  <c r="M66"/>
  <c r="U65"/>
  <c r="X65" s="1"/>
  <c r="Q65"/>
  <c r="M65"/>
  <c r="U64"/>
  <c r="X64" s="1"/>
  <c r="Q64"/>
  <c r="M64"/>
  <c r="Z63"/>
  <c r="Y63"/>
  <c r="U63"/>
  <c r="X63" s="1"/>
  <c r="Q63"/>
  <c r="M63"/>
  <c r="Z62"/>
  <c r="Y62"/>
  <c r="U62"/>
  <c r="X62" s="1"/>
  <c r="Q62"/>
  <c r="M62"/>
  <c r="Z61"/>
  <c r="Y61"/>
  <c r="U61"/>
  <c r="X61" s="1"/>
  <c r="Q61"/>
  <c r="M61"/>
  <c r="Z60"/>
  <c r="Y60"/>
  <c r="U60"/>
  <c r="X60" s="1"/>
  <c r="Q60"/>
  <c r="M60"/>
  <c r="U59"/>
  <c r="X59" s="1"/>
  <c r="Q59"/>
  <c r="M59"/>
  <c r="Z58"/>
  <c r="Y58"/>
  <c r="U58"/>
  <c r="X58" s="1"/>
  <c r="Q58"/>
  <c r="M58"/>
  <c r="Z57"/>
  <c r="Y57"/>
  <c r="U57"/>
  <c r="X57" s="1"/>
  <c r="Q57"/>
  <c r="M57"/>
  <c r="Z56"/>
  <c r="Y56"/>
  <c r="U56"/>
  <c r="X56" s="1"/>
  <c r="Q56"/>
  <c r="M56"/>
  <c r="Z55"/>
  <c r="Y55"/>
  <c r="U55"/>
  <c r="X55" s="1"/>
  <c r="Q55"/>
  <c r="M55"/>
  <c r="Z54"/>
  <c r="Y54"/>
  <c r="Q54"/>
  <c r="U54" s="1"/>
  <c r="X54" s="1"/>
  <c r="M54"/>
  <c r="Z53"/>
  <c r="Y53"/>
  <c r="Q53"/>
  <c r="U53" s="1"/>
  <c r="X53" s="1"/>
  <c r="M53"/>
  <c r="Z52"/>
  <c r="Y52"/>
  <c r="Q52"/>
  <c r="U52" s="1"/>
  <c r="X52" s="1"/>
  <c r="M52"/>
  <c r="Z51"/>
  <c r="Y51"/>
  <c r="Q51"/>
  <c r="U51" s="1"/>
  <c r="X51" s="1"/>
  <c r="M51"/>
  <c r="Z50"/>
  <c r="Y50"/>
  <c r="Q50"/>
  <c r="U50" s="1"/>
  <c r="X50" s="1"/>
  <c r="M50"/>
  <c r="Z49"/>
  <c r="Y49"/>
  <c r="Q49"/>
  <c r="U49" s="1"/>
  <c r="X49" s="1"/>
  <c r="M49"/>
  <c r="Z48"/>
  <c r="Y48"/>
  <c r="Q48"/>
  <c r="U48" s="1"/>
  <c r="X48" s="1"/>
  <c r="M48"/>
  <c r="Z47"/>
  <c r="Y47"/>
  <c r="Q47"/>
  <c r="U47" s="1"/>
  <c r="X47" s="1"/>
  <c r="M47"/>
  <c r="Z46"/>
  <c r="Y46"/>
  <c r="Q46"/>
  <c r="U46" s="1"/>
  <c r="X46" s="1"/>
  <c r="M46"/>
  <c r="Z45"/>
  <c r="Y45"/>
  <c r="Q45"/>
  <c r="U45" s="1"/>
  <c r="X45" s="1"/>
  <c r="M45"/>
  <c r="Q44"/>
  <c r="U44" s="1"/>
  <c r="X44" s="1"/>
  <c r="M44"/>
  <c r="Z43"/>
  <c r="Y43"/>
  <c r="Q43"/>
  <c r="U43" s="1"/>
  <c r="X43" s="1"/>
  <c r="M43"/>
  <c r="Z42"/>
  <c r="Y42"/>
  <c r="Q42"/>
  <c r="U42" s="1"/>
  <c r="X42" s="1"/>
  <c r="M42"/>
  <c r="Z41"/>
  <c r="Y41"/>
  <c r="Q41"/>
  <c r="U41" s="1"/>
  <c r="X41" s="1"/>
  <c r="M41"/>
  <c r="Z40"/>
  <c r="Y40"/>
  <c r="Q40"/>
  <c r="U40" s="1"/>
  <c r="X40" s="1"/>
  <c r="M40"/>
  <c r="Z39"/>
  <c r="Y39"/>
  <c r="Q39"/>
  <c r="U39" s="1"/>
  <c r="X39" s="1"/>
  <c r="M39"/>
  <c r="Q38"/>
  <c r="U38" s="1"/>
  <c r="X38" s="1"/>
  <c r="M38"/>
  <c r="Z37"/>
  <c r="Y37"/>
  <c r="Q37"/>
  <c r="U37" s="1"/>
  <c r="X37" s="1"/>
  <c r="M37"/>
  <c r="Z36"/>
  <c r="Y36"/>
  <c r="Q36"/>
  <c r="U36" s="1"/>
  <c r="X36" s="1"/>
  <c r="M36"/>
  <c r="Z35"/>
  <c r="Y35"/>
  <c r="Q35"/>
  <c r="U35" s="1"/>
  <c r="X35" s="1"/>
  <c r="M35"/>
  <c r="Z34"/>
  <c r="Y34"/>
  <c r="Q34"/>
  <c r="U34" s="1"/>
  <c r="X34" s="1"/>
  <c r="M34"/>
  <c r="Z33"/>
  <c r="Y33"/>
  <c r="Q33"/>
  <c r="U33" s="1"/>
  <c r="X33" s="1"/>
  <c r="M33"/>
  <c r="Z32"/>
  <c r="Y32"/>
  <c r="Q32"/>
  <c r="U32" s="1"/>
  <c r="X32" s="1"/>
  <c r="M32"/>
  <c r="Z31"/>
  <c r="Y31"/>
  <c r="Q31"/>
  <c r="U31" s="1"/>
  <c r="X31" s="1"/>
  <c r="M31"/>
  <c r="Q30"/>
  <c r="U30" s="1"/>
  <c r="X30" s="1"/>
  <c r="M30"/>
  <c r="Z29"/>
  <c r="Y29"/>
  <c r="Q29"/>
  <c r="U29" s="1"/>
  <c r="X29" s="1"/>
  <c r="M29"/>
  <c r="Z28"/>
  <c r="Y28"/>
  <c r="Q28"/>
  <c r="U28" s="1"/>
  <c r="X28" s="1"/>
  <c r="M28"/>
  <c r="Z27"/>
  <c r="Y27"/>
  <c r="Q27"/>
  <c r="U27" s="1"/>
  <c r="X27" s="1"/>
  <c r="M27"/>
  <c r="M175" s="1"/>
  <c r="M177" s="1"/>
  <c r="M26"/>
  <c r="M167" s="1"/>
  <c r="Y25"/>
  <c r="U25"/>
  <c r="Z25" s="1"/>
  <c r="Q25"/>
  <c r="X25" s="1"/>
  <c r="Y24"/>
  <c r="Q24"/>
  <c r="U24" s="1"/>
  <c r="Y23"/>
  <c r="Q23"/>
  <c r="Y22"/>
  <c r="Q22"/>
  <c r="U22" s="1"/>
  <c r="Z22" s="1"/>
  <c r="Y21"/>
  <c r="U21"/>
  <c r="Z21" s="1"/>
  <c r="Q21"/>
  <c r="X21" s="1"/>
  <c r="Y20"/>
  <c r="Q20"/>
  <c r="U20" s="1"/>
  <c r="W19"/>
  <c r="Q19"/>
  <c r="W18"/>
  <c r="W167" s="1"/>
  <c r="Q18"/>
  <c r="U18" s="1"/>
  <c r="Y17"/>
  <c r="U17"/>
  <c r="Z17" s="1"/>
  <c r="Q17"/>
  <c r="X17" s="1"/>
  <c r="Y16"/>
  <c r="Q16"/>
  <c r="U16" s="1"/>
  <c r="Z16" s="1"/>
  <c r="Y15"/>
  <c r="U15"/>
  <c r="Z15" s="1"/>
  <c r="Q15"/>
  <c r="X15" s="1"/>
  <c r="Y14"/>
  <c r="Q14"/>
  <c r="U14" s="1"/>
  <c r="Z14" s="1"/>
  <c r="Y13"/>
  <c r="U13"/>
  <c r="Z13" s="1"/>
  <c r="Q13"/>
  <c r="X13" s="1"/>
  <c r="Y12"/>
  <c r="Q12"/>
  <c r="U12" s="1"/>
  <c r="Z12" s="1"/>
  <c r="Y11"/>
  <c r="U11"/>
  <c r="Z11" s="1"/>
  <c r="Q11"/>
  <c r="Y10"/>
  <c r="Q10"/>
  <c r="U10" s="1"/>
  <c r="Z10" s="1"/>
  <c r="Y9"/>
  <c r="U9"/>
  <c r="AQ9" s="1"/>
  <c r="S9"/>
  <c r="S167" s="1"/>
  <c r="Q9"/>
  <c r="Y8"/>
  <c r="Q8"/>
  <c r="U8" s="1"/>
  <c r="Z8" s="1"/>
  <c r="Y7"/>
  <c r="Q7"/>
  <c r="Y6"/>
  <c r="X6"/>
  <c r="U6"/>
  <c r="Z6" s="1"/>
  <c r="Q6"/>
  <c r="I41" i="9"/>
  <c r="P40" i="18"/>
  <c r="I33" i="9"/>
  <c r="Q40" i="18" l="1"/>
  <c r="I31"/>
  <c r="M42"/>
  <c r="I42"/>
  <c r="M41" i="9"/>
  <c r="I41" i="18"/>
  <c r="K41" s="1"/>
  <c r="K46" s="1"/>
  <c r="M33" i="9"/>
  <c r="I33" i="18"/>
  <c r="I29"/>
  <c r="T24" i="14"/>
  <c r="Y24" s="1"/>
  <c r="T12"/>
  <c r="T22"/>
  <c r="W22" s="1"/>
  <c r="T10"/>
  <c r="Y10" s="1"/>
  <c r="T7"/>
  <c r="Y7" s="1"/>
  <c r="T9"/>
  <c r="T14"/>
  <c r="Y14" s="1"/>
  <c r="T16"/>
  <c r="T20"/>
  <c r="Y20" s="1"/>
  <c r="T8"/>
  <c r="Y8" s="1"/>
  <c r="T13"/>
  <c r="Y13" s="1"/>
  <c r="T17"/>
  <c r="Y17" s="1"/>
  <c r="T19"/>
  <c r="W19" s="1"/>
  <c r="X19" s="1"/>
  <c r="Y19" s="1"/>
  <c r="T21"/>
  <c r="Y21" s="1"/>
  <c r="T11"/>
  <c r="W11" s="1"/>
  <c r="AP9"/>
  <c r="T6"/>
  <c r="W6" s="1"/>
  <c r="P166"/>
  <c r="T163"/>
  <c r="T159"/>
  <c r="T156"/>
  <c r="T162"/>
  <c r="T158"/>
  <c r="T160"/>
  <c r="T157"/>
  <c r="X157" s="1"/>
  <c r="Y157" s="1"/>
  <c r="T161"/>
  <c r="Q162"/>
  <c r="X162" s="1"/>
  <c r="Y162" s="1"/>
  <c r="T155"/>
  <c r="T142"/>
  <c r="T146"/>
  <c r="T148"/>
  <c r="T150"/>
  <c r="T152"/>
  <c r="Q153"/>
  <c r="T145"/>
  <c r="T144"/>
  <c r="Q145"/>
  <c r="T143"/>
  <c r="T141"/>
  <c r="T140"/>
  <c r="T139"/>
  <c r="Q161"/>
  <c r="X161" s="1"/>
  <c r="Y161" s="1"/>
  <c r="Q158"/>
  <c r="Q142"/>
  <c r="T154"/>
  <c r="Q141"/>
  <c r="T121"/>
  <c r="T111"/>
  <c r="T110"/>
  <c r="T109"/>
  <c r="T108"/>
  <c r="T107"/>
  <c r="T104"/>
  <c r="T120"/>
  <c r="T119"/>
  <c r="T106"/>
  <c r="T105"/>
  <c r="P86" i="15"/>
  <c r="T86" s="1"/>
  <c r="W86" s="1"/>
  <c r="T72" i="14"/>
  <c r="T69"/>
  <c r="T68"/>
  <c r="T64"/>
  <c r="T61"/>
  <c r="T46"/>
  <c r="W13"/>
  <c r="Q155"/>
  <c r="Q159"/>
  <c r="X159" s="1"/>
  <c r="Y159" s="1"/>
  <c r="Q163"/>
  <c r="W7"/>
  <c r="W9"/>
  <c r="W21"/>
  <c r="T127"/>
  <c r="T133"/>
  <c r="W133" s="1"/>
  <c r="Q139"/>
  <c r="Q140"/>
  <c r="Q143"/>
  <c r="Q144"/>
  <c r="X145"/>
  <c r="Y145" s="1"/>
  <c r="Q147"/>
  <c r="Q151"/>
  <c r="T164"/>
  <c r="W23"/>
  <c r="T15"/>
  <c r="Y15" s="1"/>
  <c r="W17"/>
  <c r="V166"/>
  <c r="T25"/>
  <c r="Y25" s="1"/>
  <c r="R129"/>
  <c r="Q148"/>
  <c r="T149"/>
  <c r="Q152"/>
  <c r="T153"/>
  <c r="Q156"/>
  <c r="Q160"/>
  <c r="Q164"/>
  <c r="T165"/>
  <c r="Y123"/>
  <c r="W16"/>
  <c r="Y16"/>
  <c r="Y132"/>
  <c r="Y137"/>
  <c r="X144"/>
  <c r="Y144" s="1"/>
  <c r="Y131"/>
  <c r="W12"/>
  <c r="Y12"/>
  <c r="Y22"/>
  <c r="Y128"/>
  <c r="X148"/>
  <c r="Y148" s="1"/>
  <c r="W8"/>
  <c r="Y9"/>
  <c r="W10"/>
  <c r="W20"/>
  <c r="T126"/>
  <c r="T130"/>
  <c r="W130" s="1"/>
  <c r="T136"/>
  <c r="W136" s="1"/>
  <c r="Q146"/>
  <c r="T147"/>
  <c r="Q150"/>
  <c r="T151"/>
  <c r="Y11"/>
  <c r="T18"/>
  <c r="W18" s="1"/>
  <c r="X18" s="1"/>
  <c r="T79"/>
  <c r="W79" s="1"/>
  <c r="Q149"/>
  <c r="Q154"/>
  <c r="Z12" i="12"/>
  <c r="AB12"/>
  <c r="AB15"/>
  <c r="Z15"/>
  <c r="Z21"/>
  <c r="AB21"/>
  <c r="AA151"/>
  <c r="AB25"/>
  <c r="Z25"/>
  <c r="AA143"/>
  <c r="AB143" s="1"/>
  <c r="AB128"/>
  <c r="Z128"/>
  <c r="AB132"/>
  <c r="Z132"/>
  <c r="AB151"/>
  <c r="AA140"/>
  <c r="AB140" s="1"/>
  <c r="AA159"/>
  <c r="AB159" s="1"/>
  <c r="AA160"/>
  <c r="AB160" s="1"/>
  <c r="Z7"/>
  <c r="Z13"/>
  <c r="V16"/>
  <c r="AB16" s="1"/>
  <c r="Z17"/>
  <c r="Z18"/>
  <c r="Z19"/>
  <c r="V22"/>
  <c r="AB22" s="1"/>
  <c r="Z23"/>
  <c r="V90"/>
  <c r="Z90" s="1"/>
  <c r="V91"/>
  <c r="Z91" s="1"/>
  <c r="V92"/>
  <c r="Z92" s="1"/>
  <c r="V93"/>
  <c r="Z93" s="1"/>
  <c r="T123"/>
  <c r="T125"/>
  <c r="V125" s="1"/>
  <c r="Z125" s="1"/>
  <c r="T131"/>
  <c r="V131" s="1"/>
  <c r="T135"/>
  <c r="V135" s="1"/>
  <c r="Z135" s="1"/>
  <c r="T137"/>
  <c r="V137" s="1"/>
  <c r="Z146"/>
  <c r="V148"/>
  <c r="Z150"/>
  <c r="V152"/>
  <c r="Z152" s="1"/>
  <c r="Z154"/>
  <c r="Z148"/>
  <c r="V6"/>
  <c r="Z8"/>
  <c r="Z9"/>
  <c r="Z10"/>
  <c r="Z14"/>
  <c r="Z20"/>
  <c r="Z24"/>
  <c r="V75"/>
  <c r="Z75" s="1"/>
  <c r="T126"/>
  <c r="V126" s="1"/>
  <c r="Z126" s="1"/>
  <c r="V129"/>
  <c r="Z129" s="1"/>
  <c r="T130"/>
  <c r="V130" s="1"/>
  <c r="T136"/>
  <c r="V136" s="1"/>
  <c r="Z141"/>
  <c r="Z142"/>
  <c r="Z143"/>
  <c r="Z144"/>
  <c r="Z145"/>
  <c r="Z149"/>
  <c r="Z153"/>
  <c r="Z6"/>
  <c r="Z16"/>
  <c r="T124"/>
  <c r="V124" s="1"/>
  <c r="Z124" s="1"/>
  <c r="T134"/>
  <c r="V134" s="1"/>
  <c r="Z134" s="1"/>
  <c r="Z147"/>
  <c r="Z151"/>
  <c r="X132" i="11"/>
  <c r="Z132"/>
  <c r="X24"/>
  <c r="Z24"/>
  <c r="X137"/>
  <c r="Z137"/>
  <c r="X20"/>
  <c r="Z20"/>
  <c r="X128"/>
  <c r="Z128"/>
  <c r="Y147"/>
  <c r="Z147" s="1"/>
  <c r="Y151"/>
  <c r="Z151" s="1"/>
  <c r="X123"/>
  <c r="Z123"/>
  <c r="X131"/>
  <c r="Z131"/>
  <c r="U7"/>
  <c r="Z7" s="1"/>
  <c r="X9"/>
  <c r="X12"/>
  <c r="X16"/>
  <c r="X22"/>
  <c r="U23"/>
  <c r="Z23" s="1"/>
  <c r="R165"/>
  <c r="Y165" s="1"/>
  <c r="Z165" s="1"/>
  <c r="X150"/>
  <c r="Y150" s="1"/>
  <c r="Z150" s="1"/>
  <c r="X11"/>
  <c r="X18"/>
  <c r="Y18" s="1"/>
  <c r="Z18" s="1"/>
  <c r="U19"/>
  <c r="R139"/>
  <c r="Y139" s="1"/>
  <c r="Z139" s="1"/>
  <c r="X140"/>
  <c r="R141"/>
  <c r="Y141" s="1"/>
  <c r="Z141" s="1"/>
  <c r="X142"/>
  <c r="R143"/>
  <c r="Y143" s="1"/>
  <c r="Z143" s="1"/>
  <c r="X144"/>
  <c r="Y144" s="1"/>
  <c r="Z144" s="1"/>
  <c r="R148"/>
  <c r="Y148" s="1"/>
  <c r="Z148" s="1"/>
  <c r="U149"/>
  <c r="X149" s="1"/>
  <c r="R152"/>
  <c r="Y152" s="1"/>
  <c r="Z152" s="1"/>
  <c r="U153"/>
  <c r="X153" s="1"/>
  <c r="Y153" s="1"/>
  <c r="Z153" s="1"/>
  <c r="U154"/>
  <c r="X154" s="1"/>
  <c r="X155"/>
  <c r="Y155" s="1"/>
  <c r="Z155" s="1"/>
  <c r="R156"/>
  <c r="Y156" s="1"/>
  <c r="Z156" s="1"/>
  <c r="X157"/>
  <c r="Y157" s="1"/>
  <c r="Z157" s="1"/>
  <c r="R158"/>
  <c r="Y158" s="1"/>
  <c r="Z158" s="1"/>
  <c r="X159"/>
  <c r="Y159" s="1"/>
  <c r="Z159" s="1"/>
  <c r="R160"/>
  <c r="Y160" s="1"/>
  <c r="Z160" s="1"/>
  <c r="X161"/>
  <c r="Y161" s="1"/>
  <c r="Z161" s="1"/>
  <c r="R162"/>
  <c r="Y162" s="1"/>
  <c r="Z162" s="1"/>
  <c r="X163"/>
  <c r="Y163" s="1"/>
  <c r="Z163" s="1"/>
  <c r="R164"/>
  <c r="Y164" s="1"/>
  <c r="Z164" s="1"/>
  <c r="Z9"/>
  <c r="X10"/>
  <c r="X14"/>
  <c r="U126"/>
  <c r="X126" s="1"/>
  <c r="U130"/>
  <c r="U136"/>
  <c r="U146"/>
  <c r="X146" s="1"/>
  <c r="R149"/>
  <c r="R154"/>
  <c r="X8"/>
  <c r="R140"/>
  <c r="Y140" s="1"/>
  <c r="Z140" s="1"/>
  <c r="R142"/>
  <c r="Q40" i="9"/>
  <c r="K33"/>
  <c r="P33" l="1"/>
  <c r="P33" i="18" s="1"/>
  <c r="Q33" s="1"/>
  <c r="M41"/>
  <c r="P31"/>
  <c r="K31"/>
  <c r="M31"/>
  <c r="M33"/>
  <c r="K33"/>
  <c r="M29"/>
  <c r="K29"/>
  <c r="Y129" i="14"/>
  <c r="R166"/>
  <c r="Y6"/>
  <c r="W24"/>
  <c r="W14"/>
  <c r="W25"/>
  <c r="X158"/>
  <c r="Y158" s="1"/>
  <c r="Q165"/>
  <c r="X165" s="1"/>
  <c r="Y165" s="1"/>
  <c r="X156"/>
  <c r="Y156" s="1"/>
  <c r="X164"/>
  <c r="Y164" s="1"/>
  <c r="X163"/>
  <c r="Y163" s="1"/>
  <c r="X155"/>
  <c r="Y155" s="1"/>
  <c r="X142"/>
  <c r="Y142" s="1"/>
  <c r="X141"/>
  <c r="Y141" s="1"/>
  <c r="X149"/>
  <c r="Y149" s="1"/>
  <c r="X153"/>
  <c r="Y153" s="1"/>
  <c r="X143"/>
  <c r="Y143" s="1"/>
  <c r="X147"/>
  <c r="Y147" s="1"/>
  <c r="X140"/>
  <c r="Y140" s="1"/>
  <c r="X160"/>
  <c r="Y160" s="1"/>
  <c r="X152"/>
  <c r="Y152" s="1"/>
  <c r="X139"/>
  <c r="Y139" s="1"/>
  <c r="X151"/>
  <c r="Y151" s="1"/>
  <c r="W15"/>
  <c r="T129"/>
  <c r="W129" s="1"/>
  <c r="W166" s="1"/>
  <c r="X154"/>
  <c r="Y154" s="1"/>
  <c r="X146"/>
  <c r="Y146" s="1"/>
  <c r="Y130"/>
  <c r="Y136"/>
  <c r="Y18"/>
  <c r="X150"/>
  <c r="Y150" s="1"/>
  <c r="AA152" i="12"/>
  <c r="AB152" s="1"/>
  <c r="Z137"/>
  <c r="AB137"/>
  <c r="Z136"/>
  <c r="AB136"/>
  <c r="Z131"/>
  <c r="AB131"/>
  <c r="Z130"/>
  <c r="AB130"/>
  <c r="AA18"/>
  <c r="T166"/>
  <c r="AA149"/>
  <c r="AB149" s="1"/>
  <c r="AA148"/>
  <c r="AB148" s="1"/>
  <c r="AA144"/>
  <c r="AB144" s="1"/>
  <c r="AB6"/>
  <c r="AA19"/>
  <c r="AB19" s="1"/>
  <c r="AA146"/>
  <c r="AB146" s="1"/>
  <c r="AA141"/>
  <c r="AB141" s="1"/>
  <c r="AA150"/>
  <c r="AB150" s="1"/>
  <c r="AA145"/>
  <c r="AB145" s="1"/>
  <c r="Z22"/>
  <c r="AA142"/>
  <c r="AB142" s="1"/>
  <c r="AA154"/>
  <c r="AB154" s="1"/>
  <c r="AA147"/>
  <c r="AB147" s="1"/>
  <c r="AA153"/>
  <c r="AB153" s="1"/>
  <c r="V123"/>
  <c r="AC164" i="11"/>
  <c r="AB153"/>
  <c r="Y146"/>
  <c r="Z146" s="1"/>
  <c r="Z136"/>
  <c r="X136"/>
  <c r="U167"/>
  <c r="Y149"/>
  <c r="Z149" s="1"/>
  <c r="X23"/>
  <c r="Z130"/>
  <c r="X130"/>
  <c r="X7"/>
  <c r="Y142"/>
  <c r="Z142" s="1"/>
  <c r="Y154"/>
  <c r="Z154" s="1"/>
  <c r="X19"/>
  <c r="Y19" s="1"/>
  <c r="Q31" i="18" l="1"/>
  <c r="P29"/>
  <c r="Q29" s="1"/>
  <c r="AB26" i="14"/>
  <c r="Y166"/>
  <c r="T166"/>
  <c r="X166"/>
  <c r="AA166" i="12"/>
  <c r="AB18"/>
  <c r="AB166"/>
  <c r="Z123"/>
  <c r="AB123"/>
  <c r="V166"/>
  <c r="AC26" i="11"/>
  <c r="X167"/>
  <c r="Y167"/>
  <c r="Z19"/>
  <c r="Z167" s="1"/>
  <c r="Q33" i="9"/>
  <c r="Q38" i="16" l="1"/>
  <c r="Q47"/>
  <c r="Z166" i="12"/>
  <c r="N48" i="9" l="1"/>
  <c r="O46"/>
  <c r="I46"/>
  <c r="O44"/>
  <c r="I44"/>
  <c r="I43" i="18" s="1"/>
  <c r="O42" i="9"/>
  <c r="O41"/>
  <c r="K41"/>
  <c r="K40"/>
  <c r="F38"/>
  <c r="F48" s="1"/>
  <c r="I34"/>
  <c r="O32"/>
  <c r="I32"/>
  <c r="O31"/>
  <c r="I31"/>
  <c r="O29"/>
  <c r="O28"/>
  <c r="O26"/>
  <c r="I26"/>
  <c r="O25"/>
  <c r="I25"/>
  <c r="O24"/>
  <c r="I24"/>
  <c r="I24" i="18" s="1"/>
  <c r="O23" i="9"/>
  <c r="I23"/>
  <c r="O22"/>
  <c r="I22"/>
  <c r="P100" i="15"/>
  <c r="T100" s="1"/>
  <c r="W100" s="1"/>
  <c r="P80"/>
  <c r="P81"/>
  <c r="T81" s="1"/>
  <c r="W81" s="1"/>
  <c r="P82"/>
  <c r="T82" s="1"/>
  <c r="W82" s="1"/>
  <c r="P83"/>
  <c r="T83" s="1"/>
  <c r="W83" s="1"/>
  <c r="P84"/>
  <c r="T84" s="1"/>
  <c r="W84" s="1"/>
  <c r="P85"/>
  <c r="T85" s="1"/>
  <c r="W85" s="1"/>
  <c r="P87"/>
  <c r="T87" s="1"/>
  <c r="W87" s="1"/>
  <c r="P88"/>
  <c r="T88" s="1"/>
  <c r="W88" s="1"/>
  <c r="P89"/>
  <c r="T89" s="1"/>
  <c r="W89" s="1"/>
  <c r="P90"/>
  <c r="T90" s="1"/>
  <c r="W90" s="1"/>
  <c r="P91"/>
  <c r="T91" s="1"/>
  <c r="W91" s="1"/>
  <c r="P92"/>
  <c r="T92" s="1"/>
  <c r="W92" s="1"/>
  <c r="P93"/>
  <c r="T93" s="1"/>
  <c r="W93" s="1"/>
  <c r="P94"/>
  <c r="T94" s="1"/>
  <c r="W94" s="1"/>
  <c r="P95"/>
  <c r="T95" s="1"/>
  <c r="W95" s="1"/>
  <c r="P96"/>
  <c r="T96" s="1"/>
  <c r="W96" s="1"/>
  <c r="P97"/>
  <c r="T97" s="1"/>
  <c r="W97" s="1"/>
  <c r="P98"/>
  <c r="T98" s="1"/>
  <c r="W98" s="1"/>
  <c r="P99"/>
  <c r="T99" s="1"/>
  <c r="W99" s="1"/>
  <c r="P101"/>
  <c r="T101" s="1"/>
  <c r="W101" s="1"/>
  <c r="P79"/>
  <c r="T79" s="1"/>
  <c r="W79" s="1"/>
  <c r="AA89" i="7"/>
  <c r="AA98"/>
  <c r="AA87"/>
  <c r="M27"/>
  <c r="M28"/>
  <c r="M29"/>
  <c r="M30"/>
  <c r="M31"/>
  <c r="M32"/>
  <c r="M34"/>
  <c r="M36"/>
  <c r="M38"/>
  <c r="M39"/>
  <c r="M40"/>
  <c r="M41"/>
  <c r="M42"/>
  <c r="M43"/>
  <c r="M44"/>
  <c r="M45"/>
  <c r="M46"/>
  <c r="M47"/>
  <c r="M48"/>
  <c r="M49"/>
  <c r="M51"/>
  <c r="M52"/>
  <c r="M53"/>
  <c r="M54"/>
  <c r="M55"/>
  <c r="M57"/>
  <c r="M58"/>
  <c r="M59"/>
  <c r="M60"/>
  <c r="M61"/>
  <c r="M63"/>
  <c r="M65"/>
  <c r="M66"/>
  <c r="M67"/>
  <c r="M68"/>
  <c r="M69"/>
  <c r="M70"/>
  <c r="M71"/>
  <c r="M72"/>
  <c r="M73"/>
  <c r="M77"/>
  <c r="M79"/>
  <c r="M26"/>
  <c r="O35" i="9" l="1"/>
  <c r="I35"/>
  <c r="I28" i="18"/>
  <c r="M28" s="1"/>
  <c r="K25" i="9"/>
  <c r="I25" i="18"/>
  <c r="K28" i="9"/>
  <c r="P28" s="1"/>
  <c r="I27" i="18"/>
  <c r="I34"/>
  <c r="M22" i="9"/>
  <c r="I22" i="18"/>
  <c r="K24"/>
  <c r="M24"/>
  <c r="K26" i="9"/>
  <c r="I26" i="18"/>
  <c r="K28"/>
  <c r="M46" i="9"/>
  <c r="M45" i="18" s="1"/>
  <c r="I45"/>
  <c r="K32" i="9"/>
  <c r="I32" i="18"/>
  <c r="K31" i="9"/>
  <c r="I30" i="18"/>
  <c r="K23" i="9"/>
  <c r="I23" i="18"/>
  <c r="I21"/>
  <c r="M21" s="1"/>
  <c r="AC87" i="7"/>
  <c r="AD87" s="1"/>
  <c r="AB87"/>
  <c r="AC89"/>
  <c r="AD89" s="1"/>
  <c r="AB89"/>
  <c r="AC98"/>
  <c r="AD98" s="1"/>
  <c r="AB98"/>
  <c r="M182"/>
  <c r="AA106"/>
  <c r="T80" i="15"/>
  <c r="W80" s="1"/>
  <c r="P102"/>
  <c r="AD99" i="12"/>
  <c r="R99"/>
  <c r="AD95"/>
  <c r="R95"/>
  <c r="R91"/>
  <c r="AD91"/>
  <c r="AD87"/>
  <c r="R87"/>
  <c r="AD83"/>
  <c r="R83"/>
  <c r="R100"/>
  <c r="AD100"/>
  <c r="R96"/>
  <c r="AD96"/>
  <c r="R92"/>
  <c r="AD92"/>
  <c r="AA91" i="7"/>
  <c r="R88" i="12"/>
  <c r="AD88"/>
  <c r="AA88" i="7"/>
  <c r="AD84" i="12"/>
  <c r="R84"/>
  <c r="R80"/>
  <c r="AD80"/>
  <c r="R101"/>
  <c r="AD101"/>
  <c r="AA102" i="7"/>
  <c r="R97" i="12"/>
  <c r="AD97"/>
  <c r="R93"/>
  <c r="AD93"/>
  <c r="AA92" i="7"/>
  <c r="R89" i="12"/>
  <c r="AD89"/>
  <c r="R85"/>
  <c r="AD85"/>
  <c r="R81"/>
  <c r="AD81"/>
  <c r="AD79"/>
  <c r="R79"/>
  <c r="AA103" i="7"/>
  <c r="AD98" i="12"/>
  <c r="R98"/>
  <c r="AA99" i="7"/>
  <c r="R94" i="12"/>
  <c r="AD94"/>
  <c r="AA93" i="7"/>
  <c r="R90" i="12"/>
  <c r="AD90"/>
  <c r="R86"/>
  <c r="AD86"/>
  <c r="AA86" i="7"/>
  <c r="R82" i="12"/>
  <c r="AD82"/>
  <c r="AA90" i="7"/>
  <c r="AA107"/>
  <c r="AA94"/>
  <c r="AA82"/>
  <c r="AA101"/>
  <c r="K22" i="9"/>
  <c r="P41"/>
  <c r="Q45"/>
  <c r="K47"/>
  <c r="K34"/>
  <c r="M32"/>
  <c r="P32" s="1"/>
  <c r="M29"/>
  <c r="K29"/>
  <c r="M26"/>
  <c r="M24"/>
  <c r="K24"/>
  <c r="R102" i="12"/>
  <c r="M44" i="9"/>
  <c r="M47" s="1"/>
  <c r="M48" s="1"/>
  <c r="M23"/>
  <c r="M25"/>
  <c r="M31"/>
  <c r="M34"/>
  <c r="AA83" i="7"/>
  <c r="Z137" i="8"/>
  <c r="Q137"/>
  <c r="S137" s="1"/>
  <c r="M137"/>
  <c r="Z136"/>
  <c r="Q136"/>
  <c r="S136" s="1"/>
  <c r="M136"/>
  <c r="Q135"/>
  <c r="M135"/>
  <c r="Q134"/>
  <c r="S134" s="1"/>
  <c r="M134"/>
  <c r="Q133"/>
  <c r="S133" s="1"/>
  <c r="M133"/>
  <c r="Z132"/>
  <c r="Q132"/>
  <c r="S132" s="1"/>
  <c r="M132"/>
  <c r="Z131"/>
  <c r="S131"/>
  <c r="Q131"/>
  <c r="M131"/>
  <c r="Z130"/>
  <c r="Q130"/>
  <c r="S130" s="1"/>
  <c r="M130"/>
  <c r="Z129"/>
  <c r="Q129"/>
  <c r="S129" s="1"/>
  <c r="AA129" s="1"/>
  <c r="M129"/>
  <c r="Z128"/>
  <c r="Q128"/>
  <c r="S128" s="1"/>
  <c r="U128" s="1"/>
  <c r="M128"/>
  <c r="Q127"/>
  <c r="S127" s="1"/>
  <c r="M127"/>
  <c r="Q126"/>
  <c r="S126" s="1"/>
  <c r="M126"/>
  <c r="Q125"/>
  <c r="S125" s="1"/>
  <c r="U125" s="1"/>
  <c r="Y125" s="1"/>
  <c r="M125"/>
  <c r="Q124"/>
  <c r="M124"/>
  <c r="Z123"/>
  <c r="Q123"/>
  <c r="S123" s="1"/>
  <c r="U123" s="1"/>
  <c r="Y123" s="1"/>
  <c r="M123"/>
  <c r="Y144" i="7"/>
  <c r="P46" i="9" l="1"/>
  <c r="P31"/>
  <c r="P41" i="18"/>
  <c r="Q41" s="1"/>
  <c r="P29" i="9"/>
  <c r="Q29" s="1"/>
  <c r="P22"/>
  <c r="P34"/>
  <c r="Q41"/>
  <c r="P26"/>
  <c r="Q26" s="1"/>
  <c r="P30" i="18"/>
  <c r="Q28" i="9"/>
  <c r="P27" i="18"/>
  <c r="K34"/>
  <c r="M34"/>
  <c r="M43"/>
  <c r="M46" s="1"/>
  <c r="Q46" i="9"/>
  <c r="P45" i="18"/>
  <c r="Q45" s="1"/>
  <c r="K25"/>
  <c r="M25"/>
  <c r="Q22" i="9"/>
  <c r="P22" i="18"/>
  <c r="Q42" i="9"/>
  <c r="P42" i="18"/>
  <c r="Q42" s="1"/>
  <c r="K26"/>
  <c r="M26"/>
  <c r="K22"/>
  <c r="M22"/>
  <c r="K27"/>
  <c r="M27"/>
  <c r="P25" i="9"/>
  <c r="K32" i="18"/>
  <c r="M32"/>
  <c r="K30"/>
  <c r="M30"/>
  <c r="K23"/>
  <c r="M23"/>
  <c r="P21"/>
  <c r="Q21" s="1"/>
  <c r="AC82" i="7"/>
  <c r="AD82" s="1"/>
  <c r="AB82"/>
  <c r="AC106"/>
  <c r="AD106" s="1"/>
  <c r="AB106"/>
  <c r="AC101"/>
  <c r="AD101" s="1"/>
  <c r="AB101"/>
  <c r="AC90"/>
  <c r="AD90" s="1"/>
  <c r="AB90"/>
  <c r="AC93"/>
  <c r="AD93" s="1"/>
  <c r="AB93"/>
  <c r="AC102"/>
  <c r="AD102" s="1"/>
  <c r="AB102"/>
  <c r="AC107"/>
  <c r="AD107" s="1"/>
  <c r="AB107"/>
  <c r="AC86"/>
  <c r="AD86" s="1"/>
  <c r="AB86"/>
  <c r="AC99"/>
  <c r="AD99" s="1"/>
  <c r="AB99"/>
  <c r="AC92"/>
  <c r="AD92" s="1"/>
  <c r="AB92"/>
  <c r="AC88"/>
  <c r="AD88" s="1"/>
  <c r="AB88"/>
  <c r="AC83"/>
  <c r="AD83" s="1"/>
  <c r="AB83"/>
  <c r="AC94"/>
  <c r="AD94" s="1"/>
  <c r="AB94"/>
  <c r="AC103"/>
  <c r="AD103" s="1"/>
  <c r="AB103"/>
  <c r="AC91"/>
  <c r="AD91" s="1"/>
  <c r="AB91"/>
  <c r="P129" i="15"/>
  <c r="R129" s="1"/>
  <c r="Y129" s="1"/>
  <c r="P135"/>
  <c r="R135" s="1"/>
  <c r="T135" s="1"/>
  <c r="W135" s="1"/>
  <c r="P127"/>
  <c r="R127" s="1"/>
  <c r="T127" s="1"/>
  <c r="W127" s="1"/>
  <c r="P134"/>
  <c r="R134" s="1"/>
  <c r="T134" s="1"/>
  <c r="W134" s="1"/>
  <c r="P126"/>
  <c r="R126" s="1"/>
  <c r="T126" s="1"/>
  <c r="W126" s="1"/>
  <c r="P124"/>
  <c r="R124" s="1"/>
  <c r="T124" s="1"/>
  <c r="W124" s="1"/>
  <c r="P133"/>
  <c r="R133" s="1"/>
  <c r="T133" s="1"/>
  <c r="W133" s="1"/>
  <c r="P125"/>
  <c r="R125" s="1"/>
  <c r="T125" s="1"/>
  <c r="W125" s="1"/>
  <c r="AA140" i="7"/>
  <c r="R125" i="12"/>
  <c r="AD125"/>
  <c r="AA139" i="7"/>
  <c r="R124" i="12"/>
  <c r="AD124"/>
  <c r="R129"/>
  <c r="AD129"/>
  <c r="AA151" i="7"/>
  <c r="R135" i="12"/>
  <c r="AD135"/>
  <c r="AD127"/>
  <c r="R127"/>
  <c r="R134"/>
  <c r="AD134"/>
  <c r="R126"/>
  <c r="AD126"/>
  <c r="R133"/>
  <c r="AD133"/>
  <c r="U131" i="8"/>
  <c r="Y131" s="1"/>
  <c r="P44" i="9"/>
  <c r="P48" s="1"/>
  <c r="P24"/>
  <c r="P23"/>
  <c r="AA128" i="8"/>
  <c r="Y128"/>
  <c r="U134"/>
  <c r="Y134" s="1"/>
  <c r="S135"/>
  <c r="U135" s="1"/>
  <c r="Y135" s="1"/>
  <c r="S124"/>
  <c r="U124" s="1"/>
  <c r="Y124" s="1"/>
  <c r="AA148" i="7"/>
  <c r="AA150"/>
  <c r="AA144"/>
  <c r="U137" i="8"/>
  <c r="Y137" s="1"/>
  <c r="U136"/>
  <c r="AA136" s="1"/>
  <c r="U132"/>
  <c r="U130"/>
  <c r="Y130" s="1"/>
  <c r="U126"/>
  <c r="Y126" s="1"/>
  <c r="Y136"/>
  <c r="AA123"/>
  <c r="AA131"/>
  <c r="AA137"/>
  <c r="U127"/>
  <c r="Y127" s="1"/>
  <c r="U129"/>
  <c r="Y129" s="1"/>
  <c r="U133"/>
  <c r="Y133" s="1"/>
  <c r="AA142" i="7"/>
  <c r="M171" i="8"/>
  <c r="M170"/>
  <c r="M172" s="1"/>
  <c r="Q165"/>
  <c r="Q164"/>
  <c r="Q163"/>
  <c r="Q162"/>
  <c r="Q161"/>
  <c r="Q160"/>
  <c r="Q159"/>
  <c r="Q158"/>
  <c r="Q157"/>
  <c r="Q156"/>
  <c r="Q155"/>
  <c r="W154"/>
  <c r="Q154"/>
  <c r="W153"/>
  <c r="Q153"/>
  <c r="W152"/>
  <c r="Q152"/>
  <c r="W151"/>
  <c r="Q151"/>
  <c r="W150"/>
  <c r="Q150"/>
  <c r="W149"/>
  <c r="Q149"/>
  <c r="W148"/>
  <c r="Q148"/>
  <c r="W147"/>
  <c r="Q147"/>
  <c r="W146"/>
  <c r="Q146"/>
  <c r="Q145"/>
  <c r="Q144"/>
  <c r="Q143"/>
  <c r="Q142"/>
  <c r="Q141"/>
  <c r="Q140"/>
  <c r="Q139"/>
  <c r="L138"/>
  <c r="L122"/>
  <c r="AA121"/>
  <c r="Z121"/>
  <c r="Q121"/>
  <c r="U121" s="1"/>
  <c r="Y121" s="1"/>
  <c r="M121"/>
  <c r="AA120"/>
  <c r="Z120"/>
  <c r="Q120"/>
  <c r="U120" s="1"/>
  <c r="Y120" s="1"/>
  <c r="M120"/>
  <c r="AA119"/>
  <c r="Z119"/>
  <c r="Q119"/>
  <c r="U119" s="1"/>
  <c r="Y119" s="1"/>
  <c r="M119"/>
  <c r="AA118"/>
  <c r="Z118"/>
  <c r="Q118"/>
  <c r="U118" s="1"/>
  <c r="Y118" s="1"/>
  <c r="M118"/>
  <c r="AA117"/>
  <c r="Z117"/>
  <c r="Q117"/>
  <c r="U117" s="1"/>
  <c r="Y117" s="1"/>
  <c r="M117"/>
  <c r="Q116"/>
  <c r="U116" s="1"/>
  <c r="Y116" s="1"/>
  <c r="M116"/>
  <c r="Q115"/>
  <c r="U115" s="1"/>
  <c r="Y115" s="1"/>
  <c r="M115"/>
  <c r="AA114"/>
  <c r="Z114"/>
  <c r="Q114"/>
  <c r="U114" s="1"/>
  <c r="Y114" s="1"/>
  <c r="M114"/>
  <c r="AA113"/>
  <c r="Z113"/>
  <c r="Q113"/>
  <c r="U113" s="1"/>
  <c r="Y113" s="1"/>
  <c r="M113"/>
  <c r="AA112"/>
  <c r="Z112"/>
  <c r="Q112"/>
  <c r="U112" s="1"/>
  <c r="Y112" s="1"/>
  <c r="M112"/>
  <c r="AA111"/>
  <c r="Z111"/>
  <c r="Q111"/>
  <c r="U111" s="1"/>
  <c r="Y111" s="1"/>
  <c r="M111"/>
  <c r="Q110"/>
  <c r="U110" s="1"/>
  <c r="Y110" s="1"/>
  <c r="M110"/>
  <c r="AA109"/>
  <c r="Z109"/>
  <c r="Q109"/>
  <c r="U109" s="1"/>
  <c r="Y109" s="1"/>
  <c r="M109"/>
  <c r="AA108"/>
  <c r="Z108"/>
  <c r="Q108"/>
  <c r="U108" s="1"/>
  <c r="Y108" s="1"/>
  <c r="M108"/>
  <c r="AA107"/>
  <c r="Z107"/>
  <c r="Q107"/>
  <c r="U107" s="1"/>
  <c r="Y107" s="1"/>
  <c r="M107"/>
  <c r="AA106"/>
  <c r="Z106"/>
  <c r="Q106"/>
  <c r="U106" s="1"/>
  <c r="Y106" s="1"/>
  <c r="M106"/>
  <c r="AA105"/>
  <c r="Z105"/>
  <c r="Q105"/>
  <c r="U105" s="1"/>
  <c r="Y105" s="1"/>
  <c r="M105"/>
  <c r="AA104"/>
  <c r="Z104"/>
  <c r="Q104"/>
  <c r="U104" s="1"/>
  <c r="Y104" s="1"/>
  <c r="M104"/>
  <c r="AA103"/>
  <c r="Z103"/>
  <c r="Q103"/>
  <c r="U103" s="1"/>
  <c r="Y103" s="1"/>
  <c r="M103"/>
  <c r="L102"/>
  <c r="AA101"/>
  <c r="Z101"/>
  <c r="Q101"/>
  <c r="U101" s="1"/>
  <c r="Y101" s="1"/>
  <c r="M101"/>
  <c r="Q100"/>
  <c r="U100" s="1"/>
  <c r="Y100" s="1"/>
  <c r="M100"/>
  <c r="AA99"/>
  <c r="Z99"/>
  <c r="Q99"/>
  <c r="U99" s="1"/>
  <c r="Y99" s="1"/>
  <c r="M99"/>
  <c r="AA98"/>
  <c r="Z98"/>
  <c r="Q98"/>
  <c r="U98" s="1"/>
  <c r="Y98" s="1"/>
  <c r="M98"/>
  <c r="AA97"/>
  <c r="Z97"/>
  <c r="Q97"/>
  <c r="U97" s="1"/>
  <c r="Y97" s="1"/>
  <c r="M97"/>
  <c r="AA96"/>
  <c r="Z96"/>
  <c r="Q96"/>
  <c r="U96" s="1"/>
  <c r="Y96" s="1"/>
  <c r="M96"/>
  <c r="AA95"/>
  <c r="Z95"/>
  <c r="Q95"/>
  <c r="U95" s="1"/>
  <c r="Y95" s="1"/>
  <c r="M95"/>
  <c r="AA94"/>
  <c r="Z94"/>
  <c r="Q94"/>
  <c r="U94" s="1"/>
  <c r="Y94" s="1"/>
  <c r="M94"/>
  <c r="Q93"/>
  <c r="U93" s="1"/>
  <c r="Y93" s="1"/>
  <c r="M93"/>
  <c r="AA92"/>
  <c r="Z92"/>
  <c r="Q92"/>
  <c r="U92" s="1"/>
  <c r="Y92" s="1"/>
  <c r="M92"/>
  <c r="AA91"/>
  <c r="Z91"/>
  <c r="Q91"/>
  <c r="U91" s="1"/>
  <c r="Y91" s="1"/>
  <c r="M91"/>
  <c r="AA90"/>
  <c r="Z90"/>
  <c r="Q90"/>
  <c r="U90" s="1"/>
  <c r="Y90" s="1"/>
  <c r="M90"/>
  <c r="AA89"/>
  <c r="Z89"/>
  <c r="Q89"/>
  <c r="U89" s="1"/>
  <c r="Y89" s="1"/>
  <c r="M89"/>
  <c r="Q88"/>
  <c r="U88" s="1"/>
  <c r="Y88" s="1"/>
  <c r="M88"/>
  <c r="AA87"/>
  <c r="Z87"/>
  <c r="Q87"/>
  <c r="U87" s="1"/>
  <c r="Y87" s="1"/>
  <c r="M87"/>
  <c r="AA86"/>
  <c r="Z86"/>
  <c r="Q86"/>
  <c r="U86" s="1"/>
  <c r="Y86" s="1"/>
  <c r="M86"/>
  <c r="AA85"/>
  <c r="Z85"/>
  <c r="Q85"/>
  <c r="U85" s="1"/>
  <c r="Y85" s="1"/>
  <c r="M85"/>
  <c r="AA84"/>
  <c r="Z84"/>
  <c r="Q84"/>
  <c r="U84" s="1"/>
  <c r="Y84" s="1"/>
  <c r="M84"/>
  <c r="AA83"/>
  <c r="Z83"/>
  <c r="Q83"/>
  <c r="U83" s="1"/>
  <c r="Y83" s="1"/>
  <c r="M83"/>
  <c r="AA82"/>
  <c r="Z82"/>
  <c r="Q82"/>
  <c r="U82" s="1"/>
  <c r="Y82" s="1"/>
  <c r="M82"/>
  <c r="AA81"/>
  <c r="Z81"/>
  <c r="Q81"/>
  <c r="U81" s="1"/>
  <c r="Y81" s="1"/>
  <c r="M81"/>
  <c r="AA80"/>
  <c r="Z80"/>
  <c r="Q80"/>
  <c r="U80" s="1"/>
  <c r="Y80" s="1"/>
  <c r="M80"/>
  <c r="AA79"/>
  <c r="Z79"/>
  <c r="Q79"/>
  <c r="U79" s="1"/>
  <c r="Y79" s="1"/>
  <c r="M79"/>
  <c r="L78"/>
  <c r="Q77"/>
  <c r="U77" s="1"/>
  <c r="Y77" s="1"/>
  <c r="M77"/>
  <c r="Q76"/>
  <c r="U76" s="1"/>
  <c r="Y76" s="1"/>
  <c r="M76"/>
  <c r="Q75"/>
  <c r="U75" s="1"/>
  <c r="Y75" s="1"/>
  <c r="M75"/>
  <c r="AA74"/>
  <c r="Z74"/>
  <c r="Q74"/>
  <c r="U74" s="1"/>
  <c r="Y74" s="1"/>
  <c r="M74"/>
  <c r="AA73"/>
  <c r="Z73"/>
  <c r="Q73"/>
  <c r="U73" s="1"/>
  <c r="Y73" s="1"/>
  <c r="M73"/>
  <c r="Q72"/>
  <c r="U72" s="1"/>
  <c r="Y72" s="1"/>
  <c r="M72"/>
  <c r="AA71"/>
  <c r="Z71"/>
  <c r="Q71"/>
  <c r="U71" s="1"/>
  <c r="Y71" s="1"/>
  <c r="M71"/>
  <c r="AA70"/>
  <c r="Z70"/>
  <c r="Q70"/>
  <c r="U70" s="1"/>
  <c r="Y70" s="1"/>
  <c r="M70"/>
  <c r="AA69"/>
  <c r="Z69"/>
  <c r="Q69"/>
  <c r="U69" s="1"/>
  <c r="Y69" s="1"/>
  <c r="M69"/>
  <c r="AA68"/>
  <c r="Z68"/>
  <c r="Q68"/>
  <c r="U68" s="1"/>
  <c r="Y68" s="1"/>
  <c r="M68"/>
  <c r="AA67"/>
  <c r="Z67"/>
  <c r="Q67"/>
  <c r="U67" s="1"/>
  <c r="Y67" s="1"/>
  <c r="M67"/>
  <c r="AA66"/>
  <c r="Z66"/>
  <c r="Q66"/>
  <c r="U66" s="1"/>
  <c r="Y66" s="1"/>
  <c r="M66"/>
  <c r="Q65"/>
  <c r="U65" s="1"/>
  <c r="Y65" s="1"/>
  <c r="M65"/>
  <c r="Q64"/>
  <c r="U64" s="1"/>
  <c r="Y64" s="1"/>
  <c r="M64"/>
  <c r="AA63"/>
  <c r="Z63"/>
  <c r="Q63"/>
  <c r="U63" s="1"/>
  <c r="Y63" s="1"/>
  <c r="M63"/>
  <c r="AA62"/>
  <c r="Z62"/>
  <c r="Q62"/>
  <c r="U62" s="1"/>
  <c r="Y62" s="1"/>
  <c r="M62"/>
  <c r="AA61"/>
  <c r="Z61"/>
  <c r="Q61"/>
  <c r="U61" s="1"/>
  <c r="Y61" s="1"/>
  <c r="M61"/>
  <c r="AA60"/>
  <c r="Z60"/>
  <c r="Q60"/>
  <c r="U60" s="1"/>
  <c r="Y60" s="1"/>
  <c r="M60"/>
  <c r="Q59"/>
  <c r="U59" s="1"/>
  <c r="Y59" s="1"/>
  <c r="M59"/>
  <c r="AA58"/>
  <c r="Z58"/>
  <c r="Q58"/>
  <c r="U58" s="1"/>
  <c r="Y58" s="1"/>
  <c r="M58"/>
  <c r="AA57"/>
  <c r="Z57"/>
  <c r="Q57"/>
  <c r="U57" s="1"/>
  <c r="Y57" s="1"/>
  <c r="M57"/>
  <c r="AA56"/>
  <c r="Z56"/>
  <c r="Q56"/>
  <c r="U56" s="1"/>
  <c r="Y56" s="1"/>
  <c r="M56"/>
  <c r="AA55"/>
  <c r="Z55"/>
  <c r="Q55"/>
  <c r="U55" s="1"/>
  <c r="Y55" s="1"/>
  <c r="M55"/>
  <c r="AA54"/>
  <c r="Z54"/>
  <c r="Q54"/>
  <c r="U54" s="1"/>
  <c r="Y54" s="1"/>
  <c r="M54"/>
  <c r="AA53"/>
  <c r="Z53"/>
  <c r="Q53"/>
  <c r="U53" s="1"/>
  <c r="Y53" s="1"/>
  <c r="M53"/>
  <c r="AA52"/>
  <c r="Z52"/>
  <c r="Q52"/>
  <c r="U52" s="1"/>
  <c r="Y52" s="1"/>
  <c r="M52"/>
  <c r="AA51"/>
  <c r="Z51"/>
  <c r="Q51"/>
  <c r="U51" s="1"/>
  <c r="Y51" s="1"/>
  <c r="M51"/>
  <c r="AA50"/>
  <c r="Z50"/>
  <c r="Q50"/>
  <c r="U50" s="1"/>
  <c r="Y50" s="1"/>
  <c r="M50"/>
  <c r="AA49"/>
  <c r="Z49"/>
  <c r="Q49"/>
  <c r="U49" s="1"/>
  <c r="Y49" s="1"/>
  <c r="M49"/>
  <c r="AA48"/>
  <c r="Z48"/>
  <c r="Q48"/>
  <c r="U48" s="1"/>
  <c r="Y48" s="1"/>
  <c r="M48"/>
  <c r="AA47"/>
  <c r="Z47"/>
  <c r="Q47"/>
  <c r="U47" s="1"/>
  <c r="Y47" s="1"/>
  <c r="M47"/>
  <c r="AA46"/>
  <c r="Z46"/>
  <c r="Q46"/>
  <c r="U46" s="1"/>
  <c r="Y46" s="1"/>
  <c r="M46"/>
  <c r="AA45"/>
  <c r="Z45"/>
  <c r="Q45"/>
  <c r="U45" s="1"/>
  <c r="Y45" s="1"/>
  <c r="M45"/>
  <c r="Q44"/>
  <c r="U44" s="1"/>
  <c r="Y44" s="1"/>
  <c r="M44"/>
  <c r="AA43"/>
  <c r="Z43"/>
  <c r="Q43"/>
  <c r="U43" s="1"/>
  <c r="Y43" s="1"/>
  <c r="M43"/>
  <c r="AA42"/>
  <c r="Z42"/>
  <c r="Q42"/>
  <c r="U42" s="1"/>
  <c r="Y42" s="1"/>
  <c r="M42"/>
  <c r="AA41"/>
  <c r="Z41"/>
  <c r="Q41"/>
  <c r="U41" s="1"/>
  <c r="Y41" s="1"/>
  <c r="M41"/>
  <c r="AA40"/>
  <c r="Z40"/>
  <c r="Q40"/>
  <c r="U40" s="1"/>
  <c r="Y40" s="1"/>
  <c r="M40"/>
  <c r="AA39"/>
  <c r="Z39"/>
  <c r="Q39"/>
  <c r="U39" s="1"/>
  <c r="Y39" s="1"/>
  <c r="M39"/>
  <c r="Q38"/>
  <c r="U38" s="1"/>
  <c r="Y38" s="1"/>
  <c r="M38"/>
  <c r="AA37"/>
  <c r="Z37"/>
  <c r="Q37"/>
  <c r="U37" s="1"/>
  <c r="Y37" s="1"/>
  <c r="M37"/>
  <c r="AA36"/>
  <c r="Z36"/>
  <c r="Q36"/>
  <c r="U36" s="1"/>
  <c r="Y36" s="1"/>
  <c r="M36"/>
  <c r="AA35"/>
  <c r="Z35"/>
  <c r="Q35"/>
  <c r="U35" s="1"/>
  <c r="Y35" s="1"/>
  <c r="M35"/>
  <c r="AA34"/>
  <c r="Z34"/>
  <c r="Q34"/>
  <c r="U34" s="1"/>
  <c r="Y34" s="1"/>
  <c r="M34"/>
  <c r="AA33"/>
  <c r="Z33"/>
  <c r="Q33"/>
  <c r="U33" s="1"/>
  <c r="Y33" s="1"/>
  <c r="M33"/>
  <c r="AA32"/>
  <c r="Z32"/>
  <c r="Q32"/>
  <c r="U32" s="1"/>
  <c r="Y32" s="1"/>
  <c r="M32"/>
  <c r="AA31"/>
  <c r="Z31"/>
  <c r="Q31"/>
  <c r="U31" s="1"/>
  <c r="Y31" s="1"/>
  <c r="M31"/>
  <c r="Q30"/>
  <c r="U30" s="1"/>
  <c r="Y30" s="1"/>
  <c r="M30"/>
  <c r="AA29"/>
  <c r="Z29"/>
  <c r="Q29"/>
  <c r="U29" s="1"/>
  <c r="Y29" s="1"/>
  <c r="M29"/>
  <c r="AA28"/>
  <c r="Z28"/>
  <c r="Q28"/>
  <c r="U28" s="1"/>
  <c r="Y28" s="1"/>
  <c r="M28"/>
  <c r="AA27"/>
  <c r="Z27"/>
  <c r="U27"/>
  <c r="Y27" s="1"/>
  <c r="M27"/>
  <c r="Z25"/>
  <c r="Q25"/>
  <c r="U25" s="1"/>
  <c r="AA25" s="1"/>
  <c r="Z24"/>
  <c r="Q24"/>
  <c r="U24" s="1"/>
  <c r="AA24" s="1"/>
  <c r="Z23"/>
  <c r="Q23"/>
  <c r="U23" s="1"/>
  <c r="AA23" s="1"/>
  <c r="Z22"/>
  <c r="Q22"/>
  <c r="U22" s="1"/>
  <c r="Z21"/>
  <c r="Q21"/>
  <c r="U21" s="1"/>
  <c r="AA21" s="1"/>
  <c r="Z20"/>
  <c r="Q20"/>
  <c r="U20" s="1"/>
  <c r="AA20" s="1"/>
  <c r="W19"/>
  <c r="Q19"/>
  <c r="U19" s="1"/>
  <c r="W18"/>
  <c r="Q18"/>
  <c r="U18" s="1"/>
  <c r="Z17"/>
  <c r="Q17"/>
  <c r="U17" s="1"/>
  <c r="AA17" s="1"/>
  <c r="Z16"/>
  <c r="Q16"/>
  <c r="U16" s="1"/>
  <c r="Z15"/>
  <c r="Q15"/>
  <c r="U15" s="1"/>
  <c r="AA15" s="1"/>
  <c r="Z14"/>
  <c r="Q14"/>
  <c r="U14" s="1"/>
  <c r="AA14" s="1"/>
  <c r="Z13"/>
  <c r="Q13"/>
  <c r="U13" s="1"/>
  <c r="AA13" s="1"/>
  <c r="Z12"/>
  <c r="Q12"/>
  <c r="U12" s="1"/>
  <c r="AA12" s="1"/>
  <c r="Z11"/>
  <c r="Q11"/>
  <c r="U11" s="1"/>
  <c r="AA11" s="1"/>
  <c r="Z10"/>
  <c r="Q10"/>
  <c r="U10" s="1"/>
  <c r="Z9"/>
  <c r="Q9"/>
  <c r="S9" s="1"/>
  <c r="Z8"/>
  <c r="Q8"/>
  <c r="Z7"/>
  <c r="Q7"/>
  <c r="U7" s="1"/>
  <c r="AA7" s="1"/>
  <c r="Z6"/>
  <c r="U6"/>
  <c r="Y116" i="7"/>
  <c r="AA116"/>
  <c r="P181"/>
  <c r="P165" i="15" s="1"/>
  <c r="P180" i="7"/>
  <c r="P164" i="15" s="1"/>
  <c r="P179" i="7"/>
  <c r="P163" i="15" s="1"/>
  <c r="P178" i="7"/>
  <c r="P162" i="15" s="1"/>
  <c r="P177" i="7"/>
  <c r="P176"/>
  <c r="P175"/>
  <c r="P174"/>
  <c r="P173"/>
  <c r="P172"/>
  <c r="R171" s="1"/>
  <c r="P171"/>
  <c r="R170" s="1"/>
  <c r="W170"/>
  <c r="V154" i="15" s="1"/>
  <c r="P170" i="7"/>
  <c r="R169" s="1"/>
  <c r="V153" i="15"/>
  <c r="P169" i="7"/>
  <c r="R168" s="1"/>
  <c r="V152" i="15"/>
  <c r="V151"/>
  <c r="P151"/>
  <c r="V150"/>
  <c r="W166" i="7"/>
  <c r="V149" i="15" s="1"/>
  <c r="P166" i="7"/>
  <c r="P149" i="15" s="1"/>
  <c r="W165" i="7"/>
  <c r="V148" i="15" s="1"/>
  <c r="P165" i="7"/>
  <c r="P148" i="15" s="1"/>
  <c r="W164" i="7"/>
  <c r="V147" i="15" s="1"/>
  <c r="P164" i="7"/>
  <c r="P147" i="15" s="1"/>
  <c r="W163" i="7"/>
  <c r="V146" i="15" s="1"/>
  <c r="P163" i="7"/>
  <c r="P146" i="15" s="1"/>
  <c r="P162" i="7"/>
  <c r="P145" i="15" s="1"/>
  <c r="T145" s="1"/>
  <c r="W145" s="1"/>
  <c r="P161" i="7"/>
  <c r="P144" i="15" s="1"/>
  <c r="P160" i="7"/>
  <c r="P143" i="15" s="1"/>
  <c r="P159" i="7"/>
  <c r="P142" i="15" s="1"/>
  <c r="P158" i="7"/>
  <c r="P141" i="15" s="1"/>
  <c r="P157" i="7"/>
  <c r="P140" i="15" s="1"/>
  <c r="P156" i="7"/>
  <c r="Y154"/>
  <c r="Y153"/>
  <c r="Y147"/>
  <c r="Y146"/>
  <c r="Y145"/>
  <c r="Y143"/>
  <c r="Y138"/>
  <c r="Y131"/>
  <c r="AA126"/>
  <c r="Y121"/>
  <c r="Y120"/>
  <c r="Y126"/>
  <c r="Y118"/>
  <c r="AA123"/>
  <c r="AA118"/>
  <c r="Y122"/>
  <c r="AA117"/>
  <c r="Y125"/>
  <c r="Y127"/>
  <c r="Y114"/>
  <c r="Y113"/>
  <c r="Y112"/>
  <c r="Y110"/>
  <c r="Y109"/>
  <c r="Z106"/>
  <c r="Y106"/>
  <c r="Z103"/>
  <c r="Y103"/>
  <c r="Z102"/>
  <c r="Y102"/>
  <c r="Z101"/>
  <c r="Y101"/>
  <c r="Z99"/>
  <c r="Y99"/>
  <c r="Z94"/>
  <c r="Y94"/>
  <c r="Z93"/>
  <c r="Y93"/>
  <c r="Z92"/>
  <c r="Y92"/>
  <c r="Z90"/>
  <c r="Y90"/>
  <c r="Z89"/>
  <c r="Y89"/>
  <c r="Z88"/>
  <c r="Y88"/>
  <c r="Z87"/>
  <c r="Y87"/>
  <c r="Z86"/>
  <c r="Y86"/>
  <c r="Z83"/>
  <c r="Y83"/>
  <c r="Z82"/>
  <c r="Y82"/>
  <c r="Z81"/>
  <c r="Y81"/>
  <c r="P77"/>
  <c r="P52" i="15"/>
  <c r="T52" s="1"/>
  <c r="W52" s="1"/>
  <c r="P43"/>
  <c r="T43" s="1"/>
  <c r="W43" s="1"/>
  <c r="Z76" i="7"/>
  <c r="Y76"/>
  <c r="P60" i="15"/>
  <c r="T60" s="1"/>
  <c r="W60" s="1"/>
  <c r="Z73" i="7"/>
  <c r="Y73"/>
  <c r="P42"/>
  <c r="P41"/>
  <c r="P79"/>
  <c r="Z71"/>
  <c r="Y71"/>
  <c r="P76" i="15"/>
  <c r="T76" s="1"/>
  <c r="W76" s="1"/>
  <c r="Z70" i="7"/>
  <c r="Y70"/>
  <c r="P76"/>
  <c r="Z69"/>
  <c r="Y69"/>
  <c r="P73"/>
  <c r="Z68"/>
  <c r="Y68"/>
  <c r="P72"/>
  <c r="Z67"/>
  <c r="Y67"/>
  <c r="P71" i="15"/>
  <c r="T71" s="1"/>
  <c r="W71" s="1"/>
  <c r="P71" i="7"/>
  <c r="P70"/>
  <c r="Z64"/>
  <c r="Y64"/>
  <c r="P69"/>
  <c r="Z63"/>
  <c r="Y63"/>
  <c r="P68"/>
  <c r="Z62"/>
  <c r="Y62"/>
  <c r="P67"/>
  <c r="Z61"/>
  <c r="Y61"/>
  <c r="P66"/>
  <c r="Z58"/>
  <c r="Y58"/>
  <c r="P64"/>
  <c r="Z57"/>
  <c r="Y57"/>
  <c r="P63"/>
  <c r="Z55"/>
  <c r="Y55"/>
  <c r="P62"/>
  <c r="Z54"/>
  <c r="Y54"/>
  <c r="P59"/>
  <c r="Z53"/>
  <c r="Y53"/>
  <c r="P58"/>
  <c r="Z52"/>
  <c r="Y52"/>
  <c r="P57"/>
  <c r="P55"/>
  <c r="Z51"/>
  <c r="Y51"/>
  <c r="P54"/>
  <c r="Z49"/>
  <c r="Y49"/>
  <c r="P53"/>
  <c r="Z48"/>
  <c r="Y48"/>
  <c r="P52"/>
  <c r="Z47"/>
  <c r="Y47"/>
  <c r="P37" i="15"/>
  <c r="T37" s="1"/>
  <c r="W37" s="1"/>
  <c r="Z46" i="7"/>
  <c r="Y46"/>
  <c r="P51"/>
  <c r="Z45"/>
  <c r="Y45"/>
  <c r="P49"/>
  <c r="Z44"/>
  <c r="Y44"/>
  <c r="P48"/>
  <c r="P47"/>
  <c r="P45"/>
  <c r="P46"/>
  <c r="Z42"/>
  <c r="Y42"/>
  <c r="P44"/>
  <c r="Z41"/>
  <c r="Y41"/>
  <c r="P43"/>
  <c r="Z40"/>
  <c r="Y40"/>
  <c r="P42" i="15"/>
  <c r="T42" s="1"/>
  <c r="W42" s="1"/>
  <c r="P38" i="7"/>
  <c r="P40"/>
  <c r="Z37"/>
  <c r="Y37"/>
  <c r="P37"/>
  <c r="Z36"/>
  <c r="Y36"/>
  <c r="P35"/>
  <c r="Z35"/>
  <c r="Y35"/>
  <c r="P36"/>
  <c r="Z32"/>
  <c r="Y32"/>
  <c r="P32"/>
  <c r="Z31"/>
  <c r="Y31"/>
  <c r="P29"/>
  <c r="Z30"/>
  <c r="Y30"/>
  <c r="P30"/>
  <c r="P28"/>
  <c r="Z28"/>
  <c r="Y28"/>
  <c r="P31"/>
  <c r="Z27"/>
  <c r="Y27"/>
  <c r="P27"/>
  <c r="Z26"/>
  <c r="Y26"/>
  <c r="P26"/>
  <c r="Y24"/>
  <c r="P24"/>
  <c r="U24" s="1"/>
  <c r="X24" s="1"/>
  <c r="Y23"/>
  <c r="Y22"/>
  <c r="P22"/>
  <c r="U22" s="1"/>
  <c r="X22" s="1"/>
  <c r="Y21"/>
  <c r="P21"/>
  <c r="U21" s="1"/>
  <c r="X21" s="1"/>
  <c r="Y20"/>
  <c r="P20"/>
  <c r="W19"/>
  <c r="W18"/>
  <c r="Y17"/>
  <c r="P17"/>
  <c r="U17" s="1"/>
  <c r="X17" s="1"/>
  <c r="Y16"/>
  <c r="P16"/>
  <c r="Y15"/>
  <c r="P15"/>
  <c r="Y14"/>
  <c r="P14"/>
  <c r="Y13"/>
  <c r="P13"/>
  <c r="U13" s="1"/>
  <c r="X13" s="1"/>
  <c r="Y12"/>
  <c r="P12"/>
  <c r="Y11"/>
  <c r="P11"/>
  <c r="Y10"/>
  <c r="P10"/>
  <c r="Y9"/>
  <c r="P9"/>
  <c r="Y8"/>
  <c r="P8"/>
  <c r="Y7"/>
  <c r="P7"/>
  <c r="Y6"/>
  <c r="P6"/>
  <c r="P26" i="18" l="1"/>
  <c r="P34"/>
  <c r="Q34" s="1"/>
  <c r="Q31" i="9"/>
  <c r="Q22" i="18"/>
  <c r="Q44" i="9"/>
  <c r="Q47" s="1"/>
  <c r="P43" i="18"/>
  <c r="Q43" s="1"/>
  <c r="Q46" s="1"/>
  <c r="Q25" i="9"/>
  <c r="P25" i="18"/>
  <c r="Q25" s="1"/>
  <c r="P28"/>
  <c r="Q28" s="1"/>
  <c r="Q24" i="9"/>
  <c r="P24" i="18"/>
  <c r="Q24" s="1"/>
  <c r="Q27"/>
  <c r="Q26"/>
  <c r="Q7" i="7"/>
  <c r="U7" s="1"/>
  <c r="Q9"/>
  <c r="X9" s="1"/>
  <c r="AA9" s="1"/>
  <c r="AB9" s="1"/>
  <c r="Q11"/>
  <c r="U11" s="1"/>
  <c r="X11" s="1"/>
  <c r="U15"/>
  <c r="X15" s="1"/>
  <c r="U19"/>
  <c r="X19" s="1"/>
  <c r="U23"/>
  <c r="Z23" s="1"/>
  <c r="Q31"/>
  <c r="Q30"/>
  <c r="U30" s="1"/>
  <c r="X30" s="1"/>
  <c r="Q35"/>
  <c r="U35" s="1"/>
  <c r="X35" s="1"/>
  <c r="Q48"/>
  <c r="U48" s="1"/>
  <c r="Q52"/>
  <c r="U52" s="1"/>
  <c r="Q59"/>
  <c r="U59" s="1"/>
  <c r="X59" s="1"/>
  <c r="AA59" s="1"/>
  <c r="Q66"/>
  <c r="U66" s="1"/>
  <c r="X66" s="1"/>
  <c r="Q70"/>
  <c r="U70" s="1"/>
  <c r="Q73"/>
  <c r="Q28"/>
  <c r="U28" s="1"/>
  <c r="X28" s="1"/>
  <c r="AA28" s="1"/>
  <c r="Q29"/>
  <c r="U29" s="1"/>
  <c r="Q37"/>
  <c r="U37" s="1"/>
  <c r="Q38"/>
  <c r="U38" s="1"/>
  <c r="X38" s="1"/>
  <c r="AA38" s="1"/>
  <c r="Q43"/>
  <c r="U43" s="1"/>
  <c r="Q47"/>
  <c r="Q49"/>
  <c r="U49" s="1"/>
  <c r="Q53"/>
  <c r="U53" s="1"/>
  <c r="X53" s="1"/>
  <c r="Q62"/>
  <c r="U62" s="1"/>
  <c r="X62" s="1"/>
  <c r="AA62" s="1"/>
  <c r="Q67"/>
  <c r="U67" s="1"/>
  <c r="Q76"/>
  <c r="U76" s="1"/>
  <c r="Q42"/>
  <c r="U42" s="1"/>
  <c r="X42" s="1"/>
  <c r="AA42" s="1"/>
  <c r="Q77"/>
  <c r="Q6"/>
  <c r="U6" s="1"/>
  <c r="Q8"/>
  <c r="U8" s="1"/>
  <c r="Q10"/>
  <c r="U10" s="1"/>
  <c r="U14"/>
  <c r="X14" s="1"/>
  <c r="AA14" s="1"/>
  <c r="AB14" s="1"/>
  <c r="U16"/>
  <c r="X16" s="1"/>
  <c r="AA16" s="1"/>
  <c r="AB16" s="1"/>
  <c r="U18"/>
  <c r="X18" s="1"/>
  <c r="U20"/>
  <c r="X20" s="1"/>
  <c r="Q26"/>
  <c r="U26" s="1"/>
  <c r="X26" s="1"/>
  <c r="AA26" s="1"/>
  <c r="Q32"/>
  <c r="U32" s="1"/>
  <c r="Q40"/>
  <c r="U40" s="1"/>
  <c r="Q44"/>
  <c r="U44" s="1"/>
  <c r="X44" s="1"/>
  <c r="AA44" s="1"/>
  <c r="Q45"/>
  <c r="U45" s="1"/>
  <c r="X45" s="1"/>
  <c r="Q51"/>
  <c r="U51" s="1"/>
  <c r="Q54"/>
  <c r="Q57"/>
  <c r="Q63"/>
  <c r="U63" s="1"/>
  <c r="X63" s="1"/>
  <c r="AC62" i="12" s="1"/>
  <c r="Q68" i="7"/>
  <c r="U68" s="1"/>
  <c r="Q41"/>
  <c r="U41" s="1"/>
  <c r="W182"/>
  <c r="U12"/>
  <c r="X12" s="1"/>
  <c r="Q27"/>
  <c r="Q36"/>
  <c r="U36" s="1"/>
  <c r="Q46"/>
  <c r="U46" s="1"/>
  <c r="Q55"/>
  <c r="U55" s="1"/>
  <c r="X55" s="1"/>
  <c r="AA55" s="1"/>
  <c r="Q58"/>
  <c r="Q64"/>
  <c r="U64" s="1"/>
  <c r="Q69"/>
  <c r="U69" s="1"/>
  <c r="X69" s="1"/>
  <c r="AA69" s="1"/>
  <c r="Q71"/>
  <c r="Q72"/>
  <c r="U72" s="1"/>
  <c r="X72" s="1"/>
  <c r="Q79"/>
  <c r="U79" s="1"/>
  <c r="Q32" i="9"/>
  <c r="P32" i="18"/>
  <c r="Q32" s="1"/>
  <c r="Q30"/>
  <c r="Q23" i="9"/>
  <c r="P23" i="18"/>
  <c r="Q23" s="1"/>
  <c r="P6" i="15"/>
  <c r="T6" s="1"/>
  <c r="Y6" s="1"/>
  <c r="P8"/>
  <c r="T8" s="1"/>
  <c r="Y8" s="1"/>
  <c r="P10"/>
  <c r="T10" s="1"/>
  <c r="Y10" s="1"/>
  <c r="P14"/>
  <c r="T14" s="1"/>
  <c r="Y14" s="1"/>
  <c r="P18"/>
  <c r="T18" s="1"/>
  <c r="W18" s="1"/>
  <c r="X18" s="1"/>
  <c r="Y18" s="1"/>
  <c r="P33"/>
  <c r="T33" s="1"/>
  <c r="W33" s="1"/>
  <c r="P39"/>
  <c r="T39" s="1"/>
  <c r="W39" s="1"/>
  <c r="P45"/>
  <c r="T45" s="1"/>
  <c r="W45" s="1"/>
  <c r="P55"/>
  <c r="T55" s="1"/>
  <c r="W55" s="1"/>
  <c r="P57"/>
  <c r="T57" s="1"/>
  <c r="W57" s="1"/>
  <c r="P67"/>
  <c r="T67" s="1"/>
  <c r="W67" s="1"/>
  <c r="P139"/>
  <c r="T139" s="1"/>
  <c r="W139" s="1"/>
  <c r="AC116" i="7"/>
  <c r="AD116" s="1"/>
  <c r="AB116"/>
  <c r="AC142"/>
  <c r="AD142" s="1"/>
  <c r="AB142"/>
  <c r="AC140"/>
  <c r="AD140" s="1"/>
  <c r="AB140"/>
  <c r="P56" i="15"/>
  <c r="T56" s="1"/>
  <c r="W56" s="1"/>
  <c r="P63"/>
  <c r="T63" s="1"/>
  <c r="W63" s="1"/>
  <c r="P70"/>
  <c r="T70" s="1"/>
  <c r="W70" s="1"/>
  <c r="P77"/>
  <c r="T77" s="1"/>
  <c r="W77" s="1"/>
  <c r="P15"/>
  <c r="T15" s="1"/>
  <c r="Y15" s="1"/>
  <c r="P17"/>
  <c r="T17" s="1"/>
  <c r="Y17" s="1"/>
  <c r="AA17" i="7"/>
  <c r="AB17" s="1"/>
  <c r="P19" i="15"/>
  <c r="T19" s="1"/>
  <c r="W19" s="1"/>
  <c r="X19" s="1"/>
  <c r="Y19" s="1"/>
  <c r="P21"/>
  <c r="T21" s="1"/>
  <c r="Y21" s="1"/>
  <c r="P23"/>
  <c r="T23" s="1"/>
  <c r="Y23" s="1"/>
  <c r="P25"/>
  <c r="T25" s="1"/>
  <c r="Y25" s="1"/>
  <c r="P32"/>
  <c r="T32" s="1"/>
  <c r="W32" s="1"/>
  <c r="P31"/>
  <c r="T31" s="1"/>
  <c r="W31" s="1"/>
  <c r="P49"/>
  <c r="T49" s="1"/>
  <c r="W49" s="1"/>
  <c r="P53"/>
  <c r="T53" s="1"/>
  <c r="W53" s="1"/>
  <c r="P59"/>
  <c r="T59" s="1"/>
  <c r="W59" s="1"/>
  <c r="P65"/>
  <c r="T65" s="1"/>
  <c r="W65" s="1"/>
  <c r="P69"/>
  <c r="T69" s="1"/>
  <c r="W69" s="1"/>
  <c r="P73"/>
  <c r="T73" s="1"/>
  <c r="W73" s="1"/>
  <c r="AC123" i="7"/>
  <c r="AD123" s="1"/>
  <c r="AB123"/>
  <c r="AC150"/>
  <c r="AD150" s="1"/>
  <c r="AB150"/>
  <c r="P12" i="15"/>
  <c r="T12" s="1"/>
  <c r="Y12" s="1"/>
  <c r="P16"/>
  <c r="T16" s="1"/>
  <c r="Y16" s="1"/>
  <c r="P22"/>
  <c r="T22" s="1"/>
  <c r="Y22" s="1"/>
  <c r="P27"/>
  <c r="T27" s="1"/>
  <c r="W27" s="1"/>
  <c r="P46"/>
  <c r="T46" s="1"/>
  <c r="W46" s="1"/>
  <c r="P51"/>
  <c r="T51" s="1"/>
  <c r="W51" s="1"/>
  <c r="P40"/>
  <c r="T40" s="1"/>
  <c r="W40" s="1"/>
  <c r="AC151" i="7"/>
  <c r="AD151" s="1"/>
  <c r="AB151"/>
  <c r="P28" i="15"/>
  <c r="T28" s="1"/>
  <c r="W28" s="1"/>
  <c r="P58"/>
  <c r="T58" s="1"/>
  <c r="W58" s="1"/>
  <c r="P68"/>
  <c r="T68" s="1"/>
  <c r="W68" s="1"/>
  <c r="AC117" i="7"/>
  <c r="AD117" s="1"/>
  <c r="AB117"/>
  <c r="AC126"/>
  <c r="AD126" s="1"/>
  <c r="AB126"/>
  <c r="AC148"/>
  <c r="AD148" s="1"/>
  <c r="AB148"/>
  <c r="P7" i="15"/>
  <c r="T7" s="1"/>
  <c r="Y7" s="1"/>
  <c r="P9"/>
  <c r="T9" s="1"/>
  <c r="P11"/>
  <c r="T11" s="1"/>
  <c r="Y11" s="1"/>
  <c r="P29"/>
  <c r="T29" s="1"/>
  <c r="W29" s="1"/>
  <c r="P30"/>
  <c r="T30" s="1"/>
  <c r="W30" s="1"/>
  <c r="P44"/>
  <c r="T44" s="1"/>
  <c r="W44" s="1"/>
  <c r="P48"/>
  <c r="T48" s="1"/>
  <c r="W48" s="1"/>
  <c r="P50"/>
  <c r="T50" s="1"/>
  <c r="W50" s="1"/>
  <c r="P54"/>
  <c r="T54" s="1"/>
  <c r="W54" s="1"/>
  <c r="P66"/>
  <c r="T66" s="1"/>
  <c r="W66" s="1"/>
  <c r="P74"/>
  <c r="T74" s="1"/>
  <c r="W74" s="1"/>
  <c r="P41"/>
  <c r="T41" s="1"/>
  <c r="W41" s="1"/>
  <c r="P75"/>
  <c r="T75" s="1"/>
  <c r="W75" s="1"/>
  <c r="AC118" i="7"/>
  <c r="AD118" s="1"/>
  <c r="AB118"/>
  <c r="AC144"/>
  <c r="AD144" s="1"/>
  <c r="AB144"/>
  <c r="AC139"/>
  <c r="AD139" s="1"/>
  <c r="AB139"/>
  <c r="P47" i="15"/>
  <c r="T47" s="1"/>
  <c r="W47" s="1"/>
  <c r="P72"/>
  <c r="T72" s="1"/>
  <c r="W72" s="1"/>
  <c r="P20"/>
  <c r="T20" s="1"/>
  <c r="Y20" s="1"/>
  <c r="P13"/>
  <c r="T13" s="1"/>
  <c r="Y13" s="1"/>
  <c r="P36"/>
  <c r="T36" s="1"/>
  <c r="W36" s="1"/>
  <c r="P38"/>
  <c r="T38" s="1"/>
  <c r="W38" s="1"/>
  <c r="P35"/>
  <c r="T35" s="1"/>
  <c r="W35" s="1"/>
  <c r="P61"/>
  <c r="T61" s="1"/>
  <c r="W61" s="1"/>
  <c r="P64"/>
  <c r="T64" s="1"/>
  <c r="W64" s="1"/>
  <c r="AC64" i="12"/>
  <c r="P34" i="15"/>
  <c r="T34" s="1"/>
  <c r="W34" s="1"/>
  <c r="P62"/>
  <c r="T62" s="1"/>
  <c r="W62" s="1"/>
  <c r="P182" i="7"/>
  <c r="R122" i="12"/>
  <c r="P158" i="15"/>
  <c r="Q157" s="1"/>
  <c r="R173" i="7"/>
  <c r="AC129" i="12"/>
  <c r="P159" i="15"/>
  <c r="Q158" s="1"/>
  <c r="R174" i="7"/>
  <c r="P152" i="15"/>
  <c r="T152" s="1"/>
  <c r="W152" s="1"/>
  <c r="P154"/>
  <c r="T154" s="1"/>
  <c r="W154" s="1"/>
  <c r="P157"/>
  <c r="Q156" s="1"/>
  <c r="R172" i="7"/>
  <c r="P161" i="15"/>
  <c r="T161" s="1"/>
  <c r="W161" s="1"/>
  <c r="R176" i="7"/>
  <c r="P153" i="15"/>
  <c r="T153" s="1"/>
  <c r="W153" s="1"/>
  <c r="P155"/>
  <c r="Q154" s="1"/>
  <c r="P156"/>
  <c r="Q155" s="1"/>
  <c r="P160"/>
  <c r="Q159" s="1"/>
  <c r="R175" i="7"/>
  <c r="P150" i="15"/>
  <c r="Q149" s="1"/>
  <c r="U167" i="7"/>
  <c r="X167" s="1"/>
  <c r="P105" i="15"/>
  <c r="T105" s="1"/>
  <c r="W105" s="1"/>
  <c r="Z112" i="7"/>
  <c r="P119" i="15"/>
  <c r="T119" s="1"/>
  <c r="W119" s="1"/>
  <c r="P136"/>
  <c r="R136" s="1"/>
  <c r="T136" s="1"/>
  <c r="Y136" s="1"/>
  <c r="P103"/>
  <c r="T103" s="1"/>
  <c r="W103" s="1"/>
  <c r="Z109" i="7"/>
  <c r="P106" i="15"/>
  <c r="T106" s="1"/>
  <c r="W106" s="1"/>
  <c r="Z113" i="7"/>
  <c r="P107" i="15"/>
  <c r="T107" s="1"/>
  <c r="W107" s="1"/>
  <c r="AC124" i="12"/>
  <c r="P24" i="15"/>
  <c r="T24" s="1"/>
  <c r="Y24" s="1"/>
  <c r="P118"/>
  <c r="T118" s="1"/>
  <c r="W118" s="1"/>
  <c r="P113"/>
  <c r="T113" s="1"/>
  <c r="W113" s="1"/>
  <c r="P117"/>
  <c r="T117" s="1"/>
  <c r="W117" s="1"/>
  <c r="P120"/>
  <c r="T120" s="1"/>
  <c r="W120" s="1"/>
  <c r="Z121" i="7"/>
  <c r="P128" i="15"/>
  <c r="R128" s="1"/>
  <c r="T128" s="1"/>
  <c r="W128" s="1"/>
  <c r="P131"/>
  <c r="R131" s="1"/>
  <c r="T131" s="1"/>
  <c r="W131" s="1"/>
  <c r="P114"/>
  <c r="T114" s="1"/>
  <c r="W114" s="1"/>
  <c r="AC134" i="12"/>
  <c r="P110" i="15"/>
  <c r="T110" s="1"/>
  <c r="W110" s="1"/>
  <c r="P115"/>
  <c r="T115" s="1"/>
  <c r="W115" s="1"/>
  <c r="P109"/>
  <c r="T109" s="1"/>
  <c r="P130"/>
  <c r="R130" s="1"/>
  <c r="T130" s="1"/>
  <c r="W130" s="1"/>
  <c r="P132"/>
  <c r="R132" s="1"/>
  <c r="T132" s="1"/>
  <c r="Y132" s="1"/>
  <c r="P137"/>
  <c r="R137" s="1"/>
  <c r="T137" s="1"/>
  <c r="Y137" s="1"/>
  <c r="AC127" i="12"/>
  <c r="AC135"/>
  <c r="AC125"/>
  <c r="AC133"/>
  <c r="P116" i="15"/>
  <c r="T116" s="1"/>
  <c r="W116" s="1"/>
  <c r="P111"/>
  <c r="T111" s="1"/>
  <c r="W111" s="1"/>
  <c r="P121"/>
  <c r="T121" s="1"/>
  <c r="W121" s="1"/>
  <c r="P108"/>
  <c r="T108" s="1"/>
  <c r="W108" s="1"/>
  <c r="P112"/>
  <c r="T112" s="1"/>
  <c r="W112" s="1"/>
  <c r="Z122" i="7"/>
  <c r="P104" i="15"/>
  <c r="T104" s="1"/>
  <c r="W104" s="1"/>
  <c r="Z110" i="7"/>
  <c r="T143" i="15"/>
  <c r="W143" s="1"/>
  <c r="Q142"/>
  <c r="Q161"/>
  <c r="T162"/>
  <c r="W162" s="1"/>
  <c r="T142"/>
  <c r="W142" s="1"/>
  <c r="Q141"/>
  <c r="Q144"/>
  <c r="T146"/>
  <c r="W146" s="1"/>
  <c r="Q147"/>
  <c r="T148"/>
  <c r="W148" s="1"/>
  <c r="T165"/>
  <c r="W165" s="1"/>
  <c r="Q164"/>
  <c r="V166"/>
  <c r="T129"/>
  <c r="W129" s="1"/>
  <c r="T141"/>
  <c r="W141" s="1"/>
  <c r="Q140"/>
  <c r="T164"/>
  <c r="W164" s="1"/>
  <c r="Q163"/>
  <c r="T140"/>
  <c r="W140" s="1"/>
  <c r="Q139"/>
  <c r="T144"/>
  <c r="W144" s="1"/>
  <c r="Q143"/>
  <c r="T147"/>
  <c r="W147" s="1"/>
  <c r="Q145"/>
  <c r="X145" s="1"/>
  <c r="Y145" s="1"/>
  <c r="Q146"/>
  <c r="T149"/>
  <c r="W149" s="1"/>
  <c r="Q148"/>
  <c r="Q150"/>
  <c r="T151"/>
  <c r="W151" s="1"/>
  <c r="Q162"/>
  <c r="T163"/>
  <c r="W163" s="1"/>
  <c r="R8" i="12"/>
  <c r="AD8"/>
  <c r="R7"/>
  <c r="AD7"/>
  <c r="R9"/>
  <c r="AD9"/>
  <c r="AD11"/>
  <c r="R11"/>
  <c r="R13"/>
  <c r="AD13"/>
  <c r="AD15"/>
  <c r="R15"/>
  <c r="R17"/>
  <c r="AD17"/>
  <c r="R19"/>
  <c r="AD19"/>
  <c r="R21"/>
  <c r="AD21"/>
  <c r="R23"/>
  <c r="AD23"/>
  <c r="R25"/>
  <c r="AD25"/>
  <c r="R32"/>
  <c r="AD32"/>
  <c r="R31"/>
  <c r="AD31"/>
  <c r="R34"/>
  <c r="AD34"/>
  <c r="R45"/>
  <c r="AD45"/>
  <c r="R51"/>
  <c r="AD51"/>
  <c r="R55"/>
  <c r="AD55"/>
  <c r="AD59"/>
  <c r="R59"/>
  <c r="R64"/>
  <c r="AD64"/>
  <c r="R66"/>
  <c r="AD66"/>
  <c r="R74"/>
  <c r="AD74"/>
  <c r="AD43"/>
  <c r="R43"/>
  <c r="AD106"/>
  <c r="R106"/>
  <c r="R112"/>
  <c r="AD112"/>
  <c r="AD115"/>
  <c r="R115"/>
  <c r="R119"/>
  <c r="AD119"/>
  <c r="R118"/>
  <c r="AD118"/>
  <c r="R128"/>
  <c r="AD128"/>
  <c r="AD131"/>
  <c r="R131"/>
  <c r="U156" i="7"/>
  <c r="X156" s="1"/>
  <c r="AA156" s="1"/>
  <c r="AB156" s="1"/>
  <c r="AD139" i="12"/>
  <c r="R139"/>
  <c r="R143"/>
  <c r="AD143"/>
  <c r="U174" i="7"/>
  <c r="X174" s="1"/>
  <c r="AD158" i="12"/>
  <c r="R158"/>
  <c r="U178" i="7"/>
  <c r="X178" s="1"/>
  <c r="R162" i="12"/>
  <c r="AD162"/>
  <c r="R114"/>
  <c r="AD114"/>
  <c r="R29"/>
  <c r="AD29"/>
  <c r="R30"/>
  <c r="AD30"/>
  <c r="R36"/>
  <c r="AD36"/>
  <c r="R47"/>
  <c r="AD47"/>
  <c r="R37"/>
  <c r="AD37"/>
  <c r="R56"/>
  <c r="AD56"/>
  <c r="R61"/>
  <c r="AD61"/>
  <c r="R67"/>
  <c r="AD67"/>
  <c r="R71"/>
  <c r="AD71"/>
  <c r="R76"/>
  <c r="AD76"/>
  <c r="AD103"/>
  <c r="R103"/>
  <c r="AD107"/>
  <c r="R107"/>
  <c r="R117"/>
  <c r="AD117"/>
  <c r="R116"/>
  <c r="AD116"/>
  <c r="R120"/>
  <c r="AD120"/>
  <c r="U159" i="7"/>
  <c r="X159" s="1"/>
  <c r="R142" i="12"/>
  <c r="AD142"/>
  <c r="U163" i="7"/>
  <c r="X163" s="1"/>
  <c r="AA163" s="1"/>
  <c r="AB163" s="1"/>
  <c r="R146" i="12"/>
  <c r="AD146"/>
  <c r="U165" i="7"/>
  <c r="X165" s="1"/>
  <c r="R148" i="12"/>
  <c r="AD148"/>
  <c r="R150"/>
  <c r="AD150"/>
  <c r="R152"/>
  <c r="AD152"/>
  <c r="U170" i="7"/>
  <c r="X170" s="1"/>
  <c r="AA170" s="1"/>
  <c r="AB170" s="1"/>
  <c r="R154" i="12"/>
  <c r="AD154"/>
  <c r="U173" i="7"/>
  <c r="X173" s="1"/>
  <c r="R157" i="12"/>
  <c r="AD157"/>
  <c r="U177" i="7"/>
  <c r="X177" s="1"/>
  <c r="R161" i="12"/>
  <c r="AD161"/>
  <c r="R165"/>
  <c r="AD165"/>
  <c r="R6"/>
  <c r="AD6"/>
  <c r="R10"/>
  <c r="AD10"/>
  <c r="R12"/>
  <c r="AD12"/>
  <c r="R14"/>
  <c r="AD14"/>
  <c r="R16"/>
  <c r="AD16"/>
  <c r="R18"/>
  <c r="AD18"/>
  <c r="R20"/>
  <c r="AD20"/>
  <c r="R22"/>
  <c r="AD22"/>
  <c r="R24"/>
  <c r="AD24"/>
  <c r="R27"/>
  <c r="AD27"/>
  <c r="R33"/>
  <c r="AD33"/>
  <c r="AD39"/>
  <c r="R39"/>
  <c r="R42"/>
  <c r="AD42"/>
  <c r="R46"/>
  <c r="AD46"/>
  <c r="R49"/>
  <c r="AD49"/>
  <c r="R53"/>
  <c r="AD53"/>
  <c r="R57"/>
  <c r="AD57"/>
  <c r="R62"/>
  <c r="AD62"/>
  <c r="R68"/>
  <c r="AD68"/>
  <c r="AD70"/>
  <c r="R70"/>
  <c r="R72"/>
  <c r="AD72"/>
  <c r="R77"/>
  <c r="AD77"/>
  <c r="R41"/>
  <c r="AD41"/>
  <c r="AD75"/>
  <c r="R75"/>
  <c r="R104"/>
  <c r="AD104"/>
  <c r="R110"/>
  <c r="AD110"/>
  <c r="R108"/>
  <c r="AD108"/>
  <c r="R121"/>
  <c r="AD121"/>
  <c r="R130"/>
  <c r="AD130"/>
  <c r="R132"/>
  <c r="AD132"/>
  <c r="R137"/>
  <c r="AD137"/>
  <c r="R141"/>
  <c r="AD141"/>
  <c r="U162" i="7"/>
  <c r="X162" s="1"/>
  <c r="AA162" s="1"/>
  <c r="AB162" s="1"/>
  <c r="R145" i="12"/>
  <c r="AD145"/>
  <c r="U172" i="7"/>
  <c r="X172" s="1"/>
  <c r="R156" i="12"/>
  <c r="AD156"/>
  <c r="U176" i="7"/>
  <c r="X176" s="1"/>
  <c r="AD160" i="12"/>
  <c r="R160"/>
  <c r="U180" i="7"/>
  <c r="X180" s="1"/>
  <c r="AD164" i="12"/>
  <c r="R164"/>
  <c r="AD28"/>
  <c r="R28"/>
  <c r="R35"/>
  <c r="AD35"/>
  <c r="R38"/>
  <c r="AD38"/>
  <c r="R44"/>
  <c r="AD44"/>
  <c r="R48"/>
  <c r="AD48"/>
  <c r="R50"/>
  <c r="AD50"/>
  <c r="R54"/>
  <c r="AD54"/>
  <c r="R58"/>
  <c r="AD58"/>
  <c r="AD63"/>
  <c r="R63"/>
  <c r="R65"/>
  <c r="AD65"/>
  <c r="R69"/>
  <c r="AD69"/>
  <c r="R73"/>
  <c r="AD73"/>
  <c r="AD40"/>
  <c r="R40"/>
  <c r="R60"/>
  <c r="AD60"/>
  <c r="R52"/>
  <c r="AD52"/>
  <c r="R105"/>
  <c r="AD105"/>
  <c r="R111"/>
  <c r="AD111"/>
  <c r="R113"/>
  <c r="AD113"/>
  <c r="R109"/>
  <c r="AD109"/>
  <c r="R136"/>
  <c r="AD136"/>
  <c r="U157" i="7"/>
  <c r="X157" s="1"/>
  <c r="R140" i="12"/>
  <c r="AD140"/>
  <c r="U161" i="7"/>
  <c r="X161" s="1"/>
  <c r="R144" i="12"/>
  <c r="AD144"/>
  <c r="R162" i="7"/>
  <c r="R147" i="12"/>
  <c r="AD147"/>
  <c r="U166" i="7"/>
  <c r="X166" s="1"/>
  <c r="R149" i="12"/>
  <c r="AD149"/>
  <c r="AC151"/>
  <c r="R151"/>
  <c r="AD151"/>
  <c r="U169" i="7"/>
  <c r="X169" s="1"/>
  <c r="R153" i="12"/>
  <c r="AD153"/>
  <c r="AD155"/>
  <c r="R155"/>
  <c r="U175" i="7"/>
  <c r="X175" s="1"/>
  <c r="AD159" i="12"/>
  <c r="R159"/>
  <c r="U179" i="7"/>
  <c r="X179" s="1"/>
  <c r="AD163" i="12"/>
  <c r="R163"/>
  <c r="Y6" i="8"/>
  <c r="U139"/>
  <c r="Y139" s="1"/>
  <c r="U143"/>
  <c r="R157"/>
  <c r="R161"/>
  <c r="U142"/>
  <c r="Y142" s="1"/>
  <c r="U146"/>
  <c r="U148"/>
  <c r="Y148" s="1"/>
  <c r="U150"/>
  <c r="U152"/>
  <c r="Y152" s="1"/>
  <c r="U154"/>
  <c r="Y154" s="1"/>
  <c r="U157"/>
  <c r="Y157" s="1"/>
  <c r="U161"/>
  <c r="U165"/>
  <c r="Y165" s="1"/>
  <c r="U141"/>
  <c r="Y141" s="1"/>
  <c r="U145"/>
  <c r="Y145" s="1"/>
  <c r="R155"/>
  <c r="R159"/>
  <c r="R163"/>
  <c r="R143"/>
  <c r="U147"/>
  <c r="Y147" s="1"/>
  <c r="U149"/>
  <c r="Y149" s="1"/>
  <c r="U151"/>
  <c r="U153"/>
  <c r="Y153" s="1"/>
  <c r="U155"/>
  <c r="U159"/>
  <c r="U163"/>
  <c r="Q34" i="9"/>
  <c r="Z144" i="7"/>
  <c r="AA143"/>
  <c r="AA145"/>
  <c r="AA147"/>
  <c r="AA154"/>
  <c r="AA146"/>
  <c r="AA132" i="8"/>
  <c r="Y132"/>
  <c r="AA130"/>
  <c r="AA153" i="7"/>
  <c r="AC88" i="12"/>
  <c r="AC89"/>
  <c r="AC91"/>
  <c r="AA120" i="7"/>
  <c r="AA121"/>
  <c r="AA127"/>
  <c r="AC80" i="12"/>
  <c r="AC82"/>
  <c r="AC81"/>
  <c r="AC100"/>
  <c r="AC83"/>
  <c r="AC84"/>
  <c r="AC85"/>
  <c r="AC86"/>
  <c r="AC92"/>
  <c r="AC93"/>
  <c r="AC94"/>
  <c r="AC95"/>
  <c r="AC96"/>
  <c r="AC97"/>
  <c r="AC98"/>
  <c r="AC101"/>
  <c r="AC87"/>
  <c r="AC90"/>
  <c r="AC99"/>
  <c r="AA131" i="7"/>
  <c r="AA109"/>
  <c r="AA110"/>
  <c r="AA112"/>
  <c r="AA113"/>
  <c r="AA114"/>
  <c r="AA115"/>
  <c r="AA125"/>
  <c r="AA122"/>
  <c r="AC37" i="12"/>
  <c r="AC60"/>
  <c r="AC43"/>
  <c r="AC42"/>
  <c r="AC71"/>
  <c r="AC76"/>
  <c r="AC52"/>
  <c r="Z13" i="7"/>
  <c r="Z22"/>
  <c r="Z24"/>
  <c r="U164" i="8"/>
  <c r="Y164" s="1"/>
  <c r="R145"/>
  <c r="R153"/>
  <c r="U156"/>
  <c r="Y156" s="1"/>
  <c r="R149"/>
  <c r="R148"/>
  <c r="R152"/>
  <c r="U160"/>
  <c r="Y160" s="1"/>
  <c r="AA10"/>
  <c r="Y10"/>
  <c r="Y13"/>
  <c r="U144"/>
  <c r="Y144" s="1"/>
  <c r="U158"/>
  <c r="Y158" s="1"/>
  <c r="Y17"/>
  <c r="W166"/>
  <c r="Y23"/>
  <c r="Y7"/>
  <c r="U8"/>
  <c r="AA8" s="1"/>
  <c r="U140"/>
  <c r="Y140" s="1"/>
  <c r="U162"/>
  <c r="Y162" s="1"/>
  <c r="Y14"/>
  <c r="Y20"/>
  <c r="R141"/>
  <c r="Y11"/>
  <c r="Y18"/>
  <c r="Y24"/>
  <c r="R139"/>
  <c r="Y146"/>
  <c r="Y150"/>
  <c r="Q166"/>
  <c r="R165" s="1"/>
  <c r="AA16"/>
  <c r="Y16"/>
  <c r="AA22"/>
  <c r="Y22"/>
  <c r="AA6"/>
  <c r="Y19"/>
  <c r="Z19" s="1"/>
  <c r="AA19" s="1"/>
  <c r="Y151"/>
  <c r="Y155"/>
  <c r="R156"/>
  <c r="R158"/>
  <c r="Y159"/>
  <c r="R160"/>
  <c r="Y161"/>
  <c r="R162"/>
  <c r="Y163"/>
  <c r="R164"/>
  <c r="Y12"/>
  <c r="Y15"/>
  <c r="Y21"/>
  <c r="Y25"/>
  <c r="R140"/>
  <c r="R142"/>
  <c r="Y143"/>
  <c r="R144"/>
  <c r="R146"/>
  <c r="R150"/>
  <c r="R154"/>
  <c r="U9"/>
  <c r="Y9" s="1"/>
  <c r="R147"/>
  <c r="R151"/>
  <c r="R160" i="7"/>
  <c r="R161"/>
  <c r="R163"/>
  <c r="U164"/>
  <c r="X164" s="1"/>
  <c r="U171"/>
  <c r="X171" s="1"/>
  <c r="R158"/>
  <c r="R156"/>
  <c r="R178"/>
  <c r="R166"/>
  <c r="U181"/>
  <c r="X181" s="1"/>
  <c r="P123" i="15"/>
  <c r="R123" s="1"/>
  <c r="T123" s="1"/>
  <c r="R180" i="7"/>
  <c r="Z15"/>
  <c r="Z21"/>
  <c r="U158"/>
  <c r="X158" s="1"/>
  <c r="U160"/>
  <c r="X160" s="1"/>
  <c r="R164"/>
  <c r="U168"/>
  <c r="X168" s="1"/>
  <c r="R177"/>
  <c r="R179"/>
  <c r="R157"/>
  <c r="R159"/>
  <c r="R165"/>
  <c r="M158" i="6"/>
  <c r="Q153"/>
  <c r="U153" s="1"/>
  <c r="Q152"/>
  <c r="U152" s="1"/>
  <c r="X152" s="1"/>
  <c r="Q151"/>
  <c r="U151" s="1"/>
  <c r="Q150"/>
  <c r="R149" s="1"/>
  <c r="Q149"/>
  <c r="U149" s="1"/>
  <c r="Q148"/>
  <c r="U148" s="1"/>
  <c r="Q147"/>
  <c r="U147" s="1"/>
  <c r="Q146"/>
  <c r="U146" s="1"/>
  <c r="Q145"/>
  <c r="U145" s="1"/>
  <c r="Q144"/>
  <c r="U144" s="1"/>
  <c r="X144" s="1"/>
  <c r="Q143"/>
  <c r="U143" s="1"/>
  <c r="W142"/>
  <c r="Q142"/>
  <c r="U142" s="1"/>
  <c r="W141"/>
  <c r="Q141"/>
  <c r="W140"/>
  <c r="Q140"/>
  <c r="W139"/>
  <c r="Q139"/>
  <c r="U139" s="1"/>
  <c r="W138"/>
  <c r="Q138"/>
  <c r="W137"/>
  <c r="Q137"/>
  <c r="W136"/>
  <c r="Q136"/>
  <c r="W135"/>
  <c r="Q135"/>
  <c r="U135" s="1"/>
  <c r="W134"/>
  <c r="Q134"/>
  <c r="R132" s="1"/>
  <c r="Q133"/>
  <c r="Q132"/>
  <c r="U132" s="1"/>
  <c r="Q131"/>
  <c r="U131" s="1"/>
  <c r="Q130"/>
  <c r="U130" s="1"/>
  <c r="Q129"/>
  <c r="U129" s="1"/>
  <c r="Q128"/>
  <c r="R127" s="1"/>
  <c r="Q127"/>
  <c r="U127" s="1"/>
  <c r="Y126"/>
  <c r="Q126"/>
  <c r="Y125"/>
  <c r="Q125"/>
  <c r="S125" s="1"/>
  <c r="U125" s="1"/>
  <c r="Y124"/>
  <c r="Q124"/>
  <c r="Y123"/>
  <c r="Q123"/>
  <c r="S123" s="1"/>
  <c r="U123" s="1"/>
  <c r="Y122"/>
  <c r="Q122"/>
  <c r="Y121"/>
  <c r="Q121"/>
  <c r="S121" s="1"/>
  <c r="U121" s="1"/>
  <c r="Y120"/>
  <c r="Q120"/>
  <c r="Y119"/>
  <c r="L119"/>
  <c r="Z118"/>
  <c r="Y118"/>
  <c r="Q77"/>
  <c r="U77" s="1"/>
  <c r="X77" s="1"/>
  <c r="M77"/>
  <c r="Z117"/>
  <c r="Y117"/>
  <c r="Q74"/>
  <c r="U74" s="1"/>
  <c r="X74" s="1"/>
  <c r="M74"/>
  <c r="Z116"/>
  <c r="Y116"/>
  <c r="Q70"/>
  <c r="U70" s="1"/>
  <c r="X70" s="1"/>
  <c r="M70"/>
  <c r="Z115"/>
  <c r="Y115"/>
  <c r="Q66"/>
  <c r="U66" s="1"/>
  <c r="X66" s="1"/>
  <c r="M66"/>
  <c r="Z114"/>
  <c r="Y114"/>
  <c r="Q62"/>
  <c r="U62" s="1"/>
  <c r="X62" s="1"/>
  <c r="M62"/>
  <c r="Q58"/>
  <c r="U58" s="1"/>
  <c r="X58" s="1"/>
  <c r="M58"/>
  <c r="Q54"/>
  <c r="U54" s="1"/>
  <c r="X54" s="1"/>
  <c r="M54"/>
  <c r="Z111"/>
  <c r="Y111"/>
  <c r="Q50"/>
  <c r="U50" s="1"/>
  <c r="X50" s="1"/>
  <c r="M50"/>
  <c r="Z110"/>
  <c r="Y110"/>
  <c r="Q46"/>
  <c r="U46" s="1"/>
  <c r="X46" s="1"/>
  <c r="M46"/>
  <c r="Z109"/>
  <c r="Y109"/>
  <c r="Q42"/>
  <c r="U42" s="1"/>
  <c r="X42" s="1"/>
  <c r="M42"/>
  <c r="Q37"/>
  <c r="U37" s="1"/>
  <c r="X37" s="1"/>
  <c r="M37"/>
  <c r="Z107"/>
  <c r="Y107"/>
  <c r="Q33"/>
  <c r="U33" s="1"/>
  <c r="X33" s="1"/>
  <c r="M33"/>
  <c r="Z106"/>
  <c r="Y106"/>
  <c r="Q29"/>
  <c r="U29" s="1"/>
  <c r="X29" s="1"/>
  <c r="M29"/>
  <c r="Z105"/>
  <c r="Y105"/>
  <c r="Q25"/>
  <c r="U25" s="1"/>
  <c r="X25" s="1"/>
  <c r="M25"/>
  <c r="Z104"/>
  <c r="Y104"/>
  <c r="Q21"/>
  <c r="U21" s="1"/>
  <c r="X21" s="1"/>
  <c r="M21"/>
  <c r="Z103"/>
  <c r="Y103"/>
  <c r="Q17"/>
  <c r="U17" s="1"/>
  <c r="X17" s="1"/>
  <c r="M17"/>
  <c r="Z102"/>
  <c r="Y102"/>
  <c r="Q13"/>
  <c r="U13" s="1"/>
  <c r="X13" s="1"/>
  <c r="M13"/>
  <c r="Z101"/>
  <c r="Y101"/>
  <c r="Q9"/>
  <c r="U9" s="1"/>
  <c r="X9" s="1"/>
  <c r="M9"/>
  <c r="Z100"/>
  <c r="Y100"/>
  <c r="Q90"/>
  <c r="U90" s="1"/>
  <c r="X90" s="1"/>
  <c r="M90"/>
  <c r="Q88"/>
  <c r="U88" s="1"/>
  <c r="X88" s="1"/>
  <c r="M88"/>
  <c r="Z98"/>
  <c r="Y98"/>
  <c r="Q85"/>
  <c r="U85" s="1"/>
  <c r="X85" s="1"/>
  <c r="M85"/>
  <c r="Z97"/>
  <c r="Y97"/>
  <c r="Q82"/>
  <c r="U82" s="1"/>
  <c r="X82" s="1"/>
  <c r="M82"/>
  <c r="Z96"/>
  <c r="Y96"/>
  <c r="Q80"/>
  <c r="U80" s="1"/>
  <c r="X80" s="1"/>
  <c r="M80"/>
  <c r="Z95"/>
  <c r="Y95"/>
  <c r="Q76"/>
  <c r="U76" s="1"/>
  <c r="X76" s="1"/>
  <c r="M76"/>
  <c r="Z94"/>
  <c r="Y94"/>
  <c r="Q73"/>
  <c r="U73" s="1"/>
  <c r="X73" s="1"/>
  <c r="M73"/>
  <c r="Z93"/>
  <c r="Y93"/>
  <c r="Q69"/>
  <c r="U69" s="1"/>
  <c r="X69" s="1"/>
  <c r="M69"/>
  <c r="Q65"/>
  <c r="U65" s="1"/>
  <c r="X65" s="1"/>
  <c r="M65"/>
  <c r="Z91"/>
  <c r="Y91"/>
  <c r="Q61"/>
  <c r="U61" s="1"/>
  <c r="X61" s="1"/>
  <c r="M61"/>
  <c r="Z90"/>
  <c r="Y90"/>
  <c r="Q57"/>
  <c r="U57" s="1"/>
  <c r="X57" s="1"/>
  <c r="M57"/>
  <c r="Z89"/>
  <c r="Y89"/>
  <c r="Q53"/>
  <c r="U53" s="1"/>
  <c r="X53" s="1"/>
  <c r="M53"/>
  <c r="Z88"/>
  <c r="Y88"/>
  <c r="Q49"/>
  <c r="U49" s="1"/>
  <c r="X49" s="1"/>
  <c r="M49"/>
  <c r="Q45"/>
  <c r="U45" s="1"/>
  <c r="X45" s="1"/>
  <c r="M45"/>
  <c r="Z86"/>
  <c r="Y86"/>
  <c r="Q41"/>
  <c r="U41" s="1"/>
  <c r="X41" s="1"/>
  <c r="M41"/>
  <c r="Z85"/>
  <c r="Y85"/>
  <c r="Q36"/>
  <c r="U36" s="1"/>
  <c r="X36" s="1"/>
  <c r="M36"/>
  <c r="Z84"/>
  <c r="Y84"/>
  <c r="Q32"/>
  <c r="U32" s="1"/>
  <c r="X32" s="1"/>
  <c r="M32"/>
  <c r="Z83"/>
  <c r="Y83"/>
  <c r="Q28"/>
  <c r="U28" s="1"/>
  <c r="X28" s="1"/>
  <c r="M28"/>
  <c r="Z82"/>
  <c r="Y82"/>
  <c r="Q24"/>
  <c r="U24" s="1"/>
  <c r="X24" s="1"/>
  <c r="M24"/>
  <c r="Z81"/>
  <c r="Y81"/>
  <c r="Q20"/>
  <c r="U20" s="1"/>
  <c r="X20" s="1"/>
  <c r="M20"/>
  <c r="Z80"/>
  <c r="Y80"/>
  <c r="Q16"/>
  <c r="U16" s="1"/>
  <c r="X16" s="1"/>
  <c r="M16"/>
  <c r="Z79"/>
  <c r="Y79"/>
  <c r="Q12"/>
  <c r="U12" s="1"/>
  <c r="X12" s="1"/>
  <c r="M12"/>
  <c r="Z78"/>
  <c r="Y78"/>
  <c r="Q8"/>
  <c r="U8" s="1"/>
  <c r="X8" s="1"/>
  <c r="M8"/>
  <c r="Q118"/>
  <c r="U118" s="1"/>
  <c r="X118" s="1"/>
  <c r="M118"/>
  <c r="Q117"/>
  <c r="U117" s="1"/>
  <c r="X117" s="1"/>
  <c r="M117"/>
  <c r="Q116"/>
  <c r="U116" s="1"/>
  <c r="X116" s="1"/>
  <c r="M116"/>
  <c r="Z74"/>
  <c r="Y74"/>
  <c r="Q115"/>
  <c r="U115" s="1"/>
  <c r="X115" s="1"/>
  <c r="M115"/>
  <c r="Z73"/>
  <c r="Y73"/>
  <c r="Q114"/>
  <c r="U114" s="1"/>
  <c r="X114" s="1"/>
  <c r="M114"/>
  <c r="Q113"/>
  <c r="U113" s="1"/>
  <c r="X113" s="1"/>
  <c r="M113"/>
  <c r="Z71"/>
  <c r="Y71"/>
  <c r="Q112"/>
  <c r="U112" s="1"/>
  <c r="X112" s="1"/>
  <c r="M112"/>
  <c r="Z70"/>
  <c r="Y70"/>
  <c r="Q111"/>
  <c r="U111" s="1"/>
  <c r="X111" s="1"/>
  <c r="M111"/>
  <c r="Z69"/>
  <c r="Y69"/>
  <c r="Q110"/>
  <c r="U110" s="1"/>
  <c r="X110" s="1"/>
  <c r="M110"/>
  <c r="Z68"/>
  <c r="Y68"/>
  <c r="Q109"/>
  <c r="U109" s="1"/>
  <c r="X109" s="1"/>
  <c r="M109"/>
  <c r="Z67"/>
  <c r="Y67"/>
  <c r="Q108"/>
  <c r="U108" s="1"/>
  <c r="X108" s="1"/>
  <c r="M108"/>
  <c r="Z66"/>
  <c r="Y66"/>
  <c r="Q107"/>
  <c r="U107" s="1"/>
  <c r="X107" s="1"/>
  <c r="M107"/>
  <c r="Q106"/>
  <c r="U106" s="1"/>
  <c r="X106" s="1"/>
  <c r="M106"/>
  <c r="Q105"/>
  <c r="U105" s="1"/>
  <c r="X105" s="1"/>
  <c r="M105"/>
  <c r="Z63"/>
  <c r="Y63"/>
  <c r="Q104"/>
  <c r="U104" s="1"/>
  <c r="X104" s="1"/>
  <c r="M104"/>
  <c r="Z62"/>
  <c r="Y62"/>
  <c r="Q103"/>
  <c r="U103" s="1"/>
  <c r="X103" s="1"/>
  <c r="M103"/>
  <c r="Z61"/>
  <c r="Y61"/>
  <c r="Q102"/>
  <c r="U102" s="1"/>
  <c r="X102" s="1"/>
  <c r="M102"/>
  <c r="Z60"/>
  <c r="Y60"/>
  <c r="Q101"/>
  <c r="U101" s="1"/>
  <c r="X101" s="1"/>
  <c r="M101"/>
  <c r="Q100"/>
  <c r="U100" s="1"/>
  <c r="X100" s="1"/>
  <c r="M100"/>
  <c r="Z58"/>
  <c r="Y58"/>
  <c r="Q99"/>
  <c r="U99" s="1"/>
  <c r="X99" s="1"/>
  <c r="M99"/>
  <c r="Z57"/>
  <c r="Y57"/>
  <c r="Q98"/>
  <c r="U98" s="1"/>
  <c r="X98" s="1"/>
  <c r="M98"/>
  <c r="Z56"/>
  <c r="Y56"/>
  <c r="Q97"/>
  <c r="U97" s="1"/>
  <c r="X97" s="1"/>
  <c r="M97"/>
  <c r="Y55"/>
  <c r="Q96"/>
  <c r="U96" s="1"/>
  <c r="X96" s="1"/>
  <c r="M96"/>
  <c r="Z54"/>
  <c r="Y54"/>
  <c r="Q95"/>
  <c r="U95" s="1"/>
  <c r="X95" s="1"/>
  <c r="M95"/>
  <c r="Z53"/>
  <c r="Y53"/>
  <c r="Q94"/>
  <c r="U94" s="1"/>
  <c r="X94" s="1"/>
  <c r="M94"/>
  <c r="Z52"/>
  <c r="Y52"/>
  <c r="Q93"/>
  <c r="U93" s="1"/>
  <c r="X93" s="1"/>
  <c r="M93"/>
  <c r="Z51"/>
  <c r="Y51"/>
  <c r="Q92"/>
  <c r="U92" s="1"/>
  <c r="X92" s="1"/>
  <c r="M92"/>
  <c r="Z50"/>
  <c r="Y50"/>
  <c r="Q91"/>
  <c r="U91" s="1"/>
  <c r="X91" s="1"/>
  <c r="M91"/>
  <c r="Z49"/>
  <c r="Y49"/>
  <c r="Q89"/>
  <c r="U89" s="1"/>
  <c r="X89" s="1"/>
  <c r="M89"/>
  <c r="Z48"/>
  <c r="Y48"/>
  <c r="Q87"/>
  <c r="U87" s="1"/>
  <c r="X87" s="1"/>
  <c r="M87"/>
  <c r="Z47"/>
  <c r="Y47"/>
  <c r="Q84"/>
  <c r="U84" s="1"/>
  <c r="X84" s="1"/>
  <c r="M84"/>
  <c r="Z46"/>
  <c r="Y46"/>
  <c r="Q81"/>
  <c r="U81" s="1"/>
  <c r="X81" s="1"/>
  <c r="M81"/>
  <c r="Z45"/>
  <c r="Y45"/>
  <c r="Q79"/>
  <c r="U79" s="1"/>
  <c r="X79" s="1"/>
  <c r="M79"/>
  <c r="Q75"/>
  <c r="U75" s="1"/>
  <c r="X75" s="1"/>
  <c r="M75"/>
  <c r="Z43"/>
  <c r="Y43"/>
  <c r="Q72"/>
  <c r="U72" s="1"/>
  <c r="X72" s="1"/>
  <c r="M72"/>
  <c r="Z42"/>
  <c r="Y42"/>
  <c r="Q68"/>
  <c r="U68" s="1"/>
  <c r="X68" s="1"/>
  <c r="M68"/>
  <c r="Z41"/>
  <c r="Y41"/>
  <c r="Q64"/>
  <c r="U64" s="1"/>
  <c r="X64" s="1"/>
  <c r="M64"/>
  <c r="Z40"/>
  <c r="Y40"/>
  <c r="Q60"/>
  <c r="U60" s="1"/>
  <c r="X60" s="1"/>
  <c r="M60"/>
  <c r="Z39"/>
  <c r="Y39"/>
  <c r="Q56"/>
  <c r="U56" s="1"/>
  <c r="X56" s="1"/>
  <c r="M56"/>
  <c r="Q52"/>
  <c r="U52" s="1"/>
  <c r="X52" s="1"/>
  <c r="M52"/>
  <c r="Z37"/>
  <c r="Y37"/>
  <c r="Q48"/>
  <c r="U48" s="1"/>
  <c r="X48" s="1"/>
  <c r="M48"/>
  <c r="Z36"/>
  <c r="Y36"/>
  <c r="Q44"/>
  <c r="U44" s="1"/>
  <c r="X44" s="1"/>
  <c r="M44"/>
  <c r="Z35"/>
  <c r="Y35"/>
  <c r="Q40"/>
  <c r="U40" s="1"/>
  <c r="X40" s="1"/>
  <c r="M40"/>
  <c r="Z34"/>
  <c r="Y34"/>
  <c r="Q35"/>
  <c r="U35" s="1"/>
  <c r="X35" s="1"/>
  <c r="M35"/>
  <c r="Z33"/>
  <c r="Y33"/>
  <c r="Q31"/>
  <c r="U31" s="1"/>
  <c r="X31" s="1"/>
  <c r="M31"/>
  <c r="Z32"/>
  <c r="Y32"/>
  <c r="Q27"/>
  <c r="U27" s="1"/>
  <c r="X27" s="1"/>
  <c r="M27"/>
  <c r="Z31"/>
  <c r="Y31"/>
  <c r="Q23"/>
  <c r="U23" s="1"/>
  <c r="X23" s="1"/>
  <c r="M23"/>
  <c r="Q19"/>
  <c r="U19" s="1"/>
  <c r="X19" s="1"/>
  <c r="M19"/>
  <c r="Z29"/>
  <c r="Y29"/>
  <c r="Q15"/>
  <c r="U15" s="1"/>
  <c r="X15" s="1"/>
  <c r="M15"/>
  <c r="Z28"/>
  <c r="Y28"/>
  <c r="Q11"/>
  <c r="U11" s="1"/>
  <c r="X11" s="1"/>
  <c r="M11"/>
  <c r="Z27"/>
  <c r="Y27"/>
  <c r="Q7"/>
  <c r="U7" s="1"/>
  <c r="X7" s="1"/>
  <c r="M7"/>
  <c r="Y26"/>
  <c r="Q86"/>
  <c r="U86" s="1"/>
  <c r="Y25"/>
  <c r="Q83"/>
  <c r="U83" s="1"/>
  <c r="Y24"/>
  <c r="Q78"/>
  <c r="Y23"/>
  <c r="Q71"/>
  <c r="U71" s="1"/>
  <c r="Y22"/>
  <c r="Q67"/>
  <c r="U67" s="1"/>
  <c r="Y21"/>
  <c r="Q63"/>
  <c r="U63" s="1"/>
  <c r="W59"/>
  <c r="Q59"/>
  <c r="U59" s="1"/>
  <c r="W55"/>
  <c r="Z55" s="1"/>
  <c r="Q55"/>
  <c r="U55" s="1"/>
  <c r="Y18"/>
  <c r="Q51"/>
  <c r="Y17"/>
  <c r="Q47"/>
  <c r="U47" s="1"/>
  <c r="Y16"/>
  <c r="Q43"/>
  <c r="U43" s="1"/>
  <c r="Y15"/>
  <c r="Q39"/>
  <c r="U39" s="1"/>
  <c r="Y14"/>
  <c r="Q38"/>
  <c r="U38" s="1"/>
  <c r="Y13"/>
  <c r="Q34"/>
  <c r="Y12"/>
  <c r="Q30"/>
  <c r="U30" s="1"/>
  <c r="Y11"/>
  <c r="Q26"/>
  <c r="U26" s="1"/>
  <c r="Y10"/>
  <c r="Q22"/>
  <c r="U22" s="1"/>
  <c r="Y9"/>
  <c r="Q18"/>
  <c r="S18" s="1"/>
  <c r="Y8"/>
  <c r="Q14"/>
  <c r="U14" s="1"/>
  <c r="Y7"/>
  <c r="Q10"/>
  <c r="U10" s="1"/>
  <c r="X10" s="1"/>
  <c r="Y6"/>
  <c r="Q6"/>
  <c r="U6" s="1"/>
  <c r="Z6" s="1"/>
  <c r="Q78" i="5"/>
  <c r="U78" s="1"/>
  <c r="X78" s="1"/>
  <c r="M78"/>
  <c r="Q77"/>
  <c r="U77" s="1"/>
  <c r="X77" s="1"/>
  <c r="M77"/>
  <c r="Q76"/>
  <c r="U76" s="1"/>
  <c r="X76" s="1"/>
  <c r="M76"/>
  <c r="Q73"/>
  <c r="U73" s="1"/>
  <c r="X73" s="1"/>
  <c r="M73"/>
  <c r="Q66"/>
  <c r="U66" s="1"/>
  <c r="X66" s="1"/>
  <c r="M66"/>
  <c r="Q65"/>
  <c r="U65" s="1"/>
  <c r="X65" s="1"/>
  <c r="M65"/>
  <c r="Q60"/>
  <c r="U60" s="1"/>
  <c r="X60" s="1"/>
  <c r="M60"/>
  <c r="Q45"/>
  <c r="U45" s="1"/>
  <c r="X45" s="1"/>
  <c r="M45"/>
  <c r="Q39"/>
  <c r="U39" s="1"/>
  <c r="X39" s="1"/>
  <c r="M39"/>
  <c r="Q31"/>
  <c r="U31" s="1"/>
  <c r="X31" s="1"/>
  <c r="M31"/>
  <c r="Z30"/>
  <c r="Y30"/>
  <c r="Q30"/>
  <c r="U30" s="1"/>
  <c r="X30" s="1"/>
  <c r="M30"/>
  <c r="P46" i="18" l="1"/>
  <c r="Z14" i="7"/>
  <c r="X49"/>
  <c r="AA49" s="1"/>
  <c r="AC49" s="1"/>
  <c r="AD49" s="1"/>
  <c r="X79"/>
  <c r="AA79" s="1"/>
  <c r="AC79" s="1"/>
  <c r="AD79" s="1"/>
  <c r="Z12"/>
  <c r="Z6"/>
  <c r="X6"/>
  <c r="AA6" s="1"/>
  <c r="X7"/>
  <c r="AA7" s="1"/>
  <c r="AB7" s="1"/>
  <c r="Z7"/>
  <c r="AC65" i="12"/>
  <c r="AA66" i="7"/>
  <c r="AB66" s="1"/>
  <c r="Z20"/>
  <c r="X37"/>
  <c r="Z11"/>
  <c r="U27"/>
  <c r="X27" s="1"/>
  <c r="U77"/>
  <c r="X77" s="1"/>
  <c r="X29"/>
  <c r="AC30" i="12" s="1"/>
  <c r="X70" i="7"/>
  <c r="AA70" s="1"/>
  <c r="AB70" s="1"/>
  <c r="X43"/>
  <c r="AA43" s="1"/>
  <c r="AB43" s="1"/>
  <c r="X46"/>
  <c r="AA46" s="1"/>
  <c r="AC46" s="1"/>
  <c r="AD46" s="1"/>
  <c r="X41"/>
  <c r="AA41" s="1"/>
  <c r="AB41" s="1"/>
  <c r="X32"/>
  <c r="U54"/>
  <c r="X54" s="1"/>
  <c r="AC55" i="12" s="1"/>
  <c r="X76" i="7"/>
  <c r="AA76" s="1"/>
  <c r="AB76" s="1"/>
  <c r="U47"/>
  <c r="X47" s="1"/>
  <c r="Z10"/>
  <c r="X10"/>
  <c r="AC10" i="12" s="1"/>
  <c r="AA72" i="7"/>
  <c r="AB72" s="1"/>
  <c r="AC72" i="12"/>
  <c r="AA45" i="7"/>
  <c r="AB45" s="1"/>
  <c r="AC46" i="12"/>
  <c r="AC34"/>
  <c r="AA35" i="7"/>
  <c r="AC35" s="1"/>
  <c r="AD35" s="1"/>
  <c r="Z8"/>
  <c r="X8"/>
  <c r="AA8" s="1"/>
  <c r="AB8" s="1"/>
  <c r="AA53"/>
  <c r="AC53" s="1"/>
  <c r="AD53" s="1"/>
  <c r="AC54" i="12"/>
  <c r="AC31"/>
  <c r="AA30" i="7"/>
  <c r="AB30" s="1"/>
  <c r="U71"/>
  <c r="X71" s="1"/>
  <c r="X64"/>
  <c r="AA64" s="1"/>
  <c r="AB64" s="1"/>
  <c r="X36"/>
  <c r="AA36" s="1"/>
  <c r="AC36" s="1"/>
  <c r="AD36" s="1"/>
  <c r="X68"/>
  <c r="U57"/>
  <c r="X57" s="1"/>
  <c r="X51"/>
  <c r="AA51" s="1"/>
  <c r="AB51" s="1"/>
  <c r="X67"/>
  <c r="AA67" s="1"/>
  <c r="AC67" s="1"/>
  <c r="AD67" s="1"/>
  <c r="U73"/>
  <c r="X73" s="1"/>
  <c r="X52"/>
  <c r="U31"/>
  <c r="X31" s="1"/>
  <c r="Z16"/>
  <c r="U58"/>
  <c r="X58" s="1"/>
  <c r="X40"/>
  <c r="X48"/>
  <c r="X23"/>
  <c r="AC23" i="12" s="1"/>
  <c r="W25" i="15"/>
  <c r="R9"/>
  <c r="W9" s="1"/>
  <c r="AC61" i="12"/>
  <c r="AA63" i="7"/>
  <c r="AB63" s="1"/>
  <c r="AB62"/>
  <c r="AC62"/>
  <c r="AD62" s="1"/>
  <c r="AC38"/>
  <c r="AD38" s="1"/>
  <c r="AB38"/>
  <c r="AC38" i="12"/>
  <c r="AC56"/>
  <c r="AC41"/>
  <c r="AC114" i="7"/>
  <c r="AD114" s="1"/>
  <c r="AB114"/>
  <c r="AC163" i="12"/>
  <c r="AA179" i="7"/>
  <c r="AB179" s="1"/>
  <c r="AC28"/>
  <c r="AD28" s="1"/>
  <c r="AB28"/>
  <c r="I19" i="18"/>
  <c r="AC69" i="7"/>
  <c r="AD69" s="1"/>
  <c r="AB69"/>
  <c r="AC26"/>
  <c r="AB26"/>
  <c r="AC110"/>
  <c r="AD110" s="1"/>
  <c r="AB110"/>
  <c r="AC120"/>
  <c r="AD120" s="1"/>
  <c r="AB120"/>
  <c r="AC146"/>
  <c r="AD146" s="1"/>
  <c r="AB146"/>
  <c r="AC44"/>
  <c r="AD44" s="1"/>
  <c r="AB44"/>
  <c r="AC125"/>
  <c r="AD125" s="1"/>
  <c r="AB125"/>
  <c r="AC112"/>
  <c r="AD112" s="1"/>
  <c r="AB112"/>
  <c r="AC121"/>
  <c r="AD121" s="1"/>
  <c r="AB121"/>
  <c r="AC145"/>
  <c r="AD145" s="1"/>
  <c r="AB145"/>
  <c r="AC126" i="12"/>
  <c r="AA141" i="7"/>
  <c r="AC42"/>
  <c r="AD42" s="1"/>
  <c r="AB42"/>
  <c r="I17" i="18"/>
  <c r="W6" i="15"/>
  <c r="AA13" i="7"/>
  <c r="AB13" s="1"/>
  <c r="AC17" i="12"/>
  <c r="AC45"/>
  <c r="AA11" i="7"/>
  <c r="AB11" s="1"/>
  <c r="AA22"/>
  <c r="AB22" s="1"/>
  <c r="AA12"/>
  <c r="AB12" s="1"/>
  <c r="AC109"/>
  <c r="AD109" s="1"/>
  <c r="AB109"/>
  <c r="AC154"/>
  <c r="AD154" s="1"/>
  <c r="AB154"/>
  <c r="AC115"/>
  <c r="AD115" s="1"/>
  <c r="AB115"/>
  <c r="AC153"/>
  <c r="AD153" s="1"/>
  <c r="AB153"/>
  <c r="AC143"/>
  <c r="AD143" s="1"/>
  <c r="AB143"/>
  <c r="I18" i="18"/>
  <c r="AC59" i="7"/>
  <c r="AD59" s="1"/>
  <c r="AB59"/>
  <c r="AC155" i="12"/>
  <c r="AA171" i="7"/>
  <c r="AB171" s="1"/>
  <c r="AC122"/>
  <c r="AD122" s="1"/>
  <c r="AB122"/>
  <c r="AC113"/>
  <c r="AD113" s="1"/>
  <c r="AB113"/>
  <c r="AC131"/>
  <c r="AD131" s="1"/>
  <c r="AB131"/>
  <c r="AC127"/>
  <c r="AD127" s="1"/>
  <c r="AB127"/>
  <c r="AC147"/>
  <c r="AD147" s="1"/>
  <c r="AB147"/>
  <c r="AC55"/>
  <c r="AD55" s="1"/>
  <c r="AB55"/>
  <c r="I20" i="18"/>
  <c r="AC68" i="12"/>
  <c r="AC139"/>
  <c r="AA24" i="7"/>
  <c r="AB24" s="1"/>
  <c r="AA21"/>
  <c r="AB21" s="1"/>
  <c r="AC29" i="12"/>
  <c r="AC59"/>
  <c r="X139" i="15"/>
  <c r="Y139" s="1"/>
  <c r="AA19" i="7"/>
  <c r="AB19" s="1"/>
  <c r="AA15"/>
  <c r="AB15" s="1"/>
  <c r="AA18"/>
  <c r="AB18" s="1"/>
  <c r="AC141" i="12"/>
  <c r="AA158" i="7"/>
  <c r="AB158" s="1"/>
  <c r="AC143" i="12"/>
  <c r="AA160" i="7"/>
  <c r="AB160" s="1"/>
  <c r="AC160" i="12"/>
  <c r="AA176" i="7"/>
  <c r="AB176" s="1"/>
  <c r="AC149" i="12"/>
  <c r="AA166" i="7"/>
  <c r="AB166" s="1"/>
  <c r="AC164" i="12"/>
  <c r="AA180" i="7"/>
  <c r="AB180" s="1"/>
  <c r="AC148" i="12"/>
  <c r="AA165" i="7"/>
  <c r="AB165" s="1"/>
  <c r="AC153" i="12"/>
  <c r="AA169" i="7"/>
  <c r="AB169" s="1"/>
  <c r="AC161" i="12"/>
  <c r="AA177" i="7"/>
  <c r="AB177" s="1"/>
  <c r="AC142" i="12"/>
  <c r="AA159" i="7"/>
  <c r="AB159" s="1"/>
  <c r="AC147" i="12"/>
  <c r="AA164" i="7"/>
  <c r="AB164" s="1"/>
  <c r="AC158" i="12"/>
  <c r="AA174" i="7"/>
  <c r="AB174" s="1"/>
  <c r="AC165" i="12"/>
  <c r="AA181" i="7"/>
  <c r="AB181" s="1"/>
  <c r="AC144" i="12"/>
  <c r="AA161" i="7"/>
  <c r="AB161" s="1"/>
  <c r="AC156" i="12"/>
  <c r="AA172" i="7"/>
  <c r="AB172" s="1"/>
  <c r="AC152" i="12"/>
  <c r="AA168" i="7"/>
  <c r="AB168" s="1"/>
  <c r="AC159" i="12"/>
  <c r="AA175" i="7"/>
  <c r="AB175" s="1"/>
  <c r="AC140" i="12"/>
  <c r="AA157" i="7"/>
  <c r="AB157" s="1"/>
  <c r="AC157" i="12"/>
  <c r="AA173" i="7"/>
  <c r="AB173" s="1"/>
  <c r="AC150" i="12"/>
  <c r="AA167" i="7"/>
  <c r="AB167" s="1"/>
  <c r="AC162" i="12"/>
  <c r="AA178" i="7"/>
  <c r="AB178" s="1"/>
  <c r="W137" i="15"/>
  <c r="Q151"/>
  <c r="X151" s="1"/>
  <c r="Y151" s="1"/>
  <c r="Y131"/>
  <c r="T159"/>
  <c r="W159" s="1"/>
  <c r="X159" s="1"/>
  <c r="Y159" s="1"/>
  <c r="T160"/>
  <c r="W160" s="1"/>
  <c r="Q160"/>
  <c r="AC103" i="12"/>
  <c r="T155" i="15"/>
  <c r="W155" s="1"/>
  <c r="X155" s="1"/>
  <c r="Y155" s="1"/>
  <c r="Q153"/>
  <c r="X153" s="1"/>
  <c r="Y153" s="1"/>
  <c r="Y130"/>
  <c r="Q152"/>
  <c r="X152" s="1"/>
  <c r="Y152" s="1"/>
  <c r="T157"/>
  <c r="W157" s="1"/>
  <c r="X157" s="1"/>
  <c r="Y157" s="1"/>
  <c r="Y157" i="7"/>
  <c r="Z157" s="1"/>
  <c r="T156" i="15"/>
  <c r="W156" s="1"/>
  <c r="X156" s="1"/>
  <c r="Y156" s="1"/>
  <c r="T150"/>
  <c r="W150" s="1"/>
  <c r="X150" s="1"/>
  <c r="Y150" s="1"/>
  <c r="Y128"/>
  <c r="AC112" i="12"/>
  <c r="AC131"/>
  <c r="T158" i="15"/>
  <c r="W158" s="1"/>
  <c r="X158" s="1"/>
  <c r="Y158" s="1"/>
  <c r="X141"/>
  <c r="Y141" s="1"/>
  <c r="AC132" i="12"/>
  <c r="AC110"/>
  <c r="AC27"/>
  <c r="AC137"/>
  <c r="AC130"/>
  <c r="W136" i="15"/>
  <c r="W132"/>
  <c r="AC105" i="12"/>
  <c r="AC120"/>
  <c r="AC107"/>
  <c r="Z114" i="7"/>
  <c r="AC106" i="12"/>
  <c r="AC109"/>
  <c r="Z127" i="7"/>
  <c r="Z116"/>
  <c r="AC117" i="12"/>
  <c r="Z118" i="7"/>
  <c r="AC113" i="12"/>
  <c r="AC118"/>
  <c r="Z126" i="7"/>
  <c r="AC119" i="12"/>
  <c r="Z120" i="7"/>
  <c r="P166" i="15"/>
  <c r="Q165" s="1"/>
  <c r="X165" s="1"/>
  <c r="Y165" s="1"/>
  <c r="AC128" i="12"/>
  <c r="AC136"/>
  <c r="AC108"/>
  <c r="AC115"/>
  <c r="X154" i="15"/>
  <c r="Y154" s="1"/>
  <c r="X146"/>
  <c r="Y146" s="1"/>
  <c r="AC116" i="12"/>
  <c r="AC111"/>
  <c r="Z125" i="7"/>
  <c r="AC121" i="12"/>
  <c r="Z131" i="7"/>
  <c r="Z154"/>
  <c r="X148" i="15"/>
  <c r="Y148" s="1"/>
  <c r="X163"/>
  <c r="Y163" s="1"/>
  <c r="W123"/>
  <c r="Y123"/>
  <c r="W11"/>
  <c r="X149"/>
  <c r="Y149" s="1"/>
  <c r="X144"/>
  <c r="Y144" s="1"/>
  <c r="X161"/>
  <c r="Y161" s="1"/>
  <c r="X142"/>
  <c r="Y142" s="1"/>
  <c r="W20"/>
  <c r="W14"/>
  <c r="W10"/>
  <c r="W21"/>
  <c r="W15"/>
  <c r="W7"/>
  <c r="R166" i="12"/>
  <c r="X162" i="15"/>
  <c r="Y162" s="1"/>
  <c r="Y177" i="7"/>
  <c r="Z177" s="1"/>
  <c r="X143" i="15"/>
  <c r="Y143" s="1"/>
  <c r="X164"/>
  <c r="Y164" s="1"/>
  <c r="X140"/>
  <c r="Y140" s="1"/>
  <c r="X147"/>
  <c r="Y147" s="1"/>
  <c r="W22"/>
  <c r="W16"/>
  <c r="W12"/>
  <c r="W8"/>
  <c r="W23"/>
  <c r="W17"/>
  <c r="W13"/>
  <c r="W24"/>
  <c r="W109"/>
  <c r="T166"/>
  <c r="Y162" i="7"/>
  <c r="Z162" s="1"/>
  <c r="AC145" i="12"/>
  <c r="AC146"/>
  <c r="Y170" i="7"/>
  <c r="Z170" s="1"/>
  <c r="AC154" i="12"/>
  <c r="AD123"/>
  <c r="AD166" s="1"/>
  <c r="R123"/>
  <c r="Z147" i="8"/>
  <c r="AA147" s="1"/>
  <c r="Z155"/>
  <c r="AA155" s="1"/>
  <c r="Z163"/>
  <c r="AA163" s="1"/>
  <c r="Z143"/>
  <c r="AA143" s="1"/>
  <c r="Z159"/>
  <c r="AA159" s="1"/>
  <c r="Z161"/>
  <c r="AA161" s="1"/>
  <c r="Z157"/>
  <c r="AA157" s="1"/>
  <c r="Z18"/>
  <c r="AC180" i="7"/>
  <c r="Z143"/>
  <c r="Z146"/>
  <c r="Z153"/>
  <c r="AC24" i="12"/>
  <c r="AQ9" i="7"/>
  <c r="AC16" i="12"/>
  <c r="AC25"/>
  <c r="Z17" i="7"/>
  <c r="AC12" i="12"/>
  <c r="AC14"/>
  <c r="AC11"/>
  <c r="AC13"/>
  <c r="Y19" i="7"/>
  <c r="Z19" s="1"/>
  <c r="Z153" i="8"/>
  <c r="AA153" s="1"/>
  <c r="Z164"/>
  <c r="AA164" s="1"/>
  <c r="Z145"/>
  <c r="AA145" s="1"/>
  <c r="Z152"/>
  <c r="AA152" s="1"/>
  <c r="Z156"/>
  <c r="AA156" s="1"/>
  <c r="Z144"/>
  <c r="AA144" s="1"/>
  <c r="Z160"/>
  <c r="AA160" s="1"/>
  <c r="Z150"/>
  <c r="AA150" s="1"/>
  <c r="Z139"/>
  <c r="AA139" s="1"/>
  <c r="Z149"/>
  <c r="AA149" s="1"/>
  <c r="Z148"/>
  <c r="AA148" s="1"/>
  <c r="Z140"/>
  <c r="AA140" s="1"/>
  <c r="Z142"/>
  <c r="AA142" s="1"/>
  <c r="Z162"/>
  <c r="AA162" s="1"/>
  <c r="Z158"/>
  <c r="AA158" s="1"/>
  <c r="Z141"/>
  <c r="AA141" s="1"/>
  <c r="Y8"/>
  <c r="Y166" s="1"/>
  <c r="Z154"/>
  <c r="AA154" s="1"/>
  <c r="S166"/>
  <c r="Z146"/>
  <c r="AA146" s="1"/>
  <c r="Z165"/>
  <c r="AA165" s="1"/>
  <c r="AA9"/>
  <c r="AP9"/>
  <c r="Z151"/>
  <c r="AA151" s="1"/>
  <c r="Y176" i="7"/>
  <c r="Z176" s="1"/>
  <c r="Y163"/>
  <c r="Z163" s="1"/>
  <c r="Y173"/>
  <c r="Z173" s="1"/>
  <c r="Y160"/>
  <c r="Z160" s="1"/>
  <c r="Y174"/>
  <c r="Z174" s="1"/>
  <c r="Y167"/>
  <c r="Z167" s="1"/>
  <c r="Y180"/>
  <c r="Z180" s="1"/>
  <c r="Y156"/>
  <c r="Z156" s="1"/>
  <c r="Y161"/>
  <c r="Z161" s="1"/>
  <c r="Y171"/>
  <c r="Z171" s="1"/>
  <c r="Y178"/>
  <c r="Z178" s="1"/>
  <c r="Y166"/>
  <c r="Z166" s="1"/>
  <c r="Y179"/>
  <c r="Z179" s="1"/>
  <c r="Z145"/>
  <c r="Y159"/>
  <c r="Z159" s="1"/>
  <c r="Y158"/>
  <c r="Z158" s="1"/>
  <c r="Y169"/>
  <c r="Z169" s="1"/>
  <c r="Y172"/>
  <c r="Z172" s="1"/>
  <c r="Y164"/>
  <c r="Z164" s="1"/>
  <c r="AC21" i="12"/>
  <c r="Z147" i="7"/>
  <c r="AC9" i="12"/>
  <c r="Z9" i="7"/>
  <c r="Y175"/>
  <c r="Z175" s="1"/>
  <c r="Y165"/>
  <c r="Z165" s="1"/>
  <c r="Y168"/>
  <c r="Z168" s="1"/>
  <c r="Z17" i="6"/>
  <c r="Z21"/>
  <c r="Z25"/>
  <c r="Z23"/>
  <c r="Z11"/>
  <c r="Z15"/>
  <c r="M159"/>
  <c r="M160" s="1"/>
  <c r="Z8"/>
  <c r="Z10"/>
  <c r="Z12"/>
  <c r="Z14"/>
  <c r="Z16"/>
  <c r="R133"/>
  <c r="R143"/>
  <c r="R151"/>
  <c r="X148"/>
  <c r="X30"/>
  <c r="U34"/>
  <c r="Z13" s="1"/>
  <c r="R147"/>
  <c r="Z121"/>
  <c r="X121"/>
  <c r="Z125"/>
  <c r="X125"/>
  <c r="Z123"/>
  <c r="X123"/>
  <c r="X6"/>
  <c r="X38"/>
  <c r="W154"/>
  <c r="X127"/>
  <c r="Y127" s="1"/>
  <c r="Z127" s="1"/>
  <c r="R145"/>
  <c r="U150"/>
  <c r="X150" s="1"/>
  <c r="X22"/>
  <c r="X43"/>
  <c r="X47"/>
  <c r="X71"/>
  <c r="X129"/>
  <c r="U133"/>
  <c r="X133" s="1"/>
  <c r="R135"/>
  <c r="U136"/>
  <c r="X136" s="1"/>
  <c r="R139"/>
  <c r="U140"/>
  <c r="X140" s="1"/>
  <c r="X146"/>
  <c r="X14"/>
  <c r="U51"/>
  <c r="X59"/>
  <c r="Y20" s="1"/>
  <c r="Z20" s="1"/>
  <c r="U78"/>
  <c r="Z24" s="1"/>
  <c r="S120"/>
  <c r="U120" s="1"/>
  <c r="S122"/>
  <c r="U122" s="1"/>
  <c r="S124"/>
  <c r="U124" s="1"/>
  <c r="S126"/>
  <c r="U126" s="1"/>
  <c r="X126" s="1"/>
  <c r="X131"/>
  <c r="R136"/>
  <c r="U137"/>
  <c r="X137" s="1"/>
  <c r="R140"/>
  <c r="U141"/>
  <c r="X141" s="1"/>
  <c r="Z22"/>
  <c r="X67"/>
  <c r="Z26"/>
  <c r="X86"/>
  <c r="X142"/>
  <c r="X55"/>
  <c r="Y19" s="1"/>
  <c r="Z19" s="1"/>
  <c r="R129"/>
  <c r="X130"/>
  <c r="R131"/>
  <c r="X132"/>
  <c r="Y132" s="1"/>
  <c r="Z132" s="1"/>
  <c r="X135"/>
  <c r="X139"/>
  <c r="Z7"/>
  <c r="U18"/>
  <c r="AQ9" s="1"/>
  <c r="X26"/>
  <c r="X39"/>
  <c r="X63"/>
  <c r="X83"/>
  <c r="U128"/>
  <c r="X128" s="1"/>
  <c r="U134"/>
  <c r="X134" s="1"/>
  <c r="R137"/>
  <c r="U138"/>
  <c r="X138" s="1"/>
  <c r="R141"/>
  <c r="X143"/>
  <c r="R144"/>
  <c r="Y144" s="1"/>
  <c r="Z144" s="1"/>
  <c r="X145"/>
  <c r="R146"/>
  <c r="X147"/>
  <c r="R148"/>
  <c r="X149"/>
  <c r="Y149" s="1"/>
  <c r="Z149" s="1"/>
  <c r="R150"/>
  <c r="X151"/>
  <c r="R152"/>
  <c r="Y152" s="1"/>
  <c r="Z152" s="1"/>
  <c r="X153"/>
  <c r="Q119"/>
  <c r="Q154" s="1"/>
  <c r="R153" s="1"/>
  <c r="R128"/>
  <c r="R130"/>
  <c r="R134"/>
  <c r="R138"/>
  <c r="R142"/>
  <c r="K17" i="9" l="1"/>
  <c r="M17" i="26"/>
  <c r="K20" i="9"/>
  <c r="P20" s="1"/>
  <c r="Q20" s="1"/>
  <c r="M35"/>
  <c r="AA10" i="7"/>
  <c r="AB10" s="1"/>
  <c r="AC50" i="12"/>
  <c r="AC76" i="7"/>
  <c r="AD76" s="1"/>
  <c r="AC66"/>
  <c r="AD66" s="1"/>
  <c r="AB35"/>
  <c r="AA29"/>
  <c r="AB29" s="1"/>
  <c r="AB46"/>
  <c r="AB53"/>
  <c r="AB49"/>
  <c r="Y9" i="15"/>
  <c r="Y166" s="1"/>
  <c r="AC41" i="7"/>
  <c r="AD41" s="1"/>
  <c r="AC69" i="12"/>
  <c r="AC70" i="7"/>
  <c r="AD70" s="1"/>
  <c r="AB79"/>
  <c r="AC30"/>
  <c r="AD30" s="1"/>
  <c r="AC47" i="12"/>
  <c r="AA47" i="7"/>
  <c r="AC47" s="1"/>
  <c r="AD47" s="1"/>
  <c r="AC48" i="12"/>
  <c r="AC45" i="7"/>
  <c r="AD45" s="1"/>
  <c r="AC74" i="12"/>
  <c r="AC77"/>
  <c r="AC44"/>
  <c r="AC64" i="7"/>
  <c r="AD64" s="1"/>
  <c r="AC43"/>
  <c r="AD43" s="1"/>
  <c r="AA27"/>
  <c r="AC28" i="12"/>
  <c r="AA77" i="7"/>
  <c r="AC75" i="12"/>
  <c r="AA37" i="7"/>
  <c r="AC36" i="12"/>
  <c r="AC7"/>
  <c r="AB67" i="7"/>
  <c r="AC72"/>
  <c r="AD72" s="1"/>
  <c r="AB36"/>
  <c r="AA54"/>
  <c r="AC8" i="12"/>
  <c r="AC40"/>
  <c r="AA32" i="7"/>
  <c r="AC33" i="12"/>
  <c r="AA23" i="7"/>
  <c r="AB23" s="1"/>
  <c r="AC35" i="12"/>
  <c r="AC73"/>
  <c r="AA73" i="7"/>
  <c r="AA57"/>
  <c r="AC57" i="12"/>
  <c r="AA31" i="7"/>
  <c r="AC32" i="12"/>
  <c r="AA48" i="7"/>
  <c r="AC49" i="12"/>
  <c r="AA71" i="7"/>
  <c r="AC70" i="12"/>
  <c r="AC58"/>
  <c r="AA58" i="7"/>
  <c r="AA68"/>
  <c r="AC67" i="12"/>
  <c r="R166" i="15"/>
  <c r="AP9"/>
  <c r="AC63" i="12"/>
  <c r="AC51" i="7"/>
  <c r="AD51" s="1"/>
  <c r="AC66" i="12"/>
  <c r="X182" i="7"/>
  <c r="AC39" i="12"/>
  <c r="AA40" i="7"/>
  <c r="AC53" i="12"/>
  <c r="AA52" i="7"/>
  <c r="AC51" i="12"/>
  <c r="AC63" i="7"/>
  <c r="AD63" s="1"/>
  <c r="P18" i="18"/>
  <c r="Q18" s="1"/>
  <c r="Q18" i="9"/>
  <c r="M20" i="18"/>
  <c r="K20" s="1"/>
  <c r="AD26" i="7"/>
  <c r="M19" i="18"/>
  <c r="K19"/>
  <c r="AC18" i="12"/>
  <c r="Y18" i="7"/>
  <c r="Z18" s="1"/>
  <c r="AC20" i="12"/>
  <c r="AA20" i="7"/>
  <c r="AB20" s="1"/>
  <c r="AC141"/>
  <c r="AD141" s="1"/>
  <c r="AB141"/>
  <c r="M18" i="18"/>
  <c r="K18" s="1"/>
  <c r="M17"/>
  <c r="K17" s="1"/>
  <c r="I35"/>
  <c r="AB6" i="7"/>
  <c r="AC15" i="12"/>
  <c r="AC22"/>
  <c r="AC19"/>
  <c r="AD184" i="7"/>
  <c r="AB184"/>
  <c r="X160" i="15"/>
  <c r="Y160" s="1"/>
  <c r="AA153"/>
  <c r="AC114" i="12"/>
  <c r="AB164" i="15"/>
  <c r="AC79" i="12"/>
  <c r="AC104"/>
  <c r="R181" i="7"/>
  <c r="Y181" s="1"/>
  <c r="Z181" s="1"/>
  <c r="AB26" i="15"/>
  <c r="W166"/>
  <c r="X6" i="8"/>
  <c r="Y6" i="12"/>
  <c r="AC6"/>
  <c r="AA18" i="8"/>
  <c r="Z166"/>
  <c r="AC25" i="7"/>
  <c r="Y151" i="6"/>
  <c r="Z151" s="1"/>
  <c r="Z18"/>
  <c r="X34"/>
  <c r="Y142"/>
  <c r="Z142" s="1"/>
  <c r="Y148"/>
  <c r="Z148" s="1"/>
  <c r="Y131"/>
  <c r="Z131" s="1"/>
  <c r="Y140"/>
  <c r="Z140" s="1"/>
  <c r="Y145"/>
  <c r="Z145" s="1"/>
  <c r="Y143"/>
  <c r="Z143" s="1"/>
  <c r="Y150"/>
  <c r="Z150" s="1"/>
  <c r="Y146"/>
  <c r="Z146" s="1"/>
  <c r="Y136"/>
  <c r="Z136" s="1"/>
  <c r="Z120"/>
  <c r="X120"/>
  <c r="Y130"/>
  <c r="Z130" s="1"/>
  <c r="Z126"/>
  <c r="Y133"/>
  <c r="Z133" s="1"/>
  <c r="Y135"/>
  <c r="Z135" s="1"/>
  <c r="Y147"/>
  <c r="Z147" s="1"/>
  <c r="X78"/>
  <c r="X122"/>
  <c r="Z122"/>
  <c r="X124"/>
  <c r="Z124"/>
  <c r="Y141"/>
  <c r="Z141" s="1"/>
  <c r="Y129"/>
  <c r="Z129" s="1"/>
  <c r="Y138"/>
  <c r="Z138" s="1"/>
  <c r="Y153"/>
  <c r="Z153" s="1"/>
  <c r="Y139"/>
  <c r="Z139" s="1"/>
  <c r="X51"/>
  <c r="Y137"/>
  <c r="Z137" s="1"/>
  <c r="X18"/>
  <c r="S119"/>
  <c r="S154" s="1"/>
  <c r="Z9"/>
  <c r="Y128"/>
  <c r="Y134"/>
  <c r="Z134" s="1"/>
  <c r="Q17" i="9" l="1"/>
  <c r="P17"/>
  <c r="M22" i="26"/>
  <c r="M26" s="1"/>
  <c r="K17"/>
  <c r="K22" s="1"/>
  <c r="K26" s="1"/>
  <c r="K35" i="9"/>
  <c r="AC29" i="7"/>
  <c r="AD29" s="1"/>
  <c r="AB47"/>
  <c r="AB27"/>
  <c r="AC27"/>
  <c r="AD27" s="1"/>
  <c r="AC32"/>
  <c r="AD32" s="1"/>
  <c r="AB32"/>
  <c r="AC77"/>
  <c r="AD77" s="1"/>
  <c r="AB77"/>
  <c r="AB37"/>
  <c r="AC37"/>
  <c r="AD37" s="1"/>
  <c r="AB54"/>
  <c r="AC54"/>
  <c r="AD54" s="1"/>
  <c r="AB68"/>
  <c r="AC68"/>
  <c r="AD68" s="1"/>
  <c r="AB71"/>
  <c r="AC71"/>
  <c r="AD71" s="1"/>
  <c r="AC31"/>
  <c r="AD31" s="1"/>
  <c r="AB31"/>
  <c r="AB40"/>
  <c r="AC40"/>
  <c r="AD40" s="1"/>
  <c r="AB73"/>
  <c r="AC73"/>
  <c r="AD73" s="1"/>
  <c r="AB48"/>
  <c r="AC48"/>
  <c r="AD48" s="1"/>
  <c r="AB57"/>
  <c r="AC57"/>
  <c r="AD57" s="1"/>
  <c r="AB52"/>
  <c r="AC52"/>
  <c r="AD52" s="1"/>
  <c r="AB58"/>
  <c r="AC58"/>
  <c r="AD58" s="1"/>
  <c r="P19" i="18"/>
  <c r="Q19" s="1"/>
  <c r="P17"/>
  <c r="Q17" s="1"/>
  <c r="AB25" i="7"/>
  <c r="AD183"/>
  <c r="K35" i="18"/>
  <c r="K47" s="1"/>
  <c r="AA25" i="7"/>
  <c r="M35" i="18"/>
  <c r="M47" s="1"/>
  <c r="X166" i="15"/>
  <c r="Y182" i="7"/>
  <c r="U166" i="8"/>
  <c r="U119" i="6"/>
  <c r="U154" s="1"/>
  <c r="Z128"/>
  <c r="Y154"/>
  <c r="P17" i="26" l="1"/>
  <c r="Q17" s="1"/>
  <c r="Q22" s="1"/>
  <c r="Q26" s="1"/>
  <c r="P35" i="9"/>
  <c r="Q35"/>
  <c r="P20" i="18"/>
  <c r="Q20" s="1"/>
  <c r="Q35" s="1"/>
  <c r="Z119" i="6"/>
  <c r="Z154" s="1"/>
  <c r="X119"/>
  <c r="X154" s="1"/>
  <c r="P22" i="26" l="1"/>
  <c r="P26" s="1"/>
  <c r="P35" i="18"/>
  <c r="P47" s="1"/>
  <c r="Q47" s="1"/>
  <c r="Q101" i="5"/>
  <c r="U101" s="1"/>
  <c r="X101" s="1"/>
  <c r="M101"/>
  <c r="Q94"/>
  <c r="U94" s="1"/>
  <c r="X94" s="1"/>
  <c r="M94"/>
  <c r="Z92"/>
  <c r="Y92"/>
  <c r="Q92"/>
  <c r="U92" s="1"/>
  <c r="X92" s="1"/>
  <c r="M92"/>
  <c r="Q89"/>
  <c r="U89" s="1"/>
  <c r="X89" s="1"/>
  <c r="M89"/>
  <c r="Z88"/>
  <c r="Y88"/>
  <c r="Q88"/>
  <c r="U88" s="1"/>
  <c r="X88" s="1"/>
  <c r="M88"/>
  <c r="Z84" l="1"/>
  <c r="Y84"/>
  <c r="Q84"/>
  <c r="U84" s="1"/>
  <c r="X84" s="1"/>
  <c r="M84"/>
  <c r="Z83"/>
  <c r="Y83"/>
  <c r="Q83"/>
  <c r="U83" s="1"/>
  <c r="X83" s="1"/>
  <c r="M83"/>
  <c r="Z82"/>
  <c r="Y82"/>
  <c r="Q82"/>
  <c r="U82" s="1"/>
  <c r="X82" s="1"/>
  <c r="M82"/>
  <c r="Q116"/>
  <c r="U116" s="1"/>
  <c r="X116" s="1"/>
  <c r="M116"/>
  <c r="Q115"/>
  <c r="U115" s="1"/>
  <c r="X115" s="1"/>
  <c r="M115"/>
  <c r="Q111"/>
  <c r="U111" s="1"/>
  <c r="X111" s="1"/>
  <c r="M111"/>
  <c r="Y15" l="1"/>
  <c r="Q15"/>
  <c r="U15" s="1"/>
  <c r="Z15" s="1"/>
  <c r="X15" l="1"/>
  <c r="Q26" l="1"/>
  <c r="W20" l="1"/>
  <c r="Q17"/>
  <c r="P135" i="4"/>
  <c r="P137"/>
  <c r="P134"/>
  <c r="P16"/>
  <c r="T16" s="1"/>
  <c r="Z121" i="5"/>
  <c r="Z120"/>
  <c r="Z119"/>
  <c r="Z118"/>
  <c r="Z117"/>
  <c r="Z114"/>
  <c r="Z113"/>
  <c r="Z112"/>
  <c r="Z110"/>
  <c r="Z109"/>
  <c r="Z108"/>
  <c r="Z107"/>
  <c r="Z106"/>
  <c r="Z105"/>
  <c r="Z104"/>
  <c r="Z102"/>
  <c r="Z100"/>
  <c r="Z99"/>
  <c r="Z98"/>
  <c r="Z97"/>
  <c r="Z96"/>
  <c r="Z95"/>
  <c r="Z93"/>
  <c r="Z91"/>
  <c r="Z90"/>
  <c r="Z87"/>
  <c r="Z86"/>
  <c r="Z85"/>
  <c r="Z81"/>
  <c r="Z80"/>
  <c r="Z75"/>
  <c r="Z74"/>
  <c r="Z72"/>
  <c r="Z71"/>
  <c r="Z70"/>
  <c r="Z69"/>
  <c r="Z68"/>
  <c r="Z67"/>
  <c r="Z64"/>
  <c r="Z63"/>
  <c r="Z62"/>
  <c r="Z61"/>
  <c r="Z59"/>
  <c r="Z58"/>
  <c r="Z57"/>
  <c r="Z56"/>
  <c r="Z55"/>
  <c r="Z54"/>
  <c r="Z53"/>
  <c r="Z52"/>
  <c r="Z51"/>
  <c r="Z50"/>
  <c r="Z49"/>
  <c r="Z48"/>
  <c r="Z47"/>
  <c r="Z46"/>
  <c r="Z44"/>
  <c r="Z43"/>
  <c r="Z42"/>
  <c r="Z41"/>
  <c r="Z40"/>
  <c r="Z38"/>
  <c r="Z37"/>
  <c r="Z36"/>
  <c r="Z35"/>
  <c r="Z34"/>
  <c r="Z33"/>
  <c r="Z32"/>
  <c r="Z29"/>
  <c r="Z28"/>
  <c r="Y130"/>
  <c r="Y129"/>
  <c r="Y128"/>
  <c r="Y127"/>
  <c r="Y126"/>
  <c r="Y125"/>
  <c r="Y124"/>
  <c r="Y123"/>
  <c r="Y121"/>
  <c r="Y120"/>
  <c r="Y119"/>
  <c r="Y118"/>
  <c r="Y117"/>
  <c r="Y114"/>
  <c r="Y113"/>
  <c r="Y112"/>
  <c r="Y110"/>
  <c r="Y109"/>
  <c r="Y108"/>
  <c r="Y107"/>
  <c r="Y106"/>
  <c r="Y105"/>
  <c r="Y104"/>
  <c r="Y102"/>
  <c r="Y100"/>
  <c r="Y99"/>
  <c r="Y98"/>
  <c r="Y97"/>
  <c r="Y96"/>
  <c r="Y95"/>
  <c r="Y93"/>
  <c r="Y91"/>
  <c r="Y90"/>
  <c r="Y87"/>
  <c r="Y86"/>
  <c r="Y85"/>
  <c r="Y81"/>
  <c r="Y80"/>
  <c r="Y75"/>
  <c r="Y74"/>
  <c r="Y72"/>
  <c r="Y71"/>
  <c r="Y70"/>
  <c r="Y69"/>
  <c r="Y68"/>
  <c r="Y67"/>
  <c r="Y64"/>
  <c r="Y63"/>
  <c r="Y62"/>
  <c r="Y61"/>
  <c r="Y59"/>
  <c r="Y58"/>
  <c r="Y57"/>
  <c r="Y56"/>
  <c r="Y55"/>
  <c r="Y54"/>
  <c r="Y53"/>
  <c r="Y52"/>
  <c r="Y51"/>
  <c r="Y50"/>
  <c r="Y49"/>
  <c r="Y48"/>
  <c r="Y47"/>
  <c r="Y46"/>
  <c r="Y44"/>
  <c r="Y43"/>
  <c r="Y42"/>
  <c r="Y41"/>
  <c r="Y40"/>
  <c r="Y38"/>
  <c r="Y37"/>
  <c r="Y36"/>
  <c r="Y35"/>
  <c r="Y34"/>
  <c r="Y33"/>
  <c r="Y32"/>
  <c r="Y29"/>
  <c r="Y28"/>
  <c r="Y26"/>
  <c r="Y25"/>
  <c r="Y24"/>
  <c r="Y23"/>
  <c r="Y22"/>
  <c r="Y21"/>
  <c r="Y18"/>
  <c r="Y17"/>
  <c r="Y16"/>
  <c r="Y14"/>
  <c r="Y13"/>
  <c r="Y12"/>
  <c r="Y11"/>
  <c r="Y10"/>
  <c r="Y9"/>
  <c r="Y8"/>
  <c r="Y7"/>
  <c r="Y6"/>
  <c r="M164"/>
  <c r="M163"/>
  <c r="M104"/>
  <c r="M81"/>
  <c r="M85"/>
  <c r="M86"/>
  <c r="M87"/>
  <c r="M90"/>
  <c r="M91"/>
  <c r="M93"/>
  <c r="M95"/>
  <c r="M96"/>
  <c r="M97"/>
  <c r="M98"/>
  <c r="M99"/>
  <c r="M100"/>
  <c r="M102"/>
  <c r="M80"/>
  <c r="M29"/>
  <c r="M32"/>
  <c r="M33"/>
  <c r="M34"/>
  <c r="M35"/>
  <c r="M36"/>
  <c r="M37"/>
  <c r="M38"/>
  <c r="M40"/>
  <c r="M41"/>
  <c r="M42"/>
  <c r="M43"/>
  <c r="M44"/>
  <c r="M46"/>
  <c r="M47"/>
  <c r="M48"/>
  <c r="M49"/>
  <c r="M50"/>
  <c r="M51"/>
  <c r="M52"/>
  <c r="M53"/>
  <c r="M54"/>
  <c r="M55"/>
  <c r="M56"/>
  <c r="M57"/>
  <c r="M58"/>
  <c r="M59"/>
  <c r="M61"/>
  <c r="M62"/>
  <c r="M63"/>
  <c r="M64"/>
  <c r="M67"/>
  <c r="M68"/>
  <c r="M69"/>
  <c r="M70"/>
  <c r="M71"/>
  <c r="M72"/>
  <c r="M74"/>
  <c r="M75"/>
  <c r="M28"/>
  <c r="W16" i="4" l="1"/>
  <c r="M165" i="5"/>
  <c r="L122"/>
  <c r="Q120"/>
  <c r="U120" s="1"/>
  <c r="X120" s="1"/>
  <c r="Q121"/>
  <c r="U121" s="1"/>
  <c r="X121" s="1"/>
  <c r="M120"/>
  <c r="M121"/>
  <c r="Q102"/>
  <c r="U102" s="1"/>
  <c r="X102" s="1"/>
  <c r="L103"/>
  <c r="Q133"/>
  <c r="R132" s="1"/>
  <c r="Q134"/>
  <c r="R133" s="1"/>
  <c r="Q135"/>
  <c r="R134" s="1"/>
  <c r="Q136"/>
  <c r="R135" s="1"/>
  <c r="Q137"/>
  <c r="R136" s="1"/>
  <c r="Q138"/>
  <c r="U138" s="1"/>
  <c r="X138" s="1"/>
  <c r="Q139"/>
  <c r="Q140"/>
  <c r="U140" s="1"/>
  <c r="Q141"/>
  <c r="R140" s="1"/>
  <c r="Q142"/>
  <c r="R141" s="1"/>
  <c r="Q143"/>
  <c r="R142" s="1"/>
  <c r="Q144"/>
  <c r="Q145"/>
  <c r="R144" s="1"/>
  <c r="Q146"/>
  <c r="R145" s="1"/>
  <c r="Q147"/>
  <c r="R146" s="1"/>
  <c r="Q148"/>
  <c r="Q149"/>
  <c r="U149" s="1"/>
  <c r="X149" s="1"/>
  <c r="Q150"/>
  <c r="U150" s="1"/>
  <c r="X150" s="1"/>
  <c r="Q151"/>
  <c r="U151" s="1"/>
  <c r="X151" s="1"/>
  <c r="Q152"/>
  <c r="U152" s="1"/>
  <c r="X152" s="1"/>
  <c r="Q153"/>
  <c r="U153" s="1"/>
  <c r="X153" s="1"/>
  <c r="Q154"/>
  <c r="U154" s="1"/>
  <c r="X154" s="1"/>
  <c r="Q155"/>
  <c r="U155" s="1"/>
  <c r="X155" s="1"/>
  <c r="Q156"/>
  <c r="U156" s="1"/>
  <c r="X156" s="1"/>
  <c r="Q157"/>
  <c r="U157" s="1"/>
  <c r="X157" s="1"/>
  <c r="Q158"/>
  <c r="R157" s="1"/>
  <c r="Q132"/>
  <c r="U132" s="1"/>
  <c r="X132" s="1"/>
  <c r="Q124"/>
  <c r="S124" s="1"/>
  <c r="U124" s="1"/>
  <c r="Q125"/>
  <c r="S125" s="1"/>
  <c r="U125" s="1"/>
  <c r="Q126"/>
  <c r="S126" s="1"/>
  <c r="U126" s="1"/>
  <c r="Q127"/>
  <c r="S127" s="1"/>
  <c r="U127" s="1"/>
  <c r="Q128"/>
  <c r="S128" s="1"/>
  <c r="U128" s="1"/>
  <c r="Q129"/>
  <c r="S129" s="1"/>
  <c r="U129" s="1"/>
  <c r="Q130"/>
  <c r="S130" s="1"/>
  <c r="U130" s="1"/>
  <c r="L79"/>
  <c r="Q49"/>
  <c r="U49" s="1"/>
  <c r="X49" s="1"/>
  <c r="W147"/>
  <c r="W146"/>
  <c r="W145"/>
  <c r="W144"/>
  <c r="W143"/>
  <c r="W142"/>
  <c r="W141"/>
  <c r="W140"/>
  <c r="W139"/>
  <c r="L123"/>
  <c r="L131" s="1"/>
  <c r="Q119"/>
  <c r="U119" s="1"/>
  <c r="X119" s="1"/>
  <c r="M119"/>
  <c r="Q118"/>
  <c r="U118" s="1"/>
  <c r="X118" s="1"/>
  <c r="M118"/>
  <c r="Q117"/>
  <c r="U117" s="1"/>
  <c r="X117" s="1"/>
  <c r="M117"/>
  <c r="Q114"/>
  <c r="U114" s="1"/>
  <c r="X114" s="1"/>
  <c r="M114"/>
  <c r="Q113"/>
  <c r="U113" s="1"/>
  <c r="X113" s="1"/>
  <c r="M113"/>
  <c r="Q112"/>
  <c r="U112" s="1"/>
  <c r="X112" s="1"/>
  <c r="M112"/>
  <c r="Q110"/>
  <c r="U110" s="1"/>
  <c r="X110" s="1"/>
  <c r="M110"/>
  <c r="Q109"/>
  <c r="U109" s="1"/>
  <c r="X109" s="1"/>
  <c r="M109"/>
  <c r="Q108"/>
  <c r="U108" s="1"/>
  <c r="X108" s="1"/>
  <c r="M108"/>
  <c r="Q107"/>
  <c r="U107" s="1"/>
  <c r="X107" s="1"/>
  <c r="M107"/>
  <c r="Q106"/>
  <c r="U106" s="1"/>
  <c r="X106" s="1"/>
  <c r="M106"/>
  <c r="Q105"/>
  <c r="U105" s="1"/>
  <c r="X105" s="1"/>
  <c r="M105"/>
  <c r="Q104"/>
  <c r="U104" s="1"/>
  <c r="X104" s="1"/>
  <c r="Q100"/>
  <c r="U100" s="1"/>
  <c r="X100" s="1"/>
  <c r="Q99"/>
  <c r="U99" s="1"/>
  <c r="X99" s="1"/>
  <c r="Q98"/>
  <c r="U98" s="1"/>
  <c r="X98" s="1"/>
  <c r="Q97"/>
  <c r="U97" s="1"/>
  <c r="X97" s="1"/>
  <c r="Q96"/>
  <c r="U96" s="1"/>
  <c r="X96" s="1"/>
  <c r="Q95"/>
  <c r="U95" s="1"/>
  <c r="X95" s="1"/>
  <c r="Q93"/>
  <c r="U93" s="1"/>
  <c r="X93" s="1"/>
  <c r="Q91"/>
  <c r="U91" s="1"/>
  <c r="X91" s="1"/>
  <c r="Q90"/>
  <c r="U90" s="1"/>
  <c r="X90" s="1"/>
  <c r="Q87"/>
  <c r="U87" s="1"/>
  <c r="X87" s="1"/>
  <c r="Q86"/>
  <c r="U86" s="1"/>
  <c r="X86" s="1"/>
  <c r="Q85"/>
  <c r="U85" s="1"/>
  <c r="X85" s="1"/>
  <c r="Q81"/>
  <c r="U81" s="1"/>
  <c r="X81" s="1"/>
  <c r="Q80"/>
  <c r="U80" s="1"/>
  <c r="X80" s="1"/>
  <c r="Q75"/>
  <c r="U75" s="1"/>
  <c r="X75" s="1"/>
  <c r="Q74"/>
  <c r="U74" s="1"/>
  <c r="X74" s="1"/>
  <c r="Q72"/>
  <c r="U72" s="1"/>
  <c r="X72" s="1"/>
  <c r="Q71"/>
  <c r="U71" s="1"/>
  <c r="X71" s="1"/>
  <c r="Q70"/>
  <c r="U70" s="1"/>
  <c r="X70" s="1"/>
  <c r="Q69"/>
  <c r="U69" s="1"/>
  <c r="X69" s="1"/>
  <c r="Q68"/>
  <c r="U68" s="1"/>
  <c r="X68" s="1"/>
  <c r="Q67"/>
  <c r="U67" s="1"/>
  <c r="X67" s="1"/>
  <c r="Q64"/>
  <c r="U64" s="1"/>
  <c r="X64" s="1"/>
  <c r="Q63"/>
  <c r="U63" s="1"/>
  <c r="X63" s="1"/>
  <c r="Q62"/>
  <c r="U62" s="1"/>
  <c r="X62" s="1"/>
  <c r="Q61"/>
  <c r="U61" s="1"/>
  <c r="X61" s="1"/>
  <c r="Q59"/>
  <c r="U59" s="1"/>
  <c r="X59" s="1"/>
  <c r="Q58"/>
  <c r="U58" s="1"/>
  <c r="X58" s="1"/>
  <c r="Q57"/>
  <c r="U57" s="1"/>
  <c r="X57" s="1"/>
  <c r="Q56"/>
  <c r="U56" s="1"/>
  <c r="X56" s="1"/>
  <c r="Q55"/>
  <c r="U55" s="1"/>
  <c r="X55" s="1"/>
  <c r="Q54"/>
  <c r="U54" s="1"/>
  <c r="X54" s="1"/>
  <c r="Q53"/>
  <c r="U53" s="1"/>
  <c r="X53" s="1"/>
  <c r="Q52"/>
  <c r="U52" s="1"/>
  <c r="X52" s="1"/>
  <c r="Q51"/>
  <c r="U51" s="1"/>
  <c r="X51" s="1"/>
  <c r="Q50"/>
  <c r="U50" s="1"/>
  <c r="X50" s="1"/>
  <c r="Q48"/>
  <c r="U48" s="1"/>
  <c r="X48" s="1"/>
  <c r="Q47"/>
  <c r="U47" s="1"/>
  <c r="X47" s="1"/>
  <c r="Q46"/>
  <c r="U46" s="1"/>
  <c r="X46" s="1"/>
  <c r="Q44"/>
  <c r="U44" s="1"/>
  <c r="X44" s="1"/>
  <c r="Q43"/>
  <c r="U43" s="1"/>
  <c r="X43" s="1"/>
  <c r="Q42"/>
  <c r="U42" s="1"/>
  <c r="X42" s="1"/>
  <c r="Q41"/>
  <c r="U41" s="1"/>
  <c r="X41" s="1"/>
  <c r="Q40"/>
  <c r="U40" s="1"/>
  <c r="X40" s="1"/>
  <c r="Q38"/>
  <c r="U38" s="1"/>
  <c r="X38" s="1"/>
  <c r="Q37"/>
  <c r="U37" s="1"/>
  <c r="X37" s="1"/>
  <c r="Q36"/>
  <c r="U36" s="1"/>
  <c r="X36" s="1"/>
  <c r="Q35"/>
  <c r="U35" s="1"/>
  <c r="X35" s="1"/>
  <c r="Q34"/>
  <c r="U34" s="1"/>
  <c r="X34" s="1"/>
  <c r="Q33"/>
  <c r="U33" s="1"/>
  <c r="X33" s="1"/>
  <c r="Q32"/>
  <c r="U32" s="1"/>
  <c r="X32" s="1"/>
  <c r="Q29"/>
  <c r="U29" s="1"/>
  <c r="X29" s="1"/>
  <c r="Q28"/>
  <c r="U28" s="1"/>
  <c r="X28" s="1"/>
  <c r="U26"/>
  <c r="X26" s="1"/>
  <c r="Q25"/>
  <c r="U25" s="1"/>
  <c r="Z25" s="1"/>
  <c r="Q24"/>
  <c r="Q23"/>
  <c r="U23" s="1"/>
  <c r="Z23" s="1"/>
  <c r="Q22"/>
  <c r="U22" s="1"/>
  <c r="Z22" s="1"/>
  <c r="Q21"/>
  <c r="U21" s="1"/>
  <c r="Q20"/>
  <c r="W19"/>
  <c r="Q19"/>
  <c r="U19" s="1"/>
  <c r="Q18"/>
  <c r="U18" s="1"/>
  <c r="U17"/>
  <c r="Z17" s="1"/>
  <c r="Q16"/>
  <c r="U16" s="1"/>
  <c r="Z16" s="1"/>
  <c r="Q14"/>
  <c r="U14" s="1"/>
  <c r="Q13"/>
  <c r="U13" s="1"/>
  <c r="Z13" s="1"/>
  <c r="Q12"/>
  <c r="U12" s="1"/>
  <c r="Z12" s="1"/>
  <c r="Q11"/>
  <c r="U11" s="1"/>
  <c r="Q10"/>
  <c r="U10" s="1"/>
  <c r="Q9"/>
  <c r="S9" s="1"/>
  <c r="Q8"/>
  <c r="U8" s="1"/>
  <c r="Q7"/>
  <c r="Q6"/>
  <c r="U6" s="1"/>
  <c r="Z6" s="1"/>
  <c r="X79" l="1"/>
  <c r="X103"/>
  <c r="X122"/>
  <c r="U24"/>
  <c r="X24" s="1"/>
  <c r="U148"/>
  <c r="X148" s="1"/>
  <c r="R150"/>
  <c r="Y150" s="1"/>
  <c r="Z150" s="1"/>
  <c r="Y157"/>
  <c r="Z157" s="1"/>
  <c r="X126"/>
  <c r="Z126"/>
  <c r="X8"/>
  <c r="Z8"/>
  <c r="U20"/>
  <c r="Z26"/>
  <c r="X130"/>
  <c r="Z130"/>
  <c r="X11"/>
  <c r="Z11"/>
  <c r="X127"/>
  <c r="Z127"/>
  <c r="X17"/>
  <c r="X10"/>
  <c r="Z10"/>
  <c r="X128"/>
  <c r="Z128"/>
  <c r="X124"/>
  <c r="Z124"/>
  <c r="X21"/>
  <c r="Z21"/>
  <c r="X129"/>
  <c r="Z129"/>
  <c r="X125"/>
  <c r="Z125"/>
  <c r="W159"/>
  <c r="Y132"/>
  <c r="Z132" s="1"/>
  <c r="X18"/>
  <c r="Z18"/>
  <c r="X14"/>
  <c r="Z14"/>
  <c r="R154"/>
  <c r="Y154" s="1"/>
  <c r="Z154" s="1"/>
  <c r="X19"/>
  <c r="Y19" s="1"/>
  <c r="Z19" s="1"/>
  <c r="R138"/>
  <c r="Y138" s="1"/>
  <c r="Z138" s="1"/>
  <c r="U158"/>
  <c r="X158" s="1"/>
  <c r="R139"/>
  <c r="U9"/>
  <c r="X9" s="1"/>
  <c r="U141"/>
  <c r="X141" s="1"/>
  <c r="Y141" s="1"/>
  <c r="Z141" s="1"/>
  <c r="R147"/>
  <c r="R151"/>
  <c r="Y151" s="1"/>
  <c r="Z151" s="1"/>
  <c r="R155"/>
  <c r="Y155" s="1"/>
  <c r="Z155" s="1"/>
  <c r="R148"/>
  <c r="R152"/>
  <c r="Y152" s="1"/>
  <c r="Z152" s="1"/>
  <c r="R156"/>
  <c r="Y156" s="1"/>
  <c r="Z156" s="1"/>
  <c r="Q123"/>
  <c r="S123" s="1"/>
  <c r="U123" s="1"/>
  <c r="X13"/>
  <c r="X140"/>
  <c r="Y140" s="1"/>
  <c r="Z140" s="1"/>
  <c r="R143"/>
  <c r="U144"/>
  <c r="X144" s="1"/>
  <c r="Y144" s="1"/>
  <c r="Z144" s="1"/>
  <c r="U145"/>
  <c r="X145" s="1"/>
  <c r="Y145" s="1"/>
  <c r="Z145" s="1"/>
  <c r="R149"/>
  <c r="Y149" s="1"/>
  <c r="Z149" s="1"/>
  <c r="R153"/>
  <c r="Y153" s="1"/>
  <c r="Z153" s="1"/>
  <c r="U7"/>
  <c r="U133"/>
  <c r="X133" s="1"/>
  <c r="Y133" s="1"/>
  <c r="Z133" s="1"/>
  <c r="U134"/>
  <c r="X134" s="1"/>
  <c r="Y134" s="1"/>
  <c r="Z134" s="1"/>
  <c r="U135"/>
  <c r="X135" s="1"/>
  <c r="Y135" s="1"/>
  <c r="Z135" s="1"/>
  <c r="U136"/>
  <c r="X136" s="1"/>
  <c r="Y136" s="1"/>
  <c r="Z136" s="1"/>
  <c r="U137"/>
  <c r="X137" s="1"/>
  <c r="U139"/>
  <c r="X139" s="1"/>
  <c r="U143"/>
  <c r="X143" s="1"/>
  <c r="U147"/>
  <c r="X147" s="1"/>
  <c r="X16"/>
  <c r="X22"/>
  <c r="R137"/>
  <c r="U142"/>
  <c r="X142" s="1"/>
  <c r="Y142" s="1"/>
  <c r="Z142" s="1"/>
  <c r="U146"/>
  <c r="X146" s="1"/>
  <c r="Y146" s="1"/>
  <c r="Z146" s="1"/>
  <c r="X6"/>
  <c r="X23"/>
  <c r="X25"/>
  <c r="X12"/>
  <c r="Z24" l="1"/>
  <c r="Y148"/>
  <c r="Z148" s="1"/>
  <c r="Q159"/>
  <c r="R158" s="1"/>
  <c r="Y158" s="1"/>
  <c r="Y137"/>
  <c r="Z137" s="1"/>
  <c r="X7"/>
  <c r="Z7"/>
  <c r="Y143"/>
  <c r="Z143" s="1"/>
  <c r="Y147"/>
  <c r="Z147" s="1"/>
  <c r="X20"/>
  <c r="Y20" s="1"/>
  <c r="Z20" s="1"/>
  <c r="S159"/>
  <c r="X123"/>
  <c r="Z123"/>
  <c r="U159"/>
  <c r="Y139"/>
  <c r="Z139" s="1"/>
  <c r="Z9"/>
  <c r="AQ9"/>
  <c r="X159" l="1"/>
  <c r="Z158"/>
  <c r="Z159" s="1"/>
  <c r="Y159"/>
  <c r="P138" i="4"/>
  <c r="P116"/>
  <c r="P121"/>
  <c r="L97"/>
  <c r="L76"/>
  <c r="P39"/>
  <c r="P140"/>
  <c r="T140" s="1"/>
  <c r="P18"/>
  <c r="T18" s="1"/>
  <c r="V18"/>
  <c r="W140" l="1"/>
  <c r="P27"/>
  <c r="T27" s="1"/>
  <c r="P26"/>
  <c r="T26" s="1"/>
  <c r="L117"/>
  <c r="P110"/>
  <c r="T110" s="1"/>
  <c r="W110" s="1"/>
  <c r="M110"/>
  <c r="M85"/>
  <c r="P160"/>
  <c r="T160" s="1"/>
  <c r="W160" s="1"/>
  <c r="P159"/>
  <c r="T159" s="1"/>
  <c r="W159" s="1"/>
  <c r="P158"/>
  <c r="T158" s="1"/>
  <c r="W158" s="1"/>
  <c r="P157"/>
  <c r="T157" s="1"/>
  <c r="W157" s="1"/>
  <c r="P156"/>
  <c r="T156" s="1"/>
  <c r="W156" s="1"/>
  <c r="P155"/>
  <c r="T155" s="1"/>
  <c r="W155" s="1"/>
  <c r="P154"/>
  <c r="T154" s="1"/>
  <c r="W154" s="1"/>
  <c r="P153"/>
  <c r="T153" s="1"/>
  <c r="W153" s="1"/>
  <c r="P152"/>
  <c r="T152" s="1"/>
  <c r="W152" s="1"/>
  <c r="P151"/>
  <c r="T151" s="1"/>
  <c r="W151" s="1"/>
  <c r="P150"/>
  <c r="V149"/>
  <c r="P149"/>
  <c r="V148"/>
  <c r="P148"/>
  <c r="Q147" s="1"/>
  <c r="V147"/>
  <c r="P147"/>
  <c r="V146"/>
  <c r="P146"/>
  <c r="T146" s="1"/>
  <c r="V145"/>
  <c r="P145"/>
  <c r="Q144" s="1"/>
  <c r="V144"/>
  <c r="P144"/>
  <c r="Q143" s="1"/>
  <c r="V143"/>
  <c r="P143"/>
  <c r="Q142" s="1"/>
  <c r="V142"/>
  <c r="P142"/>
  <c r="Q140" s="1"/>
  <c r="V141"/>
  <c r="P141"/>
  <c r="P139"/>
  <c r="P136"/>
  <c r="P132"/>
  <c r="R132" s="1"/>
  <c r="P131"/>
  <c r="R131" s="1"/>
  <c r="P130"/>
  <c r="R130" s="1"/>
  <c r="P129"/>
  <c r="R129" s="1"/>
  <c r="P128"/>
  <c r="R128" s="1"/>
  <c r="P127"/>
  <c r="R127" s="1"/>
  <c r="P126"/>
  <c r="R126" s="1"/>
  <c r="P125"/>
  <c r="R125" s="1"/>
  <c r="P124"/>
  <c r="R124" s="1"/>
  <c r="P123"/>
  <c r="R123" s="1"/>
  <c r="P122"/>
  <c r="R122" s="1"/>
  <c r="R121"/>
  <c r="T121" s="1"/>
  <c r="P120"/>
  <c r="R120" s="1"/>
  <c r="P119"/>
  <c r="R119" s="1"/>
  <c r="P118"/>
  <c r="R118" s="1"/>
  <c r="T118" s="1"/>
  <c r="W118" s="1"/>
  <c r="L118"/>
  <c r="L133" s="1"/>
  <c r="T116"/>
  <c r="W116" s="1"/>
  <c r="M116"/>
  <c r="P115"/>
  <c r="T115" s="1"/>
  <c r="W115" s="1"/>
  <c r="M115"/>
  <c r="P114"/>
  <c r="T114" s="1"/>
  <c r="W114" s="1"/>
  <c r="M114"/>
  <c r="P113"/>
  <c r="T113" s="1"/>
  <c r="W113" s="1"/>
  <c r="M113"/>
  <c r="P112"/>
  <c r="T112" s="1"/>
  <c r="W112" s="1"/>
  <c r="M112"/>
  <c r="P111"/>
  <c r="T111" s="1"/>
  <c r="W111" s="1"/>
  <c r="M111"/>
  <c r="P109"/>
  <c r="T109" s="1"/>
  <c r="W109" s="1"/>
  <c r="M109"/>
  <c r="P108"/>
  <c r="T108" s="1"/>
  <c r="W108" s="1"/>
  <c r="M108"/>
  <c r="P107"/>
  <c r="T107" s="1"/>
  <c r="W107" s="1"/>
  <c r="M107"/>
  <c r="P106"/>
  <c r="T106" s="1"/>
  <c r="W106" s="1"/>
  <c r="M106"/>
  <c r="P105"/>
  <c r="T105" s="1"/>
  <c r="W105" s="1"/>
  <c r="M105"/>
  <c r="P104"/>
  <c r="T104" s="1"/>
  <c r="W104" s="1"/>
  <c r="M104"/>
  <c r="P103"/>
  <c r="T103" s="1"/>
  <c r="W103" s="1"/>
  <c r="M103"/>
  <c r="P102"/>
  <c r="T102" s="1"/>
  <c r="W102" s="1"/>
  <c r="M102"/>
  <c r="P101"/>
  <c r="T101" s="1"/>
  <c r="W101" s="1"/>
  <c r="M101"/>
  <c r="P100"/>
  <c r="T100" s="1"/>
  <c r="W100" s="1"/>
  <c r="M100"/>
  <c r="P99"/>
  <c r="T99" s="1"/>
  <c r="W99" s="1"/>
  <c r="M99"/>
  <c r="P98"/>
  <c r="T98" s="1"/>
  <c r="W98" s="1"/>
  <c r="M98"/>
  <c r="P96"/>
  <c r="T96" s="1"/>
  <c r="W96" s="1"/>
  <c r="M96"/>
  <c r="P95"/>
  <c r="T95" s="1"/>
  <c r="W95" s="1"/>
  <c r="M95"/>
  <c r="P94"/>
  <c r="T94" s="1"/>
  <c r="W94" s="1"/>
  <c r="M94"/>
  <c r="P93"/>
  <c r="T93" s="1"/>
  <c r="W93" s="1"/>
  <c r="M93"/>
  <c r="P92"/>
  <c r="T92" s="1"/>
  <c r="W92" s="1"/>
  <c r="M92"/>
  <c r="P91"/>
  <c r="T91" s="1"/>
  <c r="W91" s="1"/>
  <c r="M91"/>
  <c r="P90"/>
  <c r="T90" s="1"/>
  <c r="W90" s="1"/>
  <c r="M90"/>
  <c r="P89"/>
  <c r="T89" s="1"/>
  <c r="W89" s="1"/>
  <c r="M89"/>
  <c r="P88"/>
  <c r="T88" s="1"/>
  <c r="W88" s="1"/>
  <c r="M88"/>
  <c r="P87"/>
  <c r="T87" s="1"/>
  <c r="W87" s="1"/>
  <c r="M87"/>
  <c r="P86"/>
  <c r="T86" s="1"/>
  <c r="W86" s="1"/>
  <c r="M86"/>
  <c r="P85"/>
  <c r="T85" s="1"/>
  <c r="W85" s="1"/>
  <c r="P84"/>
  <c r="T84" s="1"/>
  <c r="W84" s="1"/>
  <c r="M84"/>
  <c r="P83"/>
  <c r="T83" s="1"/>
  <c r="W83" s="1"/>
  <c r="M83"/>
  <c r="P82"/>
  <c r="T82" s="1"/>
  <c r="W82" s="1"/>
  <c r="M82"/>
  <c r="P81"/>
  <c r="T81" s="1"/>
  <c r="W81" s="1"/>
  <c r="M81"/>
  <c r="P80"/>
  <c r="T80" s="1"/>
  <c r="W80" s="1"/>
  <c r="M80"/>
  <c r="P79"/>
  <c r="T79" s="1"/>
  <c r="W79" s="1"/>
  <c r="M79"/>
  <c r="P78"/>
  <c r="T78" s="1"/>
  <c r="W78" s="1"/>
  <c r="M78"/>
  <c r="P77"/>
  <c r="T77" s="1"/>
  <c r="W77" s="1"/>
  <c r="M77"/>
  <c r="P75"/>
  <c r="T75" s="1"/>
  <c r="W75" s="1"/>
  <c r="M75"/>
  <c r="P74"/>
  <c r="T74" s="1"/>
  <c r="W74" s="1"/>
  <c r="M74"/>
  <c r="P73"/>
  <c r="T73" s="1"/>
  <c r="W73" s="1"/>
  <c r="M73"/>
  <c r="P72"/>
  <c r="T72" s="1"/>
  <c r="W72" s="1"/>
  <c r="M72"/>
  <c r="P71"/>
  <c r="T71" s="1"/>
  <c r="W71" s="1"/>
  <c r="M71"/>
  <c r="P70"/>
  <c r="T70" s="1"/>
  <c r="W70" s="1"/>
  <c r="M70"/>
  <c r="P69"/>
  <c r="T69" s="1"/>
  <c r="W69" s="1"/>
  <c r="M69"/>
  <c r="P68"/>
  <c r="T68" s="1"/>
  <c r="W68" s="1"/>
  <c r="M68"/>
  <c r="P67"/>
  <c r="T67" s="1"/>
  <c r="W67" s="1"/>
  <c r="M67"/>
  <c r="P66"/>
  <c r="T66" s="1"/>
  <c r="W66" s="1"/>
  <c r="M66"/>
  <c r="P65"/>
  <c r="T65" s="1"/>
  <c r="W65" s="1"/>
  <c r="M65"/>
  <c r="P64"/>
  <c r="T64" s="1"/>
  <c r="W64" s="1"/>
  <c r="M64"/>
  <c r="P63"/>
  <c r="T63" s="1"/>
  <c r="W63" s="1"/>
  <c r="M63"/>
  <c r="P62"/>
  <c r="T62" s="1"/>
  <c r="W62" s="1"/>
  <c r="M62"/>
  <c r="P61"/>
  <c r="T61" s="1"/>
  <c r="W61" s="1"/>
  <c r="M61"/>
  <c r="P60"/>
  <c r="T60" s="1"/>
  <c r="W60" s="1"/>
  <c r="M60"/>
  <c r="P59"/>
  <c r="T59" s="1"/>
  <c r="W59" s="1"/>
  <c r="M59"/>
  <c r="P58"/>
  <c r="T58" s="1"/>
  <c r="W58" s="1"/>
  <c r="M58"/>
  <c r="P57"/>
  <c r="T57" s="1"/>
  <c r="W57" s="1"/>
  <c r="M57"/>
  <c r="P56"/>
  <c r="T56" s="1"/>
  <c r="W56" s="1"/>
  <c r="M56"/>
  <c r="P55"/>
  <c r="T55" s="1"/>
  <c r="W55" s="1"/>
  <c r="M55"/>
  <c r="P54"/>
  <c r="T54" s="1"/>
  <c r="W54" s="1"/>
  <c r="M54"/>
  <c r="P53"/>
  <c r="T53" s="1"/>
  <c r="W53" s="1"/>
  <c r="M53"/>
  <c r="P52"/>
  <c r="T52" s="1"/>
  <c r="W52" s="1"/>
  <c r="M52"/>
  <c r="P51"/>
  <c r="T51" s="1"/>
  <c r="W51" s="1"/>
  <c r="M51"/>
  <c r="P50"/>
  <c r="T50" s="1"/>
  <c r="W50" s="1"/>
  <c r="M50"/>
  <c r="P49"/>
  <c r="T49" s="1"/>
  <c r="W49" s="1"/>
  <c r="M49"/>
  <c r="P48"/>
  <c r="T48" s="1"/>
  <c r="W48" s="1"/>
  <c r="M48"/>
  <c r="P47"/>
  <c r="T47" s="1"/>
  <c r="W47" s="1"/>
  <c r="M47"/>
  <c r="P46"/>
  <c r="T46" s="1"/>
  <c r="W46" s="1"/>
  <c r="M46"/>
  <c r="P45"/>
  <c r="T45" s="1"/>
  <c r="W45" s="1"/>
  <c r="M45"/>
  <c r="P44"/>
  <c r="T44" s="1"/>
  <c r="W44" s="1"/>
  <c r="M44"/>
  <c r="P43"/>
  <c r="T43" s="1"/>
  <c r="W43" s="1"/>
  <c r="M43"/>
  <c r="P42"/>
  <c r="T42" s="1"/>
  <c r="W42" s="1"/>
  <c r="M42"/>
  <c r="P41"/>
  <c r="T41" s="1"/>
  <c r="W41" s="1"/>
  <c r="M41"/>
  <c r="P40"/>
  <c r="T40" s="1"/>
  <c r="W40" s="1"/>
  <c r="M40"/>
  <c r="T39"/>
  <c r="W39" s="1"/>
  <c r="M39"/>
  <c r="P38"/>
  <c r="T38" s="1"/>
  <c r="W38" s="1"/>
  <c r="M38"/>
  <c r="P37"/>
  <c r="T37" s="1"/>
  <c r="W37" s="1"/>
  <c r="M37"/>
  <c r="P36"/>
  <c r="T36" s="1"/>
  <c r="W36" s="1"/>
  <c r="M36"/>
  <c r="P35"/>
  <c r="T35" s="1"/>
  <c r="W35" s="1"/>
  <c r="M35"/>
  <c r="P34"/>
  <c r="T34" s="1"/>
  <c r="W34" s="1"/>
  <c r="M34"/>
  <c r="P33"/>
  <c r="T33" s="1"/>
  <c r="W33" s="1"/>
  <c r="M33"/>
  <c r="P32"/>
  <c r="M32"/>
  <c r="P31"/>
  <c r="T31" s="1"/>
  <c r="W31" s="1"/>
  <c r="M31"/>
  <c r="P30"/>
  <c r="T30" s="1"/>
  <c r="W30" s="1"/>
  <c r="M30"/>
  <c r="P29"/>
  <c r="T29" s="1"/>
  <c r="W29" s="1"/>
  <c r="M29"/>
  <c r="P25"/>
  <c r="P24"/>
  <c r="T24" s="1"/>
  <c r="P23"/>
  <c r="P22"/>
  <c r="P21"/>
  <c r="T21" s="1"/>
  <c r="P20"/>
  <c r="T20" s="1"/>
  <c r="V19"/>
  <c r="P19"/>
  <c r="P17"/>
  <c r="T17" s="1"/>
  <c r="W17" s="1"/>
  <c r="P15"/>
  <c r="P14"/>
  <c r="T14" s="1"/>
  <c r="P13"/>
  <c r="T13" s="1"/>
  <c r="P12"/>
  <c r="T12" s="1"/>
  <c r="W12" s="1"/>
  <c r="P11"/>
  <c r="T11" s="1"/>
  <c r="W11" s="1"/>
  <c r="P10"/>
  <c r="T10" s="1"/>
  <c r="P9"/>
  <c r="R9" s="1"/>
  <c r="P8"/>
  <c r="T8" s="1"/>
  <c r="P7"/>
  <c r="T7" s="1"/>
  <c r="P6"/>
  <c r="T6" s="1"/>
  <c r="T130" l="1"/>
  <c r="W130" s="1"/>
  <c r="V161"/>
  <c r="T23"/>
  <c r="W23" s="1"/>
  <c r="T150"/>
  <c r="W150" s="1"/>
  <c r="T22"/>
  <c r="W22" s="1"/>
  <c r="T131"/>
  <c r="W131" s="1"/>
  <c r="T125"/>
  <c r="W125" s="1"/>
  <c r="T126"/>
  <c r="W126" s="1"/>
  <c r="T122"/>
  <c r="W122" s="1"/>
  <c r="T128"/>
  <c r="W128" s="1"/>
  <c r="Q148"/>
  <c r="Q149"/>
  <c r="T127"/>
  <c r="W127" s="1"/>
  <c r="T123"/>
  <c r="W123" s="1"/>
  <c r="T119"/>
  <c r="W119" s="1"/>
  <c r="T129"/>
  <c r="W129" s="1"/>
  <c r="T124"/>
  <c r="W124" s="1"/>
  <c r="T120"/>
  <c r="W120" s="1"/>
  <c r="T132"/>
  <c r="W132" s="1"/>
  <c r="M161"/>
  <c r="W97"/>
  <c r="T32"/>
  <c r="W32" s="1"/>
  <c r="P161"/>
  <c r="Q160" s="1"/>
  <c r="W27"/>
  <c r="W26"/>
  <c r="T9"/>
  <c r="W9" s="1"/>
  <c r="Q145"/>
  <c r="W117"/>
  <c r="W121"/>
  <c r="W7"/>
  <c r="Q150"/>
  <c r="Q152"/>
  <c r="Q154"/>
  <c r="Q156"/>
  <c r="Q158"/>
  <c r="W21"/>
  <c r="Q146"/>
  <c r="T147"/>
  <c r="W147" s="1"/>
  <c r="W13"/>
  <c r="T15"/>
  <c r="W15" s="1"/>
  <c r="T25"/>
  <c r="W25" s="1"/>
  <c r="Q141"/>
  <c r="T142"/>
  <c r="W142" s="1"/>
  <c r="T143"/>
  <c r="W143" s="1"/>
  <c r="Q151"/>
  <c r="Q153"/>
  <c r="Q155"/>
  <c r="Q157"/>
  <c r="Q159"/>
  <c r="W6"/>
  <c r="R161"/>
  <c r="T134"/>
  <c r="W134" s="1"/>
  <c r="T135"/>
  <c r="W135" s="1"/>
  <c r="T136"/>
  <c r="W136" s="1"/>
  <c r="T137"/>
  <c r="W137" s="1"/>
  <c r="T138"/>
  <c r="W138" s="1"/>
  <c r="T139"/>
  <c r="W139" s="1"/>
  <c r="T141"/>
  <c r="W141" s="1"/>
  <c r="T145"/>
  <c r="W145" s="1"/>
  <c r="T149"/>
  <c r="W149" s="1"/>
  <c r="W18"/>
  <c r="W19"/>
  <c r="Q134"/>
  <c r="Q135"/>
  <c r="Q136"/>
  <c r="Q137"/>
  <c r="Q138"/>
  <c r="Q139"/>
  <c r="T144"/>
  <c r="W144" s="1"/>
  <c r="W146"/>
  <c r="T148"/>
  <c r="W148" s="1"/>
  <c r="W8"/>
  <c r="W10"/>
  <c r="W14"/>
  <c r="W20"/>
  <c r="W24"/>
  <c r="AP9" l="1"/>
  <c r="W133"/>
  <c r="W161" s="1"/>
  <c r="T161"/>
  <c r="AC166" i="12" l="1"/>
  <c r="Q182" i="7"/>
  <c r="AC123" i="12" l="1"/>
  <c r="AA138" i="7"/>
  <c r="U182"/>
  <c r="Z138"/>
  <c r="Z182" s="1"/>
  <c r="AC138" l="1"/>
  <c r="AB138"/>
  <c r="AB182" s="1"/>
  <c r="AA155"/>
  <c r="AC155" l="1"/>
  <c r="AD138"/>
  <c r="AD155" l="1"/>
  <c r="AD182" s="1"/>
  <c r="AD185" s="1"/>
</calcChain>
</file>

<file path=xl/comments1.xml><?xml version="1.0" encoding="utf-8"?>
<comments xmlns="http://schemas.openxmlformats.org/spreadsheetml/2006/main">
  <authors>
    <author>Автор</author>
  </authors>
  <commentList>
    <comment ref="O10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 20 лет</t>
        </r>
      </text>
    </comment>
    <comment ref="O1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 года стаж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O1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 20 лет</t>
        </r>
      </text>
    </comment>
    <comment ref="O1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 года стаж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O1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 20 лет</t>
        </r>
      </text>
    </comment>
    <comment ref="O1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 года стаж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O1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 20 лет</t>
        </r>
      </text>
    </comment>
    <comment ref="O1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 года стаж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O2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 20 лет</t>
        </r>
      </text>
    </comment>
    <comment ref="O7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 года стаж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O1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 20 лет</t>
        </r>
      </text>
    </comment>
    <comment ref="O1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 года стаж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O1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 20 лет</t>
        </r>
      </text>
    </comment>
    <comment ref="O12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 года стаж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O8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 20 лет</t>
        </r>
      </text>
    </comment>
    <comment ref="O10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 года стаж</t>
        </r>
      </text>
    </comment>
  </commentList>
</comments>
</file>

<file path=xl/sharedStrings.xml><?xml version="1.0" encoding="utf-8"?>
<sst xmlns="http://schemas.openxmlformats.org/spreadsheetml/2006/main" count="21837" uniqueCount="949">
  <si>
    <t>ГККП Детская музыкальная школа г.Павлодара</t>
  </si>
  <si>
    <t>№ п/п</t>
  </si>
  <si>
    <t>Ф.И.О.</t>
  </si>
  <si>
    <t>Должность</t>
  </si>
  <si>
    <t>Образование</t>
  </si>
  <si>
    <t>Стаж работы по специальности (лет,мес,дней) на 01.01.2019г.</t>
  </si>
  <si>
    <t>Сетка стажа</t>
  </si>
  <si>
    <t>Количество работников,кому положена доплата в размере 10%</t>
  </si>
  <si>
    <t>Блок</t>
  </si>
  <si>
    <t>Звено</t>
  </si>
  <si>
    <t>Ступень</t>
  </si>
  <si>
    <t>Базовый должностной оклад</t>
  </si>
  <si>
    <t>Количество часов</t>
  </si>
  <si>
    <t>Количество единиц</t>
  </si>
  <si>
    <t>Категория</t>
  </si>
  <si>
    <t>Коэффициент</t>
  </si>
  <si>
    <t>Должностной оклад</t>
  </si>
  <si>
    <t>Сельские 25%</t>
  </si>
  <si>
    <t>За особые условия труда 10%</t>
  </si>
  <si>
    <t>Надбавка к ставке</t>
  </si>
  <si>
    <t>Месячный фонд заработной платы</t>
  </si>
  <si>
    <t>%</t>
  </si>
  <si>
    <t>Сумма</t>
  </si>
  <si>
    <t>Бобровская О.Л.</t>
  </si>
  <si>
    <t>и.о руководителя</t>
  </si>
  <si>
    <t>высшее</t>
  </si>
  <si>
    <t>28л03м6д</t>
  </si>
  <si>
    <t>свыше 25л</t>
  </si>
  <si>
    <t>А</t>
  </si>
  <si>
    <t>А1</t>
  </si>
  <si>
    <t>3</t>
  </si>
  <si>
    <t>Темиргалиева Л.М.</t>
  </si>
  <si>
    <t>Рук.структ подр</t>
  </si>
  <si>
    <t>30л11м00д</t>
  </si>
  <si>
    <t>свыше 25</t>
  </si>
  <si>
    <t>А2</t>
  </si>
  <si>
    <t>Акулина О.П.</t>
  </si>
  <si>
    <t>36л04м00</t>
  </si>
  <si>
    <t>Джагопарова Ш.Р.</t>
  </si>
  <si>
    <t>26л05м,1д</t>
  </si>
  <si>
    <t>свыше25</t>
  </si>
  <si>
    <t>Акимханова А.Н.</t>
  </si>
  <si>
    <t>Завуч по ВР</t>
  </si>
  <si>
    <t>33л03м22д</t>
  </si>
  <si>
    <t>3-1</t>
  </si>
  <si>
    <t>Ермекбаев К.М</t>
  </si>
  <si>
    <t>Завуч по УР</t>
  </si>
  <si>
    <t>27л1м16д</t>
  </si>
  <si>
    <t>Сысоева С.Г.</t>
  </si>
  <si>
    <t>Гл.бухгалтер</t>
  </si>
  <si>
    <t>21г 11м 24д</t>
  </si>
  <si>
    <t>с 20-25</t>
  </si>
  <si>
    <t>Кудайкулова В.А.</t>
  </si>
  <si>
    <t>Бухгалтер</t>
  </si>
  <si>
    <t>6л02м17д</t>
  </si>
  <si>
    <t>с 5-7</t>
  </si>
  <si>
    <t>С</t>
  </si>
  <si>
    <t>2</t>
  </si>
  <si>
    <t>Иванова С.В.</t>
  </si>
  <si>
    <t>секретарь</t>
  </si>
  <si>
    <t>20л 02м 30д</t>
  </si>
  <si>
    <t>D</t>
  </si>
  <si>
    <t>Абильдинова С.Н.</t>
  </si>
  <si>
    <t>зав. складом м/инстр</t>
  </si>
  <si>
    <t>ср/спец</t>
  </si>
  <si>
    <t>14л05м0д</t>
  </si>
  <si>
    <t>с 13-16</t>
  </si>
  <si>
    <t>2г05м0д</t>
  </si>
  <si>
    <t>с2 до 3</t>
  </si>
  <si>
    <t>C</t>
  </si>
  <si>
    <t>Ясинская С.И</t>
  </si>
  <si>
    <t>библиотекарь</t>
  </si>
  <si>
    <t>7л04м0д</t>
  </si>
  <si>
    <t>с 7-10</t>
  </si>
  <si>
    <t>Рассадина И.А</t>
  </si>
  <si>
    <t>среднее</t>
  </si>
  <si>
    <t>4 г04м0д</t>
  </si>
  <si>
    <t>с 3 до 5</t>
  </si>
  <si>
    <t>Корнюшко В.С.</t>
  </si>
  <si>
    <t>Инженер по оборудованию</t>
  </si>
  <si>
    <t>7л 11м 26д</t>
  </si>
  <si>
    <t>Гизбрехт К.В.</t>
  </si>
  <si>
    <t>настройщик муз,инструментов</t>
  </si>
  <si>
    <t>7г08м0д</t>
  </si>
  <si>
    <t>с7-10</t>
  </si>
  <si>
    <t>Пархоменко М.В.</t>
  </si>
  <si>
    <t>настройщик ремонтир.муз.инстр</t>
  </si>
  <si>
    <t>5л 04м0д</t>
  </si>
  <si>
    <t>с5 до7</t>
  </si>
  <si>
    <t>Макаров К.С</t>
  </si>
  <si>
    <t>9л00м00</t>
  </si>
  <si>
    <t>Кайшанов Н.Б.</t>
  </si>
  <si>
    <t>17л11м00д</t>
  </si>
  <si>
    <t>с 16-20</t>
  </si>
  <si>
    <t>Имашхан А.</t>
  </si>
  <si>
    <t>переводчик</t>
  </si>
  <si>
    <t>1г05м00д</t>
  </si>
  <si>
    <t>с1 до 2</t>
  </si>
  <si>
    <t>Абжанова Г.А.</t>
  </si>
  <si>
    <t>педагог</t>
  </si>
  <si>
    <t>13л07м23д</t>
  </si>
  <si>
    <t>с 10-13</t>
  </si>
  <si>
    <t>В</t>
  </si>
  <si>
    <t>В3</t>
  </si>
  <si>
    <t>первая</t>
  </si>
  <si>
    <t>35г03м25д</t>
  </si>
  <si>
    <t>Андрющенко А.А.</t>
  </si>
  <si>
    <t>03г03м26д</t>
  </si>
  <si>
    <t>с 2 до 3</t>
  </si>
  <si>
    <t>вторая</t>
  </si>
  <si>
    <t>Аллахвердиева Д.Б</t>
  </si>
  <si>
    <t>03г01м00д</t>
  </si>
  <si>
    <t>б/к</t>
  </si>
  <si>
    <t>29л 11м 06д</t>
  </si>
  <si>
    <t>свыше 25 лет</t>
  </si>
  <si>
    <t>в\к</t>
  </si>
  <si>
    <t>Валеева И.В.</t>
  </si>
  <si>
    <t>31г11м20д</t>
  </si>
  <si>
    <t>В4</t>
  </si>
  <si>
    <t>Багуркина И.А</t>
  </si>
  <si>
    <t>баян</t>
  </si>
  <si>
    <t>01л00м00д</t>
  </si>
  <si>
    <t>с 1до 2</t>
  </si>
  <si>
    <t>б\к</t>
  </si>
  <si>
    <t>Бубнова В.Ю</t>
  </si>
  <si>
    <t>вокал</t>
  </si>
  <si>
    <t>02г04м00д</t>
  </si>
  <si>
    <t>Гонтовой О.Л.</t>
  </si>
  <si>
    <t>29л03м05д</t>
  </si>
  <si>
    <t>в/к</t>
  </si>
  <si>
    <t>Ермекбаев К.М.</t>
  </si>
  <si>
    <t>27л01м16д</t>
  </si>
  <si>
    <t>6л00м19д</t>
  </si>
  <si>
    <t>Зверева М.Б.</t>
  </si>
  <si>
    <t>43г05м29д</t>
  </si>
  <si>
    <t>Землякова Н.В</t>
  </si>
  <si>
    <t>теория</t>
  </si>
  <si>
    <t>34г 00м 0д</t>
  </si>
  <si>
    <t>Иванова Р.В.</t>
  </si>
  <si>
    <t>5г 03м 0д</t>
  </si>
  <si>
    <t>с 3-5</t>
  </si>
  <si>
    <t>б/кат</t>
  </si>
  <si>
    <t>20л 03м 30д</t>
  </si>
  <si>
    <t>Ишанкулов Б.К.</t>
  </si>
  <si>
    <t>9л03м28д</t>
  </si>
  <si>
    <t>Игенбаев Н.А</t>
  </si>
  <si>
    <t>4г5м00д</t>
  </si>
  <si>
    <t>Казаченкова С.Н.</t>
  </si>
  <si>
    <t>концертмейстер</t>
  </si>
  <si>
    <t>23л03м25л</t>
  </si>
  <si>
    <t>Камкина С.С.</t>
  </si>
  <si>
    <t>37г05м02д</t>
  </si>
  <si>
    <t>высшая</t>
  </si>
  <si>
    <t>Канаева А.Б</t>
  </si>
  <si>
    <t>кобыз</t>
  </si>
  <si>
    <t>23г00м00д</t>
  </si>
  <si>
    <t>1</t>
  </si>
  <si>
    <t>Карменов А.Е</t>
  </si>
  <si>
    <t>0л4м0д</t>
  </si>
  <si>
    <t>до года</t>
  </si>
  <si>
    <t>Каскырбаева Г.М.</t>
  </si>
  <si>
    <t>32л08м14д</t>
  </si>
  <si>
    <t>Колбасенко Е.В.</t>
  </si>
  <si>
    <t>2г 4м 0д</t>
  </si>
  <si>
    <t>с 2-3</t>
  </si>
  <si>
    <t>б/катег.</t>
  </si>
  <si>
    <t>Кузякин И.В.</t>
  </si>
  <si>
    <t>8л4м0д</t>
  </si>
  <si>
    <t>Лысова Е.М.</t>
  </si>
  <si>
    <t>7г00м27д</t>
  </si>
  <si>
    <t>труба</t>
  </si>
  <si>
    <t>Масленников Д.С.</t>
  </si>
  <si>
    <t>27г01м22д</t>
  </si>
  <si>
    <t>Миронец К.В.</t>
  </si>
  <si>
    <t>13л03м26д</t>
  </si>
  <si>
    <t>Михайлова И.В.</t>
  </si>
  <si>
    <t>43л05м28д</t>
  </si>
  <si>
    <t>Мусатаева А.Т.</t>
  </si>
  <si>
    <t>высшеее</t>
  </si>
  <si>
    <t>20л03м29д</t>
  </si>
  <si>
    <t>Непша Т.В.</t>
  </si>
  <si>
    <t>38л04м03д</t>
  </si>
  <si>
    <t>Петрова И.Б.</t>
  </si>
  <si>
    <t>21л00м06д</t>
  </si>
  <si>
    <t>Попова Е.А.</t>
  </si>
  <si>
    <t>36г04м08д</t>
  </si>
  <si>
    <t>Поршнева Е.В</t>
  </si>
  <si>
    <t>25л0м0д</t>
  </si>
  <si>
    <t>Рябовол С.Л.</t>
  </si>
  <si>
    <t>высш</t>
  </si>
  <si>
    <t>23л08м06д</t>
  </si>
  <si>
    <t>Сазонов Е.Н.</t>
  </si>
  <si>
    <t>07г04м16д</t>
  </si>
  <si>
    <t>Сухотерина Ю.Ю.</t>
  </si>
  <si>
    <t>04г04м00д</t>
  </si>
  <si>
    <t>Тарасенко Е.М.</t>
  </si>
  <si>
    <t>37г10м28д</t>
  </si>
  <si>
    <t>Тезекбаева Г.З.</t>
  </si>
  <si>
    <t>27г07м00л</t>
  </si>
  <si>
    <t>Федунова А.В</t>
  </si>
  <si>
    <t>Якшова Н.Д.</t>
  </si>
  <si>
    <t>34г01м02д</t>
  </si>
  <si>
    <t>Яловцева Т.В.</t>
  </si>
  <si>
    <t>14л08м00д</t>
  </si>
  <si>
    <t>Жупашев Б.О</t>
  </si>
  <si>
    <t>03г00м00д</t>
  </si>
  <si>
    <t>с 3до 5</t>
  </si>
  <si>
    <t>Минаева О.О</t>
  </si>
  <si>
    <t>12л11м00д</t>
  </si>
  <si>
    <t>с10 до 13</t>
  </si>
  <si>
    <t>Халимон Ю.А</t>
  </si>
  <si>
    <t>3г05м00д</t>
  </si>
  <si>
    <t>третья</t>
  </si>
  <si>
    <t>Трофименко Т.Б</t>
  </si>
  <si>
    <t>34л06м05д</t>
  </si>
  <si>
    <t>Ауелбаева Ш.С.</t>
  </si>
  <si>
    <t>21г4м0д</t>
  </si>
  <si>
    <t>с20 до25</t>
  </si>
  <si>
    <t>выс.</t>
  </si>
  <si>
    <t>Байжуманова А.А</t>
  </si>
  <si>
    <t>18л5м0д</t>
  </si>
  <si>
    <t>с16-20</t>
  </si>
  <si>
    <t>Белоус М.П.</t>
  </si>
  <si>
    <t>10л01м00д</t>
  </si>
  <si>
    <t>с7 до 10</t>
  </si>
  <si>
    <t>Габайдулина Ф.Г.</t>
  </si>
  <si>
    <t>35л04м</t>
  </si>
  <si>
    <t>Жупашев Б.О.</t>
  </si>
  <si>
    <t>3г4м0д</t>
  </si>
  <si>
    <t>с3 до5</t>
  </si>
  <si>
    <t>Захарчук Н.В.</t>
  </si>
  <si>
    <t>30л05м0</t>
  </si>
  <si>
    <t>B</t>
  </si>
  <si>
    <t>B3</t>
  </si>
  <si>
    <t>Классен А.С.</t>
  </si>
  <si>
    <t>5л05м00д</t>
  </si>
  <si>
    <t>с 5до7</t>
  </si>
  <si>
    <t>Минаева О.О.</t>
  </si>
  <si>
    <t>12л10м00д</t>
  </si>
  <si>
    <t>с 10 до 13</t>
  </si>
  <si>
    <t>Плеханова О.Н.</t>
  </si>
  <si>
    <t>36л0600д</t>
  </si>
  <si>
    <t>свыше20</t>
  </si>
  <si>
    <t>Процкая Н.В.</t>
  </si>
  <si>
    <t>10л04м00д</t>
  </si>
  <si>
    <t>Розанова Н.Ф.</t>
  </si>
  <si>
    <t>31г09м00д</t>
  </si>
  <si>
    <t>Сафронова Е.С.</t>
  </si>
  <si>
    <t>7л05м 00д</t>
  </si>
  <si>
    <t>с7до10</t>
  </si>
  <si>
    <t>Семенова О.Е.</t>
  </si>
  <si>
    <t>5л8м00д</t>
  </si>
  <si>
    <t xml:space="preserve">с 5 до 7 </t>
  </si>
  <si>
    <t>Семикин В.А.</t>
  </si>
  <si>
    <t>32,02м0д</t>
  </si>
  <si>
    <t>Столярова М.Р.</t>
  </si>
  <si>
    <t>33г,02м00д</t>
  </si>
  <si>
    <t>Сулейменова А.А.</t>
  </si>
  <si>
    <t>7л11м00д</t>
  </si>
  <si>
    <t>с 7 до10</t>
  </si>
  <si>
    <t>36л04м00д</t>
  </si>
  <si>
    <t>Арыкпанова Л.Г.</t>
  </si>
  <si>
    <t>10м08д00</t>
  </si>
  <si>
    <t>Бобровская В.И</t>
  </si>
  <si>
    <t>Булатова А.А.</t>
  </si>
  <si>
    <t>37л04м00д</t>
  </si>
  <si>
    <t>4г11м00д</t>
  </si>
  <si>
    <t>с3 до 5</t>
  </si>
  <si>
    <t>Ергибаева И.Б.</t>
  </si>
  <si>
    <t>Иванкова Д.С.</t>
  </si>
  <si>
    <t>18л4м00д</t>
  </si>
  <si>
    <t>с16до20</t>
  </si>
  <si>
    <t>Костенко Л.В.</t>
  </si>
  <si>
    <t>19л00м00</t>
  </si>
  <si>
    <t>Курлиутова М.В.</t>
  </si>
  <si>
    <t>8л00м00</t>
  </si>
  <si>
    <t>с6до9</t>
  </si>
  <si>
    <t>Марковчина Г.А.</t>
  </si>
  <si>
    <t>35л04м00д</t>
  </si>
  <si>
    <t>Маурер Н.В.</t>
  </si>
  <si>
    <t>4г04м00</t>
  </si>
  <si>
    <t>Мостовая М.Г.</t>
  </si>
  <si>
    <t>Низовцева О.А.</t>
  </si>
  <si>
    <t>29л04м00д</t>
  </si>
  <si>
    <t>концерт.</t>
  </si>
  <si>
    <t>21,00м00</t>
  </si>
  <si>
    <t>36л00м00д</t>
  </si>
  <si>
    <t>Семёнова М.В.</t>
  </si>
  <si>
    <t>25л04м00д</t>
  </si>
  <si>
    <t>Сотников В.Н.</t>
  </si>
  <si>
    <t>01г04м00д</t>
  </si>
  <si>
    <t>Акилова К.К.</t>
  </si>
  <si>
    <t>Преподаватель фор-но</t>
  </si>
  <si>
    <t>33г12м14</t>
  </si>
  <si>
    <t>Алимкулов М.Н.</t>
  </si>
  <si>
    <t>Преподаватель</t>
  </si>
  <si>
    <t>23г03м10</t>
  </si>
  <si>
    <t>Ахметова Г.З.</t>
  </si>
  <si>
    <t>Бокош М.Б.</t>
  </si>
  <si>
    <t>Преподаватель сольф-жио</t>
  </si>
  <si>
    <t>ср.спец</t>
  </si>
  <si>
    <t>30л04м29</t>
  </si>
  <si>
    <t>Габдуллина Н.Н.</t>
  </si>
  <si>
    <t>Преподаватель домбра</t>
  </si>
  <si>
    <t>37л01м03</t>
  </si>
  <si>
    <t>28л03м16</t>
  </si>
  <si>
    <t>Жакупов Е.С.</t>
  </si>
  <si>
    <t>4л00м00</t>
  </si>
  <si>
    <t>до1года</t>
  </si>
  <si>
    <t>Жумашова У.К.</t>
  </si>
  <si>
    <t>Преподаватель кобыз</t>
  </si>
  <si>
    <t>27лет</t>
  </si>
  <si>
    <t>Кульжанова Г.С.</t>
  </si>
  <si>
    <t>Преподаватель жетіген</t>
  </si>
  <si>
    <t>2года</t>
  </si>
  <si>
    <t>с1до2лет</t>
  </si>
  <si>
    <t>Кулыбекова С.М.</t>
  </si>
  <si>
    <t>1г04м00д</t>
  </si>
  <si>
    <t>B4</t>
  </si>
  <si>
    <t>Корабаева Ж.Р.</t>
  </si>
  <si>
    <t>8л4м00д</t>
  </si>
  <si>
    <t>Мулкаразов М.К.</t>
  </si>
  <si>
    <t>Преподаватель флейта</t>
  </si>
  <si>
    <t>24г04м5д</t>
  </si>
  <si>
    <t>Садвокасова К.С.</t>
  </si>
  <si>
    <t>44г01м00</t>
  </si>
  <si>
    <t>Серов А.В.</t>
  </si>
  <si>
    <t>Концертмейстер</t>
  </si>
  <si>
    <t>22г5м,21</t>
  </si>
  <si>
    <t>Харал Б.</t>
  </si>
  <si>
    <t>8лет</t>
  </si>
  <si>
    <t>рабочий по обслуживанию здания</t>
  </si>
  <si>
    <t>Рахимов Р.З.</t>
  </si>
  <si>
    <t>Тлегенов Б.К.</t>
  </si>
  <si>
    <t>РОЗ(плотник)</t>
  </si>
  <si>
    <t>Аширбеков А.С.</t>
  </si>
  <si>
    <t>РОЗ(электрик)</t>
  </si>
  <si>
    <t>Гельгорн Ф.А.</t>
  </si>
  <si>
    <t>раб. по обсл. зд.</t>
  </si>
  <si>
    <t>Асылханова А.К</t>
  </si>
  <si>
    <t>уборщик сл. пом.</t>
  </si>
  <si>
    <t>Ибрагимова И.А.</t>
  </si>
  <si>
    <t>Куканова М.А</t>
  </si>
  <si>
    <t>Сидоренко В.Д.</t>
  </si>
  <si>
    <t>Садуова У.М.</t>
  </si>
  <si>
    <t>Прокопенко Е.Ю.</t>
  </si>
  <si>
    <t>сторож</t>
  </si>
  <si>
    <t>Ибрагимов Р.А.</t>
  </si>
  <si>
    <t>Фаст А.К</t>
  </si>
  <si>
    <t>Смагулов А.О.</t>
  </si>
  <si>
    <t>Устинов В.А.</t>
  </si>
  <si>
    <t>Хамаатай Е.</t>
  </si>
  <si>
    <t>Сторож</t>
  </si>
  <si>
    <t>Жумалиханов К.А.</t>
  </si>
  <si>
    <t>Жасуланов АЖ</t>
  </si>
  <si>
    <t>Шайдулин Д.А</t>
  </si>
  <si>
    <t>дворник</t>
  </si>
  <si>
    <t>Оленбург В.</t>
  </si>
  <si>
    <t>вахтер</t>
  </si>
  <si>
    <t>ИТОГО ПО МОП</t>
  </si>
  <si>
    <t>Касымбекова Г.К</t>
  </si>
  <si>
    <t>13л5м</t>
  </si>
  <si>
    <t>с13до16</t>
  </si>
  <si>
    <t>Дюсенеева Ж.С</t>
  </si>
  <si>
    <t>Рыбалкова Н.Д</t>
  </si>
  <si>
    <t>20л00</t>
  </si>
  <si>
    <t>с 20 до 25</t>
  </si>
  <si>
    <t>с 16 до 20</t>
  </si>
  <si>
    <t>Бектимиров Ж</t>
  </si>
  <si>
    <t>5,91</t>
  </si>
  <si>
    <t>5,61</t>
  </si>
  <si>
    <t>4,27</t>
  </si>
  <si>
    <t>3,22</t>
  </si>
  <si>
    <t>Кабенова А.Ж</t>
  </si>
  <si>
    <t>Сәрсенбек А.Р</t>
  </si>
  <si>
    <t>02мес</t>
  </si>
  <si>
    <t>с 2до 3</t>
  </si>
  <si>
    <t>6мес</t>
  </si>
  <si>
    <t>Вакансия</t>
  </si>
  <si>
    <t>2г00м0д</t>
  </si>
  <si>
    <t>Нурматова Р.Б</t>
  </si>
  <si>
    <t>Ягенцева А.М</t>
  </si>
  <si>
    <t>Шанцев А.Н</t>
  </si>
  <si>
    <t>Бабжанов С.М</t>
  </si>
  <si>
    <t>Карменов Е.К</t>
  </si>
  <si>
    <t>без</t>
  </si>
  <si>
    <t>Гуйо Е.Я</t>
  </si>
  <si>
    <t>46г09м00д</t>
  </si>
  <si>
    <t>Темергалиева Л.М</t>
  </si>
  <si>
    <t>выс</t>
  </si>
  <si>
    <t>30л09м</t>
  </si>
  <si>
    <t>Исаева Д.М-К</t>
  </si>
  <si>
    <t>Панова О.Н</t>
  </si>
  <si>
    <r>
      <t>Месячный фонд заработной платы</t>
    </r>
    <r>
      <rPr>
        <b/>
        <u/>
        <sz val="10"/>
        <rFont val="Times New Roman"/>
        <family val="1"/>
        <charset val="204"/>
      </rPr>
      <t xml:space="preserve"> на 01 января 2019</t>
    </r>
  </si>
  <si>
    <t>Разница</t>
  </si>
  <si>
    <t>Коэффициент на 1 июня</t>
  </si>
  <si>
    <t>Коэффициент на 1 января</t>
  </si>
  <si>
    <t xml:space="preserve">Расчеты к штатному расписанию на 01 июня 2019 года </t>
  </si>
  <si>
    <t>Арыкова К.А</t>
  </si>
  <si>
    <t>Кушкеева Г.Е</t>
  </si>
  <si>
    <t>Абельдинов М.А</t>
  </si>
  <si>
    <r>
      <t>Месячный фонд заработной платы</t>
    </r>
    <r>
      <rPr>
        <b/>
        <u/>
        <sz val="10"/>
        <rFont val="Times New Roman"/>
        <family val="1"/>
        <charset val="204"/>
      </rPr>
      <t xml:space="preserve"> </t>
    </r>
  </si>
  <si>
    <t>3,04</t>
  </si>
  <si>
    <t>с 7 до 10</t>
  </si>
  <si>
    <t>0,5</t>
  </si>
  <si>
    <r>
      <t xml:space="preserve">Садуова У.М. </t>
    </r>
    <r>
      <rPr>
        <sz val="9"/>
        <rFont val="Arial"/>
        <family val="2"/>
        <charset val="204"/>
      </rPr>
      <t>(сп2)</t>
    </r>
  </si>
  <si>
    <r>
      <t>Нурматова Р.Б</t>
    </r>
    <r>
      <rPr>
        <sz val="9"/>
        <rFont val="Arial"/>
        <family val="2"/>
        <charset val="204"/>
      </rPr>
      <t>(сп2)</t>
    </r>
  </si>
  <si>
    <r>
      <t>Ягенцева А.М</t>
    </r>
    <r>
      <rPr>
        <sz val="9"/>
        <rFont val="Arial"/>
        <family val="2"/>
        <charset val="204"/>
      </rPr>
      <t xml:space="preserve"> (сп3)</t>
    </r>
  </si>
  <si>
    <r>
      <t xml:space="preserve">Арыкова К.А </t>
    </r>
    <r>
      <rPr>
        <sz val="9"/>
        <rFont val="Arial"/>
        <family val="2"/>
        <charset val="204"/>
      </rPr>
      <t>(кенж)</t>
    </r>
  </si>
  <si>
    <t>1,5</t>
  </si>
  <si>
    <t>делопроизводитель</t>
  </si>
  <si>
    <t xml:space="preserve">20л 11м </t>
  </si>
  <si>
    <t>15 лет 1м</t>
  </si>
  <si>
    <t>8 л 6м 00д</t>
  </si>
  <si>
    <t>6л 00м0д</t>
  </si>
  <si>
    <t>2г08м0д</t>
  </si>
  <si>
    <t>Мерканова С.К</t>
  </si>
  <si>
    <t xml:space="preserve">Расчеты к штатному расписанию на 01 сентября 2019 года </t>
  </si>
  <si>
    <t>3г4мес</t>
  </si>
  <si>
    <t>7л5м23дня</t>
  </si>
  <si>
    <t>Курманова Н.Н</t>
  </si>
  <si>
    <t>Иманберлинова А.К</t>
  </si>
  <si>
    <t>0 лет</t>
  </si>
  <si>
    <t>2 года</t>
  </si>
  <si>
    <t>37 лет 00м00д</t>
  </si>
  <si>
    <t>с 10 до13</t>
  </si>
  <si>
    <t>38 л00м00д</t>
  </si>
  <si>
    <t>37л00м00д</t>
  </si>
  <si>
    <t>19л00м00д</t>
  </si>
  <si>
    <t>20л00м00д</t>
  </si>
  <si>
    <t>36 лет 00м00д</t>
  </si>
  <si>
    <t>30лет 00м00д</t>
  </si>
  <si>
    <t>26л00м00д</t>
  </si>
  <si>
    <t>3 г00м00д</t>
  </si>
  <si>
    <t>с 20до25</t>
  </si>
  <si>
    <t>12л04м02д</t>
  </si>
  <si>
    <t>Нұрлан Әлима</t>
  </si>
  <si>
    <t>0 лет 0м0д</t>
  </si>
  <si>
    <t>до 1 года</t>
  </si>
  <si>
    <t>Шароня Н.А</t>
  </si>
  <si>
    <t>0 лет 0мес0д</t>
  </si>
  <si>
    <t>21г1м15д</t>
  </si>
  <si>
    <t>9лет0м0д</t>
  </si>
  <si>
    <t>8л9м2д</t>
  </si>
  <si>
    <t>22г07м18д</t>
  </si>
  <si>
    <t>Алимкулов М.Н</t>
  </si>
  <si>
    <t>Ересова Н.В</t>
  </si>
  <si>
    <t>Кабдрашит Г.Р</t>
  </si>
  <si>
    <t>Нұрлан Ә.Ә</t>
  </si>
  <si>
    <t>0л0мм00д</t>
  </si>
  <si>
    <t>Савченко Г.Л</t>
  </si>
  <si>
    <t>38л09м16д</t>
  </si>
  <si>
    <t>в</t>
  </si>
  <si>
    <t>п</t>
  </si>
  <si>
    <t>Сагитова Ж.Б</t>
  </si>
  <si>
    <t>Жумашева У.К</t>
  </si>
  <si>
    <t>Капашева Г.Д</t>
  </si>
  <si>
    <t>1 год 0м0д</t>
  </si>
  <si>
    <t>Ерисова Н.В</t>
  </si>
  <si>
    <t>6 лет 0м00д</t>
  </si>
  <si>
    <t>3 г1м7д</t>
  </si>
  <si>
    <t>34г00м00д</t>
  </si>
  <si>
    <t>14л03м00д</t>
  </si>
  <si>
    <t>с 13 до 16</t>
  </si>
  <si>
    <t>24 года</t>
  </si>
  <si>
    <t>35лет</t>
  </si>
  <si>
    <t>35г11м23д</t>
  </si>
  <si>
    <t>03г09м20д</t>
  </si>
  <si>
    <t>с 3до5</t>
  </si>
  <si>
    <t>30л 11м 06д</t>
  </si>
  <si>
    <t>31г07м19д</t>
  </si>
  <si>
    <t>29л11м04д</t>
  </si>
  <si>
    <t>49г04м01д</t>
  </si>
  <si>
    <t>27л09м15д</t>
  </si>
  <si>
    <t>43г08м27д</t>
  </si>
  <si>
    <t>5г 11м 0д</t>
  </si>
  <si>
    <t>с 5 до7</t>
  </si>
  <si>
    <t>20л 10м 29д</t>
  </si>
  <si>
    <t>4г10м00д</t>
  </si>
  <si>
    <t>9л11м27д</t>
  </si>
  <si>
    <t>23л11м25л</t>
  </si>
  <si>
    <t>18л06м30д</t>
  </si>
  <si>
    <t>38г00м00д</t>
  </si>
  <si>
    <t>1г00м00д</t>
  </si>
  <si>
    <t>33л04м13д</t>
  </si>
  <si>
    <t>3г 00м 00д</t>
  </si>
  <si>
    <t>9л00м00д</t>
  </si>
  <si>
    <t>7г08м27д</t>
  </si>
  <si>
    <t>8г08м28д</t>
  </si>
  <si>
    <t>27г09м21д</t>
  </si>
  <si>
    <t>13л11м27д</t>
  </si>
  <si>
    <t>44л10м19д</t>
  </si>
  <si>
    <t>20л11м22д</t>
  </si>
  <si>
    <t>39 лет 01м24д</t>
  </si>
  <si>
    <t>21л08м05д</t>
  </si>
  <si>
    <t>37л00м09д</t>
  </si>
  <si>
    <t>28л11м23д</t>
  </si>
  <si>
    <t>23л06м20д</t>
  </si>
  <si>
    <t>08г00м00д</t>
  </si>
  <si>
    <t>27г02м00л</t>
  </si>
  <si>
    <t>34г09м02д</t>
  </si>
  <si>
    <t>41 год11м00д</t>
  </si>
  <si>
    <t>27л11м18д</t>
  </si>
  <si>
    <t>04г00м00д</t>
  </si>
  <si>
    <t>0 лет 0мес 0д</t>
  </si>
  <si>
    <t>Садуова У.М. (сп2)</t>
  </si>
  <si>
    <t>Нурматова Р.Б(сп2)</t>
  </si>
  <si>
    <t>Ягенцева А.М (сп3)</t>
  </si>
  <si>
    <t>Арыкова К.А (кенж)</t>
  </si>
  <si>
    <t>5,37</t>
  </si>
  <si>
    <t>5,01</t>
  </si>
  <si>
    <t>3,4</t>
  </si>
  <si>
    <t>2,54</t>
  </si>
  <si>
    <t>В%</t>
  </si>
  <si>
    <t>разинца</t>
  </si>
  <si>
    <t>7л 00м0д</t>
  </si>
  <si>
    <t>Ахметова Г.З</t>
  </si>
  <si>
    <t>Алимкулов М.Н.(совм)</t>
  </si>
  <si>
    <t>24г00м00д</t>
  </si>
  <si>
    <t>Мулкаразов М.К</t>
  </si>
  <si>
    <t>0лет</t>
  </si>
  <si>
    <t>25лет</t>
  </si>
  <si>
    <t>31л04м29</t>
  </si>
  <si>
    <t>8лет 08м</t>
  </si>
  <si>
    <t>Серов А.В.(совм)</t>
  </si>
  <si>
    <t>конц</t>
  </si>
  <si>
    <t>23г01м00д</t>
  </si>
  <si>
    <t>22г10м07д</t>
  </si>
  <si>
    <t>Стаж работы по специальности (лет,мес,дней) на 01.09.2019г.</t>
  </si>
  <si>
    <t>Утверждаю:</t>
  </si>
  <si>
    <t>Согласовано:ГУ Отдел образования г. Павлодара</t>
  </si>
  <si>
    <t xml:space="preserve">                                                                                              (подпись) </t>
  </si>
  <si>
    <t xml:space="preserve">  </t>
  </si>
  <si>
    <t>(сумма  заработной платы прописью)</t>
  </si>
  <si>
    <t>бюджет</t>
  </si>
  <si>
    <t>САД</t>
  </si>
  <si>
    <t>Наименование</t>
  </si>
  <si>
    <t>Кол-во штатных ед.</t>
  </si>
  <si>
    <t>Коэф.</t>
  </si>
  <si>
    <t>БДО (17697,00 тенге)</t>
  </si>
  <si>
    <t>Должностной оклад (в тенге)</t>
  </si>
  <si>
    <t xml:space="preserve">Доплаты и надбавки </t>
  </si>
  <si>
    <t>Месячный фонд заработной платы                 (в тенге)</t>
  </si>
  <si>
    <t>Годовой ФЗП                 (в тенге)</t>
  </si>
  <si>
    <t xml:space="preserve">Сумма </t>
  </si>
  <si>
    <t>АДМИНИСТРАТИВНО - УПРАВЛЕНЧЕСКИЙ ПЕРСОНАЛ</t>
  </si>
  <si>
    <t>Руководитель</t>
  </si>
  <si>
    <t>Главный бухгалтер</t>
  </si>
  <si>
    <t>бухгалтер</t>
  </si>
  <si>
    <t>зав.складом муз.инстр.</t>
  </si>
  <si>
    <t>ИТОГО ПО АУП</t>
  </si>
  <si>
    <t>ОСНОВНОЙ ПЕРСОНАЛ</t>
  </si>
  <si>
    <t>педагоги доп. Образования</t>
  </si>
  <si>
    <t>ИТОГО ПО УВП:</t>
  </si>
  <si>
    <t>МЛАДШИЙ ОБСЛУЖИВАЮЩИЙ ПЕРСОНАЛ</t>
  </si>
  <si>
    <t>Уборщик служебных помещений</t>
  </si>
  <si>
    <t>Рабочий по обслуживанию здания</t>
  </si>
  <si>
    <t>Дворник</t>
  </si>
  <si>
    <t>ВСЕГО:</t>
  </si>
  <si>
    <t>(подпись)</t>
  </si>
  <si>
    <t>(расшифровка подписи)</t>
  </si>
  <si>
    <t>ГККП "Детская музыкальная школа " г.Павлодара</t>
  </si>
  <si>
    <t>И.о. руководителя ГККП "ДМШ "г.Павлодара_____________________________ Бобровская О .Л</t>
  </si>
  <si>
    <t>1,3</t>
  </si>
  <si>
    <t>ахп</t>
  </si>
  <si>
    <t>штат в количестве  170,68  единиц</t>
  </si>
  <si>
    <t xml:space="preserve">                                           в сумме   14 274 317,18 (Четырнадцать миллионов двести семьдесят четыре тысячи триста семнадцать) тенге 18 тиын. </t>
  </si>
  <si>
    <t>Расчеты к штатному расписанию на 01 сентября 2019 года Старая модель</t>
  </si>
  <si>
    <t>о</t>
  </si>
  <si>
    <t>Должностной оклад старый</t>
  </si>
  <si>
    <t>Должностной оклад новый</t>
  </si>
  <si>
    <t>Расчеты к штатному расписанию на 01 сентября 2019 года Разница</t>
  </si>
  <si>
    <t>7л4м00д</t>
  </si>
  <si>
    <t>ШТАТНОЕ РАСПИСАНИЕ на 01.09.2019г.Старые коэффициенты</t>
  </si>
  <si>
    <t xml:space="preserve">                                           в сумме   12 467 059 (Двенадцать миллионов четыреста шестьдесят семь тысяч пятьдесят девять) тенге 00 тиын. </t>
  </si>
  <si>
    <t>РБ</t>
  </si>
  <si>
    <t>ШТАТНОЕ РАСПИСАНИЕ на 01.09.2019г.Разница (РБ)</t>
  </si>
  <si>
    <t>МБ</t>
  </si>
  <si>
    <t>ШТАТНОЕ РАСПИСАНИЕ на 01.09.2019г.Старые коэффициенты(МБ)</t>
  </si>
  <si>
    <t>Расчеты к штатному расписанию на 01 сентября 2019 года Старые коэффициенты (МБ)</t>
  </si>
  <si>
    <t xml:space="preserve">                                           в сумме   1 807 258 (Один миллион восемьсот семь тысяч двести пятьдесят восемь) тенге 20 тиын. </t>
  </si>
  <si>
    <t>9л09м02д</t>
  </si>
  <si>
    <t xml:space="preserve">И.о.руководителя </t>
  </si>
  <si>
    <t>Бобровская О.Л</t>
  </si>
  <si>
    <t>Штатное расписание на 1 сентября 2019г</t>
  </si>
  <si>
    <t>Сысоева С.Г</t>
  </si>
  <si>
    <t>Сафронова Е.С</t>
  </si>
  <si>
    <t>30л03м04д</t>
  </si>
  <si>
    <t>13л02м00д</t>
  </si>
  <si>
    <t>32г11м19д</t>
  </si>
  <si>
    <t>03г04м00д</t>
  </si>
  <si>
    <t>33л08м13д</t>
  </si>
  <si>
    <t>34г07м28д</t>
  </si>
  <si>
    <t>23г02м07д</t>
  </si>
  <si>
    <t>34г04м18</t>
  </si>
  <si>
    <t>23г05м00д</t>
  </si>
  <si>
    <t>первоя</t>
  </si>
  <si>
    <t>08л04м00д</t>
  </si>
  <si>
    <t>22л11м17д</t>
  </si>
  <si>
    <t>07л9м23д</t>
  </si>
  <si>
    <t>3г8мес11д</t>
  </si>
  <si>
    <t>00л04м00д</t>
  </si>
  <si>
    <t>с 1 до 2</t>
  </si>
  <si>
    <t>Мукатов А.Г</t>
  </si>
  <si>
    <t>тех</t>
  </si>
  <si>
    <t>Беппаев А.А</t>
  </si>
  <si>
    <t>Сыздыков С.С</t>
  </si>
  <si>
    <t>Кулуков А.М</t>
  </si>
  <si>
    <t>21л 02м 29д</t>
  </si>
  <si>
    <t>06г02м00д</t>
  </si>
  <si>
    <t>45л02м19д</t>
  </si>
  <si>
    <t>39л01м16д</t>
  </si>
  <si>
    <t>0 лет 4мес 0д</t>
  </si>
  <si>
    <t>44г11м00</t>
  </si>
  <si>
    <t>с 13 до16</t>
  </si>
  <si>
    <t>22г09м18д</t>
  </si>
  <si>
    <t>Починок Н.В</t>
  </si>
  <si>
    <t>педагог,конц</t>
  </si>
  <si>
    <t>Буянова О.Л</t>
  </si>
  <si>
    <t>Искаков А.А</t>
  </si>
  <si>
    <t>И.о руководителя</t>
  </si>
  <si>
    <t>Секретарь</t>
  </si>
  <si>
    <t>Инженер по об-орудованию</t>
  </si>
  <si>
    <t>Игенбаев Н.А(1шк)</t>
  </si>
  <si>
    <t>Валеева И.В.(1шк)</t>
  </si>
  <si>
    <r>
      <t xml:space="preserve">Шубладзе А.С </t>
    </r>
    <r>
      <rPr>
        <b/>
        <sz val="12"/>
        <rFont val="Arial"/>
        <family val="2"/>
        <charset val="204"/>
      </rPr>
      <t>(с)</t>
    </r>
  </si>
  <si>
    <r>
      <t xml:space="preserve">Гагарина О.В </t>
    </r>
    <r>
      <rPr>
        <b/>
        <sz val="12"/>
        <rFont val="Arial"/>
        <family val="2"/>
        <charset val="204"/>
      </rPr>
      <t>(с)</t>
    </r>
  </si>
  <si>
    <r>
      <t>Трофименко Т.Б</t>
    </r>
    <r>
      <rPr>
        <b/>
        <sz val="12"/>
        <rFont val="Arial"/>
        <family val="2"/>
        <charset val="204"/>
      </rPr>
      <t>(с)</t>
    </r>
  </si>
  <si>
    <r>
      <t>Михайленко О.М</t>
    </r>
    <r>
      <rPr>
        <b/>
        <sz val="12"/>
        <rFont val="Arial"/>
        <family val="2"/>
        <charset val="204"/>
      </rPr>
      <t>(с)</t>
    </r>
  </si>
  <si>
    <t>Буглакова Н.А</t>
  </si>
  <si>
    <t>Халимон Ю.А(с)</t>
  </si>
  <si>
    <t>Бойко М.Ю</t>
  </si>
  <si>
    <t>06л05м24д</t>
  </si>
  <si>
    <t>6л04м</t>
  </si>
  <si>
    <t>26л00м18д</t>
  </si>
  <si>
    <t>03г06м26д</t>
  </si>
  <si>
    <t>35л10м04д</t>
  </si>
  <si>
    <t>26л01м02д</t>
  </si>
  <si>
    <t>пед</t>
  </si>
  <si>
    <t>4,43</t>
  </si>
  <si>
    <t>годовой</t>
  </si>
  <si>
    <t>отпуск резерв</t>
  </si>
  <si>
    <t>повышение 25%</t>
  </si>
  <si>
    <t>12л09м05д</t>
  </si>
  <si>
    <t>с 10до13</t>
  </si>
  <si>
    <t>3-0</t>
  </si>
  <si>
    <t xml:space="preserve">Расчеты к штатному расписанию на 01 января 2020 года </t>
  </si>
  <si>
    <t>15л03м21д</t>
  </si>
  <si>
    <t>36г11м23д</t>
  </si>
  <si>
    <t>38лет 00м00д</t>
  </si>
  <si>
    <t>04г09м20д</t>
  </si>
  <si>
    <t>04г11м26д</t>
  </si>
  <si>
    <t>13л04м02д</t>
  </si>
  <si>
    <t>22г01м14д</t>
  </si>
  <si>
    <t>08л05м24д</t>
  </si>
  <si>
    <t>17л11м27д</t>
  </si>
  <si>
    <t>31л 11м 06д</t>
  </si>
  <si>
    <t>28л06м00д</t>
  </si>
  <si>
    <t>38л11м00д</t>
  </si>
  <si>
    <t>07л07м16д</t>
  </si>
  <si>
    <t>33г07м19д</t>
  </si>
  <si>
    <t>30л11м04д</t>
  </si>
  <si>
    <t>51 год04м01д</t>
  </si>
  <si>
    <t>27л00м00</t>
  </si>
  <si>
    <t>38л0м20д</t>
  </si>
  <si>
    <t>28л09м15д</t>
  </si>
  <si>
    <t>02г00м00д</t>
  </si>
  <si>
    <t>28л05м18д</t>
  </si>
  <si>
    <t>28лет05м18д</t>
  </si>
  <si>
    <t>с 5 до 7</t>
  </si>
  <si>
    <t>18л02м10д</t>
  </si>
  <si>
    <t>6г 11м 00д</t>
  </si>
  <si>
    <t>06г10м19д</t>
  </si>
  <si>
    <t>4 г00м01д</t>
  </si>
  <si>
    <t>10л11м27д</t>
  </si>
  <si>
    <t>01лет 00мес0д</t>
  </si>
  <si>
    <t>24л11м25л</t>
  </si>
  <si>
    <t>19л06м30д</t>
  </si>
  <si>
    <t>Кайырбек А.А</t>
  </si>
  <si>
    <t>01г01м00д</t>
  </si>
  <si>
    <t>39л00м00д</t>
  </si>
  <si>
    <t>02г01м00д</t>
  </si>
  <si>
    <t>34л04м13д</t>
  </si>
  <si>
    <t>14л08м17д</t>
  </si>
  <si>
    <t>10л00м00д</t>
  </si>
  <si>
    <t>21л00м01д</t>
  </si>
  <si>
    <t>10лет00м00д</t>
  </si>
  <si>
    <t>10л06м20д</t>
  </si>
  <si>
    <t>Кичаева А.И</t>
  </si>
  <si>
    <t>0л0м0д</t>
  </si>
  <si>
    <t>8г08м27д</t>
  </si>
  <si>
    <t>28л09м21д</t>
  </si>
  <si>
    <t>14л11м21д</t>
  </si>
  <si>
    <t>14л11м27д</t>
  </si>
  <si>
    <t>31 лет 04м07д</t>
  </si>
  <si>
    <t>21л11м22д</t>
  </si>
  <si>
    <t>40л01м24</t>
  </si>
  <si>
    <t>10г08м00д</t>
  </si>
  <si>
    <t>31 лет 00м07д</t>
  </si>
  <si>
    <t>31гл00м00д</t>
  </si>
  <si>
    <t>23г08м23д</t>
  </si>
  <si>
    <t>22л08м05д</t>
  </si>
  <si>
    <t>38л00м09д</t>
  </si>
  <si>
    <t>29л11м23д</t>
  </si>
  <si>
    <t>42г00м00д</t>
  </si>
  <si>
    <t>12лет00м00д</t>
  </si>
  <si>
    <t>Панфилова Е.В</t>
  </si>
  <si>
    <t>00л00м00д</t>
  </si>
  <si>
    <t>24л06м20д</t>
  </si>
  <si>
    <t>04 г01м05д</t>
  </si>
  <si>
    <t>09л00м22д</t>
  </si>
  <si>
    <t>27л00м00д</t>
  </si>
  <si>
    <t>28л03м08д</t>
  </si>
  <si>
    <t>3г00м00д</t>
  </si>
  <si>
    <t>35г,11м00д</t>
  </si>
  <si>
    <t>10л09м04д</t>
  </si>
  <si>
    <t>7лет 00м00д</t>
  </si>
  <si>
    <t>29г02м22л</t>
  </si>
  <si>
    <t>32л07м00д</t>
  </si>
  <si>
    <t>02год00м00д</t>
  </si>
  <si>
    <t>16л03м29д</t>
  </si>
  <si>
    <t>02г00м0д</t>
  </si>
  <si>
    <t>2г 00м00д</t>
  </si>
  <si>
    <t>08л09м00д</t>
  </si>
  <si>
    <t>31л11м03</t>
  </si>
  <si>
    <t>38л00м00д</t>
  </si>
  <si>
    <t>36л11м00д</t>
  </si>
  <si>
    <t>28л09м18д</t>
  </si>
  <si>
    <t>Стаж работы по специальности (лет,мес,дней) на 01.01.2020г.</t>
  </si>
  <si>
    <t>01л01м00д</t>
  </si>
  <si>
    <t>16л01м01д</t>
  </si>
  <si>
    <t>10л03м01д</t>
  </si>
  <si>
    <t>Райымбеков К.Е</t>
  </si>
  <si>
    <t>9л08м19дн</t>
  </si>
  <si>
    <t>Жантемирова А.Ж</t>
  </si>
  <si>
    <t>Сулейменов Ж.З</t>
  </si>
  <si>
    <t>25г06м10д</t>
  </si>
  <si>
    <t>45л10м19д</t>
  </si>
  <si>
    <t>01г00м00д</t>
  </si>
  <si>
    <t>Кульжанова Г.С</t>
  </si>
  <si>
    <t>30л01м19д</t>
  </si>
  <si>
    <t>5л00м05д</t>
  </si>
  <si>
    <t xml:space="preserve">первая </t>
  </si>
  <si>
    <t>Кисатова С.Т</t>
  </si>
  <si>
    <t xml:space="preserve">педагог </t>
  </si>
  <si>
    <t>07л02м00д</t>
  </si>
  <si>
    <t>Классен А.С</t>
  </si>
  <si>
    <t>07л00м00д</t>
  </si>
  <si>
    <t>Тулебаева М.М</t>
  </si>
  <si>
    <t>2шк</t>
  </si>
  <si>
    <t>22г01м15д</t>
  </si>
  <si>
    <t>хореограф</t>
  </si>
  <si>
    <t>17л10м03д</t>
  </si>
  <si>
    <t>Иванкова Г.А</t>
  </si>
  <si>
    <t>сп/сч</t>
  </si>
  <si>
    <t>Гаврина О.А</t>
  </si>
  <si>
    <t>48л00м00д</t>
  </si>
  <si>
    <t>Марковчина Г.А</t>
  </si>
  <si>
    <t>Москвина Е.И</t>
  </si>
  <si>
    <t>22г00м00д</t>
  </si>
  <si>
    <t>Ахмедьянова Д.С</t>
  </si>
  <si>
    <t>07л09м15д</t>
  </si>
  <si>
    <t>Романова А.В</t>
  </si>
  <si>
    <t>фортепиано</t>
  </si>
  <si>
    <t>16л05м24д</t>
  </si>
  <si>
    <t>05л01м22д</t>
  </si>
  <si>
    <t>23г10м07д</t>
  </si>
  <si>
    <t>Имашхан А</t>
  </si>
  <si>
    <t>Переводчик</t>
  </si>
  <si>
    <t>3г00м05д</t>
  </si>
  <si>
    <t>4,23</t>
  </si>
  <si>
    <t>5,59</t>
  </si>
  <si>
    <t>31л11м00д</t>
  </si>
  <si>
    <t>09л00м00д</t>
  </si>
  <si>
    <t>27л05м00д</t>
  </si>
  <si>
    <t>07л10м09д</t>
  </si>
  <si>
    <t>4г4мес11д</t>
  </si>
  <si>
    <t>23л07м17д</t>
  </si>
  <si>
    <t>13л05м05д</t>
  </si>
  <si>
    <t>с 13до16</t>
  </si>
  <si>
    <t>00л00м0д</t>
  </si>
  <si>
    <t xml:space="preserve">Расчеты к штатному расписанию на 01 сентября 2020 года </t>
  </si>
  <si>
    <t>Стаж работы по специальности (лет,мес,дней) на 01.09.2020г.</t>
  </si>
  <si>
    <t>И.о.Завуч по ВР</t>
  </si>
  <si>
    <t>сторож №1</t>
  </si>
  <si>
    <t>сторож№2</t>
  </si>
  <si>
    <t>Сторож К</t>
  </si>
  <si>
    <t>00г00м00д</t>
  </si>
  <si>
    <t>3школа</t>
  </si>
  <si>
    <t>2школа</t>
  </si>
  <si>
    <t>1 школа</t>
  </si>
  <si>
    <t>Жилина О.Е</t>
  </si>
  <si>
    <t>Сербина Ж.М</t>
  </si>
  <si>
    <t>15л01м27д</t>
  </si>
  <si>
    <t>16л07м16д</t>
  </si>
  <si>
    <t>с 16до20</t>
  </si>
  <si>
    <t>08л04м08д</t>
  </si>
  <si>
    <t>с 8 до 10</t>
  </si>
  <si>
    <t>всего часов</t>
  </si>
  <si>
    <t>Кабурнеева Н.Г</t>
  </si>
  <si>
    <t>настройщик</t>
  </si>
  <si>
    <t>Расчеты к штатному расписанию на 01 сентября 2020 года МБ</t>
  </si>
  <si>
    <t>39л09м16д</t>
  </si>
  <si>
    <t>Кабурнеева .Н.Г</t>
  </si>
  <si>
    <t>Кайырбек Ә.Ә</t>
  </si>
  <si>
    <t>6л02м02</t>
  </si>
  <si>
    <t>01год 00мес0д</t>
  </si>
  <si>
    <t>39л00м2д</t>
  </si>
  <si>
    <t>Непша Т.В</t>
  </si>
  <si>
    <t>40л01м24д</t>
  </si>
  <si>
    <t>Прокопенко Е.Н</t>
  </si>
  <si>
    <t>43г11м16д</t>
  </si>
  <si>
    <t>Якшова Н.Д</t>
  </si>
  <si>
    <t>35л09м02д</t>
  </si>
  <si>
    <t>22г09м01д</t>
  </si>
  <si>
    <t>26л00м05д</t>
  </si>
  <si>
    <t>22г00м03д</t>
  </si>
  <si>
    <t>фо-но</t>
  </si>
  <si>
    <t>25л00м06д</t>
  </si>
  <si>
    <t>свыше 26</t>
  </si>
  <si>
    <t xml:space="preserve">                                           в сумме   17 255 564,09 (Семнадцать миллионов двести пятьдесят пять тысяч пятьсот шестьдесят четыре ) тенге 09 тиын. </t>
  </si>
  <si>
    <t xml:space="preserve">Коэффициент </t>
  </si>
  <si>
    <t>Расчеты к штатному расписанию на 01 сентября 2020 года Без повышения</t>
  </si>
  <si>
    <t>штат в количестве  170,58 единиц</t>
  </si>
  <si>
    <t xml:space="preserve">ШТАТНОЕ РАСПИСАНИЕ на 01.09.2020г.Новые коэффициенты Республика </t>
  </si>
  <si>
    <t>Расчеты к штатному расписанию на 01 сентября 2020 года Разница</t>
  </si>
  <si>
    <t>ШТАТНОЕ РАСПИСАНИЕ на 01.09.2020г. Новые коэффициенты Республика</t>
  </si>
  <si>
    <t>Расчеты к штатному расписанию на 01 сентября 2020 года Местный</t>
  </si>
  <si>
    <t>ШТАТНОЕ РАСПИСАНИЕ на 01.09.2020г.Местный</t>
  </si>
  <si>
    <t xml:space="preserve">                                           в сумме   17 162 1766,47(Сто семьдесят один миллион шестьсот двадцать одна тысяча семьсот шестьдесят шесть ) тенге 47 тиын. </t>
  </si>
  <si>
    <t xml:space="preserve">                                           в сумме   35 444 966,97 (Тридцать пять миллионов четыреста сорок четыре тысячи девятьсот шестьдесят шесть ) тенге 97 тиын. </t>
  </si>
  <si>
    <t>Гагарина О.В</t>
  </si>
  <si>
    <t xml:space="preserve">Кичаева А.И </t>
  </si>
  <si>
    <t>сольное пение</t>
  </si>
  <si>
    <t>домбра</t>
  </si>
  <si>
    <t>Шубладзе А.В</t>
  </si>
  <si>
    <t>Халимон ЮА</t>
  </si>
  <si>
    <t>дл года</t>
  </si>
  <si>
    <t>сельс</t>
  </si>
  <si>
    <t>15л07м21д</t>
  </si>
  <si>
    <t>37г03м23д</t>
  </si>
  <si>
    <t>05г01м20д</t>
  </si>
  <si>
    <t>05г03м26д</t>
  </si>
  <si>
    <t>22г05м14д</t>
  </si>
  <si>
    <t>32л 03м 06д</t>
  </si>
  <si>
    <t>28л10м00д</t>
  </si>
  <si>
    <t>33г11м19д</t>
  </si>
  <si>
    <t>26л08м28д</t>
  </si>
  <si>
    <t>31л03м04д</t>
  </si>
  <si>
    <t>51 год08м01д</t>
  </si>
  <si>
    <t>42г05м24д</t>
  </si>
  <si>
    <t>29л01м15д</t>
  </si>
  <si>
    <t>35л10м22д</t>
  </si>
  <si>
    <t>7л03м 00д</t>
  </si>
  <si>
    <t>с 07 до 10</t>
  </si>
  <si>
    <t>07гл02м19д</t>
  </si>
  <si>
    <t>11л03м27д</t>
  </si>
  <si>
    <t>01год 04мес0д</t>
  </si>
  <si>
    <t>25л03м25л</t>
  </si>
  <si>
    <t>19л10м30д</t>
  </si>
  <si>
    <t>39л04м00д</t>
  </si>
  <si>
    <t>25л04м06д</t>
  </si>
  <si>
    <t>02г05м00д</t>
  </si>
  <si>
    <t>34л08м13д</t>
  </si>
  <si>
    <t>40л04м00д</t>
  </si>
  <si>
    <t>9г00м27д</t>
  </si>
  <si>
    <t>10г10м018д</t>
  </si>
  <si>
    <t>29л01м21д</t>
  </si>
  <si>
    <t>15л03м27д</t>
  </si>
  <si>
    <t>22л03м22д</t>
  </si>
  <si>
    <t>40л05м24д</t>
  </si>
  <si>
    <t>23л00м05д</t>
  </si>
  <si>
    <t>38л04м09д</t>
  </si>
  <si>
    <t>30л03м23д</t>
  </si>
  <si>
    <t>44г03м16д</t>
  </si>
  <si>
    <t>24л10м20д</t>
  </si>
  <si>
    <t>40л00м16д</t>
  </si>
  <si>
    <t>04г05м05д</t>
  </si>
  <si>
    <t>7лет 04м00д</t>
  </si>
  <si>
    <t>02г04м0д</t>
  </si>
  <si>
    <t>29г06м22л</t>
  </si>
  <si>
    <t>04г00м28д</t>
  </si>
  <si>
    <t>27л01м00д</t>
  </si>
  <si>
    <t>Фрадкина Г.Б</t>
  </si>
  <si>
    <t>36л00м02д</t>
  </si>
  <si>
    <t>16л07м29д</t>
  </si>
  <si>
    <t>Зверева М.Б</t>
  </si>
  <si>
    <t>45л00м27д</t>
  </si>
  <si>
    <t>20л10м</t>
  </si>
  <si>
    <t>38лет 04м00д</t>
  </si>
  <si>
    <t>13л08м02д</t>
  </si>
  <si>
    <t>08л01м15д</t>
  </si>
  <si>
    <t>18л03м27д</t>
  </si>
  <si>
    <t>39л03м00д</t>
  </si>
  <si>
    <t>38л4м20д</t>
  </si>
  <si>
    <t>18л04м10д</t>
  </si>
  <si>
    <t>4 г04м01д</t>
  </si>
  <si>
    <t>38л04м2д</t>
  </si>
  <si>
    <t>21л04м01д</t>
  </si>
  <si>
    <t>10лет04м00д</t>
  </si>
  <si>
    <t>10л10м20д</t>
  </si>
  <si>
    <t>31гл04м00д</t>
  </si>
  <si>
    <t>24г00м23д</t>
  </si>
  <si>
    <t>38л04м00д</t>
  </si>
  <si>
    <t>16л09м24д</t>
  </si>
  <si>
    <t>27л04м00д</t>
  </si>
  <si>
    <t>3г04м00д</t>
  </si>
  <si>
    <t>27л04м00</t>
  </si>
  <si>
    <t>34г08м18</t>
  </si>
  <si>
    <t>28лет09м18д</t>
  </si>
  <si>
    <t>07г02м19д</t>
  </si>
  <si>
    <t>22г04м03д</t>
  </si>
  <si>
    <t>26л04м05д</t>
  </si>
  <si>
    <t>23г01м01д</t>
  </si>
  <si>
    <t>повышение 50%</t>
  </si>
  <si>
    <t>Стаж работы по специальности (лет,мес,дней) на 01.01.2021г.</t>
  </si>
  <si>
    <t xml:space="preserve">Расчеты к штатному расписанию на 01 января 2021 года </t>
  </si>
  <si>
    <t>Литвинов Ю.А</t>
  </si>
  <si>
    <t>Бгашев В.В</t>
  </si>
  <si>
    <t>08л10м24д</t>
  </si>
  <si>
    <t>03г09м00д</t>
  </si>
  <si>
    <t>17л00м16д</t>
  </si>
  <si>
    <t>31л04м04д</t>
  </si>
  <si>
    <t>08л09м08д</t>
  </si>
  <si>
    <t>5л04м05д</t>
  </si>
  <si>
    <t>25г11м10д</t>
  </si>
  <si>
    <t>15л01м17д</t>
  </si>
  <si>
    <t>07л07м00д</t>
  </si>
  <si>
    <t>13л07м00д</t>
  </si>
  <si>
    <t>31 лет 05м07д</t>
  </si>
  <si>
    <t>12лет05м00д</t>
  </si>
  <si>
    <t>34г05м00д</t>
  </si>
  <si>
    <t>09л05м22д</t>
  </si>
  <si>
    <t>28л08м08д</t>
  </si>
  <si>
    <t>36г,04м00д</t>
  </si>
  <si>
    <t>11л02м04д</t>
  </si>
  <si>
    <t>33л00м00д</t>
  </si>
  <si>
    <t>Марченко Л.В</t>
  </si>
  <si>
    <t>Уздымбаева С.А</t>
  </si>
  <si>
    <t>28л00м00д</t>
  </si>
  <si>
    <t>01г01м21д</t>
  </si>
  <si>
    <t>10л00м19дн</t>
  </si>
  <si>
    <t>20л00м</t>
  </si>
  <si>
    <t>штат в количестве  174,24единиц</t>
  </si>
  <si>
    <t>КГКП "Детская музыкальная школа " г.Павлодара</t>
  </si>
  <si>
    <t>И.о. руководителя КГКП "ДМШ "г.Павлодара_____________________________ Бобровская О .Л</t>
  </si>
  <si>
    <t xml:space="preserve">                                           в сумме   21 855 642,43 (Двадцать один миллион восемьсот пятьдесят пять тысяч шестьсот сорок две) тенге 43 тиын. </t>
  </si>
  <si>
    <t>ШТАТНОЕ РАСПИСАНИЕ на 01.01.2021г .</t>
  </si>
  <si>
    <t>Новые коэффициенты(МБ+РБ)</t>
  </si>
</sst>
</file>

<file path=xl/styles.xml><?xml version="1.0" encoding="utf-8"?>
<styleSheet xmlns="http://schemas.openxmlformats.org/spreadsheetml/2006/main">
  <numFmts count="7">
    <numFmt numFmtId="43" formatCode="_-* #,##0.00_р_._-;\-* #,##0.00_р_._-;_-* &quot;-&quot;??_р_._-;_-@_-"/>
    <numFmt numFmtId="164" formatCode="#,##0.00_ ;\-#,##0.00\ "/>
    <numFmt numFmtId="165" formatCode="0.0"/>
    <numFmt numFmtId="166" formatCode="_-* #,##0.00_р_._-;\-* #,##0.00_р_._-;_-* \-??_р_._-;_-@_-"/>
    <numFmt numFmtId="167" formatCode="_-* #,##0.00\ _₽_-;\-* #,##0.00\ _₽_-;_-* &quot;-&quot;??\ _₽_-;_-@_-"/>
    <numFmt numFmtId="168" formatCode="_-* #,##0.00000_р_._-;\-* #,##0.00000_р_._-;_-* &quot;-&quot;??_р_._-;_-@_-"/>
    <numFmt numFmtId="169" formatCode="_-* #,##0.00000_р_._-;\-* #,##0.00000_р_._-;_-* &quot;-&quot;?????_р_._-;_-@_-"/>
  </numFmts>
  <fonts count="7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name val="Arial"/>
      <family val="2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b/>
      <sz val="10"/>
      <color rgb="FFFF000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FF0000"/>
      <name val="Times New Roman"/>
      <family val="1"/>
      <charset val="204"/>
    </font>
    <font>
      <b/>
      <sz val="11"/>
      <color rgb="FFFF0000"/>
      <name val="Arial"/>
      <family val="2"/>
      <charset val="204"/>
    </font>
    <font>
      <b/>
      <u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Arial Cyr"/>
      <charset val="204"/>
    </font>
    <font>
      <sz val="12"/>
      <color indexed="8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color rgb="FFFF0000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u/>
      <sz val="8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12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10"/>
      <color indexed="63"/>
      <name val="Times New Roman"/>
      <family val="1"/>
      <charset val="204"/>
    </font>
    <font>
      <b/>
      <sz val="9"/>
      <color indexed="4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sz val="12"/>
      <name val="Arial Narrow"/>
      <family val="2"/>
      <charset val="204"/>
    </font>
    <font>
      <b/>
      <u/>
      <sz val="12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12"/>
      <color rgb="FFFF0000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u/>
      <sz val="14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name val="Arial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Arial Cyr"/>
      <charset val="20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indexed="26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indexed="2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26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26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0" fillId="4" borderId="2" applyNumberFormat="0" applyAlignment="0" applyProtection="0"/>
  </cellStyleXfs>
  <cellXfs count="2333">
    <xf numFmtId="0" fontId="0" fillId="0" borderId="0" xfId="0"/>
    <xf numFmtId="0" fontId="2" fillId="0" borderId="0" xfId="1" applyFont="1" applyFill="1" applyAlignment="1">
      <alignment vertical="center" wrapText="1"/>
    </xf>
    <xf numFmtId="0" fontId="2" fillId="0" borderId="0" xfId="1" applyFont="1" applyFill="1" applyAlignment="1">
      <alignment horizontal="center" vertical="center" wrapText="1"/>
    </xf>
    <xf numFmtId="2" fontId="2" fillId="0" borderId="0" xfId="1" applyNumberFormat="1" applyFont="1" applyFill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10" fontId="5" fillId="2" borderId="1" xfId="1" applyNumberFormat="1" applyFont="1" applyFill="1" applyBorder="1" applyAlignment="1">
      <alignment horizontal="center" vertical="center" wrapText="1"/>
    </xf>
    <xf numFmtId="9" fontId="5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/>
    </xf>
    <xf numFmtId="0" fontId="5" fillId="2" borderId="1" xfId="2" applyFont="1" applyFill="1" applyBorder="1" applyAlignment="1">
      <alignment horizontal="center" vertical="center"/>
    </xf>
    <xf numFmtId="2" fontId="5" fillId="2" borderId="1" xfId="2" applyNumberFormat="1" applyFont="1" applyFill="1" applyBorder="1" applyAlignment="1">
      <alignment horizontal="center" vertical="center"/>
    </xf>
    <xf numFmtId="0" fontId="5" fillId="5" borderId="1" xfId="3" applyNumberFormat="1" applyFont="1" applyFill="1" applyBorder="1" applyAlignment="1" applyProtection="1">
      <alignment horizontal="center" vertical="center" wrapText="1"/>
    </xf>
    <xf numFmtId="0" fontId="5" fillId="5" borderId="1" xfId="3" applyNumberFormat="1" applyFont="1" applyFill="1" applyBorder="1" applyAlignment="1" applyProtection="1">
      <alignment horizontal="left" vertical="center"/>
      <protection locked="0"/>
    </xf>
    <xf numFmtId="2" fontId="5" fillId="5" borderId="1" xfId="3" applyNumberFormat="1" applyFont="1" applyFill="1" applyBorder="1" applyAlignment="1" applyProtection="1">
      <alignment horizontal="center" vertical="center" wrapText="1"/>
    </xf>
    <xf numFmtId="10" fontId="5" fillId="5" borderId="1" xfId="3" applyNumberFormat="1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 wrapText="1"/>
    </xf>
    <xf numFmtId="2" fontId="2" fillId="2" borderId="0" xfId="1" applyNumberFormat="1" applyFont="1" applyFill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Alignment="1">
      <alignment vertical="center" wrapText="1"/>
    </xf>
    <xf numFmtId="2" fontId="2" fillId="2" borderId="0" xfId="1" applyNumberFormat="1" applyFont="1" applyFill="1" applyAlignment="1">
      <alignment vertical="center"/>
    </xf>
    <xf numFmtId="0" fontId="5" fillId="2" borderId="1" xfId="1" applyFont="1" applyFill="1" applyBorder="1" applyAlignment="1">
      <alignment vertical="center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Alignment="1">
      <alignment vertical="center"/>
    </xf>
    <xf numFmtId="0" fontId="5" fillId="2" borderId="1" xfId="1" applyFont="1" applyFill="1" applyBorder="1" applyAlignment="1"/>
    <xf numFmtId="0" fontId="5" fillId="2" borderId="1" xfId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/>
    </xf>
    <xf numFmtId="0" fontId="5" fillId="2" borderId="3" xfId="1" applyFont="1" applyFill="1" applyBorder="1" applyAlignment="1">
      <alignment vertical="center"/>
    </xf>
    <xf numFmtId="49" fontId="14" fillId="2" borderId="1" xfId="1" applyNumberFormat="1" applyFont="1" applyFill="1" applyBorder="1" applyAlignment="1">
      <alignment horizontal="center" vertical="center" wrapText="1"/>
    </xf>
    <xf numFmtId="2" fontId="5" fillId="2" borderId="3" xfId="1" applyNumberFormat="1" applyFont="1" applyFill="1" applyBorder="1" applyAlignment="1">
      <alignment horizontal="center" vertical="center" wrapText="1"/>
    </xf>
    <xf numFmtId="2" fontId="7" fillId="2" borderId="3" xfId="1" applyNumberFormat="1" applyFont="1" applyFill="1" applyBorder="1" applyAlignment="1">
      <alignment horizontal="center" vertical="center" wrapText="1"/>
    </xf>
    <xf numFmtId="2" fontId="5" fillId="5" borderId="3" xfId="3" applyNumberFormat="1" applyFont="1" applyFill="1" applyBorder="1" applyAlignment="1" applyProtection="1">
      <alignment horizontal="center" vertical="center" wrapText="1"/>
    </xf>
    <xf numFmtId="10" fontId="5" fillId="2" borderId="3" xfId="1" applyNumberFormat="1" applyFont="1" applyFill="1" applyBorder="1" applyAlignment="1">
      <alignment horizontal="center" vertical="center" wrapText="1"/>
    </xf>
    <xf numFmtId="9" fontId="5" fillId="2" borderId="3" xfId="1" applyNumberFormat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center" vertical="center" wrapText="1"/>
    </xf>
    <xf numFmtId="49" fontId="6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vertical="center"/>
    </xf>
    <xf numFmtId="2" fontId="5" fillId="2" borderId="4" xfId="1" applyNumberFormat="1" applyFont="1" applyFill="1" applyBorder="1" applyAlignment="1">
      <alignment horizontal="center" vertical="center" wrapText="1"/>
    </xf>
    <xf numFmtId="2" fontId="16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/>
      <protection locked="0"/>
    </xf>
    <xf numFmtId="2" fontId="15" fillId="2" borderId="1" xfId="1" applyNumberFormat="1" applyFont="1" applyFill="1" applyBorder="1" applyAlignment="1">
      <alignment horizontal="center" vertical="center" wrapText="1"/>
    </xf>
    <xf numFmtId="2" fontId="16" fillId="2" borderId="3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/>
      <protection locked="0"/>
    </xf>
    <xf numFmtId="2" fontId="16" fillId="2" borderId="4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/>
    <xf numFmtId="49" fontId="14" fillId="2" borderId="4" xfId="1" applyNumberFormat="1" applyFont="1" applyFill="1" applyBorder="1" applyAlignment="1">
      <alignment horizontal="center" vertical="center" wrapText="1"/>
    </xf>
    <xf numFmtId="49" fontId="16" fillId="2" borderId="1" xfId="1" applyNumberFormat="1" applyFont="1" applyFill="1" applyBorder="1" applyAlignment="1">
      <alignment horizontal="center" vertical="center" wrapText="1"/>
    </xf>
    <xf numFmtId="0" fontId="17" fillId="2" borderId="1" xfId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49" fontId="14" fillId="2" borderId="3" xfId="1" applyNumberFormat="1" applyFont="1" applyFill="1" applyBorder="1" applyAlignment="1">
      <alignment horizontal="center" vertical="center" wrapText="1"/>
    </xf>
    <xf numFmtId="0" fontId="6" fillId="2" borderId="3" xfId="1" applyFont="1" applyFill="1" applyBorder="1" applyAlignment="1" applyProtection="1">
      <alignment horizontal="center"/>
      <protection locked="0"/>
    </xf>
    <xf numFmtId="2" fontId="15" fillId="2" borderId="3" xfId="1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2" fontId="5" fillId="5" borderId="4" xfId="3" applyNumberFormat="1" applyFont="1" applyFill="1" applyBorder="1" applyAlignment="1" applyProtection="1">
      <alignment horizontal="center" vertical="center" wrapText="1"/>
    </xf>
    <xf numFmtId="10" fontId="5" fillId="2" borderId="4" xfId="1" applyNumberFormat="1" applyFont="1" applyFill="1" applyBorder="1" applyAlignment="1">
      <alignment horizontal="center" vertical="center" wrapText="1"/>
    </xf>
    <xf numFmtId="9" fontId="5" fillId="2" borderId="4" xfId="1" applyNumberFormat="1" applyFont="1" applyFill="1" applyBorder="1" applyAlignment="1">
      <alignment horizontal="center" vertical="center" wrapText="1"/>
    </xf>
    <xf numFmtId="2" fontId="7" fillId="2" borderId="4" xfId="1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vertical="center"/>
    </xf>
    <xf numFmtId="0" fontId="5" fillId="2" borderId="5" xfId="1" applyFont="1" applyFill="1" applyBorder="1" applyAlignment="1">
      <alignment horizontal="center" vertical="center" wrapText="1"/>
    </xf>
    <xf numFmtId="10" fontId="5" fillId="2" borderId="7" xfId="1" applyNumberFormat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2" fontId="5" fillId="5" borderId="10" xfId="3" applyNumberFormat="1" applyFont="1" applyFill="1" applyBorder="1" applyAlignment="1" applyProtection="1">
      <alignment horizontal="center" vertical="center" wrapText="1"/>
    </xf>
    <xf numFmtId="0" fontId="8" fillId="7" borderId="0" xfId="1" applyFont="1" applyFill="1" applyAlignment="1">
      <alignment wrapText="1"/>
    </xf>
    <xf numFmtId="0" fontId="8" fillId="7" borderId="0" xfId="1" applyFont="1" applyFill="1" applyBorder="1" applyAlignment="1">
      <alignment wrapText="1"/>
    </xf>
    <xf numFmtId="0" fontId="2" fillId="7" borderId="0" xfId="1" applyFont="1" applyFill="1" applyAlignment="1">
      <alignment vertical="center" wrapText="1"/>
    </xf>
    <xf numFmtId="0" fontId="2" fillId="7" borderId="0" xfId="1" applyFont="1" applyFill="1" applyBorder="1" applyAlignment="1">
      <alignment vertical="center" wrapText="1"/>
    </xf>
    <xf numFmtId="2" fontId="2" fillId="7" borderId="0" xfId="1" applyNumberFormat="1" applyFont="1" applyFill="1" applyBorder="1" applyAlignment="1">
      <alignment vertical="center" wrapText="1"/>
    </xf>
    <xf numFmtId="166" fontId="2" fillId="7" borderId="0" xfId="1" applyNumberFormat="1" applyFont="1" applyFill="1" applyBorder="1" applyAlignment="1">
      <alignment vertical="center" wrapText="1"/>
    </xf>
    <xf numFmtId="0" fontId="4" fillId="3" borderId="0" xfId="1" applyFont="1" applyFill="1" applyAlignment="1">
      <alignment vertical="center" wrapText="1"/>
    </xf>
    <xf numFmtId="43" fontId="21" fillId="2" borderId="0" xfId="1" applyNumberFormat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43" fontId="21" fillId="2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167" fontId="2" fillId="0" borderId="0" xfId="1" applyNumberFormat="1" applyFont="1" applyFill="1" applyAlignment="1">
      <alignment vertical="center" wrapText="1"/>
    </xf>
    <xf numFmtId="0" fontId="5" fillId="9" borderId="4" xfId="1" applyFont="1" applyFill="1" applyBorder="1" applyAlignment="1">
      <alignment horizontal="center" vertical="center" wrapText="1"/>
    </xf>
    <xf numFmtId="0" fontId="5" fillId="9" borderId="1" xfId="2" applyFont="1" applyFill="1" applyBorder="1" applyAlignment="1">
      <alignment horizontal="left" vertical="center"/>
    </xf>
    <xf numFmtId="0" fontId="5" fillId="9" borderId="1" xfId="1" applyFont="1" applyFill="1" applyBorder="1" applyAlignment="1">
      <alignment horizontal="center" vertical="center"/>
    </xf>
    <xf numFmtId="0" fontId="5" fillId="9" borderId="1" xfId="2" applyFont="1" applyFill="1" applyBorder="1" applyAlignment="1">
      <alignment horizontal="center" vertical="center"/>
    </xf>
    <xf numFmtId="0" fontId="5" fillId="9" borderId="1" xfId="1" applyFont="1" applyFill="1" applyBorder="1" applyAlignment="1">
      <alignment horizontal="center" vertical="center" wrapText="1"/>
    </xf>
    <xf numFmtId="0" fontId="6" fillId="9" borderId="1" xfId="1" applyNumberFormat="1" applyFont="1" applyFill="1" applyBorder="1" applyAlignment="1" applyProtection="1">
      <alignment horizontal="center" vertical="center"/>
      <protection locked="0"/>
    </xf>
    <xf numFmtId="2" fontId="5" fillId="9" borderId="1" xfId="1" applyNumberFormat="1" applyFont="1" applyFill="1" applyBorder="1" applyAlignment="1">
      <alignment horizontal="center" vertical="center" wrapText="1"/>
    </xf>
    <xf numFmtId="165" fontId="19" fillId="9" borderId="1" xfId="2" applyNumberFormat="1" applyFont="1" applyFill="1" applyBorder="1" applyAlignment="1">
      <alignment horizontal="center" vertical="center"/>
    </xf>
    <xf numFmtId="0" fontId="20" fillId="9" borderId="1" xfId="2" applyFont="1" applyFill="1" applyBorder="1" applyAlignment="1">
      <alignment horizontal="center" vertical="center"/>
    </xf>
    <xf numFmtId="0" fontId="5" fillId="9" borderId="1" xfId="2" applyFont="1" applyFill="1" applyBorder="1" applyAlignment="1">
      <alignment horizontal="center" vertical="center" wrapText="1"/>
    </xf>
    <xf numFmtId="2" fontId="5" fillId="10" borderId="1" xfId="3" applyNumberFormat="1" applyFont="1" applyFill="1" applyBorder="1" applyAlignment="1" applyProtection="1">
      <alignment horizontal="center" vertical="center" wrapText="1"/>
    </xf>
    <xf numFmtId="10" fontId="5" fillId="9" borderId="1" xfId="1" applyNumberFormat="1" applyFont="1" applyFill="1" applyBorder="1" applyAlignment="1">
      <alignment horizontal="center" vertical="center" wrapText="1"/>
    </xf>
    <xf numFmtId="9" fontId="5" fillId="9" borderId="1" xfId="1" applyNumberFormat="1" applyFont="1" applyFill="1" applyBorder="1" applyAlignment="1">
      <alignment horizontal="center" vertical="center" wrapText="1"/>
    </xf>
    <xf numFmtId="2" fontId="7" fillId="9" borderId="1" xfId="1" applyNumberFormat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vertical="center"/>
    </xf>
    <xf numFmtId="0" fontId="5" fillId="9" borderId="1" xfId="1" applyFont="1" applyFill="1" applyBorder="1" applyAlignment="1">
      <alignment horizontal="left" vertical="center" wrapText="1"/>
    </xf>
    <xf numFmtId="49" fontId="14" fillId="9" borderId="1" xfId="1" applyNumberFormat="1" applyFont="1" applyFill="1" applyBorder="1" applyAlignment="1">
      <alignment horizontal="center" vertical="center" wrapText="1"/>
    </xf>
    <xf numFmtId="0" fontId="6" fillId="9" borderId="1" xfId="1" applyFont="1" applyFill="1" applyBorder="1" applyAlignment="1" applyProtection="1">
      <alignment horizontal="center"/>
      <protection locked="0"/>
    </xf>
    <xf numFmtId="2" fontId="15" fillId="9" borderId="1" xfId="1" applyNumberFormat="1" applyFont="1" applyFill="1" applyBorder="1" applyAlignment="1">
      <alignment horizontal="center" vertical="center" wrapText="1"/>
    </xf>
    <xf numFmtId="2" fontId="16" fillId="9" borderId="1" xfId="1" applyNumberFormat="1" applyFont="1" applyFill="1" applyBorder="1" applyAlignment="1">
      <alignment horizontal="center" vertical="center" wrapText="1"/>
    </xf>
    <xf numFmtId="0" fontId="2" fillId="9" borderId="0" xfId="1" applyFont="1" applyFill="1" applyAlignment="1">
      <alignment vertical="center"/>
    </xf>
    <xf numFmtId="0" fontId="2" fillId="9" borderId="0" xfId="1" applyFont="1" applyFill="1" applyAlignment="1">
      <alignment vertical="center" wrapText="1"/>
    </xf>
    <xf numFmtId="0" fontId="2" fillId="7" borderId="0" xfId="1" applyFont="1" applyFill="1" applyAlignment="1">
      <alignment vertical="center"/>
    </xf>
    <xf numFmtId="0" fontId="2" fillId="7" borderId="1" xfId="1" applyFont="1" applyFill="1" applyBorder="1" applyAlignment="1">
      <alignment vertical="center"/>
    </xf>
    <xf numFmtId="0" fontId="2" fillId="7" borderId="1" xfId="1" applyFont="1" applyFill="1" applyBorder="1" applyAlignment="1">
      <alignment vertical="center" wrapText="1"/>
    </xf>
    <xf numFmtId="2" fontId="2" fillId="7" borderId="0" xfId="1" applyNumberFormat="1" applyFont="1" applyFill="1" applyAlignment="1">
      <alignment vertical="center" wrapText="1"/>
    </xf>
    <xf numFmtId="0" fontId="5" fillId="10" borderId="1" xfId="3" applyNumberFormat="1" applyFont="1" applyFill="1" applyBorder="1" applyAlignment="1" applyProtection="1">
      <alignment horizontal="left" vertical="center" wrapText="1"/>
    </xf>
    <xf numFmtId="0" fontId="5" fillId="10" borderId="1" xfId="3" applyNumberFormat="1" applyFont="1" applyFill="1" applyBorder="1" applyAlignment="1" applyProtection="1">
      <alignment horizontal="center" vertical="center" wrapText="1"/>
    </xf>
    <xf numFmtId="0" fontId="11" fillId="10" borderId="1" xfId="3" applyNumberFormat="1" applyFont="1" applyFill="1" applyBorder="1" applyAlignment="1" applyProtection="1">
      <alignment horizontal="center" vertical="center" wrapText="1"/>
    </xf>
    <xf numFmtId="0" fontId="11" fillId="10" borderId="1" xfId="3" applyNumberFormat="1" applyFont="1" applyFill="1" applyBorder="1" applyAlignment="1" applyProtection="1">
      <alignment horizontal="center"/>
      <protection locked="0"/>
    </xf>
    <xf numFmtId="10" fontId="5" fillId="10" borderId="1" xfId="3" applyNumberFormat="1" applyFont="1" applyFill="1" applyBorder="1" applyAlignment="1" applyProtection="1">
      <alignment horizontal="center" vertical="center" wrapText="1"/>
    </xf>
    <xf numFmtId="0" fontId="2" fillId="7" borderId="0" xfId="1" applyNumberFormat="1" applyFont="1" applyFill="1" applyAlignment="1">
      <alignment vertical="center"/>
    </xf>
    <xf numFmtId="49" fontId="6" fillId="9" borderId="1" xfId="1" applyNumberFormat="1" applyFont="1" applyFill="1" applyBorder="1" applyAlignment="1" applyProtection="1">
      <alignment horizontal="center" vertical="center"/>
      <protection locked="0"/>
    </xf>
    <xf numFmtId="0" fontId="2" fillId="7" borderId="0" xfId="1" applyFont="1" applyFill="1" applyAlignment="1"/>
    <xf numFmtId="0" fontId="2" fillId="7" borderId="0" xfId="1" applyFont="1" applyFill="1" applyAlignment="1">
      <alignment wrapText="1"/>
    </xf>
    <xf numFmtId="10" fontId="2" fillId="7" borderId="0" xfId="1" applyNumberFormat="1" applyFont="1" applyFill="1" applyBorder="1" applyAlignment="1">
      <alignment vertical="center" wrapText="1"/>
    </xf>
    <xf numFmtId="10" fontId="2" fillId="7" borderId="0" xfId="1" applyNumberFormat="1" applyFont="1" applyFill="1" applyAlignment="1">
      <alignment vertical="center" wrapText="1"/>
    </xf>
    <xf numFmtId="0" fontId="11" fillId="7" borderId="0" xfId="1" applyFont="1" applyFill="1" applyAlignment="1">
      <alignment vertical="center"/>
    </xf>
    <xf numFmtId="0" fontId="11" fillId="7" borderId="0" xfId="1" applyFont="1" applyFill="1" applyAlignment="1">
      <alignment vertical="center" wrapText="1"/>
    </xf>
    <xf numFmtId="10" fontId="11" fillId="7" borderId="0" xfId="1" applyNumberFormat="1" applyFont="1" applyFill="1" applyAlignment="1">
      <alignment vertical="center" wrapText="1"/>
    </xf>
    <xf numFmtId="2" fontId="11" fillId="7" borderId="0" xfId="1" applyNumberFormat="1" applyFont="1" applyFill="1" applyAlignment="1">
      <alignment vertical="center" wrapText="1"/>
    </xf>
    <xf numFmtId="0" fontId="2" fillId="8" borderId="0" xfId="1" applyFont="1" applyFill="1" applyAlignment="1">
      <alignment vertical="center" wrapText="1"/>
    </xf>
    <xf numFmtId="10" fontId="2" fillId="8" borderId="0" xfId="1" applyNumberFormat="1" applyFont="1" applyFill="1" applyAlignment="1">
      <alignment vertical="center" wrapText="1"/>
    </xf>
    <xf numFmtId="2" fontId="2" fillId="8" borderId="0" xfId="1" applyNumberFormat="1" applyFont="1" applyFill="1" applyAlignment="1">
      <alignment vertical="center" wrapText="1"/>
    </xf>
    <xf numFmtId="2" fontId="2" fillId="7" borderId="0" xfId="1" applyNumberFormat="1" applyFont="1" applyFill="1" applyAlignment="1">
      <alignment vertical="center"/>
    </xf>
    <xf numFmtId="2" fontId="8" fillId="7" borderId="0" xfId="1" applyNumberFormat="1" applyFont="1" applyFill="1" applyBorder="1" applyAlignment="1">
      <alignment wrapText="1"/>
    </xf>
    <xf numFmtId="2" fontId="2" fillId="7" borderId="0" xfId="1" applyNumberFormat="1" applyFont="1" applyFill="1" applyBorder="1" applyAlignment="1">
      <alignment vertical="center"/>
    </xf>
    <xf numFmtId="2" fontId="8" fillId="7" borderId="0" xfId="1" applyNumberFormat="1" applyFont="1" applyFill="1" applyAlignment="1">
      <alignment wrapText="1"/>
    </xf>
    <xf numFmtId="0" fontId="21" fillId="6" borderId="1" xfId="1" applyFont="1" applyFill="1" applyBorder="1" applyAlignment="1">
      <alignment horizontal="center" vertical="center" wrapText="1"/>
    </xf>
    <xf numFmtId="49" fontId="21" fillId="6" borderId="1" xfId="1" applyNumberFormat="1" applyFont="1" applyFill="1" applyBorder="1" applyAlignment="1">
      <alignment horizontal="center" vertical="center" wrapText="1"/>
    </xf>
    <xf numFmtId="2" fontId="7" fillId="6" borderId="1" xfId="1" applyNumberFormat="1" applyFont="1" applyFill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wrapText="1"/>
    </xf>
    <xf numFmtId="0" fontId="14" fillId="2" borderId="1" xfId="1" applyFont="1" applyFill="1" applyBorder="1" applyAlignment="1">
      <alignment horizontal="center"/>
    </xf>
    <xf numFmtId="49" fontId="14" fillId="2" borderId="1" xfId="1" applyNumberFormat="1" applyFont="1" applyFill="1" applyBorder="1" applyAlignment="1">
      <alignment horizontal="center" wrapText="1"/>
    </xf>
    <xf numFmtId="2" fontId="5" fillId="2" borderId="1" xfId="1" applyNumberFormat="1" applyFont="1" applyFill="1" applyBorder="1" applyAlignment="1">
      <alignment horizontal="center" wrapText="1"/>
    </xf>
    <xf numFmtId="2" fontId="15" fillId="2" borderId="1" xfId="1" applyNumberFormat="1" applyFont="1" applyFill="1" applyBorder="1" applyAlignment="1">
      <alignment horizontal="center" wrapText="1"/>
    </xf>
    <xf numFmtId="2" fontId="16" fillId="2" borderId="1" xfId="1" applyNumberFormat="1" applyFont="1" applyFill="1" applyBorder="1" applyAlignment="1">
      <alignment horizontal="center" wrapText="1"/>
    </xf>
    <xf numFmtId="2" fontId="5" fillId="5" borderId="1" xfId="3" applyNumberFormat="1" applyFont="1" applyFill="1" applyBorder="1" applyAlignment="1" applyProtection="1">
      <alignment horizontal="center" wrapText="1"/>
    </xf>
    <xf numFmtId="10" fontId="5" fillId="2" borderId="1" xfId="1" applyNumberFormat="1" applyFont="1" applyFill="1" applyBorder="1" applyAlignment="1">
      <alignment horizontal="center" wrapText="1"/>
    </xf>
    <xf numFmtId="9" fontId="5" fillId="2" borderId="1" xfId="1" applyNumberFormat="1" applyFont="1" applyFill="1" applyBorder="1" applyAlignment="1">
      <alignment horizontal="center" wrapText="1"/>
    </xf>
    <xf numFmtId="2" fontId="7" fillId="2" borderId="1" xfId="1" applyNumberFormat="1" applyFont="1" applyFill="1" applyBorder="1" applyAlignment="1">
      <alignment horizontal="center" wrapText="1"/>
    </xf>
    <xf numFmtId="0" fontId="12" fillId="2" borderId="1" xfId="1" applyFont="1" applyFill="1" applyBorder="1" applyAlignment="1">
      <alignment vertical="center"/>
    </xf>
    <xf numFmtId="49" fontId="8" fillId="2" borderId="1" xfId="1" applyNumberFormat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2" fontId="18" fillId="2" borderId="1" xfId="1" applyNumberFormat="1" applyFont="1" applyFill="1" applyBorder="1" applyAlignment="1">
      <alignment horizontal="center" vertical="top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vertical="center"/>
    </xf>
    <xf numFmtId="49" fontId="8" fillId="2" borderId="3" xfId="1" applyNumberFormat="1" applyFont="1" applyFill="1" applyBorder="1" applyAlignment="1">
      <alignment horizontal="center" vertical="center" wrapText="1"/>
    </xf>
    <xf numFmtId="0" fontId="8" fillId="2" borderId="3" xfId="1" applyNumberFormat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/>
    </xf>
    <xf numFmtId="0" fontId="17" fillId="2" borderId="3" xfId="1" applyFont="1" applyFill="1" applyBorder="1" applyAlignment="1" applyProtection="1">
      <alignment horizontal="center"/>
      <protection locked="0"/>
    </xf>
    <xf numFmtId="2" fontId="18" fillId="2" borderId="3" xfId="1" applyNumberFormat="1" applyFont="1" applyFill="1" applyBorder="1" applyAlignment="1">
      <alignment horizontal="center" vertical="top" wrapText="1"/>
    </xf>
    <xf numFmtId="0" fontId="5" fillId="2" borderId="4" xfId="2" applyFont="1" applyFill="1" applyBorder="1" applyAlignment="1">
      <alignment vertical="center"/>
    </xf>
    <xf numFmtId="0" fontId="5" fillId="2" borderId="4" xfId="2" applyFont="1" applyFill="1" applyBorder="1" applyAlignment="1">
      <alignment horizontal="left" vertical="center"/>
    </xf>
    <xf numFmtId="0" fontId="5" fillId="2" borderId="4" xfId="2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 applyProtection="1">
      <alignment horizontal="center" vertical="center"/>
      <protection locked="0"/>
    </xf>
    <xf numFmtId="165" fontId="19" fillId="2" borderId="4" xfId="2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 applyProtection="1">
      <alignment horizontal="center" vertical="center"/>
      <protection locked="0"/>
    </xf>
    <xf numFmtId="165" fontId="19" fillId="2" borderId="1" xfId="2" applyNumberFormat="1" applyFont="1" applyFill="1" applyBorder="1" applyAlignment="1">
      <alignment horizontal="center" vertical="center"/>
    </xf>
    <xf numFmtId="0" fontId="20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5" borderId="1" xfId="3" applyNumberFormat="1" applyFont="1" applyFill="1" applyBorder="1" applyAlignment="1" applyProtection="1">
      <alignment vertical="center" wrapText="1"/>
    </xf>
    <xf numFmtId="0" fontId="5" fillId="5" borderId="1" xfId="3" applyNumberFormat="1" applyFont="1" applyFill="1" applyBorder="1" applyAlignment="1" applyProtection="1">
      <alignment horizontal="left" vertical="center" wrapText="1"/>
    </xf>
    <xf numFmtId="0" fontId="11" fillId="5" borderId="1" xfId="3" applyNumberFormat="1" applyFont="1" applyFill="1" applyBorder="1" applyAlignment="1" applyProtection="1">
      <alignment horizontal="center" vertical="center" wrapText="1"/>
    </xf>
    <xf numFmtId="0" fontId="11" fillId="5" borderId="1" xfId="3" applyNumberFormat="1" applyFont="1" applyFill="1" applyBorder="1" applyAlignment="1" applyProtection="1">
      <alignment horizontal="center"/>
      <protection locked="0"/>
    </xf>
    <xf numFmtId="2" fontId="11" fillId="5" borderId="1" xfId="3" applyNumberFormat="1" applyFont="1" applyFill="1" applyBorder="1" applyAlignment="1" applyProtection="1">
      <alignment horizontal="center" vertical="center" wrapText="1"/>
    </xf>
    <xf numFmtId="0" fontId="5" fillId="5" borderId="1" xfId="1" applyFont="1" applyFill="1" applyBorder="1" applyAlignment="1">
      <alignment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9" fontId="2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/>
    </xf>
    <xf numFmtId="14" fontId="5" fillId="5" borderId="1" xfId="3" applyNumberFormat="1" applyFont="1" applyFill="1" applyBorder="1" applyAlignment="1" applyProtection="1">
      <alignment horizontal="center" vertical="center" wrapText="1"/>
    </xf>
    <xf numFmtId="0" fontId="5" fillId="5" borderId="1" xfId="3" applyNumberFormat="1" applyFont="1" applyFill="1" applyBorder="1" applyAlignment="1" applyProtection="1">
      <alignment horizontal="center" vertical="center"/>
    </xf>
    <xf numFmtId="0" fontId="5" fillId="5" borderId="1" xfId="3" applyNumberFormat="1" applyFont="1" applyFill="1" applyBorder="1" applyAlignment="1" applyProtection="1">
      <alignment horizontal="left" vertical="center"/>
    </xf>
    <xf numFmtId="2" fontId="19" fillId="5" borderId="1" xfId="3" applyNumberFormat="1" applyFont="1" applyFill="1" applyBorder="1" applyAlignment="1" applyProtection="1">
      <alignment horizontal="center" vertical="center" wrapText="1"/>
    </xf>
    <xf numFmtId="0" fontId="5" fillId="11" borderId="1" xfId="1" applyFont="1" applyFill="1" applyBorder="1" applyAlignment="1">
      <alignment horizontal="center" vertical="center" wrapText="1"/>
    </xf>
    <xf numFmtId="0" fontId="12" fillId="11" borderId="1" xfId="1" applyFont="1" applyFill="1" applyBorder="1" applyAlignment="1">
      <alignment vertical="center"/>
    </xf>
    <xf numFmtId="0" fontId="5" fillId="11" borderId="1" xfId="1" applyFont="1" applyFill="1" applyBorder="1" applyAlignment="1">
      <alignment horizontal="left" vertical="center" wrapText="1"/>
    </xf>
    <xf numFmtId="0" fontId="5" fillId="11" borderId="1" xfId="1" applyFont="1" applyFill="1" applyBorder="1" applyAlignment="1">
      <alignment horizontal="center" vertical="center"/>
    </xf>
    <xf numFmtId="49" fontId="8" fillId="11" borderId="1" xfId="1" applyNumberFormat="1" applyFont="1" applyFill="1" applyBorder="1" applyAlignment="1">
      <alignment horizontal="center" vertical="center" wrapText="1"/>
    </xf>
    <xf numFmtId="0" fontId="8" fillId="11" borderId="1" xfId="1" applyNumberFormat="1" applyFont="1" applyFill="1" applyBorder="1" applyAlignment="1">
      <alignment horizontal="center" vertical="center" wrapText="1"/>
    </xf>
    <xf numFmtId="0" fontId="8" fillId="11" borderId="1" xfId="1" applyFont="1" applyFill="1" applyBorder="1" applyAlignment="1">
      <alignment horizontal="center" vertical="center"/>
    </xf>
    <xf numFmtId="0" fontId="17" fillId="11" borderId="1" xfId="1" applyFont="1" applyFill="1" applyBorder="1" applyAlignment="1" applyProtection="1">
      <alignment horizontal="center"/>
      <protection locked="0"/>
    </xf>
    <xf numFmtId="2" fontId="5" fillId="11" borderId="1" xfId="1" applyNumberFormat="1" applyFont="1" applyFill="1" applyBorder="1" applyAlignment="1">
      <alignment horizontal="center" vertical="center" wrapText="1"/>
    </xf>
    <xf numFmtId="2" fontId="18" fillId="11" borderId="1" xfId="1" applyNumberFormat="1" applyFont="1" applyFill="1" applyBorder="1" applyAlignment="1">
      <alignment horizontal="center" vertical="top" wrapText="1"/>
    </xf>
    <xf numFmtId="2" fontId="8" fillId="11" borderId="1" xfId="1" applyNumberFormat="1" applyFont="1" applyFill="1" applyBorder="1" applyAlignment="1">
      <alignment horizontal="center" vertical="center" wrapText="1"/>
    </xf>
    <xf numFmtId="2" fontId="5" fillId="12" borderId="1" xfId="3" applyNumberFormat="1" applyFont="1" applyFill="1" applyBorder="1" applyAlignment="1" applyProtection="1">
      <alignment horizontal="center" vertical="center" wrapText="1"/>
    </xf>
    <xf numFmtId="10" fontId="5" fillId="11" borderId="1" xfId="1" applyNumberFormat="1" applyFont="1" applyFill="1" applyBorder="1" applyAlignment="1">
      <alignment horizontal="center" vertical="center" wrapText="1"/>
    </xf>
    <xf numFmtId="9" fontId="5" fillId="11" borderId="1" xfId="1" applyNumberFormat="1" applyFont="1" applyFill="1" applyBorder="1" applyAlignment="1">
      <alignment horizontal="center" vertical="center" wrapText="1"/>
    </xf>
    <xf numFmtId="2" fontId="7" fillId="11" borderId="1" xfId="1" applyNumberFormat="1" applyFont="1" applyFill="1" applyBorder="1" applyAlignment="1">
      <alignment horizontal="center" vertical="center" wrapText="1"/>
    </xf>
    <xf numFmtId="0" fontId="2" fillId="11" borderId="0" xfId="1" applyFont="1" applyFill="1" applyAlignment="1">
      <alignment vertical="center"/>
    </xf>
    <xf numFmtId="0" fontId="2" fillId="11" borderId="0" xfId="1" applyFont="1" applyFill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1" fillId="6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166" fontId="22" fillId="10" borderId="1" xfId="3" applyNumberFormat="1" applyFont="1" applyFill="1" applyBorder="1" applyAlignment="1" applyProtection="1">
      <alignment vertical="center" wrapText="1"/>
    </xf>
    <xf numFmtId="0" fontId="13" fillId="2" borderId="1" xfId="1" applyFont="1" applyFill="1" applyBorder="1" applyAlignment="1">
      <alignment horizontal="center" vertical="center"/>
    </xf>
    <xf numFmtId="0" fontId="5" fillId="13" borderId="4" xfId="1" applyFont="1" applyFill="1" applyBorder="1" applyAlignment="1">
      <alignment horizontal="center" vertical="center" wrapText="1"/>
    </xf>
    <xf numFmtId="0" fontId="5" fillId="13" borderId="4" xfId="1" applyFont="1" applyFill="1" applyBorder="1" applyAlignment="1">
      <alignment vertical="center"/>
    </xf>
    <xf numFmtId="0" fontId="5" fillId="13" borderId="4" xfId="1" applyFont="1" applyFill="1" applyBorder="1" applyAlignment="1">
      <alignment horizontal="left" vertical="center" wrapText="1"/>
    </xf>
    <xf numFmtId="0" fontId="14" fillId="13" borderId="4" xfId="1" applyFont="1" applyFill="1" applyBorder="1" applyAlignment="1">
      <alignment horizontal="center" vertical="center" wrapText="1"/>
    </xf>
    <xf numFmtId="0" fontId="6" fillId="13" borderId="4" xfId="1" applyFont="1" applyFill="1" applyBorder="1" applyAlignment="1" applyProtection="1">
      <alignment horizontal="center" vertical="center"/>
      <protection locked="0"/>
    </xf>
    <xf numFmtId="2" fontId="5" fillId="13" borderId="4" xfId="1" applyNumberFormat="1" applyFont="1" applyFill="1" applyBorder="1" applyAlignment="1">
      <alignment horizontal="center" vertical="center" wrapText="1"/>
    </xf>
    <xf numFmtId="2" fontId="15" fillId="13" borderId="4" xfId="1" applyNumberFormat="1" applyFont="1" applyFill="1" applyBorder="1" applyAlignment="1">
      <alignment horizontal="center" vertical="center" wrapText="1"/>
    </xf>
    <xf numFmtId="2" fontId="16" fillId="13" borderId="4" xfId="1" applyNumberFormat="1" applyFont="1" applyFill="1" applyBorder="1" applyAlignment="1">
      <alignment horizontal="center" vertical="center" wrapText="1"/>
    </xf>
    <xf numFmtId="0" fontId="16" fillId="13" borderId="4" xfId="1" applyFont="1" applyFill="1" applyBorder="1" applyAlignment="1">
      <alignment horizontal="center" vertical="center" wrapText="1"/>
    </xf>
    <xf numFmtId="2" fontId="5" fillId="14" borderId="4" xfId="3" applyNumberFormat="1" applyFont="1" applyFill="1" applyBorder="1" applyAlignment="1" applyProtection="1">
      <alignment horizontal="center" vertical="center" wrapText="1"/>
    </xf>
    <xf numFmtId="10" fontId="5" fillId="13" borderId="4" xfId="1" applyNumberFormat="1" applyFont="1" applyFill="1" applyBorder="1" applyAlignment="1">
      <alignment horizontal="center" vertical="center" wrapText="1"/>
    </xf>
    <xf numFmtId="9" fontId="5" fillId="13" borderId="4" xfId="1" applyNumberFormat="1" applyFont="1" applyFill="1" applyBorder="1" applyAlignment="1">
      <alignment horizontal="center" vertical="center" wrapText="1"/>
    </xf>
    <xf numFmtId="2" fontId="7" fillId="13" borderId="4" xfId="1" applyNumberFormat="1" applyFont="1" applyFill="1" applyBorder="1" applyAlignment="1">
      <alignment horizontal="center" vertical="center" wrapText="1"/>
    </xf>
    <xf numFmtId="0" fontId="2" fillId="13" borderId="0" xfId="1" applyFont="1" applyFill="1" applyAlignment="1">
      <alignment vertical="center"/>
    </xf>
    <xf numFmtId="0" fontId="2" fillId="13" borderId="0" xfId="1" applyFont="1" applyFill="1" applyAlignment="1">
      <alignment vertical="center" wrapText="1"/>
    </xf>
    <xf numFmtId="0" fontId="5" fillId="13" borderId="1" xfId="1" applyFont="1" applyFill="1" applyBorder="1" applyAlignment="1">
      <alignment horizontal="center" vertical="center" wrapText="1"/>
    </xf>
    <xf numFmtId="0" fontId="5" fillId="13" borderId="1" xfId="1" applyFont="1" applyFill="1" applyBorder="1" applyAlignment="1">
      <alignment vertical="center"/>
    </xf>
    <xf numFmtId="0" fontId="5" fillId="13" borderId="1" xfId="1" applyFont="1" applyFill="1" applyBorder="1" applyAlignment="1">
      <alignment horizontal="left" vertical="center" wrapText="1"/>
    </xf>
    <xf numFmtId="49" fontId="14" fillId="13" borderId="1" xfId="1" applyNumberFormat="1" applyFont="1" applyFill="1" applyBorder="1" applyAlignment="1">
      <alignment horizontal="center" vertical="center" wrapText="1"/>
    </xf>
    <xf numFmtId="0" fontId="5" fillId="13" borderId="1" xfId="1" applyFont="1" applyFill="1" applyBorder="1" applyAlignment="1">
      <alignment horizontal="center" vertical="center"/>
    </xf>
    <xf numFmtId="0" fontId="5" fillId="13" borderId="1" xfId="1" applyFont="1" applyFill="1" applyBorder="1" applyAlignment="1" applyProtection="1">
      <alignment horizontal="center"/>
      <protection locked="0"/>
    </xf>
    <xf numFmtId="2" fontId="5" fillId="13" borderId="1" xfId="1" applyNumberFormat="1" applyFont="1" applyFill="1" applyBorder="1" applyAlignment="1">
      <alignment horizontal="center" vertical="center" wrapText="1"/>
    </xf>
    <xf numFmtId="2" fontId="15" fillId="13" borderId="1" xfId="1" applyNumberFormat="1" applyFont="1" applyFill="1" applyBorder="1" applyAlignment="1">
      <alignment horizontal="center" vertical="center" wrapText="1"/>
    </xf>
    <xf numFmtId="2" fontId="16" fillId="13" borderId="1" xfId="1" applyNumberFormat="1" applyFont="1" applyFill="1" applyBorder="1" applyAlignment="1">
      <alignment horizontal="center" vertical="center" wrapText="1"/>
    </xf>
    <xf numFmtId="2" fontId="5" fillId="14" borderId="1" xfId="3" applyNumberFormat="1" applyFont="1" applyFill="1" applyBorder="1" applyAlignment="1" applyProtection="1">
      <alignment horizontal="center" vertical="center" wrapText="1"/>
    </xf>
    <xf numFmtId="10" fontId="5" fillId="13" borderId="1" xfId="1" applyNumberFormat="1" applyFont="1" applyFill="1" applyBorder="1" applyAlignment="1">
      <alignment horizontal="center" vertical="center" wrapText="1"/>
    </xf>
    <xf numFmtId="9" fontId="5" fillId="13" borderId="1" xfId="1" applyNumberFormat="1" applyFont="1" applyFill="1" applyBorder="1" applyAlignment="1">
      <alignment horizontal="center" vertical="center" wrapText="1"/>
    </xf>
    <xf numFmtId="2" fontId="7" fillId="13" borderId="1" xfId="1" applyNumberFormat="1" applyFont="1" applyFill="1" applyBorder="1" applyAlignment="1">
      <alignment horizontal="center" vertical="center" wrapText="1"/>
    </xf>
    <xf numFmtId="2" fontId="16" fillId="13" borderId="3" xfId="1" applyNumberFormat="1" applyFont="1" applyFill="1" applyBorder="1" applyAlignment="1">
      <alignment horizontal="center" vertical="center" wrapText="1"/>
    </xf>
    <xf numFmtId="0" fontId="5" fillId="13" borderId="1" xfId="1" applyFont="1" applyFill="1" applyBorder="1" applyAlignment="1">
      <alignment horizontal="left"/>
    </xf>
    <xf numFmtId="0" fontId="6" fillId="13" borderId="1" xfId="1" applyFont="1" applyFill="1" applyBorder="1" applyAlignment="1" applyProtection="1">
      <alignment horizontal="center"/>
      <protection locked="0"/>
    </xf>
    <xf numFmtId="0" fontId="14" fillId="13" borderId="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 applyProtection="1">
      <alignment horizontal="center" vertical="center"/>
      <protection locked="0"/>
    </xf>
    <xf numFmtId="2" fontId="15" fillId="2" borderId="4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/>
    </xf>
    <xf numFmtId="49" fontId="14" fillId="2" borderId="3" xfId="0" applyNumberFormat="1" applyFont="1" applyFill="1" applyBorder="1" applyAlignment="1">
      <alignment horizontal="center" vertical="center" wrapText="1"/>
    </xf>
    <xf numFmtId="43" fontId="0" fillId="6" borderId="1" xfId="1" applyNumberFormat="1" applyFont="1" applyFill="1" applyBorder="1" applyAlignment="1">
      <alignment horizontal="center" vertical="center" wrapText="1"/>
    </xf>
    <xf numFmtId="0" fontId="12" fillId="9" borderId="1" xfId="1" applyFont="1" applyFill="1" applyBorder="1" applyAlignment="1">
      <alignment vertical="center"/>
    </xf>
    <xf numFmtId="0" fontId="8" fillId="9" borderId="1" xfId="1" applyNumberFormat="1" applyFont="1" applyFill="1" applyBorder="1" applyAlignment="1">
      <alignment horizontal="center" vertical="center" wrapText="1"/>
    </xf>
    <xf numFmtId="0" fontId="8" fillId="9" borderId="1" xfId="1" applyFont="1" applyFill="1" applyBorder="1" applyAlignment="1">
      <alignment horizontal="center" vertical="center"/>
    </xf>
    <xf numFmtId="0" fontId="17" fillId="9" borderId="1" xfId="1" applyFont="1" applyFill="1" applyBorder="1" applyAlignment="1" applyProtection="1">
      <alignment horizontal="center"/>
      <protection locked="0"/>
    </xf>
    <xf numFmtId="2" fontId="18" fillId="9" borderId="1" xfId="1" applyNumberFormat="1" applyFont="1" applyFill="1" applyBorder="1" applyAlignment="1">
      <alignment horizontal="center" vertical="top" wrapText="1"/>
    </xf>
    <xf numFmtId="2" fontId="8" fillId="9" borderId="1" xfId="1" applyNumberFormat="1" applyFont="1" applyFill="1" applyBorder="1" applyAlignment="1">
      <alignment horizontal="center" vertical="center" wrapText="1"/>
    </xf>
    <xf numFmtId="0" fontId="23" fillId="9" borderId="4" xfId="1" applyFont="1" applyFill="1" applyBorder="1" applyAlignment="1">
      <alignment horizontal="center" vertical="center" wrapText="1"/>
    </xf>
    <xf numFmtId="0" fontId="23" fillId="9" borderId="1" xfId="2" applyFont="1" applyFill="1" applyBorder="1" applyAlignment="1">
      <alignment horizontal="left" vertical="center"/>
    </xf>
    <xf numFmtId="0" fontId="23" fillId="9" borderId="1" xfId="1" applyFont="1" applyFill="1" applyBorder="1" applyAlignment="1">
      <alignment horizontal="center" vertical="center"/>
    </xf>
    <xf numFmtId="0" fontId="23" fillId="9" borderId="1" xfId="1" applyFont="1" applyFill="1" applyBorder="1" applyAlignment="1">
      <alignment horizontal="center" vertical="center" wrapText="1"/>
    </xf>
    <xf numFmtId="0" fontId="23" fillId="9" borderId="1" xfId="1" applyNumberFormat="1" applyFont="1" applyFill="1" applyBorder="1" applyAlignment="1" applyProtection="1">
      <alignment horizontal="center" vertical="center"/>
      <protection locked="0"/>
    </xf>
    <xf numFmtId="2" fontId="23" fillId="9" borderId="1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 wrapText="1"/>
    </xf>
    <xf numFmtId="0" fontId="5" fillId="12" borderId="1" xfId="3" applyNumberFormat="1" applyFont="1" applyFill="1" applyBorder="1" applyAlignment="1" applyProtection="1">
      <alignment horizontal="center" vertical="center" wrapText="1"/>
    </xf>
    <xf numFmtId="2" fontId="16" fillId="11" borderId="1" xfId="1" applyNumberFormat="1" applyFont="1" applyFill="1" applyBorder="1" applyAlignment="1">
      <alignment horizontal="center" vertical="center" wrapText="1"/>
    </xf>
    <xf numFmtId="165" fontId="19" fillId="11" borderId="1" xfId="2" applyNumberFormat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left" vertical="center"/>
    </xf>
    <xf numFmtId="0" fontId="5" fillId="7" borderId="1" xfId="1" applyFont="1" applyFill="1" applyBorder="1" applyAlignment="1">
      <alignment horizontal="left" vertical="center" wrapText="1"/>
    </xf>
    <xf numFmtId="49" fontId="6" fillId="7" borderId="1" xfId="1" applyNumberFormat="1" applyFont="1" applyFill="1" applyBorder="1" applyAlignment="1" applyProtection="1">
      <alignment horizontal="center" vertical="center"/>
      <protection locked="0"/>
    </xf>
    <xf numFmtId="2" fontId="5" fillId="7" borderId="1" xfId="1" applyNumberFormat="1" applyFont="1" applyFill="1" applyBorder="1" applyAlignment="1">
      <alignment horizontal="center" vertical="center" wrapText="1"/>
    </xf>
    <xf numFmtId="10" fontId="5" fillId="7" borderId="1" xfId="1" applyNumberFormat="1" applyFont="1" applyFill="1" applyBorder="1" applyAlignment="1">
      <alignment horizontal="center" vertical="center" wrapText="1"/>
    </xf>
    <xf numFmtId="0" fontId="5" fillId="7" borderId="1" xfId="1" applyNumberFormat="1" applyFont="1" applyFill="1" applyBorder="1" applyAlignment="1">
      <alignment horizontal="center" vertical="center" wrapText="1"/>
    </xf>
    <xf numFmtId="9" fontId="5" fillId="7" borderId="1" xfId="1" applyNumberFormat="1" applyFont="1" applyFill="1" applyBorder="1" applyAlignment="1">
      <alignment horizontal="center" vertical="center" wrapText="1"/>
    </xf>
    <xf numFmtId="2" fontId="7" fillId="7" borderId="1" xfId="1" applyNumberFormat="1" applyFont="1" applyFill="1" applyBorder="1" applyAlignment="1">
      <alignment horizontal="center" vertical="center" wrapText="1"/>
    </xf>
    <xf numFmtId="2" fontId="8" fillId="7" borderId="1" xfId="1" applyNumberFormat="1" applyFont="1" applyFill="1" applyBorder="1" applyAlignment="1">
      <alignment horizontal="center" vertical="center" wrapText="1"/>
    </xf>
    <xf numFmtId="0" fontId="8" fillId="7" borderId="1" xfId="1" applyFont="1" applyFill="1" applyBorder="1" applyAlignment="1">
      <alignment horizontal="center" vertical="center" wrapText="1"/>
    </xf>
    <xf numFmtId="49" fontId="5" fillId="7" borderId="1" xfId="1" applyNumberFormat="1" applyFont="1" applyFill="1" applyBorder="1" applyAlignment="1" applyProtection="1">
      <alignment horizontal="center" vertical="center"/>
      <protection locked="0"/>
    </xf>
    <xf numFmtId="0" fontId="5" fillId="8" borderId="1" xfId="3" applyNumberFormat="1" applyFont="1" applyFill="1" applyBorder="1" applyAlignment="1" applyProtection="1">
      <alignment horizontal="left" vertical="center"/>
      <protection locked="0"/>
    </xf>
    <xf numFmtId="0" fontId="5" fillId="8" borderId="1" xfId="3" applyNumberFormat="1" applyFont="1" applyFill="1" applyBorder="1" applyAlignment="1" applyProtection="1">
      <alignment horizontal="center" vertical="center" wrapText="1"/>
    </xf>
    <xf numFmtId="0" fontId="9" fillId="8" borderId="1" xfId="3" applyNumberFormat="1" applyFont="1" applyFill="1" applyBorder="1" applyAlignment="1" applyProtection="1">
      <alignment horizontal="center" vertical="center" wrapText="1"/>
    </xf>
    <xf numFmtId="0" fontId="5" fillId="8" borderId="1" xfId="3" applyNumberFormat="1" applyFont="1" applyFill="1" applyBorder="1" applyAlignment="1" applyProtection="1">
      <alignment horizontal="center" vertical="center"/>
      <protection locked="0"/>
    </xf>
    <xf numFmtId="2" fontId="5" fillId="8" borderId="1" xfId="3" applyNumberFormat="1" applyFont="1" applyFill="1" applyBorder="1" applyAlignment="1" applyProtection="1">
      <alignment horizontal="center" vertical="center" wrapText="1"/>
    </xf>
    <xf numFmtId="10" fontId="5" fillId="8" borderId="1" xfId="3" applyNumberFormat="1" applyFont="1" applyFill="1" applyBorder="1" applyAlignment="1" applyProtection="1">
      <alignment horizontal="center" vertical="center" wrapText="1"/>
    </xf>
    <xf numFmtId="9" fontId="5" fillId="8" borderId="1" xfId="3" applyNumberFormat="1" applyFont="1" applyFill="1" applyBorder="1" applyAlignment="1" applyProtection="1">
      <alignment horizontal="center" vertical="center" wrapText="1"/>
    </xf>
    <xf numFmtId="0" fontId="5" fillId="7" borderId="1" xfId="2" applyFont="1" applyFill="1" applyBorder="1" applyAlignment="1">
      <alignment horizontal="left" vertical="center"/>
    </xf>
    <xf numFmtId="0" fontId="5" fillId="7" borderId="1" xfId="2" applyFont="1" applyFill="1" applyBorder="1" applyAlignment="1">
      <alignment horizontal="center" vertical="center"/>
    </xf>
    <xf numFmtId="2" fontId="5" fillId="7" borderId="1" xfId="2" applyNumberFormat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49" fontId="5" fillId="7" borderId="1" xfId="1" applyNumberFormat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vertical="center"/>
    </xf>
    <xf numFmtId="0" fontId="6" fillId="7" borderId="1" xfId="1" applyFont="1" applyFill="1" applyBorder="1" applyAlignment="1" applyProtection="1">
      <alignment horizontal="center" vertical="center"/>
      <protection locked="0"/>
    </xf>
    <xf numFmtId="164" fontId="5" fillId="7" borderId="1" xfId="1" applyNumberFormat="1" applyFont="1" applyFill="1" applyBorder="1" applyAlignment="1">
      <alignment horizontal="center" vertical="center" wrapText="1"/>
    </xf>
    <xf numFmtId="0" fontId="5" fillId="7" borderId="1" xfId="1" applyFont="1" applyFill="1" applyBorder="1" applyAlignment="1"/>
    <xf numFmtId="0" fontId="5" fillId="7" borderId="1" xfId="1" applyFont="1" applyFill="1" applyBorder="1" applyAlignment="1">
      <alignment horizontal="center" wrapText="1"/>
    </xf>
    <xf numFmtId="0" fontId="5" fillId="7" borderId="1" xfId="1" applyFont="1" applyFill="1" applyBorder="1" applyAlignment="1">
      <alignment horizontal="center"/>
    </xf>
    <xf numFmtId="2" fontId="9" fillId="7" borderId="1" xfId="1" applyNumberFormat="1" applyFont="1" applyFill="1" applyBorder="1" applyAlignment="1">
      <alignment horizontal="center" vertical="center" wrapText="1"/>
    </xf>
    <xf numFmtId="9" fontId="9" fillId="7" borderId="1" xfId="1" applyNumberFormat="1" applyFont="1" applyFill="1" applyBorder="1" applyAlignment="1">
      <alignment horizontal="center" vertical="center" wrapText="1"/>
    </xf>
    <xf numFmtId="0" fontId="5" fillId="7" borderId="3" xfId="1" applyFont="1" applyFill="1" applyBorder="1" applyAlignment="1">
      <alignment vertical="center"/>
    </xf>
    <xf numFmtId="49" fontId="14" fillId="7" borderId="1" xfId="1" applyNumberFormat="1" applyFont="1" applyFill="1" applyBorder="1" applyAlignment="1">
      <alignment horizontal="center" vertical="center" wrapText="1"/>
    </xf>
    <xf numFmtId="0" fontId="5" fillId="7" borderId="3" xfId="1" applyNumberFormat="1" applyFont="1" applyFill="1" applyBorder="1" applyAlignment="1">
      <alignment horizontal="center" vertical="center"/>
    </xf>
    <xf numFmtId="2" fontId="5" fillId="7" borderId="3" xfId="1" applyNumberFormat="1" applyFont="1" applyFill="1" applyBorder="1" applyAlignment="1">
      <alignment horizontal="center" vertical="center" wrapText="1"/>
    </xf>
    <xf numFmtId="2" fontId="7" fillId="7" borderId="3" xfId="1" applyNumberFormat="1" applyFont="1" applyFill="1" applyBorder="1" applyAlignment="1">
      <alignment horizontal="center" vertical="center" wrapText="1"/>
    </xf>
    <xf numFmtId="2" fontId="5" fillId="8" borderId="3" xfId="3" applyNumberFormat="1" applyFont="1" applyFill="1" applyBorder="1" applyAlignment="1" applyProtection="1">
      <alignment horizontal="center" vertical="center" wrapText="1"/>
    </xf>
    <xf numFmtId="10" fontId="5" fillId="7" borderId="3" xfId="1" applyNumberFormat="1" applyFont="1" applyFill="1" applyBorder="1" applyAlignment="1">
      <alignment horizontal="center" vertical="center" wrapText="1"/>
    </xf>
    <xf numFmtId="9" fontId="5" fillId="7" borderId="3" xfId="1" applyNumberFormat="1" applyFont="1" applyFill="1" applyBorder="1" applyAlignment="1">
      <alignment horizontal="center" vertical="center" wrapText="1"/>
    </xf>
    <xf numFmtId="0" fontId="5" fillId="7" borderId="1" xfId="1" applyNumberFormat="1" applyFont="1" applyFill="1" applyBorder="1" applyAlignment="1">
      <alignment horizontal="center" vertical="center"/>
    </xf>
    <xf numFmtId="0" fontId="5" fillId="7" borderId="3" xfId="1" applyFont="1" applyFill="1" applyBorder="1" applyAlignment="1">
      <alignment horizontal="left" vertical="center" wrapText="1"/>
    </xf>
    <xf numFmtId="0" fontId="5" fillId="7" borderId="3" xfId="1" applyFont="1" applyFill="1" applyBorder="1" applyAlignment="1">
      <alignment horizontal="center" vertical="center" wrapText="1"/>
    </xf>
    <xf numFmtId="49" fontId="6" fillId="7" borderId="3" xfId="1" applyNumberFormat="1" applyFont="1" applyFill="1" applyBorder="1" applyAlignment="1" applyProtection="1">
      <alignment horizontal="center" vertical="center"/>
      <protection locked="0"/>
    </xf>
    <xf numFmtId="49" fontId="6" fillId="7" borderId="1" xfId="1" applyNumberFormat="1" applyFont="1" applyFill="1" applyBorder="1" applyAlignment="1" applyProtection="1">
      <alignment horizontal="center"/>
      <protection locked="0"/>
    </xf>
    <xf numFmtId="0" fontId="5" fillId="7" borderId="8" xfId="1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vertical="center"/>
    </xf>
    <xf numFmtId="165" fontId="5" fillId="7" borderId="1" xfId="2" applyNumberFormat="1" applyFont="1" applyFill="1" applyBorder="1" applyAlignment="1">
      <alignment horizontal="center" vertical="center"/>
    </xf>
    <xf numFmtId="2" fontId="5" fillId="8" borderId="4" xfId="3" applyNumberFormat="1" applyFont="1" applyFill="1" applyBorder="1" applyAlignment="1" applyProtection="1">
      <alignment horizontal="center" vertical="center" wrapText="1"/>
    </xf>
    <xf numFmtId="2" fontId="5" fillId="7" borderId="4" xfId="1" applyNumberFormat="1" applyFont="1" applyFill="1" applyBorder="1" applyAlignment="1">
      <alignment horizontal="center" vertical="center" wrapText="1"/>
    </xf>
    <xf numFmtId="10" fontId="5" fillId="7" borderId="7" xfId="1" applyNumberFormat="1" applyFont="1" applyFill="1" applyBorder="1" applyAlignment="1">
      <alignment horizontal="center" vertical="center" wrapText="1"/>
    </xf>
    <xf numFmtId="2" fontId="7" fillId="7" borderId="4" xfId="1" applyNumberFormat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>
      <alignment vertical="center"/>
    </xf>
    <xf numFmtId="0" fontId="5" fillId="7" borderId="4" xfId="1" applyFont="1" applyFill="1" applyBorder="1" applyAlignment="1">
      <alignment vertical="center" wrapText="1"/>
    </xf>
    <xf numFmtId="0" fontId="5" fillId="7" borderId="4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/>
    </xf>
    <xf numFmtId="14" fontId="5" fillId="7" borderId="4" xfId="1" applyNumberFormat="1" applyFont="1" applyFill="1" applyBorder="1" applyAlignment="1">
      <alignment horizontal="center" vertical="center" wrapText="1"/>
    </xf>
    <xf numFmtId="49" fontId="5" fillId="7" borderId="4" xfId="1" applyNumberFormat="1" applyFont="1" applyFill="1" applyBorder="1" applyAlignment="1">
      <alignment horizontal="center" vertical="center" wrapText="1"/>
    </xf>
    <xf numFmtId="0" fontId="5" fillId="7" borderId="4" xfId="1" applyFont="1" applyFill="1" applyBorder="1" applyAlignment="1">
      <alignment horizontal="center" vertical="center"/>
    </xf>
    <xf numFmtId="2" fontId="12" fillId="8" borderId="4" xfId="3" applyNumberFormat="1" applyFont="1" applyFill="1" applyBorder="1" applyAlignment="1" applyProtection="1">
      <alignment horizontal="center" vertical="center" wrapText="1"/>
    </xf>
    <xf numFmtId="2" fontId="5" fillId="8" borderId="11" xfId="3" applyNumberFormat="1" applyFont="1" applyFill="1" applyBorder="1" applyAlignment="1" applyProtection="1">
      <alignment horizontal="center" vertical="center" wrapText="1"/>
    </xf>
    <xf numFmtId="10" fontId="5" fillId="7" borderId="4" xfId="1" applyNumberFormat="1" applyFont="1" applyFill="1" applyBorder="1" applyAlignment="1">
      <alignment horizontal="center" vertical="center" wrapText="1"/>
    </xf>
    <xf numFmtId="9" fontId="5" fillId="7" borderId="4" xfId="1" applyNumberFormat="1" applyFont="1" applyFill="1" applyBorder="1" applyAlignment="1">
      <alignment horizontal="center" vertical="center" wrapText="1"/>
    </xf>
    <xf numFmtId="0" fontId="5" fillId="7" borderId="9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vertical="center" wrapText="1"/>
    </xf>
    <xf numFmtId="0" fontId="5" fillId="7" borderId="9" xfId="2" applyFont="1" applyFill="1" applyBorder="1" applyAlignment="1">
      <alignment vertical="center"/>
    </xf>
    <xf numFmtId="2" fontId="5" fillId="7" borderId="1" xfId="2" applyNumberFormat="1" applyFont="1" applyFill="1" applyBorder="1" applyAlignment="1">
      <alignment vertical="center"/>
    </xf>
    <xf numFmtId="14" fontId="5" fillId="7" borderId="1" xfId="1" applyNumberFormat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left" vertical="center"/>
    </xf>
    <xf numFmtId="9" fontId="2" fillId="7" borderId="1" xfId="1" applyNumberFormat="1" applyFont="1" applyFill="1" applyBorder="1" applyAlignment="1">
      <alignment horizontal="center" vertical="center" wrapText="1"/>
    </xf>
    <xf numFmtId="2" fontId="5" fillId="7" borderId="1" xfId="1" applyNumberFormat="1" applyFont="1" applyFill="1" applyBorder="1" applyAlignment="1">
      <alignment horizontal="center" wrapText="1"/>
    </xf>
    <xf numFmtId="0" fontId="8" fillId="7" borderId="0" xfId="1" applyFont="1" applyFill="1" applyAlignment="1">
      <alignment vertical="center" wrapText="1"/>
    </xf>
    <xf numFmtId="0" fontId="8" fillId="7" borderId="0" xfId="1" applyFont="1" applyFill="1" applyBorder="1" applyAlignment="1">
      <alignment vertical="center" wrapText="1"/>
    </xf>
    <xf numFmtId="0" fontId="5" fillId="8" borderId="10" xfId="3" applyNumberFormat="1" applyFont="1" applyFill="1" applyBorder="1" applyAlignment="1" applyProtection="1">
      <alignment horizontal="left" vertical="center"/>
      <protection locked="0"/>
    </xf>
    <xf numFmtId="0" fontId="5" fillId="7" borderId="3" xfId="2" applyFont="1" applyFill="1" applyBorder="1" applyAlignment="1">
      <alignment horizontal="left" vertical="center"/>
    </xf>
    <xf numFmtId="0" fontId="5" fillId="8" borderId="10" xfId="3" applyNumberFormat="1" applyFont="1" applyFill="1" applyBorder="1" applyAlignment="1" applyProtection="1">
      <alignment horizontal="center" vertical="center" wrapText="1"/>
    </xf>
    <xf numFmtId="14" fontId="5" fillId="8" borderId="10" xfId="3" applyNumberFormat="1" applyFont="1" applyFill="1" applyBorder="1" applyAlignment="1" applyProtection="1">
      <alignment horizontal="center" vertical="center" wrapText="1"/>
    </xf>
    <xf numFmtId="0" fontId="5" fillId="8" borderId="10" xfId="3" applyNumberFormat="1" applyFont="1" applyFill="1" applyBorder="1" applyAlignment="1" applyProtection="1">
      <alignment horizontal="center" vertical="center"/>
    </xf>
    <xf numFmtId="0" fontId="5" fillId="7" borderId="3" xfId="1" applyFont="1" applyFill="1" applyBorder="1" applyAlignment="1">
      <alignment horizontal="center" vertical="center"/>
    </xf>
    <xf numFmtId="2" fontId="5" fillId="8" borderId="10" xfId="3" applyNumberFormat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1" fillId="6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5" fillId="15" borderId="5" xfId="1" applyFont="1" applyFill="1" applyBorder="1" applyAlignment="1">
      <alignment horizontal="center" vertical="center" wrapText="1"/>
    </xf>
    <xf numFmtId="0" fontId="5" fillId="15" borderId="1" xfId="2" applyFont="1" applyFill="1" applyBorder="1" applyAlignment="1">
      <alignment vertical="center"/>
    </xf>
    <xf numFmtId="0" fontId="5" fillId="15" borderId="1" xfId="2" applyFont="1" applyFill="1" applyBorder="1" applyAlignment="1">
      <alignment horizontal="left" vertical="center"/>
    </xf>
    <xf numFmtId="0" fontId="5" fillId="16" borderId="1" xfId="3" applyNumberFormat="1" applyFont="1" applyFill="1" applyBorder="1" applyAlignment="1" applyProtection="1">
      <alignment horizontal="center" vertical="center" wrapText="1"/>
    </xf>
    <xf numFmtId="0" fontId="5" fillId="15" borderId="1" xfId="2" applyFont="1" applyFill="1" applyBorder="1" applyAlignment="1">
      <alignment horizontal="center" vertical="center"/>
    </xf>
    <xf numFmtId="165" fontId="5" fillId="15" borderId="1" xfId="2" applyNumberFormat="1" applyFont="1" applyFill="1" applyBorder="1" applyAlignment="1">
      <alignment horizontal="center" vertical="center"/>
    </xf>
    <xf numFmtId="2" fontId="5" fillId="15" borderId="1" xfId="2" applyNumberFormat="1" applyFont="1" applyFill="1" applyBorder="1" applyAlignment="1">
      <alignment horizontal="center" vertical="center"/>
    </xf>
    <xf numFmtId="2" fontId="5" fillId="15" borderId="1" xfId="1" applyNumberFormat="1" applyFont="1" applyFill="1" applyBorder="1" applyAlignment="1">
      <alignment horizontal="center" vertical="center" wrapText="1"/>
    </xf>
    <xf numFmtId="2" fontId="5" fillId="16" borderId="1" xfId="3" applyNumberFormat="1" applyFont="1" applyFill="1" applyBorder="1" applyAlignment="1" applyProtection="1">
      <alignment horizontal="center" vertical="center" wrapText="1"/>
    </xf>
    <xf numFmtId="2" fontId="5" fillId="15" borderId="4" xfId="1" applyNumberFormat="1" applyFont="1" applyFill="1" applyBorder="1" applyAlignment="1">
      <alignment horizontal="center" vertical="center" wrapText="1"/>
    </xf>
    <xf numFmtId="10" fontId="5" fillId="15" borderId="7" xfId="1" applyNumberFormat="1" applyFont="1" applyFill="1" applyBorder="1" applyAlignment="1">
      <alignment horizontal="center" vertical="center" wrapText="1"/>
    </xf>
    <xf numFmtId="2" fontId="7" fillId="15" borderId="4" xfId="1" applyNumberFormat="1" applyFont="1" applyFill="1" applyBorder="1" applyAlignment="1">
      <alignment horizontal="center" vertical="center" wrapText="1"/>
    </xf>
    <xf numFmtId="0" fontId="11" fillId="15" borderId="0" xfId="1" applyFont="1" applyFill="1" applyAlignment="1">
      <alignment vertical="center" wrapText="1"/>
    </xf>
    <xf numFmtId="0" fontId="5" fillId="16" borderId="10" xfId="3" applyNumberFormat="1" applyFont="1" applyFill="1" applyBorder="1" applyAlignment="1" applyProtection="1">
      <alignment horizontal="left" vertical="center"/>
      <protection locked="0"/>
    </xf>
    <xf numFmtId="0" fontId="5" fillId="15" borderId="3" xfId="2" applyFont="1" applyFill="1" applyBorder="1" applyAlignment="1">
      <alignment horizontal="left" vertical="center"/>
    </xf>
    <xf numFmtId="0" fontId="5" fillId="16" borderId="10" xfId="3" applyNumberFormat="1" applyFont="1" applyFill="1" applyBorder="1" applyAlignment="1" applyProtection="1">
      <alignment horizontal="center" vertical="center" wrapText="1"/>
    </xf>
    <xf numFmtId="14" fontId="5" fillId="16" borderId="10" xfId="3" applyNumberFormat="1" applyFont="1" applyFill="1" applyBorder="1" applyAlignment="1" applyProtection="1">
      <alignment horizontal="center" vertical="center" wrapText="1"/>
    </xf>
    <xf numFmtId="0" fontId="5" fillId="16" borderId="10" xfId="3" applyNumberFormat="1" applyFont="1" applyFill="1" applyBorder="1" applyAlignment="1" applyProtection="1">
      <alignment horizontal="center" vertical="center"/>
    </xf>
    <xf numFmtId="0" fontId="5" fillId="15" borderId="3" xfId="1" applyFont="1" applyFill="1" applyBorder="1" applyAlignment="1">
      <alignment horizontal="center" vertical="center"/>
    </xf>
    <xf numFmtId="2" fontId="5" fillId="16" borderId="10" xfId="3" applyNumberFormat="1" applyFont="1" applyFill="1" applyBorder="1" applyAlignment="1" applyProtection="1">
      <alignment horizontal="center" vertical="center" wrapText="1"/>
    </xf>
    <xf numFmtId="9" fontId="5" fillId="15" borderId="3" xfId="1" applyNumberFormat="1" applyFont="1" applyFill="1" applyBorder="1" applyAlignment="1">
      <alignment horizontal="center" vertical="center" wrapText="1"/>
    </xf>
    <xf numFmtId="2" fontId="5" fillId="15" borderId="3" xfId="1" applyNumberFormat="1" applyFont="1" applyFill="1" applyBorder="1" applyAlignment="1">
      <alignment horizontal="center" vertical="center" wrapText="1"/>
    </xf>
    <xf numFmtId="2" fontId="2" fillId="15" borderId="0" xfId="1" applyNumberFormat="1" applyFont="1" applyFill="1" applyBorder="1" applyAlignment="1">
      <alignment vertical="center" wrapText="1"/>
    </xf>
    <xf numFmtId="0" fontId="2" fillId="15" borderId="0" xfId="1" applyFont="1" applyFill="1" applyBorder="1" applyAlignment="1">
      <alignment vertical="center" wrapText="1"/>
    </xf>
    <xf numFmtId="166" fontId="2" fillId="15" borderId="0" xfId="1" applyNumberFormat="1" applyFont="1" applyFill="1" applyBorder="1" applyAlignment="1">
      <alignment vertical="center" wrapText="1"/>
    </xf>
    <xf numFmtId="0" fontId="2" fillId="15" borderId="0" xfId="1" applyFont="1" applyFill="1" applyAlignment="1">
      <alignment vertical="center" wrapText="1"/>
    </xf>
    <xf numFmtId="0" fontId="5" fillId="15" borderId="8" xfId="1" applyFont="1" applyFill="1" applyBorder="1" applyAlignment="1">
      <alignment horizontal="center" vertical="center" wrapText="1"/>
    </xf>
    <xf numFmtId="0" fontId="5" fillId="15" borderId="1" xfId="1" applyFont="1" applyFill="1" applyBorder="1" applyAlignment="1">
      <alignment horizontal="center" vertical="center" wrapText="1"/>
    </xf>
    <xf numFmtId="0" fontId="5" fillId="15" borderId="9" xfId="2" applyFont="1" applyFill="1" applyBorder="1" applyAlignment="1">
      <alignment vertical="center"/>
    </xf>
    <xf numFmtId="49" fontId="5" fillId="15" borderId="1" xfId="1" applyNumberFormat="1" applyFont="1" applyFill="1" applyBorder="1" applyAlignment="1">
      <alignment horizontal="center" vertical="center" wrapText="1"/>
    </xf>
    <xf numFmtId="0" fontId="5" fillId="15" borderId="1" xfId="1" applyFont="1" applyFill="1" applyBorder="1" applyAlignment="1">
      <alignment horizontal="center" vertical="center"/>
    </xf>
    <xf numFmtId="9" fontId="5" fillId="15" borderId="1" xfId="1" applyNumberFormat="1" applyFont="1" applyFill="1" applyBorder="1" applyAlignment="1">
      <alignment horizontal="center" vertical="center" wrapText="1"/>
    </xf>
    <xf numFmtId="0" fontId="5" fillId="15" borderId="1" xfId="1" applyFont="1" applyFill="1" applyBorder="1" applyAlignment="1">
      <alignment vertical="center"/>
    </xf>
    <xf numFmtId="14" fontId="5" fillId="15" borderId="1" xfId="1" applyNumberFormat="1" applyFont="1" applyFill="1" applyBorder="1" applyAlignment="1">
      <alignment horizontal="center" vertical="center" wrapText="1"/>
    </xf>
    <xf numFmtId="0" fontId="5" fillId="15" borderId="1" xfId="1" applyFont="1" applyFill="1" applyBorder="1" applyAlignment="1">
      <alignment vertical="center" wrapText="1"/>
    </xf>
    <xf numFmtId="0" fontId="5" fillId="15" borderId="1" xfId="1" applyNumberFormat="1" applyFont="1" applyFill="1" applyBorder="1" applyAlignment="1">
      <alignment horizontal="center" vertical="center" wrapText="1"/>
    </xf>
    <xf numFmtId="10" fontId="5" fillId="15" borderId="1" xfId="1" applyNumberFormat="1" applyFont="1" applyFill="1" applyBorder="1" applyAlignment="1">
      <alignment horizontal="center" vertical="center" wrapText="1"/>
    </xf>
    <xf numFmtId="0" fontId="8" fillId="15" borderId="0" xfId="1" applyFont="1" applyFill="1" applyBorder="1" applyAlignment="1">
      <alignment wrapText="1"/>
    </xf>
    <xf numFmtId="0" fontId="8" fillId="15" borderId="0" xfId="1" applyFont="1" applyFill="1" applyAlignment="1">
      <alignment wrapText="1"/>
    </xf>
    <xf numFmtId="2" fontId="5" fillId="15" borderId="1" xfId="2" applyNumberFormat="1" applyFont="1" applyFill="1" applyBorder="1" applyAlignment="1">
      <alignment vertical="center"/>
    </xf>
    <xf numFmtId="0" fontId="5" fillId="15" borderId="1" xfId="1" applyFont="1" applyFill="1" applyBorder="1" applyAlignment="1">
      <alignment horizontal="left" vertical="center" wrapText="1"/>
    </xf>
    <xf numFmtId="0" fontId="5" fillId="15" borderId="9" xfId="1" applyFont="1" applyFill="1" applyBorder="1" applyAlignment="1">
      <alignment horizontal="center" vertical="center"/>
    </xf>
    <xf numFmtId="0" fontId="5" fillId="15" borderId="4" xfId="1" applyFont="1" applyFill="1" applyBorder="1" applyAlignment="1">
      <alignment vertical="center"/>
    </xf>
    <xf numFmtId="0" fontId="5" fillId="15" borderId="4" xfId="1" applyFont="1" applyFill="1" applyBorder="1" applyAlignment="1">
      <alignment horizontal="center" vertical="center" wrapText="1"/>
    </xf>
    <xf numFmtId="0" fontId="5" fillId="15" borderId="6" xfId="1" applyFont="1" applyFill="1" applyBorder="1" applyAlignment="1">
      <alignment horizontal="center" vertical="center"/>
    </xf>
    <xf numFmtId="14" fontId="5" fillId="15" borderId="4" xfId="1" applyNumberFormat="1" applyFont="1" applyFill="1" applyBorder="1" applyAlignment="1">
      <alignment horizontal="center" vertical="center" wrapText="1"/>
    </xf>
    <xf numFmtId="49" fontId="5" fillId="15" borderId="4" xfId="1" applyNumberFormat="1" applyFont="1" applyFill="1" applyBorder="1" applyAlignment="1">
      <alignment horizontal="center" vertical="center" wrapText="1"/>
    </xf>
    <xf numFmtId="0" fontId="5" fillId="15" borderId="4" xfId="1" applyFont="1" applyFill="1" applyBorder="1" applyAlignment="1">
      <alignment horizontal="center" vertical="center"/>
    </xf>
    <xf numFmtId="0" fontId="5" fillId="15" borderId="4" xfId="1" applyFont="1" applyFill="1" applyBorder="1" applyAlignment="1">
      <alignment vertical="center" wrapText="1"/>
    </xf>
    <xf numFmtId="2" fontId="12" fillId="16" borderId="4" xfId="3" applyNumberFormat="1" applyFont="1" applyFill="1" applyBorder="1" applyAlignment="1" applyProtection="1">
      <alignment horizontal="center" vertical="center" wrapText="1"/>
    </xf>
    <xf numFmtId="10" fontId="5" fillId="15" borderId="4" xfId="1" applyNumberFormat="1" applyFont="1" applyFill="1" applyBorder="1" applyAlignment="1">
      <alignment horizontal="center" vertical="center" wrapText="1"/>
    </xf>
    <xf numFmtId="9" fontId="5" fillId="15" borderId="4" xfId="1" applyNumberFormat="1" applyFont="1" applyFill="1" applyBorder="1" applyAlignment="1">
      <alignment horizontal="center" vertical="center" wrapText="1"/>
    </xf>
    <xf numFmtId="0" fontId="5" fillId="15" borderId="1" xfId="1" applyFont="1" applyFill="1" applyBorder="1" applyAlignment="1">
      <alignment horizontal="left" vertical="center"/>
    </xf>
    <xf numFmtId="49" fontId="6" fillId="15" borderId="1" xfId="1" applyNumberFormat="1" applyFont="1" applyFill="1" applyBorder="1" applyAlignment="1" applyProtection="1">
      <alignment horizontal="center" vertical="center"/>
      <protection locked="0"/>
    </xf>
    <xf numFmtId="2" fontId="7" fillId="15" borderId="1" xfId="1" applyNumberFormat="1" applyFont="1" applyFill="1" applyBorder="1" applyAlignment="1">
      <alignment horizontal="center" vertical="center" wrapText="1"/>
    </xf>
    <xf numFmtId="10" fontId="2" fillId="15" borderId="0" xfId="1" applyNumberFormat="1" applyFont="1" applyFill="1" applyBorder="1" applyAlignment="1">
      <alignment vertical="center" wrapText="1"/>
    </xf>
    <xf numFmtId="2" fontId="8" fillId="15" borderId="1" xfId="1" applyNumberFormat="1" applyFont="1" applyFill="1" applyBorder="1" applyAlignment="1">
      <alignment horizontal="center" vertical="center" wrapText="1"/>
    </xf>
    <xf numFmtId="0" fontId="8" fillId="15" borderId="1" xfId="1" applyFont="1" applyFill="1" applyBorder="1" applyAlignment="1">
      <alignment horizontal="center" vertical="center" wrapText="1"/>
    </xf>
    <xf numFmtId="49" fontId="5" fillId="15" borderId="1" xfId="1" applyNumberFormat="1" applyFont="1" applyFill="1" applyBorder="1" applyAlignment="1" applyProtection="1">
      <alignment horizontal="center" vertical="center"/>
      <protection locked="0"/>
    </xf>
    <xf numFmtId="10" fontId="2" fillId="15" borderId="0" xfId="1" applyNumberFormat="1" applyFont="1" applyFill="1" applyAlignment="1">
      <alignment vertical="center" wrapText="1"/>
    </xf>
    <xf numFmtId="2" fontId="2" fillId="15" borderId="0" xfId="1" applyNumberFormat="1" applyFont="1" applyFill="1" applyAlignment="1">
      <alignment vertical="center" wrapText="1"/>
    </xf>
    <xf numFmtId="0" fontId="5" fillId="16" borderId="1" xfId="3" applyNumberFormat="1" applyFont="1" applyFill="1" applyBorder="1" applyAlignment="1" applyProtection="1">
      <alignment horizontal="left" vertical="center"/>
      <protection locked="0"/>
    </xf>
    <xf numFmtId="0" fontId="9" fillId="16" borderId="1" xfId="3" applyNumberFormat="1" applyFont="1" applyFill="1" applyBorder="1" applyAlignment="1" applyProtection="1">
      <alignment horizontal="center" vertical="center" wrapText="1"/>
    </xf>
    <xf numFmtId="0" fontId="5" fillId="16" borderId="1" xfId="3" applyNumberFormat="1" applyFont="1" applyFill="1" applyBorder="1" applyAlignment="1" applyProtection="1">
      <alignment horizontal="center" vertical="center"/>
      <protection locked="0"/>
    </xf>
    <xf numFmtId="10" fontId="5" fillId="16" borderId="1" xfId="3" applyNumberFormat="1" applyFont="1" applyFill="1" applyBorder="1" applyAlignment="1" applyProtection="1">
      <alignment horizontal="center" vertical="center" wrapText="1"/>
    </xf>
    <xf numFmtId="9" fontId="5" fillId="16" borderId="1" xfId="3" applyNumberFormat="1" applyFont="1" applyFill="1" applyBorder="1" applyAlignment="1" applyProtection="1">
      <alignment horizontal="center" vertical="center" wrapText="1"/>
    </xf>
    <xf numFmtId="0" fontId="2" fillId="16" borderId="0" xfId="1" applyFont="1" applyFill="1" applyAlignment="1">
      <alignment vertical="center" wrapText="1"/>
    </xf>
    <xf numFmtId="10" fontId="2" fillId="16" borderId="0" xfId="1" applyNumberFormat="1" applyFont="1" applyFill="1" applyAlignment="1">
      <alignment vertical="center" wrapText="1"/>
    </xf>
    <xf numFmtId="2" fontId="2" fillId="16" borderId="0" xfId="1" applyNumberFormat="1" applyFont="1" applyFill="1" applyAlignment="1">
      <alignment vertical="center" wrapText="1"/>
    </xf>
    <xf numFmtId="10" fontId="11" fillId="15" borderId="0" xfId="1" applyNumberFormat="1" applyFont="1" applyFill="1" applyAlignment="1">
      <alignment vertical="center" wrapText="1"/>
    </xf>
    <xf numFmtId="2" fontId="11" fillId="15" borderId="0" xfId="1" applyNumberFormat="1" applyFont="1" applyFill="1" applyAlignment="1">
      <alignment vertical="center" wrapText="1"/>
    </xf>
    <xf numFmtId="0" fontId="12" fillId="15" borderId="1" xfId="1" applyFont="1" applyFill="1" applyBorder="1" applyAlignment="1">
      <alignment horizontal="center" vertical="center" wrapText="1"/>
    </xf>
    <xf numFmtId="0" fontId="13" fillId="15" borderId="1" xfId="1" applyFont="1" applyFill="1" applyBorder="1" applyAlignment="1">
      <alignment horizontal="center" vertical="center" wrapText="1"/>
    </xf>
    <xf numFmtId="0" fontId="6" fillId="15" borderId="1" xfId="1" applyFont="1" applyFill="1" applyBorder="1" applyAlignment="1" applyProtection="1">
      <alignment horizontal="center" vertical="center"/>
      <protection locked="0"/>
    </xf>
    <xf numFmtId="0" fontId="5" fillId="15" borderId="3" xfId="1" applyFont="1" applyFill="1" applyBorder="1" applyAlignment="1">
      <alignment horizontal="center" vertical="center" wrapText="1"/>
    </xf>
    <xf numFmtId="49" fontId="6" fillId="15" borderId="1" xfId="1" applyNumberFormat="1" applyFont="1" applyFill="1" applyBorder="1" applyAlignment="1" applyProtection="1">
      <alignment horizontal="center"/>
      <protection locked="0"/>
    </xf>
    <xf numFmtId="0" fontId="5" fillId="15" borderId="1" xfId="1" applyNumberFormat="1" applyFont="1" applyFill="1" applyBorder="1" applyAlignment="1">
      <alignment horizontal="center" vertical="center"/>
    </xf>
    <xf numFmtId="164" fontId="5" fillId="15" borderId="1" xfId="1" applyNumberFormat="1" applyFont="1" applyFill="1" applyBorder="1" applyAlignment="1">
      <alignment horizontal="center" vertical="center" wrapText="1"/>
    </xf>
    <xf numFmtId="0" fontId="5" fillId="15" borderId="1" xfId="1" applyFont="1" applyFill="1" applyBorder="1" applyAlignment="1"/>
    <xf numFmtId="0" fontId="5" fillId="15" borderId="1" xfId="1" applyFont="1" applyFill="1" applyBorder="1" applyAlignment="1">
      <alignment horizontal="center" wrapText="1"/>
    </xf>
    <xf numFmtId="2" fontId="9" fillId="15" borderId="1" xfId="1" applyNumberFormat="1" applyFont="1" applyFill="1" applyBorder="1" applyAlignment="1">
      <alignment horizontal="center" vertical="center" wrapText="1"/>
    </xf>
    <xf numFmtId="9" fontId="9" fillId="15" borderId="1" xfId="1" applyNumberFormat="1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15" borderId="3" xfId="1" applyNumberFormat="1" applyFont="1" applyFill="1" applyBorder="1" applyAlignment="1">
      <alignment horizontal="center" vertical="center"/>
    </xf>
    <xf numFmtId="2" fontId="7" fillId="15" borderId="3" xfId="1" applyNumberFormat="1" applyFont="1" applyFill="1" applyBorder="1" applyAlignment="1">
      <alignment horizontal="center" vertical="center" wrapText="1"/>
    </xf>
    <xf numFmtId="2" fontId="5" fillId="16" borderId="3" xfId="3" applyNumberFormat="1" applyFont="1" applyFill="1" applyBorder="1" applyAlignment="1" applyProtection="1">
      <alignment horizontal="center" vertical="center" wrapText="1"/>
    </xf>
    <xf numFmtId="10" fontId="5" fillId="15" borderId="3" xfId="1" applyNumberFormat="1" applyFont="1" applyFill="1" applyBorder="1" applyAlignment="1">
      <alignment horizontal="center" vertical="center" wrapText="1"/>
    </xf>
    <xf numFmtId="0" fontId="5" fillId="15" borderId="3" xfId="1" applyFont="1" applyFill="1" applyBorder="1" applyAlignment="1">
      <alignment vertical="center"/>
    </xf>
    <xf numFmtId="0" fontId="5" fillId="15" borderId="3" xfId="1" applyFont="1" applyFill="1" applyBorder="1" applyAlignment="1">
      <alignment horizontal="left" vertical="center" wrapText="1"/>
    </xf>
    <xf numFmtId="49" fontId="6" fillId="15" borderId="3" xfId="1" applyNumberFormat="1" applyFont="1" applyFill="1" applyBorder="1" applyAlignment="1" applyProtection="1">
      <alignment horizontal="center" vertical="center"/>
      <protection locked="0"/>
    </xf>
    <xf numFmtId="0" fontId="5" fillId="16" borderId="1" xfId="3" applyNumberFormat="1" applyFont="1" applyFill="1" applyBorder="1" applyAlignment="1" applyProtection="1">
      <alignment horizontal="left" vertical="center" wrapText="1"/>
    </xf>
    <xf numFmtId="14" fontId="5" fillId="16" borderId="1" xfId="3" applyNumberFormat="1" applyFont="1" applyFill="1" applyBorder="1" applyAlignment="1" applyProtection="1">
      <alignment horizontal="center" vertical="center" wrapText="1"/>
    </xf>
    <xf numFmtId="0" fontId="5" fillId="16" borderId="1" xfId="3" applyNumberFormat="1" applyFont="1" applyFill="1" applyBorder="1" applyAlignment="1" applyProtection="1">
      <alignment horizontal="center" vertical="center"/>
    </xf>
    <xf numFmtId="2" fontId="5" fillId="15" borderId="1" xfId="1" applyNumberFormat="1" applyFont="1" applyFill="1" applyBorder="1" applyAlignment="1">
      <alignment horizontal="center" wrapText="1"/>
    </xf>
    <xf numFmtId="0" fontId="5" fillId="16" borderId="1" xfId="3" applyNumberFormat="1" applyFont="1" applyFill="1" applyBorder="1" applyAlignment="1" applyProtection="1">
      <alignment horizontal="left" vertical="center"/>
    </xf>
    <xf numFmtId="0" fontId="6" fillId="15" borderId="1" xfId="1" applyFont="1" applyFill="1" applyBorder="1" applyAlignment="1">
      <alignment horizontal="left" vertical="center"/>
    </xf>
    <xf numFmtId="9" fontId="2" fillId="15" borderId="1" xfId="1" applyNumberFormat="1" applyFont="1" applyFill="1" applyBorder="1" applyAlignment="1">
      <alignment horizontal="center" vertical="center" wrapText="1"/>
    </xf>
    <xf numFmtId="0" fontId="6" fillId="7" borderId="1" xfId="1" applyNumberFormat="1" applyFont="1" applyFill="1" applyBorder="1" applyAlignment="1" applyProtection="1">
      <alignment horizontal="center" vertical="center"/>
      <protection locked="0"/>
    </xf>
    <xf numFmtId="165" fontId="19" fillId="7" borderId="1" xfId="2" applyNumberFormat="1" applyFont="1" applyFill="1" applyBorder="1" applyAlignment="1">
      <alignment horizontal="center" vertical="center"/>
    </xf>
    <xf numFmtId="0" fontId="9" fillId="7" borderId="1" xfId="2" applyFont="1" applyFill="1" applyBorder="1" applyAlignment="1">
      <alignment horizontal="center" vertical="center"/>
    </xf>
    <xf numFmtId="2" fontId="19" fillId="7" borderId="1" xfId="2" applyNumberFormat="1" applyFont="1" applyFill="1" applyBorder="1" applyAlignment="1">
      <alignment horizontal="center" vertical="center"/>
    </xf>
    <xf numFmtId="0" fontId="5" fillId="15" borderId="4" xfId="2" applyFont="1" applyFill="1" applyBorder="1" applyAlignment="1">
      <alignment horizontal="center" vertical="center"/>
    </xf>
    <xf numFmtId="0" fontId="9" fillId="15" borderId="4" xfId="2" applyFont="1" applyFill="1" applyBorder="1" applyAlignment="1">
      <alignment horizontal="center" vertical="center"/>
    </xf>
    <xf numFmtId="2" fontId="5" fillId="16" borderId="4" xfId="3" applyNumberFormat="1" applyFont="1" applyFill="1" applyBorder="1" applyAlignment="1" applyProtection="1">
      <alignment horizontal="center" vertical="center" wrapText="1"/>
    </xf>
    <xf numFmtId="0" fontId="6" fillId="15" borderId="1" xfId="1" applyNumberFormat="1" applyFont="1" applyFill="1" applyBorder="1" applyAlignment="1" applyProtection="1">
      <alignment horizontal="center" vertical="center"/>
      <protection locked="0"/>
    </xf>
    <xf numFmtId="165" fontId="19" fillId="15" borderId="1" xfId="2" applyNumberFormat="1" applyFont="1" applyFill="1" applyBorder="1" applyAlignment="1">
      <alignment horizontal="center" vertical="center"/>
    </xf>
    <xf numFmtId="0" fontId="9" fillId="15" borderId="1" xfId="2" applyFont="1" applyFill="1" applyBorder="1" applyAlignment="1">
      <alignment horizontal="center" vertical="center"/>
    </xf>
    <xf numFmtId="0" fontId="20" fillId="15" borderId="1" xfId="2" applyFont="1" applyFill="1" applyBorder="1" applyAlignment="1">
      <alignment horizontal="center" vertical="center"/>
    </xf>
    <xf numFmtId="2" fontId="19" fillId="15" borderId="1" xfId="2" applyNumberFormat="1" applyFont="1" applyFill="1" applyBorder="1" applyAlignment="1">
      <alignment horizontal="center" vertical="center"/>
    </xf>
    <xf numFmtId="0" fontId="5" fillId="15" borderId="1" xfId="2" applyFont="1" applyFill="1" applyBorder="1" applyAlignment="1">
      <alignment horizontal="center" vertical="center" wrapText="1"/>
    </xf>
    <xf numFmtId="0" fontId="12" fillId="15" borderId="1" xfId="1" applyFont="1" applyFill="1" applyBorder="1" applyAlignment="1">
      <alignment vertical="center"/>
    </xf>
    <xf numFmtId="49" fontId="8" fillId="15" borderId="1" xfId="1" applyNumberFormat="1" applyFont="1" applyFill="1" applyBorder="1" applyAlignment="1">
      <alignment horizontal="center" vertical="center" wrapText="1"/>
    </xf>
    <xf numFmtId="0" fontId="8" fillId="15" borderId="1" xfId="1" applyNumberFormat="1" applyFont="1" applyFill="1" applyBorder="1" applyAlignment="1">
      <alignment horizontal="center" vertical="center" wrapText="1"/>
    </xf>
    <xf numFmtId="0" fontId="8" fillId="15" borderId="1" xfId="1" applyFont="1" applyFill="1" applyBorder="1" applyAlignment="1">
      <alignment horizontal="center" vertical="center"/>
    </xf>
    <xf numFmtId="0" fontId="17" fillId="15" borderId="1" xfId="1" applyFont="1" applyFill="1" applyBorder="1" applyAlignment="1" applyProtection="1">
      <alignment horizontal="center"/>
      <protection locked="0"/>
    </xf>
    <xf numFmtId="2" fontId="18" fillId="15" borderId="1" xfId="1" applyNumberFormat="1" applyFont="1" applyFill="1" applyBorder="1" applyAlignment="1">
      <alignment horizontal="center" vertical="top" wrapText="1"/>
    </xf>
    <xf numFmtId="49" fontId="2" fillId="15" borderId="1" xfId="1" applyNumberFormat="1" applyFont="1" applyFill="1" applyBorder="1" applyAlignment="1">
      <alignment horizontal="center" vertical="center" wrapText="1"/>
    </xf>
    <xf numFmtId="49" fontId="14" fillId="15" borderId="1" xfId="1" applyNumberFormat="1" applyFont="1" applyFill="1" applyBorder="1" applyAlignment="1">
      <alignment horizontal="center" vertical="center" wrapText="1"/>
    </xf>
    <xf numFmtId="0" fontId="5" fillId="15" borderId="1" xfId="1" applyFont="1" applyFill="1" applyBorder="1" applyAlignment="1" applyProtection="1">
      <alignment horizontal="center"/>
      <protection locked="0"/>
    </xf>
    <xf numFmtId="2" fontId="15" fillId="15" borderId="1" xfId="1" applyNumberFormat="1" applyFont="1" applyFill="1" applyBorder="1" applyAlignment="1">
      <alignment horizontal="center" vertical="center" wrapText="1"/>
    </xf>
    <xf numFmtId="2" fontId="16" fillId="15" borderId="1" xfId="1" applyNumberFormat="1" applyFont="1" applyFill="1" applyBorder="1" applyAlignment="1">
      <alignment horizontal="center" vertical="center" wrapText="1"/>
    </xf>
    <xf numFmtId="0" fontId="6" fillId="15" borderId="1" xfId="1" applyFont="1" applyFill="1" applyBorder="1" applyAlignment="1" applyProtection="1">
      <alignment horizontal="center"/>
      <protection locked="0"/>
    </xf>
    <xf numFmtId="2" fontId="16" fillId="15" borderId="4" xfId="1" applyNumberFormat="1" applyFont="1" applyFill="1" applyBorder="1" applyAlignment="1">
      <alignment horizontal="center" vertical="center" wrapText="1"/>
    </xf>
    <xf numFmtId="0" fontId="14" fillId="15" borderId="1" xfId="1" applyFont="1" applyFill="1" applyBorder="1" applyAlignment="1">
      <alignment horizontal="center" vertical="center"/>
    </xf>
    <xf numFmtId="0" fontId="27" fillId="2" borderId="1" xfId="1" applyFont="1" applyFill="1" applyBorder="1" applyAlignment="1"/>
    <xf numFmtId="0" fontId="27" fillId="15" borderId="1" xfId="1" applyFont="1" applyFill="1" applyBorder="1" applyAlignment="1"/>
    <xf numFmtId="0" fontId="12" fillId="15" borderId="3" xfId="1" applyFont="1" applyFill="1" applyBorder="1" applyAlignment="1">
      <alignment vertical="center"/>
    </xf>
    <xf numFmtId="49" fontId="8" fillId="15" borderId="3" xfId="1" applyNumberFormat="1" applyFont="1" applyFill="1" applyBorder="1" applyAlignment="1">
      <alignment horizontal="center" vertical="center" wrapText="1"/>
    </xf>
    <xf numFmtId="0" fontId="8" fillId="15" borderId="3" xfId="1" applyNumberFormat="1" applyFont="1" applyFill="1" applyBorder="1" applyAlignment="1">
      <alignment horizontal="center" vertical="center" wrapText="1"/>
    </xf>
    <xf numFmtId="0" fontId="8" fillId="15" borderId="3" xfId="1" applyFont="1" applyFill="1" applyBorder="1" applyAlignment="1">
      <alignment horizontal="center" vertical="center"/>
    </xf>
    <xf numFmtId="0" fontId="17" fillId="15" borderId="3" xfId="1" applyFont="1" applyFill="1" applyBorder="1" applyAlignment="1" applyProtection="1">
      <alignment horizontal="center"/>
      <protection locked="0"/>
    </xf>
    <xf numFmtId="2" fontId="18" fillId="15" borderId="3" xfId="1" applyNumberFormat="1" applyFont="1" applyFill="1" applyBorder="1" applyAlignment="1">
      <alignment horizontal="center" vertical="top" wrapText="1"/>
    </xf>
    <xf numFmtId="2" fontId="16" fillId="15" borderId="3" xfId="1" applyNumberFormat="1" applyFont="1" applyFill="1" applyBorder="1" applyAlignment="1">
      <alignment horizontal="center" vertical="center" wrapText="1"/>
    </xf>
    <xf numFmtId="0" fontId="2" fillId="15" borderId="1" xfId="1" applyFont="1" applyFill="1" applyBorder="1" applyAlignment="1">
      <alignment vertical="center" wrapText="1"/>
    </xf>
    <xf numFmtId="0" fontId="5" fillId="15" borderId="4" xfId="1" applyFont="1" applyFill="1" applyBorder="1" applyAlignment="1">
      <alignment horizontal="left" vertical="center" wrapText="1"/>
    </xf>
    <xf numFmtId="2" fontId="15" fillId="15" borderId="4" xfId="1" applyNumberFormat="1" applyFont="1" applyFill="1" applyBorder="1" applyAlignment="1">
      <alignment horizontal="center" vertical="center" wrapText="1"/>
    </xf>
    <xf numFmtId="2" fontId="8" fillId="15" borderId="3" xfId="1" applyNumberFormat="1" applyFont="1" applyFill="1" applyBorder="1" applyAlignment="1">
      <alignment horizontal="center" vertical="center" wrapText="1"/>
    </xf>
    <xf numFmtId="0" fontId="14" fillId="15" borderId="1" xfId="1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left"/>
    </xf>
    <xf numFmtId="0" fontId="27" fillId="15" borderId="1" xfId="1" applyFont="1" applyFill="1" applyBorder="1" applyAlignment="1">
      <alignment horizontal="left"/>
    </xf>
    <xf numFmtId="0" fontId="5" fillId="15" borderId="1" xfId="1" applyFont="1" applyFill="1" applyBorder="1" applyAlignment="1">
      <alignment horizontal="left" wrapText="1"/>
    </xf>
    <xf numFmtId="0" fontId="5" fillId="15" borderId="1" xfId="1" applyFont="1" applyFill="1" applyBorder="1" applyAlignment="1">
      <alignment horizontal="center"/>
    </xf>
    <xf numFmtId="0" fontId="14" fillId="15" borderId="1" xfId="1" applyFont="1" applyFill="1" applyBorder="1" applyAlignment="1">
      <alignment horizontal="center"/>
    </xf>
    <xf numFmtId="49" fontId="14" fillId="15" borderId="1" xfId="1" applyNumberFormat="1" applyFont="1" applyFill="1" applyBorder="1" applyAlignment="1">
      <alignment horizontal="center" wrapText="1"/>
    </xf>
    <xf numFmtId="2" fontId="15" fillId="15" borderId="1" xfId="1" applyNumberFormat="1" applyFont="1" applyFill="1" applyBorder="1" applyAlignment="1">
      <alignment horizontal="center" wrapText="1"/>
    </xf>
    <xf numFmtId="2" fontId="16" fillId="15" borderId="1" xfId="1" applyNumberFormat="1" applyFont="1" applyFill="1" applyBorder="1" applyAlignment="1">
      <alignment horizontal="center" wrapText="1"/>
    </xf>
    <xf numFmtId="2" fontId="5" fillId="16" borderId="1" xfId="3" applyNumberFormat="1" applyFont="1" applyFill="1" applyBorder="1" applyAlignment="1" applyProtection="1">
      <alignment horizontal="center" wrapText="1"/>
    </xf>
    <xf numFmtId="10" fontId="5" fillId="15" borderId="1" xfId="1" applyNumberFormat="1" applyFont="1" applyFill="1" applyBorder="1" applyAlignment="1">
      <alignment horizontal="center" wrapText="1"/>
    </xf>
    <xf numFmtId="9" fontId="5" fillId="15" borderId="1" xfId="1" applyNumberFormat="1" applyFont="1" applyFill="1" applyBorder="1" applyAlignment="1">
      <alignment horizontal="center" wrapText="1"/>
    </xf>
    <xf numFmtId="2" fontId="7" fillId="15" borderId="1" xfId="1" applyNumberFormat="1" applyFont="1" applyFill="1" applyBorder="1" applyAlignment="1">
      <alignment horizontal="center" wrapText="1"/>
    </xf>
    <xf numFmtId="0" fontId="2" fillId="15" borderId="0" xfId="1" applyFont="1" applyFill="1" applyAlignment="1">
      <alignment wrapText="1"/>
    </xf>
    <xf numFmtId="49" fontId="14" fillId="15" borderId="3" xfId="1" applyNumberFormat="1" applyFont="1" applyFill="1" applyBorder="1" applyAlignment="1">
      <alignment horizontal="center" vertical="center" wrapText="1"/>
    </xf>
    <xf numFmtId="0" fontId="6" fillId="15" borderId="3" xfId="1" applyFont="1" applyFill="1" applyBorder="1" applyAlignment="1" applyProtection="1">
      <alignment horizontal="center"/>
      <protection locked="0"/>
    </xf>
    <xf numFmtId="2" fontId="15" fillId="15" borderId="3" xfId="1" applyNumberFormat="1" applyFont="1" applyFill="1" applyBorder="1" applyAlignment="1">
      <alignment horizontal="center" vertical="center" wrapText="1"/>
    </xf>
    <xf numFmtId="0" fontId="13" fillId="15" borderId="1" xfId="1" applyFont="1" applyFill="1" applyBorder="1"/>
    <xf numFmtId="0" fontId="13" fillId="15" borderId="1" xfId="1" applyFont="1" applyFill="1" applyBorder="1" applyAlignment="1">
      <alignment horizontal="center" vertical="center"/>
    </xf>
    <xf numFmtId="49" fontId="16" fillId="15" borderId="1" xfId="1" applyNumberFormat="1" applyFont="1" applyFill="1" applyBorder="1" applyAlignment="1">
      <alignment horizontal="center" vertical="center" wrapText="1"/>
    </xf>
    <xf numFmtId="0" fontId="5" fillId="15" borderId="4" xfId="1" applyFont="1" applyFill="1" applyBorder="1" applyAlignment="1">
      <alignment horizontal="left"/>
    </xf>
    <xf numFmtId="0" fontId="5" fillId="15" borderId="3" xfId="1" applyFont="1" applyFill="1" applyBorder="1" applyAlignment="1">
      <alignment horizontal="left" vertical="center"/>
    </xf>
    <xf numFmtId="0" fontId="12" fillId="15" borderId="3" xfId="1" applyFont="1" applyFill="1" applyBorder="1" applyAlignment="1">
      <alignment horizontal="center" vertical="center" wrapText="1"/>
    </xf>
    <xf numFmtId="0" fontId="5" fillId="15" borderId="3" xfId="2" applyFont="1" applyFill="1" applyBorder="1" applyAlignment="1">
      <alignment horizontal="center" vertical="center"/>
    </xf>
    <xf numFmtId="0" fontId="14" fillId="15" borderId="3" xfId="1" applyFont="1" applyFill="1" applyBorder="1" applyAlignment="1">
      <alignment horizontal="center" vertical="center" wrapText="1"/>
    </xf>
    <xf numFmtId="49" fontId="14" fillId="15" borderId="1" xfId="0" applyNumberFormat="1" applyFont="1" applyFill="1" applyBorder="1" applyAlignment="1">
      <alignment horizontal="center" vertical="center" wrapText="1"/>
    </xf>
    <xf numFmtId="49" fontId="14" fillId="15" borderId="4" xfId="1" applyNumberFormat="1" applyFont="1" applyFill="1" applyBorder="1" applyAlignment="1">
      <alignment horizontal="center" vertical="center" wrapText="1"/>
    </xf>
    <xf numFmtId="0" fontId="13" fillId="15" borderId="3" xfId="1" applyFont="1" applyFill="1" applyBorder="1" applyAlignment="1">
      <alignment horizontal="center" vertical="center" wrapText="1"/>
    </xf>
    <xf numFmtId="49" fontId="6" fillId="15" borderId="4" xfId="1" applyNumberFormat="1" applyFont="1" applyFill="1" applyBorder="1" applyAlignment="1" applyProtection="1">
      <alignment horizontal="center" vertical="center"/>
      <protection locked="0"/>
    </xf>
    <xf numFmtId="0" fontId="6" fillId="15" borderId="4" xfId="1" applyFont="1" applyFill="1" applyBorder="1" applyAlignment="1" applyProtection="1">
      <alignment horizontal="center"/>
      <protection locked="0"/>
    </xf>
    <xf numFmtId="0" fontId="6" fillId="15" borderId="3" xfId="1" applyNumberFormat="1" applyFont="1" applyFill="1" applyBorder="1" applyAlignment="1" applyProtection="1">
      <alignment horizontal="center" vertical="center"/>
      <protection locked="0"/>
    </xf>
    <xf numFmtId="165" fontId="19" fillId="15" borderId="3" xfId="2" applyNumberFormat="1" applyFont="1" applyFill="1" applyBorder="1" applyAlignment="1">
      <alignment horizontal="center" vertical="center"/>
    </xf>
    <xf numFmtId="0" fontId="9" fillId="7" borderId="4" xfId="2" applyFont="1" applyFill="1" applyBorder="1" applyAlignment="1">
      <alignment horizontal="center" vertical="center"/>
    </xf>
    <xf numFmtId="0" fontId="20" fillId="15" borderId="4" xfId="2" applyFont="1" applyFill="1" applyBorder="1" applyAlignment="1">
      <alignment horizontal="center" vertical="center"/>
    </xf>
    <xf numFmtId="0" fontId="17" fillId="15" borderId="4" xfId="1" applyFont="1" applyFill="1" applyBorder="1" applyAlignment="1" applyProtection="1">
      <alignment horizontal="center"/>
      <protection locked="0"/>
    </xf>
    <xf numFmtId="0" fontId="9" fillId="15" borderId="3" xfId="2" applyFont="1" applyFill="1" applyBorder="1" applyAlignment="1">
      <alignment horizontal="center" vertical="center"/>
    </xf>
    <xf numFmtId="0" fontId="20" fillId="15" borderId="3" xfId="2" applyFont="1" applyFill="1" applyBorder="1" applyAlignment="1">
      <alignment horizontal="center" vertical="center"/>
    </xf>
    <xf numFmtId="49" fontId="5" fillId="15" borderId="3" xfId="1" applyNumberFormat="1" applyFont="1" applyFill="1" applyBorder="1" applyAlignment="1">
      <alignment horizontal="center" vertical="center" wrapText="1"/>
    </xf>
    <xf numFmtId="0" fontId="16" fillId="15" borderId="1" xfId="1" applyFont="1" applyFill="1" applyBorder="1" applyAlignment="1">
      <alignment horizontal="center" vertical="center" wrapText="1"/>
    </xf>
    <xf numFmtId="0" fontId="16" fillId="15" borderId="3" xfId="1" applyFont="1" applyFill="1" applyBorder="1" applyAlignment="1">
      <alignment horizontal="center" vertical="center" wrapText="1"/>
    </xf>
    <xf numFmtId="0" fontId="5" fillId="15" borderId="3" xfId="2" applyFont="1" applyFill="1" applyBorder="1" applyAlignment="1">
      <alignment horizontal="center" vertical="center" wrapText="1"/>
    </xf>
    <xf numFmtId="10" fontId="5" fillId="16" borderId="3" xfId="3" applyNumberFormat="1" applyFont="1" applyFill="1" applyBorder="1" applyAlignment="1" applyProtection="1">
      <alignment horizontal="center" vertical="center" wrapText="1"/>
    </xf>
    <xf numFmtId="2" fontId="9" fillId="15" borderId="3" xfId="1" applyNumberFormat="1" applyFont="1" applyFill="1" applyBorder="1" applyAlignment="1">
      <alignment horizontal="center" vertical="center" wrapText="1"/>
    </xf>
    <xf numFmtId="9" fontId="9" fillId="15" borderId="3" xfId="1" applyNumberFormat="1" applyFont="1" applyFill="1" applyBorder="1" applyAlignment="1">
      <alignment horizontal="center" vertical="center" wrapText="1"/>
    </xf>
    <xf numFmtId="2" fontId="8" fillId="2" borderId="3" xfId="1" applyNumberFormat="1" applyFont="1" applyFill="1" applyBorder="1" applyAlignment="1">
      <alignment horizontal="center" vertical="center" wrapText="1"/>
    </xf>
    <xf numFmtId="2" fontId="19" fillId="2" borderId="1" xfId="2" applyNumberFormat="1" applyFont="1" applyFill="1" applyBorder="1" applyAlignment="1">
      <alignment horizontal="center" vertical="center"/>
    </xf>
    <xf numFmtId="0" fontId="16" fillId="2" borderId="1" xfId="2" applyFont="1" applyFill="1" applyBorder="1" applyAlignment="1">
      <alignment horizontal="center" vertical="center"/>
    </xf>
    <xf numFmtId="49" fontId="16" fillId="2" borderId="3" xfId="1" applyNumberFormat="1" applyFont="1" applyFill="1" applyBorder="1" applyAlignment="1">
      <alignment horizontal="center" vertical="center" wrapText="1"/>
    </xf>
    <xf numFmtId="49" fontId="16" fillId="9" borderId="1" xfId="1" applyNumberFormat="1" applyFont="1" applyFill="1" applyBorder="1" applyAlignment="1">
      <alignment horizontal="center" vertical="center" wrapText="1"/>
    </xf>
    <xf numFmtId="0" fontId="16" fillId="2" borderId="4" xfId="2" applyFont="1" applyFill="1" applyBorder="1" applyAlignment="1">
      <alignment horizontal="center" vertical="center"/>
    </xf>
    <xf numFmtId="49" fontId="16" fillId="2" borderId="4" xfId="1" applyNumberFormat="1" applyFont="1" applyFill="1" applyBorder="1" applyAlignment="1">
      <alignment horizontal="center" vertical="center" wrapText="1"/>
    </xf>
    <xf numFmtId="0" fontId="15" fillId="9" borderId="1" xfId="2" applyFont="1" applyFill="1" applyBorder="1" applyAlignment="1">
      <alignment horizontal="center" vertical="center"/>
    </xf>
    <xf numFmtId="0" fontId="15" fillId="9" borderId="1" xfId="1" applyFont="1" applyFill="1" applyBorder="1" applyAlignment="1">
      <alignment horizontal="center" vertical="center" wrapText="1"/>
    </xf>
    <xf numFmtId="0" fontId="16" fillId="5" borderId="1" xfId="3" applyNumberFormat="1" applyFont="1" applyFill="1" applyBorder="1" applyAlignment="1" applyProtection="1">
      <alignment horizontal="center" vertical="center" wrapText="1"/>
    </xf>
    <xf numFmtId="0" fontId="16" fillId="5" borderId="1" xfId="3" applyNumberFormat="1" applyFont="1" applyFill="1" applyBorder="1" applyAlignment="1" applyProtection="1">
      <alignment horizontal="left" vertical="center" wrapText="1"/>
    </xf>
    <xf numFmtId="0" fontId="16" fillId="5" borderId="1" xfId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vertical="center"/>
    </xf>
    <xf numFmtId="0" fontId="12" fillId="2" borderId="4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28" fillId="2" borderId="4" xfId="1" applyFont="1" applyFill="1" applyBorder="1" applyAlignment="1" applyProtection="1">
      <alignment horizontal="center" vertical="center"/>
      <protection locked="0"/>
    </xf>
    <xf numFmtId="2" fontId="12" fillId="2" borderId="4" xfId="1" applyNumberFormat="1" applyFont="1" applyFill="1" applyBorder="1" applyAlignment="1">
      <alignment horizontal="center" vertical="center" wrapText="1"/>
    </xf>
    <xf numFmtId="2" fontId="29" fillId="2" borderId="4" xfId="1" applyNumberFormat="1" applyFont="1" applyFill="1" applyBorder="1" applyAlignment="1">
      <alignment horizontal="center" vertical="center" wrapText="1"/>
    </xf>
    <xf numFmtId="2" fontId="12" fillId="2" borderId="1" xfId="1" applyNumberFormat="1" applyFont="1" applyFill="1" applyBorder="1" applyAlignment="1">
      <alignment horizontal="center" vertical="center" wrapText="1"/>
    </xf>
    <xf numFmtId="2" fontId="13" fillId="2" borderId="4" xfId="1" applyNumberFormat="1" applyFont="1" applyFill="1" applyBorder="1" applyAlignment="1">
      <alignment horizontal="center" vertical="center" wrapText="1"/>
    </xf>
    <xf numFmtId="2" fontId="12" fillId="5" borderId="4" xfId="3" applyNumberFormat="1" applyFont="1" applyFill="1" applyBorder="1" applyAlignment="1" applyProtection="1">
      <alignment horizontal="center" vertical="center" wrapText="1"/>
    </xf>
    <xf numFmtId="10" fontId="12" fillId="2" borderId="4" xfId="1" applyNumberFormat="1" applyFont="1" applyFill="1" applyBorder="1" applyAlignment="1">
      <alignment horizontal="center" vertical="center" wrapText="1"/>
    </xf>
    <xf numFmtId="9" fontId="12" fillId="2" borderId="4" xfId="1" applyNumberFormat="1" applyFont="1" applyFill="1" applyBorder="1" applyAlignment="1">
      <alignment horizontal="center" vertical="center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left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 applyProtection="1">
      <alignment horizontal="center"/>
      <protection locked="0"/>
    </xf>
    <xf numFmtId="2" fontId="29" fillId="2" borderId="1" xfId="1" applyNumberFormat="1" applyFont="1" applyFill="1" applyBorder="1" applyAlignment="1">
      <alignment horizontal="center" vertical="center" wrapText="1"/>
    </xf>
    <xf numFmtId="2" fontId="13" fillId="2" borderId="1" xfId="1" applyNumberFormat="1" applyFont="1" applyFill="1" applyBorder="1" applyAlignment="1">
      <alignment horizontal="center" vertical="center" wrapText="1"/>
    </xf>
    <xf numFmtId="2" fontId="12" fillId="5" borderId="1" xfId="3" applyNumberFormat="1" applyFont="1" applyFill="1" applyBorder="1" applyAlignment="1" applyProtection="1">
      <alignment horizontal="center" vertical="center" wrapText="1"/>
    </xf>
    <xf numFmtId="10" fontId="12" fillId="2" borderId="1" xfId="1" applyNumberFormat="1" applyFont="1" applyFill="1" applyBorder="1" applyAlignment="1">
      <alignment horizontal="center" vertical="center" wrapText="1"/>
    </xf>
    <xf numFmtId="9" fontId="12" fillId="2" borderId="1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0" fontId="28" fillId="2" borderId="1" xfId="1" applyFont="1" applyFill="1" applyBorder="1" applyAlignment="1" applyProtection="1">
      <alignment horizontal="center" vertical="center"/>
      <protection locked="0"/>
    </xf>
    <xf numFmtId="2" fontId="31" fillId="2" borderId="1" xfId="1" applyNumberFormat="1" applyFont="1" applyFill="1" applyBorder="1" applyAlignment="1">
      <alignment horizontal="center" vertical="top" wrapText="1"/>
    </xf>
    <xf numFmtId="0" fontId="32" fillId="2" borderId="1" xfId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left"/>
    </xf>
    <xf numFmtId="0" fontId="12" fillId="2" borderId="4" xfId="1" applyFont="1" applyFill="1" applyBorder="1" applyAlignment="1">
      <alignment horizontal="center" vertical="center"/>
    </xf>
    <xf numFmtId="0" fontId="28" fillId="2" borderId="4" xfId="1" applyFont="1" applyFill="1" applyBorder="1" applyAlignment="1" applyProtection="1">
      <alignment horizontal="center"/>
      <protection locked="0"/>
    </xf>
    <xf numFmtId="2" fontId="13" fillId="2" borderId="3" xfId="1" applyNumberFormat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28" fillId="2" borderId="1" xfId="1" applyFont="1" applyFill="1" applyBorder="1" applyAlignment="1" applyProtection="1">
      <alignment horizontal="center"/>
      <protection locked="0"/>
    </xf>
    <xf numFmtId="0" fontId="13" fillId="2" borderId="1" xfId="1" applyFont="1" applyFill="1" applyBorder="1" applyAlignment="1">
      <alignment horizontal="center" vertical="center" wrapText="1"/>
    </xf>
    <xf numFmtId="49" fontId="13" fillId="2" borderId="4" xfId="1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3" fillId="2" borderId="3" xfId="1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/>
    </xf>
    <xf numFmtId="0" fontId="12" fillId="2" borderId="1" xfId="1" applyFont="1" applyFill="1" applyBorder="1" applyAlignment="1"/>
    <xf numFmtId="0" fontId="12" fillId="2" borderId="1" xfId="1" applyFont="1" applyFill="1" applyBorder="1" applyAlignment="1">
      <alignment horizontal="left" wrapText="1"/>
    </xf>
    <xf numFmtId="0" fontId="12" fillId="2" borderId="1" xfId="1" applyFont="1" applyFill="1" applyBorder="1" applyAlignment="1">
      <alignment horizontal="center"/>
    </xf>
    <xf numFmtId="0" fontId="13" fillId="2" borderId="1" xfId="1" applyFont="1" applyFill="1" applyBorder="1" applyAlignment="1">
      <alignment horizontal="center"/>
    </xf>
    <xf numFmtId="49" fontId="13" fillId="2" borderId="1" xfId="1" applyNumberFormat="1" applyFont="1" applyFill="1" applyBorder="1" applyAlignment="1">
      <alignment horizontal="center" wrapText="1"/>
    </xf>
    <xf numFmtId="0" fontId="12" fillId="2" borderId="1" xfId="1" applyFont="1" applyFill="1" applyBorder="1" applyAlignment="1">
      <alignment horizontal="center" wrapText="1"/>
    </xf>
    <xf numFmtId="2" fontId="12" fillId="2" borderId="1" xfId="1" applyNumberFormat="1" applyFont="1" applyFill="1" applyBorder="1" applyAlignment="1">
      <alignment horizontal="center" wrapText="1"/>
    </xf>
    <xf numFmtId="2" fontId="29" fillId="2" borderId="1" xfId="1" applyNumberFormat="1" applyFont="1" applyFill="1" applyBorder="1" applyAlignment="1">
      <alignment horizontal="center" wrapText="1"/>
    </xf>
    <xf numFmtId="2" fontId="13" fillId="2" borderId="1" xfId="1" applyNumberFormat="1" applyFont="1" applyFill="1" applyBorder="1" applyAlignment="1">
      <alignment horizontal="center" wrapText="1"/>
    </xf>
    <xf numFmtId="2" fontId="12" fillId="5" borderId="1" xfId="3" applyNumberFormat="1" applyFont="1" applyFill="1" applyBorder="1" applyAlignment="1" applyProtection="1">
      <alignment horizontal="center" wrapText="1"/>
    </xf>
    <xf numFmtId="10" fontId="12" fillId="2" borderId="1" xfId="1" applyNumberFormat="1" applyFont="1" applyFill="1" applyBorder="1" applyAlignment="1">
      <alignment horizontal="center" wrapText="1"/>
    </xf>
    <xf numFmtId="9" fontId="12" fillId="2" borderId="1" xfId="1" applyNumberFormat="1" applyFont="1" applyFill="1" applyBorder="1" applyAlignment="1">
      <alignment horizontal="center" wrapText="1"/>
    </xf>
    <xf numFmtId="2" fontId="30" fillId="2" borderId="1" xfId="1" applyNumberFormat="1" applyFont="1" applyFill="1" applyBorder="1" applyAlignment="1">
      <alignment horizontal="center" wrapText="1"/>
    </xf>
    <xf numFmtId="0" fontId="12" fillId="2" borderId="3" xfId="1" applyFont="1" applyFill="1" applyBorder="1" applyAlignment="1">
      <alignment horizontal="left" vertical="center" wrapText="1"/>
    </xf>
    <xf numFmtId="0" fontId="12" fillId="2" borderId="3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28" fillId="2" borderId="3" xfId="1" applyFont="1" applyFill="1" applyBorder="1" applyAlignment="1" applyProtection="1">
      <alignment horizontal="center"/>
      <protection locked="0"/>
    </xf>
    <xf numFmtId="2" fontId="12" fillId="2" borderId="3" xfId="1" applyNumberFormat="1" applyFont="1" applyFill="1" applyBorder="1" applyAlignment="1">
      <alignment horizontal="center" vertical="center" wrapText="1"/>
    </xf>
    <xf numFmtId="2" fontId="29" fillId="2" borderId="3" xfId="1" applyNumberFormat="1" applyFont="1" applyFill="1" applyBorder="1" applyAlignment="1">
      <alignment horizontal="center" vertical="center" wrapText="1"/>
    </xf>
    <xf numFmtId="2" fontId="12" fillId="5" borderId="3" xfId="3" applyNumberFormat="1" applyFont="1" applyFill="1" applyBorder="1" applyAlignment="1" applyProtection="1">
      <alignment horizontal="center" vertical="center" wrapText="1"/>
    </xf>
    <xf numFmtId="10" fontId="12" fillId="2" borderId="3" xfId="1" applyNumberFormat="1" applyFont="1" applyFill="1" applyBorder="1" applyAlignment="1">
      <alignment horizontal="center" vertical="center" wrapText="1"/>
    </xf>
    <xf numFmtId="9" fontId="12" fillId="2" borderId="3" xfId="1" applyNumberFormat="1" applyFont="1" applyFill="1" applyBorder="1" applyAlignment="1">
      <alignment horizontal="center" vertical="center" wrapText="1"/>
    </xf>
    <xf numFmtId="2" fontId="30" fillId="2" borderId="3" xfId="1" applyNumberFormat="1" applyFont="1" applyFill="1" applyBorder="1" applyAlignment="1">
      <alignment horizontal="center" wrapText="1"/>
    </xf>
    <xf numFmtId="2" fontId="30" fillId="2" borderId="3" xfId="1" applyNumberFormat="1" applyFont="1" applyFill="1" applyBorder="1" applyAlignment="1">
      <alignment horizontal="center" vertical="center" wrapText="1"/>
    </xf>
    <xf numFmtId="0" fontId="11" fillId="2" borderId="3" xfId="1" applyNumberFormat="1" applyFont="1" applyFill="1" applyBorder="1" applyAlignment="1">
      <alignment horizontal="center" vertical="center" wrapText="1"/>
    </xf>
    <xf numFmtId="0" fontId="12" fillId="9" borderId="4" xfId="1" applyFont="1" applyFill="1" applyBorder="1" applyAlignment="1">
      <alignment horizontal="center" vertical="center" wrapText="1"/>
    </xf>
    <xf numFmtId="0" fontId="12" fillId="9" borderId="1" xfId="1" applyFont="1" applyFill="1" applyBorder="1" applyAlignment="1">
      <alignment horizontal="left" vertical="center" wrapText="1"/>
    </xf>
    <xf numFmtId="0" fontId="12" fillId="9" borderId="1" xfId="1" applyFont="1" applyFill="1" applyBorder="1" applyAlignment="1">
      <alignment horizontal="center" vertical="center"/>
    </xf>
    <xf numFmtId="49" fontId="13" fillId="9" borderId="1" xfId="1" applyNumberFormat="1" applyFont="1" applyFill="1" applyBorder="1" applyAlignment="1">
      <alignment horizontal="center" vertical="center" wrapText="1"/>
    </xf>
    <xf numFmtId="0" fontId="12" fillId="9" borderId="1" xfId="1" applyFont="1" applyFill="1" applyBorder="1" applyAlignment="1">
      <alignment horizontal="center" vertical="center" wrapText="1"/>
    </xf>
    <xf numFmtId="0" fontId="28" fillId="9" borderId="1" xfId="1" applyFont="1" applyFill="1" applyBorder="1" applyAlignment="1" applyProtection="1">
      <alignment horizontal="center"/>
      <protection locked="0"/>
    </xf>
    <xf numFmtId="2" fontId="12" fillId="9" borderId="1" xfId="1" applyNumberFormat="1" applyFont="1" applyFill="1" applyBorder="1" applyAlignment="1">
      <alignment horizontal="center" vertical="center" wrapText="1"/>
    </xf>
    <xf numFmtId="2" fontId="29" fillId="9" borderId="1" xfId="1" applyNumberFormat="1" applyFont="1" applyFill="1" applyBorder="1" applyAlignment="1">
      <alignment horizontal="center" vertical="center" wrapText="1"/>
    </xf>
    <xf numFmtId="2" fontId="13" fillId="9" borderId="1" xfId="1" applyNumberFormat="1" applyFont="1" applyFill="1" applyBorder="1" applyAlignment="1">
      <alignment horizontal="center" vertical="center" wrapText="1"/>
    </xf>
    <xf numFmtId="2" fontId="13" fillId="11" borderId="1" xfId="1" applyNumberFormat="1" applyFont="1" applyFill="1" applyBorder="1" applyAlignment="1">
      <alignment horizontal="center" vertical="center" wrapText="1"/>
    </xf>
    <xf numFmtId="2" fontId="12" fillId="10" borderId="1" xfId="3" applyNumberFormat="1" applyFont="1" applyFill="1" applyBorder="1" applyAlignment="1" applyProtection="1">
      <alignment horizontal="center" vertical="center" wrapText="1"/>
    </xf>
    <xf numFmtId="10" fontId="12" fillId="9" borderId="1" xfId="1" applyNumberFormat="1" applyFont="1" applyFill="1" applyBorder="1" applyAlignment="1">
      <alignment horizontal="center" vertical="center" wrapText="1"/>
    </xf>
    <xf numFmtId="9" fontId="12" fillId="9" borderId="1" xfId="1" applyNumberFormat="1" applyFont="1" applyFill="1" applyBorder="1" applyAlignment="1">
      <alignment horizontal="center" vertical="center" wrapText="1"/>
    </xf>
    <xf numFmtId="2" fontId="30" fillId="11" borderId="1" xfId="1" applyNumberFormat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/>
    </xf>
    <xf numFmtId="0" fontId="28" fillId="2" borderId="1" xfId="1" applyNumberFormat="1" applyFont="1" applyFill="1" applyBorder="1" applyAlignment="1" applyProtection="1">
      <alignment horizontal="center" vertical="center"/>
      <protection locked="0"/>
    </xf>
    <xf numFmtId="0" fontId="11" fillId="2" borderId="3" xfId="1" applyFont="1" applyFill="1" applyBorder="1" applyAlignment="1">
      <alignment horizontal="center" vertical="center"/>
    </xf>
    <xf numFmtId="0" fontId="32" fillId="2" borderId="3" xfId="1" applyFont="1" applyFill="1" applyBorder="1" applyAlignment="1" applyProtection="1">
      <alignment horizontal="center"/>
      <protection locked="0"/>
    </xf>
    <xf numFmtId="2" fontId="31" fillId="2" borderId="3" xfId="1" applyNumberFormat="1" applyFont="1" applyFill="1" applyBorder="1" applyAlignment="1">
      <alignment horizontal="center" vertical="top" wrapText="1"/>
    </xf>
    <xf numFmtId="2" fontId="11" fillId="2" borderId="3" xfId="1" applyNumberFormat="1" applyFont="1" applyFill="1" applyBorder="1" applyAlignment="1">
      <alignment horizontal="center" vertical="center" wrapText="1"/>
    </xf>
    <xf numFmtId="0" fontId="11" fillId="9" borderId="1" xfId="1" applyNumberFormat="1" applyFont="1" applyFill="1" applyBorder="1" applyAlignment="1">
      <alignment horizontal="center" vertical="center" wrapText="1"/>
    </xf>
    <xf numFmtId="0" fontId="11" fillId="9" borderId="1" xfId="1" applyFont="1" applyFill="1" applyBorder="1" applyAlignment="1">
      <alignment horizontal="center" vertical="center"/>
    </xf>
    <xf numFmtId="0" fontId="32" fillId="9" borderId="1" xfId="1" applyFont="1" applyFill="1" applyBorder="1" applyAlignment="1" applyProtection="1">
      <alignment horizontal="center"/>
      <protection locked="0"/>
    </xf>
    <xf numFmtId="2" fontId="31" fillId="9" borderId="1" xfId="1" applyNumberFormat="1" applyFont="1" applyFill="1" applyBorder="1" applyAlignment="1">
      <alignment horizontal="center" vertical="top" wrapText="1"/>
    </xf>
    <xf numFmtId="2" fontId="11" fillId="11" borderId="1" xfId="1" applyNumberFormat="1" applyFont="1" applyFill="1" applyBorder="1" applyAlignment="1">
      <alignment horizontal="center" vertical="center" wrapText="1"/>
    </xf>
    <xf numFmtId="2" fontId="11" fillId="9" borderId="1" xfId="1" applyNumberFormat="1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vertical="center"/>
    </xf>
    <xf numFmtId="0" fontId="12" fillId="2" borderId="4" xfId="2" applyFont="1" applyFill="1" applyBorder="1" applyAlignment="1">
      <alignment horizontal="left" vertical="center"/>
    </xf>
    <xf numFmtId="0" fontId="12" fillId="2" borderId="4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0" fontId="28" fillId="2" borderId="4" xfId="1" applyNumberFormat="1" applyFont="1" applyFill="1" applyBorder="1" applyAlignment="1" applyProtection="1">
      <alignment horizontal="center" vertical="center"/>
      <protection locked="0"/>
    </xf>
    <xf numFmtId="165" fontId="33" fillId="2" borderId="4" xfId="2" applyNumberFormat="1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vertical="center"/>
    </xf>
    <xf numFmtId="0" fontId="12" fillId="2" borderId="1" xfId="2" applyFont="1" applyFill="1" applyBorder="1" applyAlignment="1">
      <alignment horizontal="left" vertical="center"/>
    </xf>
    <xf numFmtId="165" fontId="33" fillId="2" borderId="1" xfId="2" applyNumberFormat="1" applyFont="1" applyFill="1" applyBorder="1" applyAlignment="1">
      <alignment horizontal="center" vertical="center"/>
    </xf>
    <xf numFmtId="2" fontId="33" fillId="2" borderId="1" xfId="2" applyNumberFormat="1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 wrapText="1"/>
    </xf>
    <xf numFmtId="0" fontId="33" fillId="9" borderId="4" xfId="1" applyFont="1" applyFill="1" applyBorder="1" applyAlignment="1">
      <alignment horizontal="center" vertical="center" wrapText="1"/>
    </xf>
    <xf numFmtId="0" fontId="33" fillId="9" borderId="1" xfId="2" applyFont="1" applyFill="1" applyBorder="1" applyAlignment="1">
      <alignment horizontal="left" vertical="center"/>
    </xf>
    <xf numFmtId="0" fontId="33" fillId="9" borderId="1" xfId="1" applyFont="1" applyFill="1" applyBorder="1" applyAlignment="1">
      <alignment horizontal="center" vertical="center"/>
    </xf>
    <xf numFmtId="0" fontId="29" fillId="9" borderId="1" xfId="2" applyFont="1" applyFill="1" applyBorder="1" applyAlignment="1">
      <alignment horizontal="center" vertical="center"/>
    </xf>
    <xf numFmtId="0" fontId="29" fillId="9" borderId="1" xfId="1" applyFont="1" applyFill="1" applyBorder="1" applyAlignment="1">
      <alignment horizontal="center" vertical="center" wrapText="1"/>
    </xf>
    <xf numFmtId="0" fontId="33" fillId="9" borderId="1" xfId="1" applyFont="1" applyFill="1" applyBorder="1" applyAlignment="1">
      <alignment horizontal="center" vertical="center" wrapText="1"/>
    </xf>
    <xf numFmtId="0" fontId="33" fillId="9" borderId="1" xfId="1" applyNumberFormat="1" applyFont="1" applyFill="1" applyBorder="1" applyAlignment="1" applyProtection="1">
      <alignment horizontal="center" vertical="center"/>
      <protection locked="0"/>
    </xf>
    <xf numFmtId="2" fontId="33" fillId="9" borderId="1" xfId="1" applyNumberFormat="1" applyFont="1" applyFill="1" applyBorder="1" applyAlignment="1">
      <alignment horizontal="center" vertical="center" wrapText="1"/>
    </xf>
    <xf numFmtId="165" fontId="33" fillId="9" borderId="1" xfId="2" applyNumberFormat="1" applyFont="1" applyFill="1" applyBorder="1" applyAlignment="1">
      <alignment horizontal="center" vertical="center"/>
    </xf>
    <xf numFmtId="165" fontId="33" fillId="11" borderId="1" xfId="2" applyNumberFormat="1" applyFont="1" applyFill="1" applyBorder="1" applyAlignment="1">
      <alignment horizontal="center" vertical="center"/>
    </xf>
    <xf numFmtId="0" fontId="12" fillId="5" borderId="1" xfId="3" applyNumberFormat="1" applyFont="1" applyFill="1" applyBorder="1" applyAlignment="1" applyProtection="1">
      <alignment vertical="center" wrapText="1"/>
    </xf>
    <xf numFmtId="0" fontId="12" fillId="5" borderId="1" xfId="3" applyNumberFormat="1" applyFont="1" applyFill="1" applyBorder="1" applyAlignment="1" applyProtection="1">
      <alignment horizontal="left" vertical="center" wrapText="1"/>
    </xf>
    <xf numFmtId="0" fontId="12" fillId="5" borderId="1" xfId="3" applyNumberFormat="1" applyFont="1" applyFill="1" applyBorder="1" applyAlignment="1" applyProtection="1">
      <alignment horizontal="center" vertical="center" wrapText="1"/>
    </xf>
    <xf numFmtId="0" fontId="13" fillId="5" borderId="1" xfId="3" applyNumberFormat="1" applyFont="1" applyFill="1" applyBorder="1" applyAlignment="1" applyProtection="1">
      <alignment horizontal="center" vertical="center" wrapText="1"/>
    </xf>
    <xf numFmtId="2" fontId="33" fillId="5" borderId="1" xfId="3" applyNumberFormat="1" applyFont="1" applyFill="1" applyBorder="1" applyAlignment="1" applyProtection="1">
      <alignment horizontal="center" vertical="center" wrapText="1"/>
    </xf>
    <xf numFmtId="10" fontId="12" fillId="5" borderId="1" xfId="3" applyNumberFormat="1" applyFont="1" applyFill="1" applyBorder="1" applyAlignment="1" applyProtection="1">
      <alignment horizontal="center" vertical="center" wrapText="1"/>
    </xf>
    <xf numFmtId="0" fontId="13" fillId="5" borderId="1" xfId="3" applyNumberFormat="1" applyFont="1" applyFill="1" applyBorder="1" applyAlignment="1" applyProtection="1">
      <alignment horizontal="left" vertical="center" wrapText="1"/>
    </xf>
    <xf numFmtId="0" fontId="12" fillId="12" borderId="1" xfId="3" applyNumberFormat="1" applyFont="1" applyFill="1" applyBorder="1" applyAlignment="1" applyProtection="1">
      <alignment horizontal="center" vertical="center" wrapText="1"/>
    </xf>
    <xf numFmtId="0" fontId="12" fillId="5" borderId="1" xfId="1" applyFont="1" applyFill="1" applyBorder="1" applyAlignment="1">
      <alignment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vertical="center" wrapText="1"/>
    </xf>
    <xf numFmtId="0" fontId="12" fillId="10" borderId="1" xfId="3" applyNumberFormat="1" applyFont="1" applyFill="1" applyBorder="1" applyAlignment="1" applyProtection="1">
      <alignment horizontal="left" vertical="center" wrapText="1"/>
    </xf>
    <xf numFmtId="0" fontId="12" fillId="10" borderId="1" xfId="3" applyNumberFormat="1" applyFont="1" applyFill="1" applyBorder="1" applyAlignment="1" applyProtection="1">
      <alignment horizontal="center" vertical="center" wrapText="1"/>
    </xf>
    <xf numFmtId="166" fontId="34" fillId="10" borderId="1" xfId="3" applyNumberFormat="1" applyFont="1" applyFill="1" applyBorder="1" applyAlignment="1" applyProtection="1">
      <alignment vertical="center" wrapText="1"/>
    </xf>
    <xf numFmtId="0" fontId="12" fillId="9" borderId="1" xfId="2" applyFont="1" applyFill="1" applyBorder="1" applyAlignment="1">
      <alignment horizontal="center" vertical="center"/>
    </xf>
    <xf numFmtId="10" fontId="12" fillId="10" borderId="1" xfId="3" applyNumberFormat="1" applyFont="1" applyFill="1" applyBorder="1" applyAlignment="1" applyProtection="1">
      <alignment horizontal="center" vertical="center" wrapText="1"/>
    </xf>
    <xf numFmtId="0" fontId="30" fillId="6" borderId="1" xfId="1" applyFont="1" applyFill="1" applyBorder="1" applyAlignment="1">
      <alignment horizontal="center" vertical="center" wrapText="1"/>
    </xf>
    <xf numFmtId="49" fontId="30" fillId="6" borderId="1" xfId="1" applyNumberFormat="1" applyFont="1" applyFill="1" applyBorder="1" applyAlignment="1">
      <alignment horizontal="center" vertical="center" wrapText="1"/>
    </xf>
    <xf numFmtId="43" fontId="35" fillId="6" borderId="1" xfId="1" applyNumberFormat="1" applyFont="1" applyFill="1" applyBorder="1" applyAlignment="1">
      <alignment horizontal="center" vertical="center" wrapText="1"/>
    </xf>
    <xf numFmtId="2" fontId="30" fillId="6" borderId="1" xfId="1" applyNumberFormat="1" applyFont="1" applyFill="1" applyBorder="1" applyAlignment="1">
      <alignment horizontal="center" vertical="center" wrapText="1"/>
    </xf>
    <xf numFmtId="2" fontId="2" fillId="7" borderId="1" xfId="1" applyNumberFormat="1" applyFont="1" applyFill="1" applyBorder="1" applyAlignment="1">
      <alignment vertical="center" wrapText="1"/>
    </xf>
    <xf numFmtId="2" fontId="7" fillId="7" borderId="1" xfId="1" applyNumberFormat="1" applyFont="1" applyFill="1" applyBorder="1" applyAlignment="1">
      <alignment horizontal="center" wrapText="1"/>
    </xf>
    <xf numFmtId="1" fontId="2" fillId="2" borderId="0" xfId="1" applyNumberFormat="1" applyFont="1" applyFill="1" applyAlignment="1">
      <alignment vertical="center" wrapText="1"/>
    </xf>
    <xf numFmtId="10" fontId="2" fillId="7" borderId="9" xfId="1" applyNumberFormat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30" fillId="6" borderId="1" xfId="1" applyFont="1" applyFill="1" applyBorder="1" applyAlignment="1">
      <alignment horizontal="center" vertical="center" wrapText="1"/>
    </xf>
    <xf numFmtId="2" fontId="7" fillId="7" borderId="12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2" borderId="12" xfId="1" applyFont="1" applyFill="1" applyBorder="1" applyAlignment="1">
      <alignment horizontal="left" vertical="center"/>
    </xf>
    <xf numFmtId="0" fontId="12" fillId="2" borderId="12" xfId="2" applyFont="1" applyFill="1" applyBorder="1" applyAlignment="1">
      <alignment horizontal="left" vertical="center"/>
    </xf>
    <xf numFmtId="0" fontId="12" fillId="5" borderId="12" xfId="3" applyNumberFormat="1" applyFont="1" applyFill="1" applyBorder="1" applyAlignment="1" applyProtection="1">
      <alignment horizontal="center" vertical="center" wrapText="1"/>
    </xf>
    <xf numFmtId="0" fontId="13" fillId="5" borderId="12" xfId="3" applyNumberFormat="1" applyFont="1" applyFill="1" applyBorder="1" applyAlignment="1" applyProtection="1">
      <alignment horizontal="center" vertical="center" wrapText="1"/>
    </xf>
    <xf numFmtId="0" fontId="11" fillId="5" borderId="12" xfId="3" applyNumberFormat="1" applyFont="1" applyFill="1" applyBorder="1" applyAlignment="1" applyProtection="1">
      <alignment horizontal="center" vertical="center" wrapText="1"/>
    </xf>
    <xf numFmtId="2" fontId="33" fillId="5" borderId="12" xfId="3" applyNumberFormat="1" applyFont="1" applyFill="1" applyBorder="1" applyAlignment="1" applyProtection="1">
      <alignment horizontal="center" vertical="center" wrapText="1"/>
    </xf>
    <xf numFmtId="2" fontId="12" fillId="5" borderId="12" xfId="3" applyNumberFormat="1" applyFont="1" applyFill="1" applyBorder="1" applyAlignment="1" applyProtection="1">
      <alignment horizontal="center" vertical="center" wrapText="1"/>
    </xf>
    <xf numFmtId="0" fontId="32" fillId="2" borderId="12" xfId="1" applyFont="1" applyFill="1" applyBorder="1" applyAlignment="1" applyProtection="1">
      <alignment horizontal="center"/>
      <protection locked="0"/>
    </xf>
    <xf numFmtId="9" fontId="12" fillId="2" borderId="12" xfId="1" applyNumberFormat="1" applyFont="1" applyFill="1" applyBorder="1" applyAlignment="1">
      <alignment horizontal="center" vertical="center" wrapText="1"/>
    </xf>
    <xf numFmtId="2" fontId="12" fillId="2" borderId="12" xfId="1" applyNumberFormat="1" applyFont="1" applyFill="1" applyBorder="1" applyAlignment="1">
      <alignment horizontal="center" vertical="center" wrapText="1"/>
    </xf>
    <xf numFmtId="0" fontId="27" fillId="2" borderId="12" xfId="1" applyFont="1" applyFill="1" applyBorder="1" applyAlignment="1">
      <alignment horizontal="left"/>
    </xf>
    <xf numFmtId="0" fontId="5" fillId="2" borderId="12" xfId="1" applyFont="1" applyFill="1" applyBorder="1" applyAlignment="1">
      <alignment vertical="center"/>
    </xf>
    <xf numFmtId="0" fontId="12" fillId="2" borderId="5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/>
    </xf>
    <xf numFmtId="14" fontId="12" fillId="2" borderId="4" xfId="1" applyNumberFormat="1" applyFont="1" applyFill="1" applyBorder="1" applyAlignment="1">
      <alignment horizontal="center" vertical="center" wrapText="1"/>
    </xf>
    <xf numFmtId="49" fontId="12" fillId="2" borderId="4" xfId="1" applyNumberFormat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vertical="center" wrapText="1"/>
    </xf>
    <xf numFmtId="10" fontId="12" fillId="2" borderId="7" xfId="1" applyNumberFormat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/>
    </xf>
    <xf numFmtId="14" fontId="12" fillId="2" borderId="1" xfId="1" applyNumberFormat="1" applyFont="1" applyFill="1" applyBorder="1" applyAlignment="1">
      <alignment horizontal="center" vertical="center" wrapText="1"/>
    </xf>
    <xf numFmtId="49" fontId="12" fillId="2" borderId="1" xfId="1" applyNumberFormat="1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vertical="center"/>
    </xf>
    <xf numFmtId="165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vertical="center"/>
    </xf>
    <xf numFmtId="0" fontId="12" fillId="2" borderId="1" xfId="1" applyNumberFormat="1" applyFont="1" applyFill="1" applyBorder="1" applyAlignment="1">
      <alignment horizontal="center" vertical="center" wrapText="1"/>
    </xf>
    <xf numFmtId="0" fontId="12" fillId="5" borderId="10" xfId="3" applyNumberFormat="1" applyFont="1" applyFill="1" applyBorder="1" applyAlignment="1" applyProtection="1">
      <alignment horizontal="left" vertical="center"/>
      <protection locked="0"/>
    </xf>
    <xf numFmtId="0" fontId="12" fillId="2" borderId="3" xfId="2" applyFont="1" applyFill="1" applyBorder="1" applyAlignment="1">
      <alignment horizontal="left" vertical="center"/>
    </xf>
    <xf numFmtId="0" fontId="12" fillId="5" borderId="10" xfId="3" applyNumberFormat="1" applyFont="1" applyFill="1" applyBorder="1" applyAlignment="1" applyProtection="1">
      <alignment horizontal="center" vertical="center" wrapText="1"/>
    </xf>
    <xf numFmtId="14" fontId="12" fillId="5" borderId="10" xfId="3" applyNumberFormat="1" applyFont="1" applyFill="1" applyBorder="1" applyAlignment="1" applyProtection="1">
      <alignment horizontal="center" vertical="center" wrapText="1"/>
    </xf>
    <xf numFmtId="0" fontId="12" fillId="5" borderId="10" xfId="3" applyNumberFormat="1" applyFont="1" applyFill="1" applyBorder="1" applyAlignment="1" applyProtection="1">
      <alignment horizontal="center" vertical="center"/>
    </xf>
    <xf numFmtId="2" fontId="12" fillId="5" borderId="10" xfId="3" applyNumberFormat="1" applyFont="1" applyFill="1" applyBorder="1" applyAlignment="1" applyProtection="1">
      <alignment horizontal="center" vertical="center" wrapText="1"/>
    </xf>
    <xf numFmtId="9" fontId="11" fillId="2" borderId="1" xfId="1" applyNumberFormat="1" applyFont="1" applyFill="1" applyBorder="1" applyAlignment="1">
      <alignment horizontal="center" vertical="center" wrapText="1"/>
    </xf>
    <xf numFmtId="0" fontId="28" fillId="2" borderId="1" xfId="1" applyFont="1" applyFill="1" applyBorder="1" applyAlignment="1">
      <alignment horizontal="left" vertical="center"/>
    </xf>
    <xf numFmtId="0" fontId="12" fillId="5" borderId="1" xfId="3" applyNumberFormat="1" applyFont="1" applyFill="1" applyBorder="1" applyAlignment="1" applyProtection="1">
      <alignment horizontal="left" vertical="center"/>
      <protection locked="0"/>
    </xf>
    <xf numFmtId="14" fontId="12" fillId="5" borderId="1" xfId="3" applyNumberFormat="1" applyFont="1" applyFill="1" applyBorder="1" applyAlignment="1" applyProtection="1">
      <alignment horizontal="center" vertical="center" wrapText="1"/>
    </xf>
    <xf numFmtId="0" fontId="12" fillId="5" borderId="1" xfId="3" applyNumberFormat="1" applyFont="1" applyFill="1" applyBorder="1" applyAlignment="1" applyProtection="1">
      <alignment horizontal="center" vertical="center"/>
    </xf>
    <xf numFmtId="0" fontId="12" fillId="5" borderId="1" xfId="3" applyNumberFormat="1" applyFont="1" applyFill="1" applyBorder="1" applyAlignment="1" applyProtection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 applyProtection="1">
      <alignment horizontal="center" vertical="center"/>
      <protection locked="0"/>
    </xf>
    <xf numFmtId="0" fontId="5" fillId="2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 applyProtection="1">
      <alignment horizontal="center" vertical="center"/>
      <protection locked="0"/>
    </xf>
    <xf numFmtId="0" fontId="9" fillId="5" borderId="1" xfId="3" applyNumberFormat="1" applyFont="1" applyFill="1" applyBorder="1" applyAlignment="1" applyProtection="1">
      <alignment horizontal="center" vertical="center" wrapText="1"/>
    </xf>
    <xf numFmtId="0" fontId="5" fillId="5" borderId="1" xfId="3" applyNumberFormat="1" applyFont="1" applyFill="1" applyBorder="1" applyAlignment="1" applyProtection="1">
      <alignment horizontal="center" vertical="center"/>
      <protection locked="0"/>
    </xf>
    <xf numFmtId="9" fontId="5" fillId="5" borderId="1" xfId="3" applyNumberFormat="1" applyFont="1" applyFill="1" applyBorder="1" applyAlignment="1" applyProtection="1">
      <alignment horizontal="center" vertical="center" wrapText="1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 wrapText="1"/>
    </xf>
    <xf numFmtId="9" fontId="9" fillId="2" borderId="1" xfId="1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Alignment="1">
      <alignment vertical="center" wrapText="1"/>
    </xf>
    <xf numFmtId="0" fontId="2" fillId="0" borderId="0" xfId="1" applyFont="1" applyFill="1"/>
    <xf numFmtId="0" fontId="4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wrapText="1"/>
    </xf>
    <xf numFmtId="0" fontId="2" fillId="0" borderId="0" xfId="1" applyFont="1" applyFill="1" applyAlignment="1">
      <alignment horizontal="right" wrapText="1"/>
    </xf>
    <xf numFmtId="0" fontId="2" fillId="0" borderId="0" xfId="1" applyFont="1" applyFill="1" applyAlignment="1">
      <alignment horizontal="left" vertical="center" wrapText="1"/>
    </xf>
    <xf numFmtId="0" fontId="1" fillId="0" borderId="0" xfId="1" applyFill="1" applyAlignment="1">
      <alignment vertical="center"/>
    </xf>
    <xf numFmtId="0" fontId="37" fillId="0" borderId="0" xfId="1" applyFont="1" applyFill="1"/>
    <xf numFmtId="0" fontId="38" fillId="0" borderId="0" xfId="1" applyFont="1" applyFill="1" applyAlignment="1">
      <alignment horizontal="center" wrapText="1"/>
    </xf>
    <xf numFmtId="0" fontId="38" fillId="2" borderId="0" xfId="1" applyFont="1" applyFill="1" applyAlignment="1">
      <alignment horizontal="center" wrapText="1"/>
    </xf>
    <xf numFmtId="0" fontId="39" fillId="0" borderId="0" xfId="1" applyFont="1" applyFill="1" applyBorder="1" applyAlignment="1">
      <alignment horizontal="center" wrapText="1"/>
    </xf>
    <xf numFmtId="43" fontId="2" fillId="0" borderId="0" xfId="1" applyNumberFormat="1" applyFont="1" applyFill="1"/>
    <xf numFmtId="0" fontId="2" fillId="0" borderId="0" xfId="1" applyFont="1" applyFill="1" applyAlignment="1">
      <alignment horizontal="center" wrapText="1"/>
    </xf>
    <xf numFmtId="0" fontId="2" fillId="0" borderId="0" xfId="1" applyFont="1" applyFill="1" applyAlignment="1">
      <alignment vertical="center"/>
    </xf>
    <xf numFmtId="0" fontId="4" fillId="0" borderId="18" xfId="1" applyFont="1" applyFill="1" applyBorder="1" applyAlignment="1">
      <alignment horizontal="center" vertical="center" wrapText="1"/>
    </xf>
    <xf numFmtId="0" fontId="2" fillId="0" borderId="4" xfId="1" applyFont="1" applyFill="1" applyBorder="1" applyProtection="1">
      <protection locked="0"/>
    </xf>
    <xf numFmtId="0" fontId="8" fillId="2" borderId="9" xfId="1" applyFont="1" applyFill="1" applyBorder="1" applyAlignment="1">
      <alignment horizontal="left" wrapText="1"/>
    </xf>
    <xf numFmtId="0" fontId="8" fillId="17" borderId="9" xfId="1" applyFont="1" applyFill="1" applyBorder="1" applyAlignment="1">
      <alignment horizontal="center" wrapText="1"/>
    </xf>
    <xf numFmtId="0" fontId="17" fillId="17" borderId="1" xfId="1" applyNumberFormat="1" applyFont="1" applyFill="1" applyBorder="1" applyAlignment="1" applyProtection="1">
      <alignment horizontal="center"/>
      <protection locked="0"/>
    </xf>
    <xf numFmtId="2" fontId="8" fillId="17" borderId="1" xfId="1" applyNumberFormat="1" applyFont="1" applyFill="1" applyBorder="1" applyAlignment="1">
      <alignment horizontal="center" wrapText="1"/>
    </xf>
    <xf numFmtId="0" fontId="8" fillId="17" borderId="1" xfId="1" applyFont="1" applyFill="1" applyBorder="1" applyAlignment="1">
      <alignment horizontal="center" vertical="center" wrapText="1"/>
    </xf>
    <xf numFmtId="2" fontId="45" fillId="0" borderId="1" xfId="1" applyNumberFormat="1" applyFont="1" applyFill="1" applyBorder="1" applyAlignment="1" applyProtection="1">
      <alignment horizontal="center"/>
    </xf>
    <xf numFmtId="9" fontId="2" fillId="0" borderId="1" xfId="1" applyNumberFormat="1" applyFont="1" applyFill="1" applyBorder="1" applyAlignment="1" applyProtection="1">
      <alignment horizontal="center"/>
      <protection locked="0"/>
    </xf>
    <xf numFmtId="2" fontId="2" fillId="0" borderId="1" xfId="1" applyNumberFormat="1" applyFont="1" applyFill="1" applyBorder="1" applyAlignment="1" applyProtection="1">
      <alignment horizontal="center"/>
      <protection locked="0"/>
    </xf>
    <xf numFmtId="2" fontId="2" fillId="0" borderId="1" xfId="1" applyNumberFormat="1" applyFont="1" applyFill="1" applyBorder="1" applyAlignment="1" applyProtection="1">
      <alignment horizontal="center"/>
    </xf>
    <xf numFmtId="2" fontId="45" fillId="0" borderId="22" xfId="1" applyNumberFormat="1" applyFont="1" applyFill="1" applyBorder="1" applyAlignment="1" applyProtection="1">
      <alignment horizontal="center"/>
    </xf>
    <xf numFmtId="2" fontId="2" fillId="0" borderId="0" xfId="1" applyNumberFormat="1" applyFont="1" applyFill="1" applyBorder="1"/>
    <xf numFmtId="0" fontId="8" fillId="2" borderId="1" xfId="1" applyFont="1" applyFill="1" applyBorder="1" applyAlignment="1">
      <alignment horizontal="left" wrapText="1"/>
    </xf>
    <xf numFmtId="0" fontId="8" fillId="2" borderId="9" xfId="1" applyFont="1" applyFill="1" applyBorder="1" applyAlignment="1">
      <alignment horizontal="center" wrapText="1"/>
    </xf>
    <xf numFmtId="49" fontId="17" fillId="2" borderId="1" xfId="1" applyNumberFormat="1" applyFont="1" applyFill="1" applyBorder="1" applyAlignment="1" applyProtection="1">
      <alignment horizontal="center"/>
      <protection locked="0"/>
    </xf>
    <xf numFmtId="2" fontId="8" fillId="2" borderId="1" xfId="1" applyNumberFormat="1" applyFont="1" applyFill="1" applyBorder="1" applyAlignment="1">
      <alignment horizontal="center" wrapText="1"/>
    </xf>
    <xf numFmtId="2" fontId="45" fillId="2" borderId="1" xfId="1" applyNumberFormat="1" applyFont="1" applyFill="1" applyBorder="1" applyAlignment="1" applyProtection="1">
      <alignment horizontal="center"/>
    </xf>
    <xf numFmtId="9" fontId="2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</xf>
    <xf numFmtId="2" fontId="45" fillId="2" borderId="22" xfId="1" applyNumberFormat="1" applyFont="1" applyFill="1" applyBorder="1" applyAlignment="1" applyProtection="1">
      <alignment horizontal="center"/>
    </xf>
    <xf numFmtId="2" fontId="2" fillId="0" borderId="0" xfId="1" applyNumberFormat="1" applyFont="1" applyFill="1"/>
    <xf numFmtId="49" fontId="17" fillId="17" borderId="1" xfId="1" applyNumberFormat="1" applyFont="1" applyFill="1" applyBorder="1" applyAlignment="1" applyProtection="1">
      <alignment horizontal="center"/>
      <protection locked="0"/>
    </xf>
    <xf numFmtId="2" fontId="8" fillId="17" borderId="1" xfId="1" applyNumberFormat="1" applyFont="1" applyFill="1" applyBorder="1" applyAlignment="1">
      <alignment horizontal="center" vertical="center" wrapText="1"/>
    </xf>
    <xf numFmtId="9" fontId="45" fillId="0" borderId="1" xfId="1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Border="1"/>
    <xf numFmtId="9" fontId="46" fillId="0" borderId="1" xfId="1" applyNumberFormat="1" applyFont="1" applyFill="1" applyBorder="1" applyAlignment="1" applyProtection="1">
      <alignment horizontal="center"/>
      <protection locked="0"/>
    </xf>
    <xf numFmtId="2" fontId="42" fillId="0" borderId="1" xfId="1" applyNumberFormat="1" applyFont="1" applyFill="1" applyBorder="1" applyAlignment="1" applyProtection="1">
      <alignment horizontal="center"/>
      <protection locked="0"/>
    </xf>
    <xf numFmtId="0" fontId="8" fillId="17" borderId="1" xfId="1" applyFont="1" applyFill="1" applyBorder="1" applyAlignment="1">
      <alignment horizont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0" fontId="8" fillId="17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/>
    </xf>
    <xf numFmtId="0" fontId="47" fillId="0" borderId="0" xfId="1" applyFont="1" applyFill="1" applyAlignment="1">
      <alignment horizontal="center"/>
    </xf>
    <xf numFmtId="2" fontId="37" fillId="0" borderId="0" xfId="1" applyNumberFormat="1" applyFont="1" applyFill="1" applyBorder="1" applyAlignment="1">
      <alignment horizontal="center"/>
    </xf>
    <xf numFmtId="43" fontId="49" fillId="0" borderId="0" xfId="1" applyNumberFormat="1" applyFont="1" applyFill="1" applyBorder="1" applyAlignment="1" applyProtection="1">
      <alignment horizontal="center"/>
    </xf>
    <xf numFmtId="0" fontId="42" fillId="2" borderId="4" xfId="1" applyFont="1" applyFill="1" applyBorder="1" applyProtection="1">
      <protection locked="0"/>
    </xf>
    <xf numFmtId="0" fontId="2" fillId="2" borderId="4" xfId="1" applyFont="1" applyFill="1" applyBorder="1" applyAlignment="1">
      <alignment horizontal="left" vertical="center" wrapText="1"/>
    </xf>
    <xf numFmtId="168" fontId="8" fillId="2" borderId="4" xfId="1" applyNumberFormat="1" applyFont="1" applyFill="1" applyBorder="1" applyAlignment="1">
      <alignment vertical="center" wrapText="1"/>
    </xf>
    <xf numFmtId="2" fontId="42" fillId="2" borderId="1" xfId="1" applyNumberFormat="1" applyFont="1" applyFill="1" applyBorder="1" applyAlignment="1" applyProtection="1">
      <alignment horizontal="center"/>
      <protection locked="0"/>
    </xf>
    <xf numFmtId="2" fontId="42" fillId="2" borderId="1" xfId="1" applyNumberFormat="1" applyFont="1" applyFill="1" applyBorder="1" applyAlignment="1" applyProtection="1">
      <alignment horizontal="center"/>
    </xf>
    <xf numFmtId="0" fontId="37" fillId="0" borderId="0" xfId="1" applyFont="1" applyFill="1" applyAlignment="1">
      <alignment horizontal="center"/>
    </xf>
    <xf numFmtId="0" fontId="17" fillId="2" borderId="1" xfId="1" applyFont="1" applyFill="1" applyBorder="1" applyAlignment="1">
      <alignment horizontal="left"/>
    </xf>
    <xf numFmtId="0" fontId="8" fillId="2" borderId="3" xfId="1" applyFont="1" applyFill="1" applyBorder="1" applyAlignment="1">
      <alignment horizontal="left" wrapText="1"/>
    </xf>
    <xf numFmtId="2" fontId="48" fillId="0" borderId="0" xfId="1" applyNumberFormat="1" applyFont="1" applyFill="1" applyBorder="1" applyAlignment="1" applyProtection="1">
      <alignment horizontal="center"/>
    </xf>
    <xf numFmtId="43" fontId="48" fillId="0" borderId="0" xfId="1" applyNumberFormat="1" applyFont="1" applyFill="1" applyBorder="1" applyAlignment="1" applyProtection="1">
      <alignment horizontal="center" vertical="center" wrapText="1"/>
    </xf>
    <xf numFmtId="0" fontId="37" fillId="0" borderId="0" xfId="1" applyFont="1" applyFill="1" applyBorder="1" applyAlignment="1">
      <alignment horizontal="center"/>
    </xf>
    <xf numFmtId="0" fontId="2" fillId="0" borderId="0" xfId="1" applyFont="1" applyFill="1" applyAlignment="1">
      <alignment horizontal="right"/>
    </xf>
    <xf numFmtId="0" fontId="2" fillId="0" borderId="0" xfId="1" applyFont="1" applyFill="1" applyBorder="1" applyAlignment="1">
      <alignment horizontal="center"/>
    </xf>
    <xf numFmtId="0" fontId="4" fillId="0" borderId="13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43" fontId="2" fillId="0" borderId="0" xfId="1" applyNumberFormat="1" applyFont="1" applyFill="1" applyAlignment="1">
      <alignment horizontal="right"/>
    </xf>
    <xf numFmtId="43" fontId="2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/>
    </xf>
    <xf numFmtId="43" fontId="2" fillId="0" borderId="0" xfId="1" applyNumberFormat="1" applyFont="1" applyFill="1" applyBorder="1" applyAlignment="1">
      <alignment horizontal="center"/>
    </xf>
    <xf numFmtId="43" fontId="2" fillId="0" borderId="0" xfId="1" applyNumberFormat="1" applyFont="1" applyFill="1" applyBorder="1" applyAlignment="1"/>
    <xf numFmtId="43" fontId="2" fillId="0" borderId="0" xfId="1" applyNumberFormat="1" applyFont="1" applyFill="1" applyAlignment="1">
      <alignment horizontal="center"/>
    </xf>
    <xf numFmtId="0" fontId="41" fillId="0" borderId="0" xfId="1" applyFont="1" applyFill="1" applyBorder="1"/>
    <xf numFmtId="0" fontId="41" fillId="0" borderId="0" xfId="1" applyFont="1" applyFill="1"/>
    <xf numFmtId="0" fontId="41" fillId="0" borderId="0" xfId="1" applyFont="1" applyFill="1" applyAlignment="1">
      <alignment horizontal="right"/>
    </xf>
    <xf numFmtId="43" fontId="42" fillId="0" borderId="0" xfId="1" applyNumberFormat="1" applyFont="1" applyFill="1" applyBorder="1" applyAlignment="1">
      <alignment horizontal="center" vertical="center" wrapText="1"/>
    </xf>
    <xf numFmtId="0" fontId="2" fillId="7" borderId="0" xfId="1" applyFont="1" applyFill="1"/>
    <xf numFmtId="0" fontId="2" fillId="7" borderId="0" xfId="1" applyFont="1" applyFill="1" applyBorder="1"/>
    <xf numFmtId="2" fontId="2" fillId="7" borderId="0" xfId="1" applyNumberFormat="1" applyFont="1" applyFill="1" applyBorder="1"/>
    <xf numFmtId="0" fontId="2" fillId="2" borderId="4" xfId="1" applyFont="1" applyFill="1" applyBorder="1" applyProtection="1">
      <protection locked="0"/>
    </xf>
    <xf numFmtId="0" fontId="2" fillId="2" borderId="6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2" fontId="45" fillId="2" borderId="1" xfId="1" applyNumberFormat="1" applyFont="1" applyFill="1" applyBorder="1" applyAlignment="1" applyProtection="1">
      <alignment horizontal="center" vertical="center"/>
    </xf>
    <xf numFmtId="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42" fillId="2" borderId="1" xfId="1" applyNumberFormat="1" applyFont="1" applyFill="1" applyBorder="1" applyAlignment="1" applyProtection="1">
      <alignment horizontal="center" vertical="center"/>
      <protection locked="0"/>
    </xf>
    <xf numFmtId="2" fontId="42" fillId="2" borderId="1" xfId="1" applyNumberFormat="1" applyFont="1" applyFill="1" applyBorder="1" applyAlignment="1" applyProtection="1">
      <alignment horizontal="center" vertical="center"/>
    </xf>
    <xf numFmtId="2" fontId="45" fillId="2" borderId="22" xfId="1" applyNumberFormat="1" applyFont="1" applyFill="1" applyBorder="1" applyAlignment="1" applyProtection="1">
      <alignment horizontal="center" vertical="center"/>
    </xf>
    <xf numFmtId="2" fontId="2" fillId="2" borderId="4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2" fontId="2" fillId="2" borderId="3" xfId="1" applyNumberFormat="1" applyFont="1" applyFill="1" applyBorder="1" applyAlignment="1">
      <alignment horizontal="center" vertical="center" wrapText="1"/>
    </xf>
    <xf numFmtId="0" fontId="48" fillId="11" borderId="9" xfId="1" applyFont="1" applyFill="1" applyBorder="1" applyAlignment="1">
      <alignment horizontal="center" vertical="center" wrapText="1"/>
    </xf>
    <xf numFmtId="0" fontId="48" fillId="11" borderId="1" xfId="1" applyFont="1" applyFill="1" applyBorder="1" applyAlignment="1" applyProtection="1">
      <alignment horizontal="center"/>
      <protection locked="0"/>
    </xf>
    <xf numFmtId="43" fontId="48" fillId="11" borderId="1" xfId="1" applyNumberFormat="1" applyFont="1" applyFill="1" applyBorder="1" applyAlignment="1">
      <alignment horizontal="center"/>
    </xf>
    <xf numFmtId="43" fontId="48" fillId="11" borderId="1" xfId="1" applyNumberFormat="1" applyFont="1" applyFill="1" applyBorder="1" applyAlignment="1" applyProtection="1">
      <alignment horizontal="center"/>
    </xf>
    <xf numFmtId="10" fontId="48" fillId="11" borderId="1" xfId="1" applyNumberFormat="1" applyFont="1" applyFill="1" applyBorder="1" applyAlignment="1" applyProtection="1">
      <alignment horizontal="center"/>
    </xf>
    <xf numFmtId="2" fontId="48" fillId="11" borderId="1" xfId="1" applyNumberFormat="1" applyFont="1" applyFill="1" applyBorder="1" applyAlignment="1" applyProtection="1">
      <alignment horizontal="center"/>
    </xf>
    <xf numFmtId="43" fontId="48" fillId="11" borderId="22" xfId="1" applyNumberFormat="1" applyFont="1" applyFill="1" applyBorder="1" applyAlignment="1" applyProtection="1">
      <alignment horizontal="center"/>
    </xf>
    <xf numFmtId="0" fontId="48" fillId="11" borderId="26" xfId="1" applyFont="1" applyFill="1" applyBorder="1" applyAlignment="1">
      <alignment horizontal="center" vertical="center" wrapText="1"/>
    </xf>
    <xf numFmtId="2" fontId="48" fillId="11" borderId="3" xfId="1" applyNumberFormat="1" applyFont="1" applyFill="1" applyBorder="1" applyAlignment="1" applyProtection="1">
      <alignment horizontal="center"/>
    </xf>
    <xf numFmtId="0" fontId="48" fillId="11" borderId="3" xfId="1" applyNumberFormat="1" applyFont="1" applyFill="1" applyBorder="1" applyAlignment="1" applyProtection="1">
      <alignment horizontal="center" vertical="center" wrapText="1"/>
    </xf>
    <xf numFmtId="0" fontId="51" fillId="11" borderId="3" xfId="1" applyNumberFormat="1" applyFont="1" applyFill="1" applyBorder="1" applyAlignment="1">
      <alignment horizontal="center" vertical="center" wrapText="1"/>
    </xf>
    <xf numFmtId="2" fontId="48" fillId="11" borderId="3" xfId="1" applyNumberFormat="1" applyFont="1" applyFill="1" applyBorder="1" applyAlignment="1" applyProtection="1">
      <alignment horizontal="center" vertical="center" wrapText="1"/>
    </xf>
    <xf numFmtId="0" fontId="48" fillId="11" borderId="27" xfId="1" applyNumberFormat="1" applyFont="1" applyFill="1" applyBorder="1" applyAlignment="1" applyProtection="1">
      <alignment horizontal="center" vertical="center" wrapText="1"/>
    </xf>
    <xf numFmtId="0" fontId="47" fillId="11" borderId="1" xfId="1" applyFont="1" applyFill="1" applyBorder="1" applyAlignment="1" applyProtection="1">
      <alignment horizontal="center"/>
      <protection locked="0"/>
    </xf>
    <xf numFmtId="0" fontId="48" fillId="11" borderId="1" xfId="1" applyNumberFormat="1" applyFont="1" applyFill="1" applyBorder="1" applyAlignment="1" applyProtection="1">
      <alignment horizontal="center"/>
    </xf>
    <xf numFmtId="2" fontId="48" fillId="11" borderId="22" xfId="1" applyNumberFormat="1" applyFont="1" applyFill="1" applyBorder="1" applyAlignment="1" applyProtection="1">
      <alignment horizontal="center"/>
    </xf>
    <xf numFmtId="0" fontId="47" fillId="11" borderId="16" xfId="1" applyFont="1" applyFill="1" applyBorder="1" applyAlignment="1">
      <alignment horizontal="center" vertical="center" wrapText="1"/>
    </xf>
    <xf numFmtId="43" fontId="47" fillId="11" borderId="28" xfId="1" applyNumberFormat="1" applyFont="1" applyFill="1" applyBorder="1" applyAlignment="1">
      <alignment horizontal="center"/>
    </xf>
    <xf numFmtId="2" fontId="47" fillId="11" borderId="28" xfId="1" applyNumberFormat="1" applyFont="1" applyFill="1" applyBorder="1" applyAlignment="1">
      <alignment horizontal="center"/>
    </xf>
    <xf numFmtId="0" fontId="47" fillId="11" borderId="28" xfId="1" applyNumberFormat="1" applyFont="1" applyFill="1" applyBorder="1" applyAlignment="1">
      <alignment horizontal="center"/>
    </xf>
    <xf numFmtId="0" fontId="42" fillId="11" borderId="4" xfId="1" applyFont="1" applyFill="1" applyBorder="1" applyProtection="1">
      <protection locked="0"/>
    </xf>
    <xf numFmtId="0" fontId="4" fillId="11" borderId="8" xfId="1" applyFont="1" applyFill="1" applyBorder="1" applyAlignment="1">
      <alignment vertical="center" wrapText="1"/>
    </xf>
    <xf numFmtId="0" fontId="50" fillId="11" borderId="9" xfId="1" applyFont="1" applyFill="1" applyBorder="1" applyAlignment="1">
      <alignment vertical="center" wrapText="1"/>
    </xf>
    <xf numFmtId="2" fontId="43" fillId="11" borderId="1" xfId="1" applyNumberFormat="1" applyFont="1" applyFill="1" applyBorder="1" applyAlignment="1" applyProtection="1">
      <alignment horizontal="center"/>
      <protection locked="0"/>
    </xf>
    <xf numFmtId="2" fontId="43" fillId="11" borderId="1" xfId="1" applyNumberFormat="1" applyFont="1" applyFill="1" applyBorder="1" applyAlignment="1">
      <alignment horizontal="center"/>
    </xf>
    <xf numFmtId="2" fontId="43" fillId="11" borderId="1" xfId="1" applyNumberFormat="1" applyFont="1" applyFill="1" applyBorder="1" applyAlignment="1" applyProtection="1">
      <alignment horizontal="center"/>
    </xf>
    <xf numFmtId="0" fontId="2" fillId="11" borderId="22" xfId="1" applyFont="1" applyFill="1" applyBorder="1" applyAlignment="1" applyProtection="1">
      <alignment horizontal="center"/>
    </xf>
    <xf numFmtId="0" fontId="4" fillId="11" borderId="20" xfId="1" applyFont="1" applyFill="1" applyBorder="1" applyAlignment="1">
      <alignment horizontal="left" vertical="center" wrapText="1"/>
    </xf>
    <xf numFmtId="0" fontId="43" fillId="11" borderId="11" xfId="1" applyFont="1" applyFill="1" applyBorder="1" applyAlignment="1" applyProtection="1">
      <alignment horizontal="center"/>
      <protection locked="0"/>
    </xf>
    <xf numFmtId="0" fontId="43" fillId="11" borderId="11" xfId="1" applyFont="1" applyFill="1" applyBorder="1" applyAlignment="1">
      <alignment horizontal="center"/>
    </xf>
    <xf numFmtId="0" fontId="43" fillId="11" borderId="11" xfId="1" applyFont="1" applyFill="1" applyBorder="1" applyAlignment="1" applyProtection="1">
      <alignment horizontal="center"/>
    </xf>
    <xf numFmtId="0" fontId="43" fillId="11" borderId="4" xfId="1" applyFont="1" applyFill="1" applyBorder="1" applyAlignment="1" applyProtection="1">
      <alignment horizontal="center"/>
    </xf>
    <xf numFmtId="0" fontId="2" fillId="11" borderId="21" xfId="1" applyFont="1" applyFill="1" applyBorder="1" applyAlignment="1" applyProtection="1">
      <alignment horizontal="center"/>
    </xf>
    <xf numFmtId="0" fontId="4" fillId="11" borderId="8" xfId="1" applyFont="1" applyFill="1" applyBorder="1" applyAlignment="1">
      <alignment horizontal="left" vertical="center" wrapText="1"/>
    </xf>
    <xf numFmtId="0" fontId="4" fillId="11" borderId="9" xfId="1" applyFont="1" applyFill="1" applyBorder="1" applyAlignment="1">
      <alignment horizontal="left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12" xfId="2" applyFont="1" applyFill="1" applyBorder="1" applyAlignment="1">
      <alignment vertical="center"/>
    </xf>
    <xf numFmtId="0" fontId="12" fillId="2" borderId="12" xfId="1" applyFont="1" applyFill="1" applyBorder="1" applyAlignment="1">
      <alignment horizontal="left" vertical="center" wrapText="1"/>
    </xf>
    <xf numFmtId="0" fontId="12" fillId="2" borderId="12" xfId="1" applyFont="1" applyFill="1" applyBorder="1" applyAlignment="1">
      <alignment horizontal="center" vertical="center" wrapText="1"/>
    </xf>
    <xf numFmtId="0" fontId="12" fillId="2" borderId="12" xfId="2" applyFont="1" applyFill="1" applyBorder="1" applyAlignment="1">
      <alignment horizontal="center" vertical="center"/>
    </xf>
    <xf numFmtId="165" fontId="12" fillId="2" borderId="12" xfId="2" applyNumberFormat="1" applyFont="1" applyFill="1" applyBorder="1" applyAlignment="1">
      <alignment horizontal="center" vertical="center"/>
    </xf>
    <xf numFmtId="2" fontId="12" fillId="2" borderId="12" xfId="2" applyNumberFormat="1" applyFont="1" applyFill="1" applyBorder="1" applyAlignment="1">
      <alignment horizontal="center" vertical="center"/>
    </xf>
    <xf numFmtId="2" fontId="2" fillId="9" borderId="1" xfId="1" applyNumberFormat="1" applyFont="1" applyFill="1" applyBorder="1" applyAlignment="1">
      <alignment vertical="center" wrapText="1"/>
    </xf>
    <xf numFmtId="10" fontId="2" fillId="9" borderId="9" xfId="1" applyNumberFormat="1" applyFont="1" applyFill="1" applyBorder="1" applyAlignment="1">
      <alignment vertical="center" wrapText="1"/>
    </xf>
    <xf numFmtId="0" fontId="2" fillId="0" borderId="12" xfId="1" applyFont="1" applyFill="1" applyBorder="1" applyAlignment="1">
      <alignment horizontal="center" vertical="center" wrapText="1"/>
    </xf>
    <xf numFmtId="9" fontId="5" fillId="2" borderId="12" xfId="1" applyNumberFormat="1" applyFont="1" applyFill="1" applyBorder="1" applyAlignment="1">
      <alignment horizontal="center" vertical="center" wrapText="1"/>
    </xf>
    <xf numFmtId="2" fontId="5" fillId="2" borderId="12" xfId="1" applyNumberFormat="1" applyFont="1" applyFill="1" applyBorder="1" applyAlignment="1">
      <alignment horizontal="center" vertical="center" wrapText="1"/>
    </xf>
    <xf numFmtId="2" fontId="5" fillId="5" borderId="12" xfId="3" applyNumberFormat="1" applyFont="1" applyFill="1" applyBorder="1" applyAlignment="1" applyProtection="1">
      <alignment horizontal="center" vertical="center" wrapText="1"/>
    </xf>
    <xf numFmtId="2" fontId="9" fillId="2" borderId="12" xfId="1" applyNumberFormat="1" applyFont="1" applyFill="1" applyBorder="1" applyAlignment="1">
      <alignment horizontal="center" vertical="center" wrapText="1"/>
    </xf>
    <xf numFmtId="2" fontId="5" fillId="2" borderId="29" xfId="1" applyNumberFormat="1" applyFont="1" applyFill="1" applyBorder="1" applyAlignment="1">
      <alignment horizontal="center" vertical="center" wrapText="1"/>
    </xf>
    <xf numFmtId="2" fontId="5" fillId="9" borderId="12" xfId="1" applyNumberFormat="1" applyFont="1" applyFill="1" applyBorder="1" applyAlignment="1">
      <alignment horizontal="center" vertical="center" wrapText="1"/>
    </xf>
    <xf numFmtId="2" fontId="12" fillId="2" borderId="12" xfId="1" applyNumberFormat="1" applyFont="1" applyFill="1" applyBorder="1" applyAlignment="1">
      <alignment horizontal="center" wrapText="1"/>
    </xf>
    <xf numFmtId="2" fontId="12" fillId="2" borderId="29" xfId="1" applyNumberFormat="1" applyFont="1" applyFill="1" applyBorder="1" applyAlignment="1">
      <alignment horizontal="center" vertical="center" wrapText="1"/>
    </xf>
    <xf numFmtId="2" fontId="12" fillId="9" borderId="12" xfId="1" applyNumberFormat="1" applyFont="1" applyFill="1" applyBorder="1" applyAlignment="1">
      <alignment horizontal="center" vertical="center" wrapText="1"/>
    </xf>
    <xf numFmtId="165" fontId="33" fillId="9" borderId="12" xfId="2" applyNumberFormat="1" applyFont="1" applyFill="1" applyBorder="1" applyAlignment="1">
      <alignment horizontal="center" vertical="center"/>
    </xf>
    <xf numFmtId="2" fontId="12" fillId="2" borderId="11" xfId="1" applyNumberFormat="1" applyFont="1" applyFill="1" applyBorder="1" applyAlignment="1">
      <alignment horizontal="center" vertical="center" wrapText="1"/>
    </xf>
    <xf numFmtId="2" fontId="12" fillId="2" borderId="4" xfId="1" applyNumberFormat="1" applyFont="1" applyFill="1" applyBorder="1" applyAlignment="1">
      <alignment horizontal="center" wrapText="1"/>
    </xf>
    <xf numFmtId="2" fontId="30" fillId="6" borderId="12" xfId="1" applyNumberFormat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9" fillId="0" borderId="0" xfId="1" applyFont="1" applyFill="1" applyBorder="1" applyAlignment="1">
      <alignment horizontal="center" wrapText="1"/>
    </xf>
    <xf numFmtId="0" fontId="48" fillId="11" borderId="9" xfId="1" applyFont="1" applyFill="1" applyBorder="1" applyAlignment="1">
      <alignment horizontal="center" vertical="center" wrapText="1"/>
    </xf>
    <xf numFmtId="0" fontId="47" fillId="11" borderId="16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4" fillId="0" borderId="18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vertical="center" wrapText="1"/>
    </xf>
    <xf numFmtId="0" fontId="30" fillId="6" borderId="1" xfId="1" applyFont="1" applyFill="1" applyBorder="1" applyAlignment="1">
      <alignment horizontal="center" vertical="center" wrapText="1"/>
    </xf>
    <xf numFmtId="2" fontId="2" fillId="2" borderId="0" xfId="1" applyNumberFormat="1" applyFont="1" applyFill="1" applyBorder="1" applyAlignment="1">
      <alignment vertical="center" wrapText="1"/>
    </xf>
    <xf numFmtId="10" fontId="2" fillId="2" borderId="0" xfId="1" applyNumberFormat="1" applyFont="1" applyFill="1" applyAlignment="1">
      <alignment vertical="center" wrapText="1"/>
    </xf>
    <xf numFmtId="0" fontId="11" fillId="2" borderId="0" xfId="1" applyFont="1" applyFill="1" applyAlignment="1">
      <alignment vertical="center" wrapText="1"/>
    </xf>
    <xf numFmtId="10" fontId="11" fillId="2" borderId="0" xfId="1" applyNumberFormat="1" applyFont="1" applyFill="1" applyAlignment="1">
      <alignment vertical="center" wrapText="1"/>
    </xf>
    <xf numFmtId="2" fontId="11" fillId="2" borderId="0" xfId="1" applyNumberFormat="1" applyFont="1" applyFill="1" applyAlignment="1">
      <alignment vertical="center" wrapText="1"/>
    </xf>
    <xf numFmtId="0" fontId="2" fillId="5" borderId="0" xfId="1" applyFont="1" applyFill="1" applyAlignment="1">
      <alignment vertical="center" wrapText="1"/>
    </xf>
    <xf numFmtId="10" fontId="2" fillId="5" borderId="0" xfId="1" applyNumberFormat="1" applyFont="1" applyFill="1" applyAlignment="1">
      <alignment vertical="center" wrapText="1"/>
    </xf>
    <xf numFmtId="2" fontId="2" fillId="5" borderId="0" xfId="1" applyNumberFormat="1" applyFont="1" applyFill="1" applyAlignment="1">
      <alignment vertical="center" wrapText="1"/>
    </xf>
    <xf numFmtId="0" fontId="8" fillId="2" borderId="0" xfId="1" applyFont="1" applyFill="1" applyBorder="1" applyAlignment="1">
      <alignment wrapText="1"/>
    </xf>
    <xf numFmtId="0" fontId="8" fillId="2" borderId="0" xfId="1" applyFont="1" applyFill="1" applyAlignment="1">
      <alignment wrapText="1"/>
    </xf>
    <xf numFmtId="0" fontId="2" fillId="2" borderId="0" xfId="1" applyFont="1" applyFill="1" applyAlignment="1">
      <alignment wrapText="1"/>
    </xf>
    <xf numFmtId="0" fontId="2" fillId="2" borderId="1" xfId="1" applyFont="1" applyFill="1" applyBorder="1" applyAlignment="1">
      <alignment vertical="center" wrapText="1"/>
    </xf>
    <xf numFmtId="166" fontId="2" fillId="2" borderId="0" xfId="1" applyNumberFormat="1" applyFont="1" applyFill="1" applyBorder="1" applyAlignment="1">
      <alignment vertical="center" wrapText="1"/>
    </xf>
    <xf numFmtId="2" fontId="7" fillId="15" borderId="12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Protection="1">
      <protection locked="0"/>
    </xf>
    <xf numFmtId="0" fontId="8" fillId="2" borderId="29" xfId="1" applyFont="1" applyFill="1" applyBorder="1" applyAlignment="1">
      <alignment horizontal="left" wrapText="1"/>
    </xf>
    <xf numFmtId="0" fontId="2" fillId="2" borderId="20" xfId="1" applyFont="1" applyFill="1" applyBorder="1" applyAlignment="1">
      <alignment vertical="center" wrapText="1"/>
    </xf>
    <xf numFmtId="0" fontId="2" fillId="2" borderId="29" xfId="1" applyFont="1" applyFill="1" applyBorder="1" applyAlignment="1">
      <alignment horizontal="center" vertical="center"/>
    </xf>
    <xf numFmtId="2" fontId="2" fillId="2" borderId="29" xfId="1" applyNumberFormat="1" applyFont="1" applyFill="1" applyBorder="1" applyAlignment="1">
      <alignment horizontal="center" vertical="center" wrapText="1"/>
    </xf>
    <xf numFmtId="2" fontId="2" fillId="2" borderId="11" xfId="1" applyNumberFormat="1" applyFont="1" applyFill="1" applyBorder="1" applyAlignment="1">
      <alignment horizontal="center" vertical="center" wrapText="1"/>
    </xf>
    <xf numFmtId="2" fontId="45" fillId="2" borderId="29" xfId="1" applyNumberFormat="1" applyFont="1" applyFill="1" applyBorder="1" applyAlignment="1" applyProtection="1">
      <alignment horizontal="center" vertical="center"/>
    </xf>
    <xf numFmtId="9" fontId="2" fillId="2" borderId="29" xfId="1" applyNumberFormat="1" applyFont="1" applyFill="1" applyBorder="1" applyAlignment="1" applyProtection="1">
      <alignment horizontal="center" vertical="center"/>
      <protection locked="0"/>
    </xf>
    <xf numFmtId="2" fontId="42" fillId="2" borderId="29" xfId="1" applyNumberFormat="1" applyFont="1" applyFill="1" applyBorder="1" applyAlignment="1" applyProtection="1">
      <alignment horizontal="center" vertical="center"/>
      <protection locked="0"/>
    </xf>
    <xf numFmtId="2" fontId="42" fillId="2" borderId="29" xfId="1" applyNumberFormat="1" applyFont="1" applyFill="1" applyBorder="1" applyAlignment="1" applyProtection="1">
      <alignment horizontal="center" vertical="center"/>
    </xf>
    <xf numFmtId="2" fontId="45" fillId="2" borderId="27" xfId="1" applyNumberFormat="1" applyFont="1" applyFill="1" applyBorder="1" applyAlignment="1" applyProtection="1">
      <alignment horizontal="center" vertical="center"/>
    </xf>
    <xf numFmtId="0" fontId="48" fillId="11" borderId="30" xfId="1" applyFont="1" applyFill="1" applyBorder="1" applyAlignment="1">
      <alignment horizontal="center" vertical="center" wrapText="1"/>
    </xf>
    <xf numFmtId="2" fontId="48" fillId="11" borderId="31" xfId="1" applyNumberFormat="1" applyFont="1" applyFill="1" applyBorder="1" applyAlignment="1" applyProtection="1">
      <alignment horizontal="center"/>
    </xf>
    <xf numFmtId="0" fontId="48" fillId="11" borderId="31" xfId="1" applyNumberFormat="1" applyFont="1" applyFill="1" applyBorder="1" applyAlignment="1" applyProtection="1">
      <alignment horizontal="center" vertical="center" wrapText="1"/>
    </xf>
    <xf numFmtId="0" fontId="51" fillId="11" borderId="31" xfId="1" applyNumberFormat="1" applyFont="1" applyFill="1" applyBorder="1" applyAlignment="1">
      <alignment horizontal="center" vertical="center" wrapText="1"/>
    </xf>
    <xf numFmtId="2" fontId="48" fillId="11" borderId="31" xfId="1" applyNumberFormat="1" applyFont="1" applyFill="1" applyBorder="1" applyAlignment="1" applyProtection="1">
      <alignment horizontal="center" vertical="center" wrapText="1"/>
    </xf>
    <xf numFmtId="0" fontId="48" fillId="11" borderId="32" xfId="1" applyNumberFormat="1" applyFont="1" applyFill="1" applyBorder="1" applyAlignment="1" applyProtection="1">
      <alignment horizontal="center" vertical="center" wrapText="1"/>
    </xf>
    <xf numFmtId="2" fontId="8" fillId="15" borderId="0" xfId="1" applyNumberFormat="1" applyFont="1" applyFill="1" applyBorder="1" applyAlignment="1">
      <alignment wrapText="1"/>
    </xf>
    <xf numFmtId="169" fontId="2" fillId="7" borderId="0" xfId="1" applyNumberFormat="1" applyFont="1" applyFill="1"/>
    <xf numFmtId="2" fontId="4" fillId="2" borderId="0" xfId="1" applyNumberFormat="1" applyFont="1" applyFill="1" applyAlignment="1">
      <alignment vertical="center" wrapText="1"/>
    </xf>
    <xf numFmtId="2" fontId="30" fillId="6" borderId="4" xfId="1" applyNumberFormat="1" applyFont="1" applyFill="1" applyBorder="1" applyAlignment="1">
      <alignment horizontal="center" vertical="center" wrapText="1"/>
    </xf>
    <xf numFmtId="0" fontId="12" fillId="11" borderId="1" xfId="1" applyFont="1" applyFill="1" applyBorder="1" applyAlignment="1">
      <alignment horizontal="center" vertical="center" wrapText="1"/>
    </xf>
    <xf numFmtId="0" fontId="30" fillId="11" borderId="1" xfId="1" applyFont="1" applyFill="1" applyBorder="1" applyAlignment="1">
      <alignment horizontal="center" vertical="center" wrapText="1"/>
    </xf>
    <xf numFmtId="49" fontId="30" fillId="11" borderId="1" xfId="1" applyNumberFormat="1" applyFont="1" applyFill="1" applyBorder="1" applyAlignment="1">
      <alignment horizontal="center" vertical="center" wrapText="1"/>
    </xf>
    <xf numFmtId="43" fontId="35" fillId="11" borderId="1" xfId="1" applyNumberFormat="1" applyFont="1" applyFill="1" applyBorder="1" applyAlignment="1">
      <alignment horizontal="center" vertical="center" wrapText="1"/>
    </xf>
    <xf numFmtId="43" fontId="37" fillId="0" borderId="0" xfId="1" applyNumberFormat="1" applyFont="1" applyFill="1" applyBorder="1" applyAlignment="1">
      <alignment horizontal="center"/>
    </xf>
    <xf numFmtId="49" fontId="29" fillId="2" borderId="3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right" vertical="center" wrapText="1"/>
    </xf>
    <xf numFmtId="0" fontId="12" fillId="2" borderId="4" xfId="1" applyFont="1" applyFill="1" applyBorder="1" applyAlignment="1">
      <alignment horizontal="right" vertical="center" wrapText="1"/>
    </xf>
    <xf numFmtId="0" fontId="12" fillId="2" borderId="1" xfId="1" applyFont="1" applyFill="1" applyBorder="1" applyAlignment="1">
      <alignment horizontal="right" vertical="center" wrapText="1"/>
    </xf>
    <xf numFmtId="0" fontId="12" fillId="11" borderId="1" xfId="1" applyFont="1" applyFill="1" applyBorder="1" applyAlignment="1">
      <alignment horizontal="right" vertical="center" wrapText="1"/>
    </xf>
    <xf numFmtId="0" fontId="53" fillId="0" borderId="0" xfId="1" applyFont="1" applyFill="1" applyAlignment="1">
      <alignment wrapText="1"/>
    </xf>
    <xf numFmtId="0" fontId="4" fillId="0" borderId="0" xfId="1" applyFont="1" applyFill="1" applyAlignment="1">
      <alignment vertical="center" wrapText="1"/>
    </xf>
    <xf numFmtId="0" fontId="53" fillId="0" borderId="0" xfId="1" applyFont="1" applyFill="1" applyAlignment="1">
      <alignment vertical="center" wrapText="1"/>
    </xf>
    <xf numFmtId="2" fontId="53" fillId="0" borderId="0" xfId="1" applyNumberFormat="1" applyFont="1" applyFill="1" applyAlignment="1">
      <alignment vertical="center" wrapText="1"/>
    </xf>
    <xf numFmtId="0" fontId="4" fillId="0" borderId="0" xfId="1" applyFont="1" applyFill="1" applyAlignment="1">
      <alignment wrapText="1"/>
    </xf>
    <xf numFmtId="0" fontId="2" fillId="0" borderId="0" xfId="1" applyFont="1" applyFill="1" applyAlignment="1">
      <alignment wrapText="1"/>
    </xf>
    <xf numFmtId="2" fontId="34" fillId="10" borderId="1" xfId="3" applyNumberFormat="1" applyFont="1" applyFill="1" applyBorder="1" applyAlignment="1" applyProtection="1">
      <alignment horizontal="center" vertical="center" wrapText="1"/>
    </xf>
    <xf numFmtId="0" fontId="12" fillId="9" borderId="4" xfId="1" applyFont="1" applyFill="1" applyBorder="1" applyAlignment="1">
      <alignment horizontal="left" vertical="center" wrapText="1"/>
    </xf>
    <xf numFmtId="0" fontId="55" fillId="0" borderId="0" xfId="1" applyFont="1" applyFill="1" applyAlignment="1">
      <alignment wrapText="1"/>
    </xf>
    <xf numFmtId="0" fontId="55" fillId="0" borderId="13" xfId="1" applyFont="1" applyFill="1" applyBorder="1" applyAlignment="1">
      <alignment horizontal="center" vertical="center" wrapText="1"/>
    </xf>
    <xf numFmtId="0" fontId="55" fillId="0" borderId="0" xfId="1" applyFont="1" applyFill="1" applyAlignment="1">
      <alignment vertical="center" wrapText="1"/>
    </xf>
    <xf numFmtId="0" fontId="55" fillId="0" borderId="0" xfId="1" applyFont="1" applyFill="1" applyAlignment="1">
      <alignment horizontal="center" vertical="center" wrapText="1"/>
    </xf>
    <xf numFmtId="0" fontId="12" fillId="18" borderId="1" xfId="1" applyFont="1" applyFill="1" applyBorder="1" applyAlignment="1">
      <alignment horizontal="center" vertical="center" wrapText="1"/>
    </xf>
    <xf numFmtId="0" fontId="12" fillId="18" borderId="1" xfId="1" applyFont="1" applyFill="1" applyBorder="1" applyAlignment="1">
      <alignment vertical="center"/>
    </xf>
    <xf numFmtId="0" fontId="12" fillId="18" borderId="1" xfId="1" applyFont="1" applyFill="1" applyBorder="1" applyAlignment="1">
      <alignment horizontal="left" vertical="center" wrapText="1"/>
    </xf>
    <xf numFmtId="0" fontId="12" fillId="18" borderId="1" xfId="1" applyFont="1" applyFill="1" applyBorder="1" applyAlignment="1">
      <alignment horizontal="center" vertical="center"/>
    </xf>
    <xf numFmtId="49" fontId="13" fillId="18" borderId="1" xfId="1" applyNumberFormat="1" applyFont="1" applyFill="1" applyBorder="1" applyAlignment="1">
      <alignment horizontal="center" vertical="center" wrapText="1"/>
    </xf>
    <xf numFmtId="0" fontId="11" fillId="18" borderId="1" xfId="1" applyNumberFormat="1" applyFont="1" applyFill="1" applyBorder="1" applyAlignment="1">
      <alignment horizontal="center" vertical="center" wrapText="1"/>
    </xf>
    <xf numFmtId="0" fontId="11" fillId="18" borderId="1" xfId="1" applyFont="1" applyFill="1" applyBorder="1" applyAlignment="1">
      <alignment horizontal="center" vertical="center"/>
    </xf>
    <xf numFmtId="0" fontId="32" fillId="18" borderId="1" xfId="1" applyFont="1" applyFill="1" applyBorder="1" applyAlignment="1" applyProtection="1">
      <alignment horizontal="center"/>
      <protection locked="0"/>
    </xf>
    <xf numFmtId="2" fontId="12" fillId="18" borderId="1" xfId="1" applyNumberFormat="1" applyFont="1" applyFill="1" applyBorder="1" applyAlignment="1">
      <alignment horizontal="center" vertical="center" wrapText="1"/>
    </xf>
    <xf numFmtId="2" fontId="31" fillId="18" borderId="1" xfId="1" applyNumberFormat="1" applyFont="1" applyFill="1" applyBorder="1" applyAlignment="1">
      <alignment horizontal="center" vertical="top" wrapText="1"/>
    </xf>
    <xf numFmtId="2" fontId="11" fillId="18" borderId="1" xfId="1" applyNumberFormat="1" applyFont="1" applyFill="1" applyBorder="1" applyAlignment="1">
      <alignment horizontal="center" vertical="center" wrapText="1"/>
    </xf>
    <xf numFmtId="2" fontId="30" fillId="19" borderId="1" xfId="3" applyNumberFormat="1" applyFont="1" applyFill="1" applyBorder="1" applyAlignment="1" applyProtection="1">
      <alignment horizontal="center" vertical="center" wrapText="1"/>
    </xf>
    <xf numFmtId="2" fontId="7" fillId="18" borderId="1" xfId="1" applyNumberFormat="1" applyFont="1" applyFill="1" applyBorder="1" applyAlignment="1">
      <alignment horizontal="center" vertical="center" wrapText="1"/>
    </xf>
    <xf numFmtId="0" fontId="2" fillId="18" borderId="0" xfId="1" applyFont="1" applyFill="1" applyAlignment="1">
      <alignment vertical="center" wrapText="1"/>
    </xf>
    <xf numFmtId="2" fontId="5" fillId="7" borderId="29" xfId="1" applyNumberFormat="1" applyFont="1" applyFill="1" applyBorder="1" applyAlignment="1">
      <alignment horizontal="center" vertical="center" wrapText="1"/>
    </xf>
    <xf numFmtId="2" fontId="7" fillId="7" borderId="29" xfId="1" applyNumberFormat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vertical="center" wrapText="1"/>
    </xf>
    <xf numFmtId="2" fontId="2" fillId="0" borderId="12" xfId="1" applyNumberFormat="1" applyFont="1" applyFill="1" applyBorder="1" applyAlignment="1">
      <alignment vertical="center" wrapText="1"/>
    </xf>
    <xf numFmtId="2" fontId="5" fillId="20" borderId="1" xfId="1" applyNumberFormat="1" applyFont="1" applyFill="1" applyBorder="1" applyAlignment="1">
      <alignment horizontal="center" vertical="center" wrapText="1"/>
    </xf>
    <xf numFmtId="2" fontId="7" fillId="20" borderId="1" xfId="1" applyNumberFormat="1" applyFont="1" applyFill="1" applyBorder="1" applyAlignment="1">
      <alignment horizontal="center" vertical="center" wrapText="1"/>
    </xf>
    <xf numFmtId="0" fontId="2" fillId="20" borderId="0" xfId="1" applyFont="1" applyFill="1" applyAlignment="1">
      <alignment vertical="center" wrapText="1"/>
    </xf>
    <xf numFmtId="166" fontId="34" fillId="10" borderId="1" xfId="3" applyNumberFormat="1" applyFont="1" applyFill="1" applyBorder="1" applyAlignment="1" applyProtection="1">
      <alignment horizontal="center" vertical="center" wrapText="1"/>
    </xf>
    <xf numFmtId="2" fontId="5" fillId="20" borderId="12" xfId="1" applyNumberFormat="1" applyFont="1" applyFill="1" applyBorder="1" applyAlignment="1">
      <alignment horizontal="center" vertical="center" wrapText="1"/>
    </xf>
    <xf numFmtId="2" fontId="7" fillId="7" borderId="23" xfId="1" applyNumberFormat="1" applyFont="1" applyFill="1" applyBorder="1" applyAlignment="1">
      <alignment horizontal="center" vertical="center" wrapText="1"/>
    </xf>
    <xf numFmtId="0" fontId="2" fillId="7" borderId="33" xfId="1" applyFont="1" applyFill="1" applyBorder="1" applyAlignment="1">
      <alignment vertical="center" wrapText="1"/>
    </xf>
    <xf numFmtId="2" fontId="7" fillId="7" borderId="12" xfId="1" applyNumberFormat="1" applyFont="1" applyFill="1" applyBorder="1" applyAlignment="1">
      <alignment horizontal="center" wrapText="1"/>
    </xf>
    <xf numFmtId="2" fontId="57" fillId="7" borderId="1" xfId="1" applyNumberFormat="1" applyFont="1" applyFill="1" applyBorder="1" applyAlignment="1">
      <alignment horizontal="center" vertical="center" wrapText="1"/>
    </xf>
    <xf numFmtId="0" fontId="46" fillId="7" borderId="0" xfId="1" applyFont="1" applyFill="1" applyAlignment="1">
      <alignment vertical="center" wrapText="1"/>
    </xf>
    <xf numFmtId="2" fontId="5" fillId="7" borderId="12" xfId="1" applyNumberFormat="1" applyFont="1" applyFill="1" applyBorder="1" applyAlignment="1">
      <alignment horizontal="center" vertical="center" wrapText="1"/>
    </xf>
    <xf numFmtId="2" fontId="2" fillId="0" borderId="0" xfId="1" applyNumberFormat="1" applyFont="1" applyFill="1" applyAlignment="1">
      <alignment horizontal="center" vertical="center" wrapText="1"/>
    </xf>
    <xf numFmtId="49" fontId="2" fillId="0" borderId="0" xfId="1" applyNumberFormat="1" applyFont="1" applyFill="1" applyAlignment="1">
      <alignment vertical="center" wrapText="1"/>
    </xf>
    <xf numFmtId="0" fontId="11" fillId="2" borderId="1" xfId="1" applyFont="1" applyFill="1" applyBorder="1" applyAlignment="1" applyProtection="1">
      <alignment horizontal="center"/>
      <protection locked="0"/>
    </xf>
    <xf numFmtId="0" fontId="12" fillId="2" borderId="12" xfId="1" applyFont="1" applyFill="1" applyBorder="1" applyAlignment="1">
      <alignment vertical="center"/>
    </xf>
    <xf numFmtId="49" fontId="58" fillId="2" borderId="1" xfId="1" applyNumberFormat="1" applyFont="1" applyFill="1" applyBorder="1" applyAlignment="1">
      <alignment horizontal="center" vertical="center" wrapText="1"/>
    </xf>
    <xf numFmtId="0" fontId="58" fillId="2" borderId="1" xfId="1" applyFont="1" applyFill="1" applyBorder="1" applyAlignment="1">
      <alignment horizontal="center" vertical="center" wrapText="1"/>
    </xf>
    <xf numFmtId="0" fontId="58" fillId="2" borderId="1" xfId="1" applyNumberFormat="1" applyFont="1" applyFill="1" applyBorder="1" applyAlignment="1" applyProtection="1">
      <alignment horizontal="center" vertical="center"/>
      <protection locked="0"/>
    </xf>
    <xf numFmtId="0" fontId="12" fillId="2" borderId="12" xfId="1" applyFont="1" applyFill="1" applyBorder="1" applyAlignment="1">
      <alignment horizontal="center" vertical="center"/>
    </xf>
    <xf numFmtId="2" fontId="58" fillId="2" borderId="1" xfId="1" applyNumberFormat="1" applyFont="1" applyFill="1" applyBorder="1" applyAlignment="1">
      <alignment horizontal="center" vertical="center" wrapText="1"/>
    </xf>
    <xf numFmtId="0" fontId="11" fillId="2" borderId="12" xfId="1" applyFont="1" applyFill="1" applyBorder="1" applyAlignment="1" applyProtection="1">
      <alignment horizontal="center"/>
      <protection locked="0"/>
    </xf>
    <xf numFmtId="2" fontId="12" fillId="5" borderId="12" xfId="3" applyNumberFormat="1" applyFont="1" applyFill="1" applyBorder="1" applyAlignment="1" applyProtection="1">
      <alignment horizontal="center" wrapText="1"/>
    </xf>
    <xf numFmtId="10" fontId="12" fillId="2" borderId="12" xfId="1" applyNumberFormat="1" applyFont="1" applyFill="1" applyBorder="1" applyAlignment="1">
      <alignment horizontal="center" wrapText="1"/>
    </xf>
    <xf numFmtId="9" fontId="12" fillId="2" borderId="12" xfId="1" applyNumberFormat="1" applyFont="1" applyFill="1" applyBorder="1" applyAlignment="1">
      <alignment horizontal="center" wrapText="1"/>
    </xf>
    <xf numFmtId="0" fontId="12" fillId="2" borderId="29" xfId="1" applyFont="1" applyFill="1" applyBorder="1" applyAlignment="1">
      <alignment vertical="center"/>
    </xf>
    <xf numFmtId="0" fontId="12" fillId="2" borderId="29" xfId="1" applyFont="1" applyFill="1" applyBorder="1" applyAlignment="1">
      <alignment horizontal="left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10" fontId="12" fillId="2" borderId="29" xfId="1" applyNumberFormat="1" applyFont="1" applyFill="1" applyBorder="1" applyAlignment="1">
      <alignment horizontal="center" vertical="center" wrapText="1"/>
    </xf>
    <xf numFmtId="9" fontId="12" fillId="2" borderId="29" xfId="1" applyNumberFormat="1" applyFont="1" applyFill="1" applyBorder="1" applyAlignment="1">
      <alignment horizontal="center" vertical="center" wrapText="1"/>
    </xf>
    <xf numFmtId="2" fontId="12" fillId="5" borderId="29" xfId="3" applyNumberFormat="1" applyFont="1" applyFill="1" applyBorder="1" applyAlignment="1" applyProtection="1">
      <alignment horizontal="center" vertical="center" wrapText="1"/>
    </xf>
    <xf numFmtId="2" fontId="56" fillId="2" borderId="1" xfId="1" applyNumberFormat="1" applyFont="1" applyFill="1" applyBorder="1" applyAlignment="1">
      <alignment horizontal="center" vertical="center" wrapText="1"/>
    </xf>
    <xf numFmtId="2" fontId="38" fillId="2" borderId="1" xfId="1" applyNumberFormat="1" applyFont="1" applyFill="1" applyBorder="1" applyAlignment="1">
      <alignment horizontal="center" vertical="center" wrapText="1"/>
    </xf>
    <xf numFmtId="2" fontId="56" fillId="2" borderId="3" xfId="1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12" fillId="2" borderId="1" xfId="1" applyFont="1" applyFill="1" applyBorder="1" applyAlignment="1">
      <alignment horizontal="left" vertical="center"/>
    </xf>
    <xf numFmtId="0" fontId="12" fillId="2" borderId="4" xfId="1" applyNumberFormat="1" applyFont="1" applyFill="1" applyBorder="1" applyAlignment="1">
      <alignment horizontal="center" vertical="center" wrapText="1"/>
    </xf>
    <xf numFmtId="2" fontId="56" fillId="2" borderId="12" xfId="1" applyNumberFormat="1" applyFont="1" applyFill="1" applyBorder="1" applyAlignment="1">
      <alignment horizontal="center" wrapText="1"/>
    </xf>
    <xf numFmtId="2" fontId="56" fillId="2" borderId="29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vertical="center" wrapText="1"/>
    </xf>
    <xf numFmtId="0" fontId="2" fillId="2" borderId="12" xfId="1" applyFont="1" applyFill="1" applyBorder="1" applyAlignment="1">
      <alignment horizontal="center" vertical="center" wrapText="1"/>
    </xf>
    <xf numFmtId="1" fontId="2" fillId="7" borderId="0" xfId="1" applyNumberFormat="1" applyFont="1" applyFill="1" applyBorder="1" applyAlignment="1">
      <alignment vertical="center" wrapText="1"/>
    </xf>
    <xf numFmtId="1" fontId="53" fillId="2" borderId="0" xfId="1" applyNumberFormat="1" applyFont="1" applyFill="1" applyAlignment="1">
      <alignment vertical="center" wrapText="1"/>
    </xf>
    <xf numFmtId="1" fontId="0" fillId="2" borderId="0" xfId="1" applyNumberFormat="1" applyFont="1" applyFill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2" fontId="5" fillId="10" borderId="12" xfId="3" applyNumberFormat="1" applyFont="1" applyFill="1" applyBorder="1" applyAlignment="1" applyProtection="1">
      <alignment horizontal="center" vertical="center" wrapText="1"/>
    </xf>
    <xf numFmtId="2" fontId="12" fillId="10" borderId="12" xfId="3" applyNumberFormat="1" applyFont="1" applyFill="1" applyBorder="1" applyAlignment="1" applyProtection="1">
      <alignment horizontal="center" vertical="center" wrapText="1"/>
    </xf>
    <xf numFmtId="2" fontId="30" fillId="19" borderId="12" xfId="3" applyNumberFormat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65" fontId="30" fillId="11" borderId="1" xfId="2" applyNumberFormat="1" applyFont="1" applyFill="1" applyBorder="1" applyAlignment="1">
      <alignment horizontal="center" vertical="center"/>
    </xf>
    <xf numFmtId="2" fontId="2" fillId="7" borderId="0" xfId="1" applyNumberFormat="1" applyFont="1" applyFill="1"/>
    <xf numFmtId="4" fontId="30" fillId="11" borderId="1" xfId="1" applyNumberFormat="1" applyFont="1" applyFill="1" applyBorder="1" applyAlignment="1">
      <alignment horizontal="center" vertical="center" wrapText="1"/>
    </xf>
    <xf numFmtId="0" fontId="12" fillId="7" borderId="4" xfId="1" applyFont="1" applyFill="1" applyBorder="1" applyAlignment="1">
      <alignment horizontal="center" vertical="center" wrapText="1"/>
    </xf>
    <xf numFmtId="0" fontId="13" fillId="7" borderId="4" xfId="1" applyFont="1" applyFill="1" applyBorder="1" applyAlignment="1">
      <alignment horizontal="center" vertical="center" wrapText="1"/>
    </xf>
    <xf numFmtId="2" fontId="12" fillId="7" borderId="4" xfId="1" applyNumberFormat="1" applyFont="1" applyFill="1" applyBorder="1" applyAlignment="1">
      <alignment horizontal="center" vertical="center" wrapText="1"/>
    </xf>
    <xf numFmtId="2" fontId="12" fillId="7" borderId="1" xfId="1" applyNumberFormat="1" applyFont="1" applyFill="1" applyBorder="1" applyAlignment="1">
      <alignment horizontal="center" vertical="center" wrapText="1"/>
    </xf>
    <xf numFmtId="2" fontId="30" fillId="7" borderId="4" xfId="1" applyNumberFormat="1" applyFont="1" applyFill="1" applyBorder="1" applyAlignment="1">
      <alignment horizontal="center" vertical="center" wrapText="1"/>
    </xf>
    <xf numFmtId="0" fontId="12" fillId="7" borderId="12" xfId="1" applyFont="1" applyFill="1" applyBorder="1" applyAlignment="1">
      <alignment vertical="center"/>
    </xf>
    <xf numFmtId="0" fontId="12" fillId="7" borderId="12" xfId="1" applyFont="1" applyFill="1" applyBorder="1" applyAlignment="1">
      <alignment horizontal="left" vertical="center" wrapText="1"/>
    </xf>
    <xf numFmtId="49" fontId="13" fillId="7" borderId="12" xfId="1" applyNumberFormat="1" applyFont="1" applyFill="1" applyBorder="1" applyAlignment="1">
      <alignment horizontal="center" vertical="center" wrapText="1"/>
    </xf>
    <xf numFmtId="0" fontId="12" fillId="7" borderId="12" xfId="1" applyFont="1" applyFill="1" applyBorder="1" applyAlignment="1">
      <alignment horizontal="center" vertical="center"/>
    </xf>
    <xf numFmtId="2" fontId="12" fillId="7" borderId="12" xfId="1" applyNumberFormat="1" applyFont="1" applyFill="1" applyBorder="1" applyAlignment="1">
      <alignment horizontal="center" vertical="center" wrapText="1"/>
    </xf>
    <xf numFmtId="2" fontId="29" fillId="7" borderId="12" xfId="1" applyNumberFormat="1" applyFont="1" applyFill="1" applyBorder="1" applyAlignment="1">
      <alignment horizontal="center" vertical="center" wrapText="1"/>
    </xf>
    <xf numFmtId="2" fontId="13" fillId="7" borderId="1" xfId="1" applyNumberFormat="1" applyFont="1" applyFill="1" applyBorder="1" applyAlignment="1">
      <alignment horizontal="center" vertical="center" wrapText="1"/>
    </xf>
    <xf numFmtId="2" fontId="56" fillId="7" borderId="1" xfId="1" applyNumberFormat="1" applyFont="1" applyFill="1" applyBorder="1" applyAlignment="1">
      <alignment horizontal="center" vertical="center" wrapText="1"/>
    </xf>
    <xf numFmtId="2" fontId="12" fillId="8" borderId="1" xfId="3" applyNumberFormat="1" applyFont="1" applyFill="1" applyBorder="1" applyAlignment="1" applyProtection="1">
      <alignment horizontal="center" vertical="center" wrapText="1"/>
    </xf>
    <xf numFmtId="10" fontId="12" fillId="7" borderId="1" xfId="1" applyNumberFormat="1" applyFont="1" applyFill="1" applyBorder="1" applyAlignment="1">
      <alignment horizontal="center" vertical="center" wrapText="1"/>
    </xf>
    <xf numFmtId="9" fontId="12" fillId="7" borderId="1" xfId="1" applyNumberFormat="1" applyFont="1" applyFill="1" applyBorder="1" applyAlignment="1">
      <alignment horizontal="center" vertical="center" wrapText="1"/>
    </xf>
    <xf numFmtId="49" fontId="13" fillId="7" borderId="4" xfId="1" applyNumberFormat="1" applyFont="1" applyFill="1" applyBorder="1" applyAlignment="1">
      <alignment horizontal="center" vertical="center" wrapText="1"/>
    </xf>
    <xf numFmtId="0" fontId="12" fillId="7" borderId="4" xfId="1" applyFont="1" applyFill="1" applyBorder="1" applyAlignment="1">
      <alignment horizontal="center" vertical="center"/>
    </xf>
    <xf numFmtId="0" fontId="32" fillId="7" borderId="1" xfId="1" applyFont="1" applyFill="1" applyBorder="1" applyAlignment="1" applyProtection="1">
      <alignment horizontal="center"/>
      <protection locked="0"/>
    </xf>
    <xf numFmtId="0" fontId="12" fillId="7" borderId="1" xfId="1" applyFont="1" applyFill="1" applyBorder="1" applyAlignment="1">
      <alignment horizontal="left" vertical="center" wrapText="1"/>
    </xf>
    <xf numFmtId="49" fontId="13" fillId="7" borderId="1" xfId="1" applyNumberFormat="1" applyFont="1" applyFill="1" applyBorder="1" applyAlignment="1">
      <alignment horizontal="center" vertical="center" wrapText="1"/>
    </xf>
    <xf numFmtId="0" fontId="28" fillId="7" borderId="4" xfId="1" applyFont="1" applyFill="1" applyBorder="1" applyAlignment="1" applyProtection="1">
      <alignment horizontal="center"/>
      <protection locked="0"/>
    </xf>
    <xf numFmtId="2" fontId="29" fillId="7" borderId="1" xfId="1" applyNumberFormat="1" applyFont="1" applyFill="1" applyBorder="1" applyAlignment="1">
      <alignment horizontal="center" vertical="center" wrapText="1"/>
    </xf>
    <xf numFmtId="2" fontId="56" fillId="7" borderId="3" xfId="1" applyNumberFormat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vertical="center"/>
    </xf>
    <xf numFmtId="0" fontId="12" fillId="7" borderId="1" xfId="1" applyFont="1" applyFill="1" applyBorder="1" applyAlignment="1">
      <alignment horizontal="center" vertical="center"/>
    </xf>
    <xf numFmtId="0" fontId="12" fillId="7" borderId="1" xfId="1" applyFont="1" applyFill="1" applyBorder="1" applyAlignment="1" applyProtection="1">
      <alignment horizontal="center"/>
      <protection locked="0"/>
    </xf>
    <xf numFmtId="0" fontId="12" fillId="7" borderId="1" xfId="2" applyFont="1" applyFill="1" applyBorder="1" applyAlignment="1">
      <alignment horizontal="left" vertical="center"/>
    </xf>
    <xf numFmtId="0" fontId="12" fillId="7" borderId="1" xfId="2" applyFont="1" applyFill="1" applyBorder="1" applyAlignment="1">
      <alignment horizontal="center" vertical="center"/>
    </xf>
    <xf numFmtId="0" fontId="13" fillId="7" borderId="1" xfId="2" applyFont="1" applyFill="1" applyBorder="1" applyAlignment="1">
      <alignment horizontal="center" vertical="center"/>
    </xf>
    <xf numFmtId="0" fontId="28" fillId="7" borderId="1" xfId="1" applyNumberFormat="1" applyFont="1" applyFill="1" applyBorder="1" applyAlignment="1" applyProtection="1">
      <alignment horizontal="center" vertical="center"/>
      <protection locked="0"/>
    </xf>
    <xf numFmtId="0" fontId="11" fillId="7" borderId="1" xfId="1" applyNumberFormat="1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horizontal="center" vertical="center"/>
    </xf>
    <xf numFmtId="2" fontId="31" fillId="7" borderId="1" xfId="1" applyNumberFormat="1" applyFont="1" applyFill="1" applyBorder="1" applyAlignment="1">
      <alignment horizontal="center" vertical="top" wrapText="1"/>
    </xf>
    <xf numFmtId="2" fontId="12" fillId="8" borderId="12" xfId="3" applyNumberFormat="1" applyFont="1" applyFill="1" applyBorder="1" applyAlignment="1" applyProtection="1">
      <alignment horizontal="center" vertical="center" wrapText="1"/>
    </xf>
    <xf numFmtId="2" fontId="30" fillId="7" borderId="1" xfId="1" applyNumberFormat="1" applyFont="1" applyFill="1" applyBorder="1" applyAlignment="1">
      <alignment horizontal="center" vertical="center" wrapText="1"/>
    </xf>
    <xf numFmtId="0" fontId="32" fillId="7" borderId="12" xfId="1" applyFont="1" applyFill="1" applyBorder="1" applyAlignment="1" applyProtection="1">
      <alignment horizontal="center"/>
      <protection locked="0"/>
    </xf>
    <xf numFmtId="10" fontId="12" fillId="7" borderId="12" xfId="1" applyNumberFormat="1" applyFont="1" applyFill="1" applyBorder="1" applyAlignment="1">
      <alignment horizontal="center" vertical="center" wrapText="1"/>
    </xf>
    <xf numFmtId="0" fontId="28" fillId="7" borderId="1" xfId="1" applyFont="1" applyFill="1" applyBorder="1" applyAlignment="1" applyProtection="1">
      <alignment horizontal="center"/>
      <protection locked="0"/>
    </xf>
    <xf numFmtId="2" fontId="56" fillId="7" borderId="4" xfId="1" applyNumberFormat="1" applyFont="1" applyFill="1" applyBorder="1" applyAlignment="1">
      <alignment horizontal="center" vertical="center" wrapText="1"/>
    </xf>
    <xf numFmtId="0" fontId="58" fillId="7" borderId="1" xfId="1" applyFont="1" applyFill="1" applyBorder="1" applyAlignment="1">
      <alignment horizontal="center" vertical="center" wrapText="1"/>
    </xf>
    <xf numFmtId="9" fontId="12" fillId="7" borderId="12" xfId="1" applyNumberFormat="1" applyFont="1" applyFill="1" applyBorder="1" applyAlignment="1">
      <alignment horizontal="center" vertical="center" wrapText="1"/>
    </xf>
    <xf numFmtId="2" fontId="13" fillId="7" borderId="12" xfId="1" applyNumberFormat="1" applyFont="1" applyFill="1" applyBorder="1" applyAlignment="1">
      <alignment horizontal="center" vertical="center" wrapText="1"/>
    </xf>
    <xf numFmtId="2" fontId="56" fillId="7" borderId="12" xfId="1" applyNumberFormat="1" applyFont="1" applyFill="1" applyBorder="1" applyAlignment="1">
      <alignment horizontal="center" vertical="center" wrapText="1"/>
    </xf>
    <xf numFmtId="0" fontId="11" fillId="7" borderId="1" xfId="1" applyFont="1" applyFill="1" applyBorder="1" applyAlignment="1" applyProtection="1">
      <alignment horizontal="center"/>
      <protection locked="0"/>
    </xf>
    <xf numFmtId="0" fontId="13" fillId="7" borderId="1" xfId="1" applyFont="1" applyFill="1" applyBorder="1" applyAlignment="1">
      <alignment horizontal="center" vertical="center"/>
    </xf>
    <xf numFmtId="2" fontId="38" fillId="7" borderId="1" xfId="1" applyNumberFormat="1" applyFont="1" applyFill="1" applyBorder="1" applyAlignment="1">
      <alignment horizontal="center" vertical="center" wrapText="1"/>
    </xf>
    <xf numFmtId="0" fontId="11" fillId="7" borderId="1" xfId="1" applyFont="1" applyFill="1" applyBorder="1" applyAlignment="1">
      <alignment horizontal="center" vertical="center" wrapText="1"/>
    </xf>
    <xf numFmtId="49" fontId="13" fillId="7" borderId="29" xfId="1" applyNumberFormat="1" applyFont="1" applyFill="1" applyBorder="1" applyAlignment="1">
      <alignment horizontal="center" vertical="center" wrapText="1"/>
    </xf>
    <xf numFmtId="0" fontId="60" fillId="7" borderId="4" xfId="1" applyFont="1" applyFill="1" applyBorder="1" applyAlignment="1">
      <alignment horizontal="center" vertical="center" wrapText="1"/>
    </xf>
    <xf numFmtId="0" fontId="60" fillId="7" borderId="1" xfId="1" applyFont="1" applyFill="1" applyBorder="1" applyAlignment="1">
      <alignment vertical="center"/>
    </xf>
    <xf numFmtId="0" fontId="60" fillId="7" borderId="1" xfId="1" applyFont="1" applyFill="1" applyBorder="1" applyAlignment="1">
      <alignment horizontal="left" vertical="center" wrapText="1"/>
    </xf>
    <xf numFmtId="0" fontId="60" fillId="7" borderId="1" xfId="1" applyFont="1" applyFill="1" applyBorder="1" applyAlignment="1">
      <alignment horizontal="center" vertical="center"/>
    </xf>
    <xf numFmtId="49" fontId="61" fillId="7" borderId="1" xfId="1" applyNumberFormat="1" applyFont="1" applyFill="1" applyBorder="1" applyAlignment="1">
      <alignment horizontal="center" vertical="center" wrapText="1"/>
    </xf>
    <xf numFmtId="0" fontId="60" fillId="7" borderId="1" xfId="1" applyFont="1" applyFill="1" applyBorder="1" applyAlignment="1" applyProtection="1">
      <alignment horizontal="center"/>
      <protection locked="0"/>
    </xf>
    <xf numFmtId="2" fontId="60" fillId="7" borderId="1" xfId="1" applyNumberFormat="1" applyFont="1" applyFill="1" applyBorder="1" applyAlignment="1">
      <alignment horizontal="center" vertical="center" wrapText="1"/>
    </xf>
    <xf numFmtId="2" fontId="61" fillId="7" borderId="1" xfId="1" applyNumberFormat="1" applyFont="1" applyFill="1" applyBorder="1" applyAlignment="1">
      <alignment horizontal="center" vertical="center" wrapText="1"/>
    </xf>
    <xf numFmtId="2" fontId="60" fillId="8" borderId="1" xfId="3" applyNumberFormat="1" applyFont="1" applyFill="1" applyBorder="1" applyAlignment="1" applyProtection="1">
      <alignment horizontal="center" vertical="center" wrapText="1"/>
    </xf>
    <xf numFmtId="2" fontId="60" fillId="8" borderId="4" xfId="3" applyNumberFormat="1" applyFont="1" applyFill="1" applyBorder="1" applyAlignment="1" applyProtection="1">
      <alignment horizontal="center" vertical="center" wrapText="1"/>
    </xf>
    <xf numFmtId="10" fontId="60" fillId="7" borderId="1" xfId="1" applyNumberFormat="1" applyFont="1" applyFill="1" applyBorder="1" applyAlignment="1">
      <alignment horizontal="center" vertical="center" wrapText="1"/>
    </xf>
    <xf numFmtId="9" fontId="60" fillId="7" borderId="1" xfId="1" applyNumberFormat="1" applyFont="1" applyFill="1" applyBorder="1" applyAlignment="1">
      <alignment horizontal="center" vertical="center" wrapText="1"/>
    </xf>
    <xf numFmtId="2" fontId="33" fillId="7" borderId="4" xfId="1" applyNumberFormat="1" applyFont="1" applyFill="1" applyBorder="1" applyAlignment="1">
      <alignment horizontal="center" vertical="center" wrapText="1"/>
    </xf>
    <xf numFmtId="2" fontId="23" fillId="7" borderId="1" xfId="1" applyNumberFormat="1" applyFont="1" applyFill="1" applyBorder="1" applyAlignment="1">
      <alignment horizontal="center" vertical="center" wrapText="1"/>
    </xf>
    <xf numFmtId="0" fontId="46" fillId="7" borderId="0" xfId="1" applyFont="1" applyFill="1" applyBorder="1" applyAlignment="1">
      <alignment vertical="center" wrapText="1"/>
    </xf>
    <xf numFmtId="0" fontId="56" fillId="7" borderId="1" xfId="1" applyFont="1" applyFill="1" applyBorder="1" applyAlignment="1">
      <alignment horizontal="center" vertical="center" wrapText="1"/>
    </xf>
    <xf numFmtId="2" fontId="38" fillId="7" borderId="12" xfId="1" applyNumberFormat="1" applyFont="1" applyFill="1" applyBorder="1" applyAlignment="1">
      <alignment horizontal="center" vertical="center" wrapText="1"/>
    </xf>
    <xf numFmtId="0" fontId="12" fillId="7" borderId="1" xfId="1" applyFont="1" applyFill="1" applyBorder="1" applyAlignment="1"/>
    <xf numFmtId="0" fontId="12" fillId="7" borderId="1" xfId="1" applyFont="1" applyFill="1" applyBorder="1" applyAlignment="1">
      <alignment horizontal="left" wrapText="1"/>
    </xf>
    <xf numFmtId="0" fontId="12" fillId="7" borderId="1" xfId="1" applyFont="1" applyFill="1" applyBorder="1" applyAlignment="1">
      <alignment horizontal="center"/>
    </xf>
    <xf numFmtId="0" fontId="13" fillId="7" borderId="1" xfId="1" applyFont="1" applyFill="1" applyBorder="1" applyAlignment="1">
      <alignment horizontal="center"/>
    </xf>
    <xf numFmtId="49" fontId="13" fillId="7" borderId="1" xfId="1" applyNumberFormat="1" applyFont="1" applyFill="1" applyBorder="1" applyAlignment="1">
      <alignment horizontal="center" wrapText="1"/>
    </xf>
    <xf numFmtId="2" fontId="12" fillId="7" borderId="1" xfId="1" applyNumberFormat="1" applyFont="1" applyFill="1" applyBorder="1" applyAlignment="1">
      <alignment horizontal="center" wrapText="1"/>
    </xf>
    <xf numFmtId="2" fontId="29" fillId="7" borderId="1" xfId="1" applyNumberFormat="1" applyFont="1" applyFill="1" applyBorder="1" applyAlignment="1">
      <alignment horizontal="center" wrapText="1"/>
    </xf>
    <xf numFmtId="2" fontId="56" fillId="7" borderId="1" xfId="1" applyNumberFormat="1" applyFont="1" applyFill="1" applyBorder="1" applyAlignment="1">
      <alignment horizontal="center" wrapText="1"/>
    </xf>
    <xf numFmtId="2" fontId="12" fillId="8" borderId="1" xfId="3" applyNumberFormat="1" applyFont="1" applyFill="1" applyBorder="1" applyAlignment="1" applyProtection="1">
      <alignment horizontal="center" wrapText="1"/>
    </xf>
    <xf numFmtId="10" fontId="12" fillId="7" borderId="1" xfId="1" applyNumberFormat="1" applyFont="1" applyFill="1" applyBorder="1" applyAlignment="1">
      <alignment horizontal="center" wrapText="1"/>
    </xf>
    <xf numFmtId="9" fontId="12" fillId="7" borderId="1" xfId="1" applyNumberFormat="1" applyFont="1" applyFill="1" applyBorder="1" applyAlignment="1">
      <alignment horizontal="center" wrapText="1"/>
    </xf>
    <xf numFmtId="0" fontId="11" fillId="7" borderId="12" xfId="1" applyFont="1" applyFill="1" applyBorder="1" applyAlignment="1" applyProtection="1">
      <alignment horizontal="center"/>
      <protection locked="0"/>
    </xf>
    <xf numFmtId="2" fontId="56" fillId="7" borderId="12" xfId="1" applyNumberFormat="1" applyFont="1" applyFill="1" applyBorder="1" applyAlignment="1">
      <alignment horizontal="center" wrapText="1"/>
    </xf>
    <xf numFmtId="2" fontId="12" fillId="8" borderId="12" xfId="3" applyNumberFormat="1" applyFont="1" applyFill="1" applyBorder="1" applyAlignment="1" applyProtection="1">
      <alignment horizontal="center" wrapText="1"/>
    </xf>
    <xf numFmtId="10" fontId="12" fillId="7" borderId="12" xfId="1" applyNumberFormat="1" applyFont="1" applyFill="1" applyBorder="1" applyAlignment="1">
      <alignment horizontal="center" wrapText="1"/>
    </xf>
    <xf numFmtId="2" fontId="12" fillId="7" borderId="12" xfId="1" applyNumberFormat="1" applyFont="1" applyFill="1" applyBorder="1" applyAlignment="1">
      <alignment horizontal="center" wrapText="1"/>
    </xf>
    <xf numFmtId="9" fontId="12" fillId="7" borderId="12" xfId="1" applyNumberFormat="1" applyFont="1" applyFill="1" applyBorder="1" applyAlignment="1">
      <alignment horizontal="center" wrapText="1"/>
    </xf>
    <xf numFmtId="49" fontId="12" fillId="7" borderId="1" xfId="1" applyNumberFormat="1" applyFont="1" applyFill="1" applyBorder="1" applyAlignment="1">
      <alignment horizontal="center" vertical="center" wrapText="1"/>
    </xf>
    <xf numFmtId="0" fontId="12" fillId="7" borderId="29" xfId="1" applyFont="1" applyFill="1" applyBorder="1" applyAlignment="1">
      <alignment vertical="center"/>
    </xf>
    <xf numFmtId="0" fontId="12" fillId="7" borderId="29" xfId="1" applyFont="1" applyFill="1" applyBorder="1" applyAlignment="1">
      <alignment horizontal="left" vertical="center" wrapText="1"/>
    </xf>
    <xf numFmtId="0" fontId="12" fillId="7" borderId="29" xfId="1" applyFont="1" applyFill="1" applyBorder="1" applyAlignment="1">
      <alignment horizontal="center" vertical="center"/>
    </xf>
    <xf numFmtId="0" fontId="11" fillId="7" borderId="29" xfId="1" applyNumberFormat="1" applyFont="1" applyFill="1" applyBorder="1" applyAlignment="1">
      <alignment horizontal="center" vertical="center" wrapText="1"/>
    </xf>
    <xf numFmtId="0" fontId="11" fillId="7" borderId="29" xfId="1" applyFont="1" applyFill="1" applyBorder="1" applyAlignment="1">
      <alignment horizontal="center" vertical="center"/>
    </xf>
    <xf numFmtId="0" fontId="32" fillId="7" borderId="29" xfId="1" applyFont="1" applyFill="1" applyBorder="1" applyAlignment="1" applyProtection="1">
      <alignment horizontal="center"/>
      <protection locked="0"/>
    </xf>
    <xf numFmtId="2" fontId="12" fillId="7" borderId="29" xfId="1" applyNumberFormat="1" applyFont="1" applyFill="1" applyBorder="1" applyAlignment="1">
      <alignment horizontal="center" vertical="center" wrapText="1"/>
    </xf>
    <xf numFmtId="2" fontId="31" fillId="7" borderId="29" xfId="1" applyNumberFormat="1" applyFont="1" applyFill="1" applyBorder="1" applyAlignment="1">
      <alignment horizontal="center" vertical="top" wrapText="1"/>
    </xf>
    <xf numFmtId="10" fontId="12" fillId="7" borderId="3" xfId="1" applyNumberFormat="1" applyFont="1" applyFill="1" applyBorder="1" applyAlignment="1">
      <alignment horizontal="center" vertical="center" wrapText="1"/>
    </xf>
    <xf numFmtId="2" fontId="12" fillId="7" borderId="3" xfId="1" applyNumberFormat="1" applyFont="1" applyFill="1" applyBorder="1" applyAlignment="1">
      <alignment horizontal="center" vertical="center" wrapText="1"/>
    </xf>
    <xf numFmtId="2" fontId="38" fillId="7" borderId="29" xfId="1" applyNumberFormat="1" applyFont="1" applyFill="1" applyBorder="1" applyAlignment="1">
      <alignment horizontal="center" vertical="center" wrapText="1"/>
    </xf>
    <xf numFmtId="10" fontId="12" fillId="7" borderId="29" xfId="1" applyNumberFormat="1" applyFont="1" applyFill="1" applyBorder="1" applyAlignment="1">
      <alignment horizontal="center" vertical="center" wrapText="1"/>
    </xf>
    <xf numFmtId="2" fontId="11" fillId="7" borderId="1" xfId="1" applyNumberFormat="1" applyFont="1" applyFill="1" applyBorder="1" applyAlignment="1">
      <alignment horizontal="center" vertical="center" wrapText="1"/>
    </xf>
    <xf numFmtId="2" fontId="29" fillId="7" borderId="29" xfId="1" applyNumberFormat="1" applyFont="1" applyFill="1" applyBorder="1" applyAlignment="1">
      <alignment horizontal="center" vertical="center" wrapText="1"/>
    </xf>
    <xf numFmtId="2" fontId="12" fillId="8" borderId="3" xfId="3" applyNumberFormat="1" applyFont="1" applyFill="1" applyBorder="1" applyAlignment="1" applyProtection="1">
      <alignment horizontal="center" vertical="center" wrapText="1"/>
    </xf>
    <xf numFmtId="2" fontId="56" fillId="7" borderId="29" xfId="1" applyNumberFormat="1" applyFont="1" applyFill="1" applyBorder="1" applyAlignment="1">
      <alignment horizontal="center" vertical="center" wrapText="1"/>
    </xf>
    <xf numFmtId="9" fontId="12" fillId="7" borderId="29" xfId="1" applyNumberFormat="1" applyFont="1" applyFill="1" applyBorder="1" applyAlignment="1">
      <alignment horizontal="center" vertical="center" wrapText="1"/>
    </xf>
    <xf numFmtId="49" fontId="7" fillId="7" borderId="1" xfId="1" applyNumberFormat="1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0" fontId="7" fillId="8" borderId="1" xfId="3" applyNumberFormat="1" applyFont="1" applyFill="1" applyBorder="1" applyAlignment="1" applyProtection="1">
      <alignment horizontal="center" vertical="center" wrapText="1"/>
    </xf>
    <xf numFmtId="0" fontId="5" fillId="7" borderId="12" xfId="1" applyFont="1" applyFill="1" applyBorder="1" applyAlignment="1">
      <alignment horizontal="center" vertical="center" wrapText="1"/>
    </xf>
    <xf numFmtId="2" fontId="7" fillId="21" borderId="1" xfId="1" applyNumberFormat="1" applyFont="1" applyFill="1" applyBorder="1" applyAlignment="1">
      <alignment horizontal="center" vertical="center" wrapText="1"/>
    </xf>
    <xf numFmtId="0" fontId="7" fillId="21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2" fillId="7" borderId="8" xfId="1" applyFont="1" applyFill="1" applyBorder="1" applyAlignment="1">
      <alignment horizontal="center" vertical="center" wrapText="1"/>
    </xf>
    <xf numFmtId="0" fontId="12" fillId="7" borderId="1" xfId="1" applyNumberFormat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vertical="center" wrapText="1"/>
    </xf>
    <xf numFmtId="10" fontId="12" fillId="7" borderId="7" xfId="1" applyNumberFormat="1" applyFont="1" applyFill="1" applyBorder="1" applyAlignment="1">
      <alignment horizontal="center" vertical="center" wrapText="1"/>
    </xf>
    <xf numFmtId="14" fontId="12" fillId="7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30" fillId="11" borderId="1" xfId="1" applyFont="1" applyFill="1" applyBorder="1" applyAlignment="1">
      <alignment horizontal="center" vertical="center" wrapText="1"/>
    </xf>
    <xf numFmtId="0" fontId="2" fillId="22" borderId="0" xfId="1" applyFont="1" applyFill="1" applyBorder="1" applyAlignment="1">
      <alignment vertical="center" wrapText="1"/>
    </xf>
    <xf numFmtId="0" fontId="2" fillId="22" borderId="0" xfId="1" applyFont="1" applyFill="1" applyAlignment="1">
      <alignment vertical="center" wrapText="1"/>
    </xf>
    <xf numFmtId="2" fontId="5" fillId="22" borderId="1" xfId="1" applyNumberFormat="1" applyFont="1" applyFill="1" applyBorder="1" applyAlignment="1">
      <alignment horizontal="center" vertical="center" wrapText="1"/>
    </xf>
    <xf numFmtId="2" fontId="5" fillId="22" borderId="12" xfId="1" applyNumberFormat="1" applyFont="1" applyFill="1" applyBorder="1" applyAlignment="1">
      <alignment horizontal="center" vertical="center" wrapText="1"/>
    </xf>
    <xf numFmtId="2" fontId="56" fillId="2" borderId="12" xfId="1" applyNumberFormat="1" applyFont="1" applyFill="1" applyBorder="1" applyAlignment="1">
      <alignment horizontal="center" vertical="center" wrapText="1"/>
    </xf>
    <xf numFmtId="0" fontId="12" fillId="15" borderId="12" xfId="1" applyFont="1" applyFill="1" applyBorder="1" applyAlignment="1">
      <alignment horizontal="center" vertical="center" wrapText="1"/>
    </xf>
    <xf numFmtId="0" fontId="11" fillId="16" borderId="10" xfId="3" applyNumberFormat="1" applyFont="1" applyFill="1" applyBorder="1" applyAlignment="1" applyProtection="1">
      <alignment horizontal="left" vertical="center" wrapText="1"/>
    </xf>
    <xf numFmtId="0" fontId="12" fillId="15" borderId="12" xfId="2" applyFont="1" applyFill="1" applyBorder="1" applyAlignment="1">
      <alignment horizontal="left" vertical="center"/>
    </xf>
    <xf numFmtId="0" fontId="12" fillId="16" borderId="12" xfId="3" applyNumberFormat="1" applyFont="1" applyFill="1" applyBorder="1" applyAlignment="1" applyProtection="1">
      <alignment horizontal="center" vertical="center" wrapText="1"/>
    </xf>
    <xf numFmtId="0" fontId="13" fillId="16" borderId="12" xfId="3" applyNumberFormat="1" applyFont="1" applyFill="1" applyBorder="1" applyAlignment="1" applyProtection="1">
      <alignment horizontal="center" vertical="center" wrapText="1"/>
    </xf>
    <xf numFmtId="0" fontId="11" fillId="16" borderId="12" xfId="3" applyNumberFormat="1" applyFont="1" applyFill="1" applyBorder="1" applyAlignment="1" applyProtection="1">
      <alignment horizontal="center" vertical="center" wrapText="1"/>
    </xf>
    <xf numFmtId="0" fontId="12" fillId="15" borderId="1" xfId="1" applyFont="1" applyFill="1" applyBorder="1" applyAlignment="1">
      <alignment horizontal="center" vertical="center"/>
    </xf>
    <xf numFmtId="0" fontId="12" fillId="15" borderId="1" xfId="1" applyFont="1" applyFill="1" applyBorder="1" applyAlignment="1" applyProtection="1">
      <alignment horizontal="center"/>
      <protection locked="0"/>
    </xf>
    <xf numFmtId="2" fontId="12" fillId="15" borderId="1" xfId="1" applyNumberFormat="1" applyFont="1" applyFill="1" applyBorder="1" applyAlignment="1">
      <alignment horizontal="center" vertical="center" wrapText="1"/>
    </xf>
    <xf numFmtId="2" fontId="33" fillId="16" borderId="12" xfId="3" applyNumberFormat="1" applyFont="1" applyFill="1" applyBorder="1" applyAlignment="1" applyProtection="1">
      <alignment horizontal="center" vertical="center" wrapText="1"/>
    </xf>
    <xf numFmtId="2" fontId="12" fillId="16" borderId="12" xfId="3" applyNumberFormat="1" applyFont="1" applyFill="1" applyBorder="1" applyAlignment="1" applyProtection="1">
      <alignment horizontal="center" vertical="center" wrapText="1"/>
    </xf>
    <xf numFmtId="0" fontId="32" fillId="15" borderId="12" xfId="1" applyFont="1" applyFill="1" applyBorder="1" applyAlignment="1" applyProtection="1">
      <alignment horizontal="center"/>
      <protection locked="0"/>
    </xf>
    <xf numFmtId="10" fontId="12" fillId="16" borderId="1" xfId="3" applyNumberFormat="1" applyFont="1" applyFill="1" applyBorder="1" applyAlignment="1" applyProtection="1">
      <alignment horizontal="center" vertical="center" wrapText="1"/>
    </xf>
    <xf numFmtId="2" fontId="12" fillId="16" borderId="1" xfId="3" applyNumberFormat="1" applyFont="1" applyFill="1" applyBorder="1" applyAlignment="1" applyProtection="1">
      <alignment horizontal="center" vertical="center" wrapText="1"/>
    </xf>
    <xf numFmtId="10" fontId="5" fillId="16" borderId="12" xfId="3" applyNumberFormat="1" applyFont="1" applyFill="1" applyBorder="1" applyAlignment="1" applyProtection="1">
      <alignment horizontal="center" vertical="center" wrapText="1"/>
    </xf>
    <xf numFmtId="2" fontId="12" fillId="15" borderId="12" xfId="1" applyNumberFormat="1" applyFont="1" applyFill="1" applyBorder="1" applyAlignment="1">
      <alignment horizontal="center" vertical="center" wrapText="1"/>
    </xf>
    <xf numFmtId="2" fontId="30" fillId="15" borderId="1" xfId="1" applyNumberFormat="1" applyFont="1" applyFill="1" applyBorder="1" applyAlignment="1">
      <alignment horizontal="center" vertical="center" wrapText="1"/>
    </xf>
    <xf numFmtId="2" fontId="5" fillId="15" borderId="12" xfId="1" applyNumberFormat="1" applyFont="1" applyFill="1" applyBorder="1" applyAlignment="1">
      <alignment horizontal="center" vertical="center" wrapText="1"/>
    </xf>
    <xf numFmtId="0" fontId="12" fillId="16" borderId="1" xfId="3" applyNumberFormat="1" applyFont="1" applyFill="1" applyBorder="1" applyAlignment="1" applyProtection="1">
      <alignment vertical="center" wrapText="1"/>
    </xf>
    <xf numFmtId="0" fontId="12" fillId="15" borderId="1" xfId="2" applyFont="1" applyFill="1" applyBorder="1" applyAlignment="1">
      <alignment horizontal="left" vertical="center"/>
    </xf>
    <xf numFmtId="0" fontId="12" fillId="16" borderId="1" xfId="3" applyNumberFormat="1" applyFont="1" applyFill="1" applyBorder="1" applyAlignment="1" applyProtection="1">
      <alignment horizontal="center" vertical="center" wrapText="1"/>
    </xf>
    <xf numFmtId="0" fontId="13" fillId="16" borderId="1" xfId="3" applyNumberFormat="1" applyFont="1" applyFill="1" applyBorder="1" applyAlignment="1" applyProtection="1">
      <alignment horizontal="center" vertical="center" wrapText="1"/>
    </xf>
    <xf numFmtId="0" fontId="11" fillId="16" borderId="1" xfId="3" applyNumberFormat="1" applyFont="1" applyFill="1" applyBorder="1" applyAlignment="1" applyProtection="1">
      <alignment horizontal="center" vertical="center" wrapText="1"/>
    </xf>
    <xf numFmtId="0" fontId="11" fillId="16" borderId="1" xfId="3" applyNumberFormat="1" applyFont="1" applyFill="1" applyBorder="1" applyAlignment="1" applyProtection="1">
      <alignment horizontal="center"/>
      <protection locked="0"/>
    </xf>
    <xf numFmtId="2" fontId="33" fillId="16" borderId="1" xfId="3" applyNumberFormat="1" applyFont="1" applyFill="1" applyBorder="1" applyAlignment="1" applyProtection="1">
      <alignment horizontal="center" vertical="center" wrapText="1"/>
    </xf>
    <xf numFmtId="0" fontId="11" fillId="15" borderId="1" xfId="1" applyFont="1" applyFill="1" applyBorder="1" applyAlignment="1" applyProtection="1">
      <alignment horizontal="center"/>
      <protection locked="0"/>
    </xf>
    <xf numFmtId="2" fontId="30" fillId="16" borderId="1" xfId="3" applyNumberFormat="1" applyFont="1" applyFill="1" applyBorder="1" applyAlignment="1" applyProtection="1">
      <alignment horizontal="center" vertical="center" wrapText="1"/>
    </xf>
    <xf numFmtId="2" fontId="30" fillId="16" borderId="12" xfId="3" applyNumberFormat="1" applyFont="1" applyFill="1" applyBorder="1" applyAlignment="1" applyProtection="1">
      <alignment horizontal="center" vertical="center" wrapText="1"/>
    </xf>
    <xf numFmtId="0" fontId="32" fillId="15" borderId="1" xfId="1" applyFont="1" applyFill="1" applyBorder="1" applyAlignment="1" applyProtection="1">
      <alignment horizontal="center"/>
      <protection locked="0"/>
    </xf>
    <xf numFmtId="0" fontId="12" fillId="16" borderId="1" xfId="3" applyNumberFormat="1" applyFont="1" applyFill="1" applyBorder="1" applyAlignment="1" applyProtection="1">
      <alignment horizontal="left" vertical="center" wrapText="1"/>
    </xf>
    <xf numFmtId="2" fontId="13" fillId="15" borderId="12" xfId="1" applyNumberFormat="1" applyFont="1" applyFill="1" applyBorder="1" applyAlignment="1">
      <alignment horizontal="center" vertical="center" wrapText="1"/>
    </xf>
    <xf numFmtId="0" fontId="30" fillId="16" borderId="12" xfId="3" applyNumberFormat="1" applyFont="1" applyFill="1" applyBorder="1" applyAlignment="1" applyProtection="1">
      <alignment horizontal="center" vertical="center" wrapText="1"/>
    </xf>
    <xf numFmtId="2" fontId="13" fillId="15" borderId="1" xfId="1" applyNumberFormat="1" applyFont="1" applyFill="1" applyBorder="1" applyAlignment="1">
      <alignment horizontal="center" vertical="center" wrapText="1"/>
    </xf>
    <xf numFmtId="0" fontId="30" fillId="16" borderId="1" xfId="3" applyNumberFormat="1" applyFont="1" applyFill="1" applyBorder="1" applyAlignment="1" applyProtection="1">
      <alignment horizontal="center" vertical="center" wrapText="1"/>
    </xf>
    <xf numFmtId="0" fontId="11" fillId="16" borderId="1" xfId="1" applyFont="1" applyFill="1" applyBorder="1" applyAlignment="1">
      <alignment horizontal="center" vertical="center" wrapText="1"/>
    </xf>
    <xf numFmtId="0" fontId="12" fillId="16" borderId="1" xfId="1" applyFont="1" applyFill="1" applyBorder="1" applyAlignment="1">
      <alignment vertical="center" wrapText="1"/>
    </xf>
    <xf numFmtId="0" fontId="13" fillId="16" borderId="4" xfId="1" applyFont="1" applyFill="1" applyBorder="1" applyAlignment="1">
      <alignment horizontal="center" vertical="center" wrapText="1"/>
    </xf>
    <xf numFmtId="0" fontId="13" fillId="16" borderId="1" xfId="1" applyFont="1" applyFill="1" applyBorder="1" applyAlignment="1">
      <alignment horizontal="center" vertical="center" wrapText="1"/>
    </xf>
    <xf numFmtId="0" fontId="13" fillId="23" borderId="1" xfId="3" applyNumberFormat="1" applyFont="1" applyFill="1" applyBorder="1" applyAlignment="1" applyProtection="1">
      <alignment horizontal="center" vertical="center" wrapText="1"/>
    </xf>
    <xf numFmtId="0" fontId="12" fillId="15" borderId="1" xfId="1" applyFont="1" applyFill="1" applyBorder="1" applyAlignment="1">
      <alignment horizontal="left" vertical="center" wrapText="1"/>
    </xf>
    <xf numFmtId="49" fontId="13" fillId="15" borderId="1" xfId="1" applyNumberFormat="1" applyFont="1" applyFill="1" applyBorder="1" applyAlignment="1">
      <alignment horizontal="center" vertical="center" wrapText="1"/>
    </xf>
    <xf numFmtId="0" fontId="11" fillId="15" borderId="1" xfId="1" applyNumberFormat="1" applyFont="1" applyFill="1" applyBorder="1" applyAlignment="1">
      <alignment horizontal="center" vertical="center" wrapText="1"/>
    </xf>
    <xf numFmtId="0" fontId="11" fillId="15" borderId="1" xfId="1" applyFont="1" applyFill="1" applyBorder="1" applyAlignment="1">
      <alignment horizontal="center" vertical="center"/>
    </xf>
    <xf numFmtId="2" fontId="31" fillId="15" borderId="1" xfId="1" applyNumberFormat="1" applyFont="1" applyFill="1" applyBorder="1" applyAlignment="1">
      <alignment horizontal="center" vertical="top" wrapText="1"/>
    </xf>
    <xf numFmtId="2" fontId="34" fillId="15" borderId="1" xfId="1" applyNumberFormat="1" applyFont="1" applyFill="1" applyBorder="1" applyAlignment="1">
      <alignment horizontal="center" vertical="center" wrapText="1"/>
    </xf>
    <xf numFmtId="10" fontId="12" fillId="15" borderId="1" xfId="1" applyNumberFormat="1" applyFont="1" applyFill="1" applyBorder="1" applyAlignment="1">
      <alignment horizontal="center" vertical="center" wrapText="1"/>
    </xf>
    <xf numFmtId="2" fontId="38" fillId="15" borderId="1" xfId="1" applyNumberFormat="1" applyFont="1" applyFill="1" applyBorder="1" applyAlignment="1">
      <alignment horizontal="center" vertical="center" wrapText="1"/>
    </xf>
    <xf numFmtId="2" fontId="29" fillId="15" borderId="1" xfId="1" applyNumberFormat="1" applyFont="1" applyFill="1" applyBorder="1" applyAlignment="1">
      <alignment horizontal="center" vertical="center" wrapText="1"/>
    </xf>
    <xf numFmtId="2" fontId="56" fillId="15" borderId="1" xfId="1" applyNumberFormat="1" applyFont="1" applyFill="1" applyBorder="1" applyAlignment="1">
      <alignment horizontal="center" vertical="center" wrapText="1"/>
    </xf>
    <xf numFmtId="9" fontId="12" fillId="15" borderId="1" xfId="1" applyNumberFormat="1" applyFont="1" applyFill="1" applyBorder="1" applyAlignment="1">
      <alignment horizontal="center" vertical="center" wrapText="1"/>
    </xf>
    <xf numFmtId="2" fontId="30" fillId="15" borderId="4" xfId="1" applyNumberFormat="1" applyFont="1" applyFill="1" applyBorder="1" applyAlignment="1">
      <alignment horizontal="center" vertical="center" wrapText="1"/>
    </xf>
    <xf numFmtId="0" fontId="12" fillId="15" borderId="4" xfId="1" applyFont="1" applyFill="1" applyBorder="1" applyAlignment="1">
      <alignment horizontal="center" vertical="center" wrapText="1"/>
    </xf>
    <xf numFmtId="0" fontId="28" fillId="15" borderId="1" xfId="1" applyFont="1" applyFill="1" applyBorder="1" applyAlignment="1" applyProtection="1">
      <alignment horizontal="center"/>
      <protection locked="0"/>
    </xf>
    <xf numFmtId="0" fontId="62" fillId="15" borderId="1" xfId="1" applyFont="1" applyFill="1" applyBorder="1" applyAlignment="1" applyProtection="1">
      <alignment horizontal="center"/>
      <protection locked="0"/>
    </xf>
    <xf numFmtId="2" fontId="29" fillId="15" borderId="29" xfId="1" applyNumberFormat="1" applyFont="1" applyFill="1" applyBorder="1" applyAlignment="1">
      <alignment horizontal="center" vertical="center" wrapText="1"/>
    </xf>
    <xf numFmtId="2" fontId="56" fillId="15" borderId="3" xfId="1" applyNumberFormat="1" applyFont="1" applyFill="1" applyBorder="1" applyAlignment="1">
      <alignment horizontal="center" vertical="center" wrapText="1"/>
    </xf>
    <xf numFmtId="2" fontId="12" fillId="16" borderId="3" xfId="3" applyNumberFormat="1" applyFont="1" applyFill="1" applyBorder="1" applyAlignment="1" applyProtection="1">
      <alignment horizontal="center" vertical="center" wrapText="1"/>
    </xf>
    <xf numFmtId="10" fontId="12" fillId="15" borderId="3" xfId="1" applyNumberFormat="1" applyFont="1" applyFill="1" applyBorder="1" applyAlignment="1">
      <alignment horizontal="center" vertical="center" wrapText="1"/>
    </xf>
    <xf numFmtId="2" fontId="12" fillId="15" borderId="3" xfId="1" applyNumberFormat="1" applyFont="1" applyFill="1" applyBorder="1" applyAlignment="1">
      <alignment horizontal="center" vertical="center" wrapText="1"/>
    </xf>
    <xf numFmtId="9" fontId="12" fillId="15" borderId="3" xfId="1" applyNumberFormat="1" applyFont="1" applyFill="1" applyBorder="1" applyAlignment="1">
      <alignment horizontal="center" vertical="center" wrapText="1"/>
    </xf>
    <xf numFmtId="0" fontId="12" fillId="15" borderId="1" xfId="1" applyFont="1" applyFill="1" applyBorder="1" applyAlignment="1" applyProtection="1">
      <alignment horizontal="center" vertical="center"/>
      <protection locked="0"/>
    </xf>
    <xf numFmtId="0" fontId="38" fillId="15" borderId="1" xfId="1" applyFont="1" applyFill="1" applyBorder="1" applyAlignment="1" applyProtection="1">
      <alignment horizontal="center"/>
      <protection locked="0"/>
    </xf>
    <xf numFmtId="0" fontId="12" fillId="15" borderId="1" xfId="1" applyFont="1" applyFill="1" applyBorder="1" applyAlignment="1">
      <alignment horizontal="left"/>
    </xf>
    <xf numFmtId="0" fontId="12" fillId="15" borderId="4" xfId="1" applyFont="1" applyFill="1" applyBorder="1" applyAlignment="1">
      <alignment horizontal="center" vertical="center"/>
    </xf>
    <xf numFmtId="0" fontId="28" fillId="15" borderId="4" xfId="1" applyFont="1" applyFill="1" applyBorder="1" applyAlignment="1" applyProtection="1">
      <alignment horizontal="center"/>
      <protection locked="0"/>
    </xf>
    <xf numFmtId="0" fontId="12" fillId="15" borderId="1" xfId="2" applyFont="1" applyFill="1" applyBorder="1" applyAlignment="1">
      <alignment horizontal="center" vertical="center"/>
    </xf>
    <xf numFmtId="0" fontId="13" fillId="15" borderId="1" xfId="2" applyFont="1" applyFill="1" applyBorder="1" applyAlignment="1">
      <alignment horizontal="center" vertical="center"/>
    </xf>
    <xf numFmtId="0" fontId="28" fillId="15" borderId="1" xfId="1" applyNumberFormat="1" applyFont="1" applyFill="1" applyBorder="1" applyAlignment="1" applyProtection="1">
      <alignment horizontal="center" vertical="center"/>
      <protection locked="0"/>
    </xf>
    <xf numFmtId="2" fontId="31" fillId="15" borderId="3" xfId="1" applyNumberFormat="1" applyFont="1" applyFill="1" applyBorder="1" applyAlignment="1">
      <alignment horizontal="center" vertical="top" wrapText="1"/>
    </xf>
    <xf numFmtId="2" fontId="38" fillId="15" borderId="3" xfId="1" applyNumberFormat="1" applyFont="1" applyFill="1" applyBorder="1" applyAlignment="1">
      <alignment horizontal="center" vertical="center" wrapText="1"/>
    </xf>
    <xf numFmtId="2" fontId="7" fillId="15" borderId="34" xfId="1" applyNumberFormat="1" applyFont="1" applyFill="1" applyBorder="1" applyAlignment="1">
      <alignment horizontal="center" vertical="center" wrapText="1"/>
    </xf>
    <xf numFmtId="0" fontId="12" fillId="15" borderId="4" xfId="1" applyFont="1" applyFill="1" applyBorder="1" applyAlignment="1">
      <alignment vertical="center"/>
    </xf>
    <xf numFmtId="0" fontId="12" fillId="15" borderId="4" xfId="1" applyFont="1" applyFill="1" applyBorder="1" applyAlignment="1">
      <alignment horizontal="left" vertical="center" wrapText="1"/>
    </xf>
    <xf numFmtId="0" fontId="13" fillId="15" borderId="4" xfId="1" applyFont="1" applyFill="1" applyBorder="1" applyAlignment="1">
      <alignment horizontal="center" vertical="center" wrapText="1"/>
    </xf>
    <xf numFmtId="2" fontId="12" fillId="15" borderId="4" xfId="1" applyNumberFormat="1" applyFont="1" applyFill="1" applyBorder="1" applyAlignment="1">
      <alignment horizontal="center" vertical="center" wrapText="1"/>
    </xf>
    <xf numFmtId="2" fontId="13" fillId="15" borderId="4" xfId="1" applyNumberFormat="1" applyFont="1" applyFill="1" applyBorder="1" applyAlignment="1">
      <alignment horizontal="center" vertical="center" wrapText="1"/>
    </xf>
    <xf numFmtId="0" fontId="56" fillId="15" borderId="4" xfId="1" applyFont="1" applyFill="1" applyBorder="1" applyAlignment="1">
      <alignment horizontal="center" vertical="center" wrapText="1"/>
    </xf>
    <xf numFmtId="10" fontId="12" fillId="15" borderId="4" xfId="1" applyNumberFormat="1" applyFont="1" applyFill="1" applyBorder="1" applyAlignment="1">
      <alignment horizontal="center" vertical="center" wrapText="1"/>
    </xf>
    <xf numFmtId="9" fontId="12" fillId="15" borderId="4" xfId="1" applyNumberFormat="1" applyFont="1" applyFill="1" applyBorder="1" applyAlignment="1">
      <alignment horizontal="center" vertical="center" wrapText="1"/>
    </xf>
    <xf numFmtId="0" fontId="12" fillId="15" borderId="4" xfId="1" applyFont="1" applyFill="1" applyBorder="1" applyAlignment="1" applyProtection="1">
      <alignment horizontal="center" vertical="center"/>
      <protection locked="0"/>
    </xf>
    <xf numFmtId="2" fontId="56" fillId="15" borderId="4" xfId="1" applyNumberFormat="1" applyFont="1" applyFill="1" applyBorder="1" applyAlignment="1">
      <alignment horizontal="center" vertical="center" wrapText="1"/>
    </xf>
    <xf numFmtId="0" fontId="12" fillId="15" borderId="12" xfId="1" applyFont="1" applyFill="1" applyBorder="1" applyAlignment="1">
      <alignment vertical="center"/>
    </xf>
    <xf numFmtId="0" fontId="12" fillId="15" borderId="12" xfId="1" applyFont="1" applyFill="1" applyBorder="1" applyAlignment="1">
      <alignment horizontal="left" vertical="center" wrapText="1"/>
    </xf>
    <xf numFmtId="49" fontId="13" fillId="15" borderId="12" xfId="1" applyNumberFormat="1" applyFont="1" applyFill="1" applyBorder="1" applyAlignment="1">
      <alignment horizontal="center" vertical="center" wrapText="1"/>
    </xf>
    <xf numFmtId="0" fontId="12" fillId="15" borderId="12" xfId="1" applyFont="1" applyFill="1" applyBorder="1" applyAlignment="1">
      <alignment horizontal="center" vertical="center"/>
    </xf>
    <xf numFmtId="0" fontId="12" fillId="15" borderId="12" xfId="1" applyFont="1" applyFill="1" applyBorder="1" applyAlignment="1" applyProtection="1">
      <alignment horizontal="center"/>
      <protection locked="0"/>
    </xf>
    <xf numFmtId="2" fontId="29" fillId="15" borderId="12" xfId="1" applyNumberFormat="1" applyFont="1" applyFill="1" applyBorder="1" applyAlignment="1">
      <alignment horizontal="center" vertical="center" wrapText="1"/>
    </xf>
    <xf numFmtId="165" fontId="30" fillId="15" borderId="4" xfId="2" applyNumberFormat="1" applyFont="1" applyFill="1" applyBorder="1" applyAlignment="1">
      <alignment horizontal="center" vertical="center"/>
    </xf>
    <xf numFmtId="0" fontId="30" fillId="15" borderId="1" xfId="2" applyFont="1" applyFill="1" applyBorder="1" applyAlignment="1">
      <alignment horizontal="center" vertical="center"/>
    </xf>
    <xf numFmtId="0" fontId="12" fillId="15" borderId="1" xfId="1" applyNumberFormat="1" applyFont="1" applyFill="1" applyBorder="1" applyAlignment="1" applyProtection="1">
      <alignment horizontal="center" vertical="center"/>
      <protection locked="0"/>
    </xf>
    <xf numFmtId="10" fontId="12" fillId="15" borderId="12" xfId="1" applyNumberFormat="1" applyFont="1" applyFill="1" applyBorder="1" applyAlignment="1">
      <alignment horizontal="center" vertical="center" wrapText="1"/>
    </xf>
    <xf numFmtId="0" fontId="30" fillId="15" borderId="1" xfId="2" applyFont="1" applyFill="1" applyBorder="1" applyAlignment="1">
      <alignment horizontal="center" vertical="center" wrapText="1"/>
    </xf>
    <xf numFmtId="0" fontId="63" fillId="15" borderId="1" xfId="1" applyFont="1" applyFill="1" applyBorder="1" applyAlignment="1" applyProtection="1">
      <alignment horizontal="center"/>
      <protection locked="0"/>
    </xf>
    <xf numFmtId="0" fontId="13" fillId="15" borderId="12" xfId="2" applyFont="1" applyFill="1" applyBorder="1" applyAlignment="1">
      <alignment horizontal="center" vertical="center"/>
    </xf>
    <xf numFmtId="0" fontId="30" fillId="15" borderId="12" xfId="2" applyFont="1" applyFill="1" applyBorder="1" applyAlignment="1">
      <alignment horizontal="center" vertical="center" wrapText="1"/>
    </xf>
    <xf numFmtId="0" fontId="12" fillId="24" borderId="4" xfId="1" applyFont="1" applyFill="1" applyBorder="1" applyAlignment="1">
      <alignment horizontal="center" vertical="center" wrapText="1"/>
    </xf>
    <xf numFmtId="2" fontId="12" fillId="24" borderId="4" xfId="1" applyNumberFormat="1" applyFont="1" applyFill="1" applyBorder="1" applyAlignment="1">
      <alignment horizontal="center" vertical="center" wrapText="1"/>
    </xf>
    <xf numFmtId="165" fontId="30" fillId="24" borderId="4" xfId="2" applyNumberFormat="1" applyFont="1" applyFill="1" applyBorder="1" applyAlignment="1">
      <alignment horizontal="center" vertical="center"/>
    </xf>
    <xf numFmtId="2" fontId="12" fillId="25" borderId="4" xfId="3" applyNumberFormat="1" applyFont="1" applyFill="1" applyBorder="1" applyAlignment="1" applyProtection="1">
      <alignment horizontal="center" vertical="center" wrapText="1"/>
    </xf>
    <xf numFmtId="2" fontId="30" fillId="24" borderId="4" xfId="1" applyNumberFormat="1" applyFont="1" applyFill="1" applyBorder="1" applyAlignment="1">
      <alignment horizontal="center" vertical="center" wrapText="1"/>
    </xf>
    <xf numFmtId="0" fontId="12" fillId="24" borderId="12" xfId="2" applyFont="1" applyFill="1" applyBorder="1" applyAlignment="1">
      <alignment horizontal="left" vertical="center"/>
    </xf>
    <xf numFmtId="0" fontId="13" fillId="24" borderId="12" xfId="2" applyFont="1" applyFill="1" applyBorder="1" applyAlignment="1">
      <alignment horizontal="center" vertical="center"/>
    </xf>
    <xf numFmtId="10" fontId="12" fillId="24" borderId="12" xfId="1" applyNumberFormat="1" applyFont="1" applyFill="1" applyBorder="1" applyAlignment="1">
      <alignment horizontal="center" vertical="center" wrapText="1"/>
    </xf>
    <xf numFmtId="2" fontId="12" fillId="24" borderId="12" xfId="1" applyNumberFormat="1" applyFont="1" applyFill="1" applyBorder="1" applyAlignment="1">
      <alignment horizontal="center" vertical="center" wrapText="1"/>
    </xf>
    <xf numFmtId="10" fontId="5" fillId="25" borderId="12" xfId="3" applyNumberFormat="1" applyFont="1" applyFill="1" applyBorder="1" applyAlignment="1" applyProtection="1">
      <alignment horizontal="center" vertical="center" wrapText="1"/>
    </xf>
    <xf numFmtId="10" fontId="5" fillId="27" borderId="1" xfId="3" applyNumberFormat="1" applyFont="1" applyFill="1" applyBorder="1" applyAlignment="1" applyProtection="1">
      <alignment horizontal="center" vertical="center" wrapText="1"/>
    </xf>
    <xf numFmtId="0" fontId="2" fillId="26" borderId="0" xfId="1" applyFont="1" applyFill="1" applyBorder="1" applyAlignment="1">
      <alignment vertical="center" wrapText="1"/>
    </xf>
    <xf numFmtId="0" fontId="2" fillId="26" borderId="0" xfId="1" applyFont="1" applyFill="1" applyAlignment="1">
      <alignment vertical="center" wrapText="1"/>
    </xf>
    <xf numFmtId="49" fontId="13" fillId="26" borderId="1" xfId="1" applyNumberFormat="1" applyFont="1" applyFill="1" applyBorder="1" applyAlignment="1">
      <alignment horizontal="center" vertical="center" wrapText="1"/>
    </xf>
    <xf numFmtId="0" fontId="12" fillId="26" borderId="1" xfId="1" applyFont="1" applyFill="1" applyBorder="1" applyAlignment="1">
      <alignment horizontal="center" vertical="center" wrapText="1"/>
    </xf>
    <xf numFmtId="2" fontId="7" fillId="26" borderId="1" xfId="1" applyNumberFormat="1" applyFont="1" applyFill="1" applyBorder="1" applyAlignment="1">
      <alignment horizontal="center" vertical="center" wrapText="1"/>
    </xf>
    <xf numFmtId="2" fontId="7" fillId="26" borderId="12" xfId="1" applyNumberFormat="1" applyFont="1" applyFill="1" applyBorder="1" applyAlignment="1">
      <alignment horizontal="center" vertical="center" wrapText="1"/>
    </xf>
    <xf numFmtId="0" fontId="12" fillId="28" borderId="4" xfId="1" applyFont="1" applyFill="1" applyBorder="1" applyAlignment="1">
      <alignment horizontal="center" vertical="center" wrapText="1"/>
    </xf>
    <xf numFmtId="0" fontId="12" fillId="28" borderId="4" xfId="1" applyFont="1" applyFill="1" applyBorder="1" applyAlignment="1">
      <alignment horizontal="center" vertical="center"/>
    </xf>
    <xf numFmtId="2" fontId="12" fillId="28" borderId="4" xfId="1" applyNumberFormat="1" applyFont="1" applyFill="1" applyBorder="1" applyAlignment="1">
      <alignment horizontal="center" vertical="center" wrapText="1"/>
    </xf>
    <xf numFmtId="2" fontId="12" fillId="29" borderId="4" xfId="3" applyNumberFormat="1" applyFont="1" applyFill="1" applyBorder="1" applyAlignment="1" applyProtection="1">
      <alignment horizontal="center" vertical="center" wrapText="1"/>
    </xf>
    <xf numFmtId="10" fontId="12" fillId="28" borderId="4" xfId="1" applyNumberFormat="1" applyFont="1" applyFill="1" applyBorder="1" applyAlignment="1">
      <alignment horizontal="center" vertical="center" wrapText="1"/>
    </xf>
    <xf numFmtId="2" fontId="30" fillId="28" borderId="4" xfId="1" applyNumberFormat="1" applyFont="1" applyFill="1" applyBorder="1" applyAlignment="1">
      <alignment horizontal="center" vertical="center" wrapText="1"/>
    </xf>
    <xf numFmtId="2" fontId="7" fillId="28" borderId="4" xfId="1" applyNumberFormat="1" applyFont="1" applyFill="1" applyBorder="1" applyAlignment="1">
      <alignment horizontal="center" vertical="center" wrapText="1"/>
    </xf>
    <xf numFmtId="0" fontId="2" fillId="28" borderId="0" xfId="1" applyFont="1" applyFill="1" applyBorder="1" applyAlignment="1">
      <alignment vertical="center" wrapText="1"/>
    </xf>
    <xf numFmtId="0" fontId="2" fillId="28" borderId="0" xfId="1" applyFont="1" applyFill="1" applyAlignment="1">
      <alignment vertical="center" wrapText="1"/>
    </xf>
    <xf numFmtId="0" fontId="12" fillId="28" borderId="1" xfId="2" applyFont="1" applyFill="1" applyBorder="1" applyAlignment="1">
      <alignment vertical="center"/>
    </xf>
    <xf numFmtId="0" fontId="12" fillId="28" borderId="1" xfId="2" applyFont="1" applyFill="1" applyBorder="1" applyAlignment="1">
      <alignment horizontal="left" vertical="center"/>
    </xf>
    <xf numFmtId="0" fontId="12" fillId="28" borderId="1" xfId="2" applyFont="1" applyFill="1" applyBorder="1" applyAlignment="1">
      <alignment horizontal="center" vertical="center"/>
    </xf>
    <xf numFmtId="0" fontId="12" fillId="28" borderId="1" xfId="1" applyFont="1" applyFill="1" applyBorder="1" applyAlignment="1">
      <alignment horizontal="center" vertical="center" wrapText="1"/>
    </xf>
    <xf numFmtId="0" fontId="12" fillId="28" borderId="1" xfId="1" applyFont="1" applyFill="1" applyBorder="1" applyAlignment="1">
      <alignment horizontal="center" vertical="center"/>
    </xf>
    <xf numFmtId="2" fontId="12" fillId="28" borderId="1" xfId="1" applyNumberFormat="1" applyFont="1" applyFill="1" applyBorder="1" applyAlignment="1">
      <alignment horizontal="center" vertical="center" wrapText="1"/>
    </xf>
    <xf numFmtId="10" fontId="12" fillId="28" borderId="1" xfId="1" applyNumberFormat="1" applyFont="1" applyFill="1" applyBorder="1" applyAlignment="1">
      <alignment horizontal="center" vertical="center" wrapText="1"/>
    </xf>
    <xf numFmtId="0" fontId="12" fillId="30" borderId="4" xfId="1" applyFont="1" applyFill="1" applyBorder="1" applyAlignment="1">
      <alignment horizontal="center" vertical="center" wrapText="1"/>
    </xf>
    <xf numFmtId="0" fontId="12" fillId="30" borderId="1" xfId="2" applyFont="1" applyFill="1" applyBorder="1" applyAlignment="1">
      <alignment horizontal="left" vertical="center"/>
    </xf>
    <xf numFmtId="0" fontId="12" fillId="30" borderId="1" xfId="2" applyFont="1" applyFill="1" applyBorder="1" applyAlignment="1">
      <alignment horizontal="center" vertical="center"/>
    </xf>
    <xf numFmtId="0" fontId="13" fillId="30" borderId="1" xfId="2" applyFont="1" applyFill="1" applyBorder="1" applyAlignment="1">
      <alignment horizontal="center" vertical="center"/>
    </xf>
    <xf numFmtId="0" fontId="13" fillId="30" borderId="1" xfId="1" applyFont="1" applyFill="1" applyBorder="1" applyAlignment="1">
      <alignment horizontal="center" vertical="center" wrapText="1"/>
    </xf>
    <xf numFmtId="0" fontId="12" fillId="30" borderId="1" xfId="1" applyFont="1" applyFill="1" applyBorder="1" applyAlignment="1">
      <alignment horizontal="center" vertical="center" wrapText="1"/>
    </xf>
    <xf numFmtId="0" fontId="12" fillId="30" borderId="1" xfId="1" applyFont="1" applyFill="1" applyBorder="1" applyAlignment="1">
      <alignment horizontal="center" vertical="center"/>
    </xf>
    <xf numFmtId="0" fontId="28" fillId="30" borderId="1" xfId="1" applyNumberFormat="1" applyFont="1" applyFill="1" applyBorder="1" applyAlignment="1" applyProtection="1">
      <alignment horizontal="center" vertical="center"/>
      <protection locked="0"/>
    </xf>
    <xf numFmtId="2" fontId="12" fillId="30" borderId="1" xfId="1" applyNumberFormat="1" applyFont="1" applyFill="1" applyBorder="1" applyAlignment="1">
      <alignment horizontal="center" vertical="center" wrapText="1"/>
    </xf>
    <xf numFmtId="165" fontId="30" fillId="30" borderId="4" xfId="2" applyNumberFormat="1" applyFont="1" applyFill="1" applyBorder="1" applyAlignment="1">
      <alignment horizontal="center" vertical="center"/>
    </xf>
    <xf numFmtId="2" fontId="12" fillId="30" borderId="4" xfId="1" applyNumberFormat="1" applyFont="1" applyFill="1" applyBorder="1" applyAlignment="1">
      <alignment horizontal="center" vertical="center" wrapText="1"/>
    </xf>
    <xf numFmtId="0" fontId="32" fillId="30" borderId="1" xfId="1" applyFont="1" applyFill="1" applyBorder="1" applyAlignment="1" applyProtection="1">
      <alignment horizontal="center"/>
      <protection locked="0"/>
    </xf>
    <xf numFmtId="0" fontId="30" fillId="30" borderId="1" xfId="2" applyFont="1" applyFill="1" applyBorder="1" applyAlignment="1">
      <alignment horizontal="center" vertical="center"/>
    </xf>
    <xf numFmtId="2" fontId="12" fillId="31" borderId="4" xfId="3" applyNumberFormat="1" applyFont="1" applyFill="1" applyBorder="1" applyAlignment="1" applyProtection="1">
      <alignment horizontal="center" vertical="center" wrapText="1"/>
    </xf>
    <xf numFmtId="10" fontId="12" fillId="30" borderId="1" xfId="1" applyNumberFormat="1" applyFont="1" applyFill="1" applyBorder="1" applyAlignment="1">
      <alignment horizontal="center" vertical="center" wrapText="1"/>
    </xf>
    <xf numFmtId="10" fontId="5" fillId="31" borderId="1" xfId="3" applyNumberFormat="1" applyFont="1" applyFill="1" applyBorder="1" applyAlignment="1" applyProtection="1">
      <alignment horizontal="center" vertical="center" wrapText="1"/>
    </xf>
    <xf numFmtId="2" fontId="30" fillId="30" borderId="4" xfId="1" applyNumberFormat="1" applyFont="1" applyFill="1" applyBorder="1" applyAlignment="1">
      <alignment horizontal="center" vertical="center" wrapText="1"/>
    </xf>
    <xf numFmtId="2" fontId="7" fillId="30" borderId="1" xfId="1" applyNumberFormat="1" applyFont="1" applyFill="1" applyBorder="1" applyAlignment="1">
      <alignment horizontal="center" vertical="center" wrapText="1"/>
    </xf>
    <xf numFmtId="0" fontId="2" fillId="30" borderId="0" xfId="1" applyFont="1" applyFill="1" applyBorder="1" applyAlignment="1">
      <alignment vertical="center" wrapText="1"/>
    </xf>
    <xf numFmtId="0" fontId="2" fillId="30" borderId="0" xfId="1" applyFont="1" applyFill="1" applyAlignment="1">
      <alignment vertical="center" wrapText="1"/>
    </xf>
    <xf numFmtId="0" fontId="63" fillId="30" borderId="1" xfId="1" applyFont="1" applyFill="1" applyBorder="1" applyAlignment="1" applyProtection="1">
      <alignment horizontal="center"/>
      <protection locked="0"/>
    </xf>
    <xf numFmtId="0" fontId="30" fillId="30" borderId="1" xfId="2" applyFont="1" applyFill="1" applyBorder="1" applyAlignment="1">
      <alignment horizontal="center" vertical="center" wrapText="1"/>
    </xf>
    <xf numFmtId="0" fontId="12" fillId="30" borderId="12" xfId="2" applyFont="1" applyFill="1" applyBorder="1" applyAlignment="1">
      <alignment horizontal="left" vertical="center"/>
    </xf>
    <xf numFmtId="0" fontId="12" fillId="30" borderId="12" xfId="1" applyFont="1" applyFill="1" applyBorder="1" applyAlignment="1">
      <alignment horizontal="center" vertical="center"/>
    </xf>
    <xf numFmtId="0" fontId="13" fillId="30" borderId="12" xfId="2" applyFont="1" applyFill="1" applyBorder="1" applyAlignment="1">
      <alignment horizontal="center" vertical="center"/>
    </xf>
    <xf numFmtId="0" fontId="13" fillId="30" borderId="12" xfId="1" applyFont="1" applyFill="1" applyBorder="1" applyAlignment="1">
      <alignment horizontal="center" vertical="center" wrapText="1"/>
    </xf>
    <xf numFmtId="0" fontId="12" fillId="30" borderId="12" xfId="1" applyFont="1" applyFill="1" applyBorder="1" applyAlignment="1">
      <alignment horizontal="center" vertical="center" wrapText="1"/>
    </xf>
    <xf numFmtId="2" fontId="12" fillId="30" borderId="12" xfId="1" applyNumberFormat="1" applyFont="1" applyFill="1" applyBorder="1" applyAlignment="1">
      <alignment horizontal="center" vertical="center" wrapText="1"/>
    </xf>
    <xf numFmtId="0" fontId="63" fillId="30" borderId="12" xfId="1" applyFont="1" applyFill="1" applyBorder="1" applyAlignment="1" applyProtection="1">
      <alignment horizontal="center"/>
      <protection locked="0"/>
    </xf>
    <xf numFmtId="0" fontId="30" fillId="30" borderId="12" xfId="2" applyFont="1" applyFill="1" applyBorder="1" applyAlignment="1">
      <alignment horizontal="center" vertical="center" wrapText="1"/>
    </xf>
    <xf numFmtId="10" fontId="12" fillId="30" borderId="12" xfId="1" applyNumberFormat="1" applyFont="1" applyFill="1" applyBorder="1" applyAlignment="1">
      <alignment horizontal="center" vertical="center" wrapText="1"/>
    </xf>
    <xf numFmtId="10" fontId="5" fillId="31" borderId="12" xfId="3" applyNumberFormat="1" applyFont="1" applyFill="1" applyBorder="1" applyAlignment="1" applyProtection="1">
      <alignment horizontal="center" vertical="center" wrapText="1"/>
    </xf>
    <xf numFmtId="2" fontId="7" fillId="30" borderId="12" xfId="1" applyNumberFormat="1" applyFont="1" applyFill="1" applyBorder="1" applyAlignment="1">
      <alignment horizontal="center" vertical="center" wrapText="1"/>
    </xf>
    <xf numFmtId="0" fontId="12" fillId="30" borderId="1" xfId="2" applyFont="1" applyFill="1" applyBorder="1" applyAlignment="1">
      <alignment vertical="center"/>
    </xf>
    <xf numFmtId="49" fontId="13" fillId="30" borderId="1" xfId="1" applyNumberFormat="1" applyFont="1" applyFill="1" applyBorder="1" applyAlignment="1">
      <alignment horizontal="center" vertical="center" wrapText="1"/>
    </xf>
    <xf numFmtId="0" fontId="32" fillId="30" borderId="12" xfId="1" applyFont="1" applyFill="1" applyBorder="1" applyAlignment="1" applyProtection="1">
      <alignment horizontal="center"/>
      <protection locked="0"/>
    </xf>
    <xf numFmtId="0" fontId="12" fillId="30" borderId="1" xfId="1" applyFont="1" applyFill="1" applyBorder="1" applyAlignment="1">
      <alignment vertical="center"/>
    </xf>
    <xf numFmtId="0" fontId="12" fillId="30" borderId="1" xfId="1" applyFont="1" applyFill="1" applyBorder="1" applyAlignment="1" applyProtection="1">
      <alignment horizontal="center"/>
      <protection locked="0"/>
    </xf>
    <xf numFmtId="2" fontId="56" fillId="30" borderId="1" xfId="1" applyNumberFormat="1" applyFont="1" applyFill="1" applyBorder="1" applyAlignment="1">
      <alignment horizontal="center" vertical="center" wrapText="1"/>
    </xf>
    <xf numFmtId="2" fontId="5" fillId="30" borderId="1" xfId="1" applyNumberFormat="1" applyFont="1" applyFill="1" applyBorder="1" applyAlignment="1">
      <alignment horizontal="center" vertical="center" wrapText="1"/>
    </xf>
    <xf numFmtId="0" fontId="12" fillId="30" borderId="1" xfId="1" applyNumberFormat="1" applyFont="1" applyFill="1" applyBorder="1" applyAlignment="1" applyProtection="1">
      <alignment horizontal="center" vertical="center"/>
      <protection locked="0"/>
    </xf>
    <xf numFmtId="0" fontId="63" fillId="15" borderId="12" xfId="1" applyFont="1" applyFill="1" applyBorder="1" applyAlignment="1" applyProtection="1">
      <alignment horizontal="center"/>
      <protection locked="0"/>
    </xf>
    <xf numFmtId="49" fontId="13" fillId="30" borderId="12" xfId="1" applyNumberFormat="1" applyFont="1" applyFill="1" applyBorder="1" applyAlignment="1">
      <alignment horizontal="center" vertical="center" wrapText="1"/>
    </xf>
    <xf numFmtId="0" fontId="12" fillId="30" borderId="1" xfId="1" applyFont="1" applyFill="1" applyBorder="1" applyAlignment="1" applyProtection="1">
      <alignment horizontal="center" vertical="center"/>
      <protection locked="0"/>
    </xf>
    <xf numFmtId="0" fontId="30" fillId="30" borderId="12" xfId="2" applyFont="1" applyFill="1" applyBorder="1" applyAlignment="1">
      <alignment horizontal="center" vertical="center"/>
    </xf>
    <xf numFmtId="2" fontId="5" fillId="30" borderId="12" xfId="1" applyNumberFormat="1" applyFont="1" applyFill="1" applyBorder="1" applyAlignment="1">
      <alignment horizontal="center" vertical="center" wrapText="1"/>
    </xf>
    <xf numFmtId="0" fontId="12" fillId="30" borderId="12" xfId="2" applyFont="1" applyFill="1" applyBorder="1" applyAlignment="1">
      <alignment vertical="center"/>
    </xf>
    <xf numFmtId="0" fontId="12" fillId="30" borderId="12" xfId="2" applyFont="1" applyFill="1" applyBorder="1" applyAlignment="1">
      <alignment horizontal="center" vertical="center"/>
    </xf>
    <xf numFmtId="0" fontId="12" fillId="30" borderId="4" xfId="2" applyFont="1" applyFill="1" applyBorder="1" applyAlignment="1">
      <alignment vertical="center"/>
    </xf>
    <xf numFmtId="0" fontId="12" fillId="30" borderId="4" xfId="2" applyFont="1" applyFill="1" applyBorder="1" applyAlignment="1">
      <alignment horizontal="left" vertical="center"/>
    </xf>
    <xf numFmtId="0" fontId="12" fillId="30" borderId="4" xfId="2" applyFont="1" applyFill="1" applyBorder="1" applyAlignment="1">
      <alignment horizontal="center" vertical="center"/>
    </xf>
    <xf numFmtId="0" fontId="13" fillId="30" borderId="4" xfId="2" applyFont="1" applyFill="1" applyBorder="1" applyAlignment="1">
      <alignment horizontal="center" vertical="center"/>
    </xf>
    <xf numFmtId="49" fontId="13" fillId="30" borderId="4" xfId="1" applyNumberFormat="1" applyFont="1" applyFill="1" applyBorder="1" applyAlignment="1">
      <alignment horizontal="center" vertical="center" wrapText="1"/>
    </xf>
    <xf numFmtId="0" fontId="12" fillId="30" borderId="4" xfId="1" applyFont="1" applyFill="1" applyBorder="1" applyAlignment="1">
      <alignment horizontal="center" vertical="center"/>
    </xf>
    <xf numFmtId="0" fontId="28" fillId="30" borderId="4" xfId="1" applyNumberFormat="1" applyFont="1" applyFill="1" applyBorder="1" applyAlignment="1" applyProtection="1">
      <alignment horizontal="center" vertical="center"/>
      <protection locked="0"/>
    </xf>
    <xf numFmtId="0" fontId="30" fillId="30" borderId="4" xfId="2" applyFont="1" applyFill="1" applyBorder="1" applyAlignment="1">
      <alignment horizontal="center" vertical="center"/>
    </xf>
    <xf numFmtId="10" fontId="12" fillId="30" borderId="4" xfId="1" applyNumberFormat="1" applyFont="1" applyFill="1" applyBorder="1" applyAlignment="1">
      <alignment horizontal="center" vertical="center" wrapText="1"/>
    </xf>
    <xf numFmtId="2" fontId="7" fillId="30" borderId="4" xfId="1" applyNumberFormat="1" applyFont="1" applyFill="1" applyBorder="1" applyAlignment="1">
      <alignment horizontal="center" vertical="center" wrapText="1"/>
    </xf>
    <xf numFmtId="0" fontId="13" fillId="15" borderId="12" xfId="1" applyFont="1" applyFill="1" applyBorder="1" applyAlignment="1">
      <alignment horizontal="center" vertical="center" wrapText="1"/>
    </xf>
    <xf numFmtId="0" fontId="2" fillId="32" borderId="0" xfId="1" applyFont="1" applyFill="1" applyBorder="1" applyAlignment="1">
      <alignment vertical="center" wrapText="1"/>
    </xf>
    <xf numFmtId="0" fontId="2" fillId="32" borderId="0" xfId="1" applyFont="1" applyFill="1" applyAlignment="1">
      <alignment vertical="center" wrapText="1"/>
    </xf>
    <xf numFmtId="2" fontId="5" fillId="32" borderId="12" xfId="1" applyNumberFormat="1" applyFont="1" applyFill="1" applyBorder="1" applyAlignment="1">
      <alignment horizontal="center" vertical="center" wrapText="1"/>
    </xf>
    <xf numFmtId="0" fontId="12" fillId="24" borderId="12" xfId="1" applyFont="1" applyFill="1" applyBorder="1" applyAlignment="1">
      <alignment horizontal="center" vertical="center"/>
    </xf>
    <xf numFmtId="0" fontId="13" fillId="24" borderId="12" xfId="1" applyFont="1" applyFill="1" applyBorder="1" applyAlignment="1">
      <alignment horizontal="center" vertical="center" wrapText="1"/>
    </xf>
    <xf numFmtId="0" fontId="12" fillId="24" borderId="12" xfId="1" applyFont="1" applyFill="1" applyBorder="1" applyAlignment="1">
      <alignment horizontal="center" vertical="center" wrapText="1"/>
    </xf>
    <xf numFmtId="0" fontId="12" fillId="24" borderId="12" xfId="1" applyNumberFormat="1" applyFont="1" applyFill="1" applyBorder="1" applyAlignment="1" applyProtection="1">
      <alignment horizontal="center" vertical="center"/>
      <protection locked="0"/>
    </xf>
    <xf numFmtId="0" fontId="63" fillId="24" borderId="12" xfId="1" applyFont="1" applyFill="1" applyBorder="1" applyAlignment="1" applyProtection="1">
      <alignment horizontal="center"/>
      <protection locked="0"/>
    </xf>
    <xf numFmtId="0" fontId="30" fillId="24" borderId="12" xfId="2" applyFont="1" applyFill="1" applyBorder="1" applyAlignment="1">
      <alignment horizontal="center" vertical="center" wrapText="1"/>
    </xf>
    <xf numFmtId="0" fontId="12" fillId="28" borderId="1" xfId="1" applyFont="1" applyFill="1" applyBorder="1" applyAlignment="1">
      <alignment vertical="center"/>
    </xf>
    <xf numFmtId="0" fontId="12" fillId="13" borderId="1" xfId="1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vertical="center" wrapText="1"/>
    </xf>
    <xf numFmtId="0" fontId="12" fillId="13" borderId="1" xfId="2" applyFont="1" applyFill="1" applyBorder="1" applyAlignment="1">
      <alignment horizontal="left" vertical="center"/>
    </xf>
    <xf numFmtId="0" fontId="12" fillId="14" borderId="1" xfId="3" applyNumberFormat="1" applyFont="1" applyFill="1" applyBorder="1" applyAlignment="1" applyProtection="1">
      <alignment horizontal="center" vertical="center" wrapText="1"/>
    </xf>
    <xf numFmtId="0" fontId="13" fillId="14" borderId="1" xfId="3" applyNumberFormat="1" applyFont="1" applyFill="1" applyBorder="1" applyAlignment="1" applyProtection="1">
      <alignment horizontal="center" vertical="center" wrapText="1"/>
    </xf>
    <xf numFmtId="0" fontId="11" fillId="14" borderId="1" xfId="3" applyNumberFormat="1" applyFont="1" applyFill="1" applyBorder="1" applyAlignment="1" applyProtection="1">
      <alignment horizontal="center" vertical="center" wrapText="1"/>
    </xf>
    <xf numFmtId="0" fontId="11" fillId="14" borderId="1" xfId="3" applyNumberFormat="1" applyFont="1" applyFill="1" applyBorder="1" applyAlignment="1" applyProtection="1">
      <alignment horizontal="center"/>
      <protection locked="0"/>
    </xf>
    <xf numFmtId="2" fontId="12" fillId="13" borderId="1" xfId="1" applyNumberFormat="1" applyFont="1" applyFill="1" applyBorder="1" applyAlignment="1">
      <alignment horizontal="center" vertical="center" wrapText="1"/>
    </xf>
    <xf numFmtId="2" fontId="33" fillId="14" borderId="1" xfId="3" applyNumberFormat="1" applyFont="1" applyFill="1" applyBorder="1" applyAlignment="1" applyProtection="1">
      <alignment horizontal="center" vertical="center" wrapText="1"/>
    </xf>
    <xf numFmtId="2" fontId="12" fillId="14" borderId="1" xfId="3" applyNumberFormat="1" applyFont="1" applyFill="1" applyBorder="1" applyAlignment="1" applyProtection="1">
      <alignment horizontal="center" vertical="center" wrapText="1"/>
    </xf>
    <xf numFmtId="0" fontId="32" fillId="13" borderId="1" xfId="1" applyFont="1" applyFill="1" applyBorder="1" applyAlignment="1" applyProtection="1">
      <alignment horizontal="center"/>
      <protection locked="0"/>
    </xf>
    <xf numFmtId="2" fontId="12" fillId="14" borderId="12" xfId="3" applyNumberFormat="1" applyFont="1" applyFill="1" applyBorder="1" applyAlignment="1" applyProtection="1">
      <alignment horizontal="center" vertical="center" wrapText="1"/>
    </xf>
    <xf numFmtId="10" fontId="12" fillId="14" borderId="1" xfId="3" applyNumberFormat="1" applyFont="1" applyFill="1" applyBorder="1" applyAlignment="1" applyProtection="1">
      <alignment horizontal="center" vertical="center" wrapText="1"/>
    </xf>
    <xf numFmtId="10" fontId="5" fillId="14" borderId="1" xfId="3" applyNumberFormat="1" applyFont="1" applyFill="1" applyBorder="1" applyAlignment="1" applyProtection="1">
      <alignment horizontal="center" vertical="center" wrapText="1"/>
    </xf>
    <xf numFmtId="2" fontId="30" fillId="13" borderId="1" xfId="1" applyNumberFormat="1" applyFont="1" applyFill="1" applyBorder="1" applyAlignment="1">
      <alignment horizontal="center" vertical="center" wrapText="1"/>
    </xf>
    <xf numFmtId="0" fontId="2" fillId="13" borderId="0" xfId="1" applyFont="1" applyFill="1" applyBorder="1" applyAlignment="1">
      <alignment vertical="center" wrapText="1"/>
    </xf>
    <xf numFmtId="0" fontId="12" fillId="14" borderId="1" xfId="3" applyNumberFormat="1" applyFont="1" applyFill="1" applyBorder="1" applyAlignment="1" applyProtection="1">
      <alignment vertical="center" wrapText="1"/>
    </xf>
    <xf numFmtId="2" fontId="30" fillId="14" borderId="1" xfId="3" applyNumberFormat="1" applyFont="1" applyFill="1" applyBorder="1" applyAlignment="1" applyProtection="1">
      <alignment horizontal="center" vertical="center" wrapText="1"/>
    </xf>
    <xf numFmtId="0" fontId="5" fillId="26" borderId="1" xfId="1" applyFont="1" applyFill="1" applyBorder="1" applyAlignment="1">
      <alignment horizontal="center" vertical="center" wrapText="1"/>
    </xf>
    <xf numFmtId="0" fontId="5" fillId="26" borderId="1" xfId="1" applyFont="1" applyFill="1" applyBorder="1" applyAlignment="1">
      <alignment horizontal="left" vertical="center"/>
    </xf>
    <xf numFmtId="0" fontId="5" fillId="26" borderId="1" xfId="1" applyFont="1" applyFill="1" applyBorder="1" applyAlignment="1">
      <alignment horizontal="left" vertical="center" wrapText="1"/>
    </xf>
    <xf numFmtId="0" fontId="16" fillId="26" borderId="1" xfId="1" applyFont="1" applyFill="1" applyBorder="1" applyAlignment="1">
      <alignment horizontal="center" vertical="center" wrapText="1"/>
    </xf>
    <xf numFmtId="49" fontId="6" fillId="26" borderId="1" xfId="1" applyNumberFormat="1" applyFont="1" applyFill="1" applyBorder="1" applyAlignment="1" applyProtection="1">
      <alignment horizontal="center" vertical="center"/>
      <protection locked="0"/>
    </xf>
    <xf numFmtId="2" fontId="5" fillId="26" borderId="1" xfId="1" applyNumberFormat="1" applyFont="1" applyFill="1" applyBorder="1" applyAlignment="1">
      <alignment horizontal="center" vertical="center" wrapText="1"/>
    </xf>
    <xf numFmtId="2" fontId="5" fillId="26" borderId="12" xfId="1" applyNumberFormat="1" applyFont="1" applyFill="1" applyBorder="1" applyAlignment="1">
      <alignment horizontal="center" vertical="center" wrapText="1"/>
    </xf>
    <xf numFmtId="10" fontId="5" fillId="26" borderId="1" xfId="1" applyNumberFormat="1" applyFont="1" applyFill="1" applyBorder="1" applyAlignment="1">
      <alignment horizontal="center" vertical="center" wrapText="1"/>
    </xf>
    <xf numFmtId="9" fontId="5" fillId="26" borderId="1" xfId="1" applyNumberFormat="1" applyFont="1" applyFill="1" applyBorder="1" applyAlignment="1">
      <alignment horizontal="center" vertical="center" wrapText="1"/>
    </xf>
    <xf numFmtId="1" fontId="2" fillId="26" borderId="0" xfId="1" applyNumberFormat="1" applyFont="1" applyFill="1" applyBorder="1" applyAlignment="1">
      <alignment vertical="center" wrapText="1"/>
    </xf>
    <xf numFmtId="2" fontId="2" fillId="26" borderId="0" xfId="1" applyNumberFormat="1" applyFont="1" applyFill="1" applyBorder="1" applyAlignment="1">
      <alignment vertical="center" wrapText="1"/>
    </xf>
    <xf numFmtId="2" fontId="16" fillId="26" borderId="1" xfId="1" applyNumberFormat="1" applyFont="1" applyFill="1" applyBorder="1" applyAlignment="1">
      <alignment horizontal="center" vertical="center" wrapText="1"/>
    </xf>
    <xf numFmtId="0" fontId="8" fillId="26" borderId="1" xfId="1" applyFont="1" applyFill="1" applyBorder="1" applyAlignment="1">
      <alignment horizontal="center" vertical="center" wrapText="1"/>
    </xf>
    <xf numFmtId="49" fontId="5" fillId="26" borderId="1" xfId="1" applyNumberFormat="1" applyFont="1" applyFill="1" applyBorder="1" applyAlignment="1" applyProtection="1">
      <alignment horizontal="center" vertical="center"/>
      <protection locked="0"/>
    </xf>
    <xf numFmtId="0" fontId="7" fillId="26" borderId="1" xfId="1" applyFont="1" applyFill="1" applyBorder="1" applyAlignment="1">
      <alignment horizontal="center" vertical="center" wrapText="1"/>
    </xf>
    <xf numFmtId="10" fontId="2" fillId="26" borderId="0" xfId="1" applyNumberFormat="1" applyFont="1" applyFill="1" applyAlignment="1">
      <alignment vertical="center" wrapText="1"/>
    </xf>
    <xf numFmtId="2" fontId="2" fillId="26" borderId="0" xfId="1" applyNumberFormat="1" applyFont="1" applyFill="1" applyAlignment="1">
      <alignment vertical="center" wrapText="1"/>
    </xf>
    <xf numFmtId="0" fontId="5" fillId="26" borderId="1" xfId="2" applyFont="1" applyFill="1" applyBorder="1" applyAlignment="1">
      <alignment horizontal="left" vertical="center"/>
    </xf>
    <xf numFmtId="0" fontId="5" fillId="26" borderId="1" xfId="2" applyFont="1" applyFill="1" applyBorder="1" applyAlignment="1">
      <alignment horizontal="center" vertical="center"/>
    </xf>
    <xf numFmtId="0" fontId="16" fillId="26" borderId="1" xfId="2" applyFont="1" applyFill="1" applyBorder="1" applyAlignment="1">
      <alignment horizontal="center" vertical="center"/>
    </xf>
    <xf numFmtId="2" fontId="5" fillId="26" borderId="1" xfId="2" applyNumberFormat="1" applyFont="1" applyFill="1" applyBorder="1" applyAlignment="1">
      <alignment horizontal="center" vertical="center"/>
    </xf>
    <xf numFmtId="2" fontId="7" fillId="26" borderId="1" xfId="2" applyNumberFormat="1" applyFont="1" applyFill="1" applyBorder="1" applyAlignment="1">
      <alignment horizontal="center" vertical="center"/>
    </xf>
    <xf numFmtId="0" fontId="7" fillId="27" borderId="1" xfId="3" applyNumberFormat="1" applyFont="1" applyFill="1" applyBorder="1" applyAlignment="1" applyProtection="1">
      <alignment horizontal="center" vertical="center" wrapText="1"/>
    </xf>
    <xf numFmtId="0" fontId="11" fillId="26" borderId="0" xfId="1" applyFont="1" applyFill="1" applyAlignment="1">
      <alignment vertical="center" wrapText="1"/>
    </xf>
    <xf numFmtId="10" fontId="11" fillId="26" borderId="0" xfId="1" applyNumberFormat="1" applyFont="1" applyFill="1" applyAlignment="1">
      <alignment vertical="center" wrapText="1"/>
    </xf>
    <xf numFmtId="2" fontId="11" fillId="26" borderId="0" xfId="1" applyNumberFormat="1" applyFont="1" applyFill="1" applyAlignment="1">
      <alignment vertical="center" wrapText="1"/>
    </xf>
    <xf numFmtId="0" fontId="5" fillId="27" borderId="1" xfId="3" applyNumberFormat="1" applyFont="1" applyFill="1" applyBorder="1" applyAlignment="1" applyProtection="1">
      <alignment horizontal="left" vertical="center"/>
      <protection locked="0"/>
    </xf>
    <xf numFmtId="0" fontId="5" fillId="27" borderId="1" xfId="3" applyNumberFormat="1" applyFont="1" applyFill="1" applyBorder="1" applyAlignment="1" applyProtection="1">
      <alignment horizontal="center" vertical="center" wrapText="1"/>
    </xf>
    <xf numFmtId="0" fontId="16" fillId="27" borderId="1" xfId="3" applyNumberFormat="1" applyFont="1" applyFill="1" applyBorder="1" applyAlignment="1" applyProtection="1">
      <alignment horizontal="center" vertical="center" wrapText="1"/>
    </xf>
    <xf numFmtId="0" fontId="9" fillId="27" borderId="1" xfId="3" applyNumberFormat="1" applyFont="1" applyFill="1" applyBorder="1" applyAlignment="1" applyProtection="1">
      <alignment horizontal="center" vertical="center" wrapText="1"/>
    </xf>
    <xf numFmtId="0" fontId="5" fillId="27" borderId="1" xfId="3" applyNumberFormat="1" applyFont="1" applyFill="1" applyBorder="1" applyAlignment="1" applyProtection="1">
      <alignment horizontal="center" vertical="center"/>
      <protection locked="0"/>
    </xf>
    <xf numFmtId="2" fontId="5" fillId="27" borderId="1" xfId="3" applyNumberFormat="1" applyFont="1" applyFill="1" applyBorder="1" applyAlignment="1" applyProtection="1">
      <alignment horizontal="center" vertical="center" wrapText="1"/>
    </xf>
    <xf numFmtId="2" fontId="7" fillId="27" borderId="1" xfId="3" applyNumberFormat="1" applyFont="1" applyFill="1" applyBorder="1" applyAlignment="1" applyProtection="1">
      <alignment horizontal="center" vertical="center" wrapText="1"/>
    </xf>
    <xf numFmtId="9" fontId="5" fillId="27" borderId="1" xfId="3" applyNumberFormat="1" applyFont="1" applyFill="1" applyBorder="1" applyAlignment="1" applyProtection="1">
      <alignment horizontal="center" vertical="center" wrapText="1"/>
    </xf>
    <xf numFmtId="0" fontId="2" fillId="27" borderId="0" xfId="1" applyFont="1" applyFill="1" applyAlignment="1">
      <alignment vertical="center" wrapText="1"/>
    </xf>
    <xf numFmtId="2" fontId="2" fillId="27" borderId="0" xfId="1" applyNumberFormat="1" applyFont="1" applyFill="1" applyAlignment="1">
      <alignment vertical="center" wrapText="1"/>
    </xf>
    <xf numFmtId="10" fontId="2" fillId="27" borderId="0" xfId="1" applyNumberFormat="1" applyFont="1" applyFill="1" applyAlignment="1">
      <alignment vertical="center" wrapText="1"/>
    </xf>
    <xf numFmtId="0" fontId="5" fillId="26" borderId="1" xfId="1" applyFont="1" applyFill="1" applyBorder="1" applyAlignment="1">
      <alignment horizontal="center" vertical="center"/>
    </xf>
    <xf numFmtId="49" fontId="7" fillId="26" borderId="1" xfId="1" applyNumberFormat="1" applyFont="1" applyFill="1" applyBorder="1" applyAlignment="1">
      <alignment horizontal="center" vertical="center" wrapText="1"/>
    </xf>
    <xf numFmtId="0" fontId="13" fillId="26" borderId="1" xfId="1" applyFont="1" applyFill="1" applyBorder="1" applyAlignment="1">
      <alignment horizontal="center" vertical="center" wrapText="1"/>
    </xf>
    <xf numFmtId="0" fontId="5" fillId="26" borderId="1" xfId="1" applyFont="1" applyFill="1" applyBorder="1" applyAlignment="1">
      <alignment vertical="center"/>
    </xf>
    <xf numFmtId="2" fontId="16" fillId="26" borderId="3" xfId="1" applyNumberFormat="1" applyFont="1" applyFill="1" applyBorder="1" applyAlignment="1">
      <alignment horizontal="center" vertical="center" wrapText="1"/>
    </xf>
    <xf numFmtId="0" fontId="5" fillId="26" borderId="3" xfId="1" applyFont="1" applyFill="1" applyBorder="1" applyAlignment="1">
      <alignment horizontal="center" vertical="center" wrapText="1"/>
    </xf>
    <xf numFmtId="0" fontId="6" fillId="26" borderId="1" xfId="1" applyFont="1" applyFill="1" applyBorder="1" applyAlignment="1" applyProtection="1">
      <alignment horizontal="center" vertical="center"/>
      <protection locked="0"/>
    </xf>
    <xf numFmtId="0" fontId="5" fillId="26" borderId="1" xfId="1" applyNumberFormat="1" applyFont="1" applyFill="1" applyBorder="1" applyAlignment="1">
      <alignment horizontal="center" vertical="center" wrapText="1"/>
    </xf>
    <xf numFmtId="0" fontId="5" fillId="26" borderId="12" xfId="1" applyFont="1" applyFill="1" applyBorder="1" applyAlignment="1">
      <alignment vertical="center"/>
    </xf>
    <xf numFmtId="0" fontId="5" fillId="26" borderId="12" xfId="1" applyFont="1" applyFill="1" applyBorder="1" applyAlignment="1">
      <alignment horizontal="left" vertical="center" wrapText="1"/>
    </xf>
    <xf numFmtId="0" fontId="5" fillId="26" borderId="12" xfId="1" applyFont="1" applyFill="1" applyBorder="1" applyAlignment="1">
      <alignment horizontal="center" vertical="center" wrapText="1"/>
    </xf>
    <xf numFmtId="2" fontId="16" fillId="26" borderId="29" xfId="1" applyNumberFormat="1" applyFont="1" applyFill="1" applyBorder="1" applyAlignment="1">
      <alignment horizontal="center" vertical="center" wrapText="1"/>
    </xf>
    <xf numFmtId="0" fontId="5" fillId="26" borderId="29" xfId="1" applyFont="1" applyFill="1" applyBorder="1" applyAlignment="1">
      <alignment horizontal="center" vertical="center" wrapText="1"/>
    </xf>
    <xf numFmtId="49" fontId="6" fillId="26" borderId="3" xfId="1" applyNumberFormat="1" applyFont="1" applyFill="1" applyBorder="1" applyAlignment="1" applyProtection="1">
      <alignment horizontal="center" vertical="center"/>
      <protection locked="0"/>
    </xf>
    <xf numFmtId="0" fontId="5" fillId="26" borderId="12" xfId="1" applyNumberFormat="1" applyFont="1" applyFill="1" applyBorder="1" applyAlignment="1">
      <alignment horizontal="center" vertical="center" wrapText="1"/>
    </xf>
    <xf numFmtId="49" fontId="7" fillId="26" borderId="12" xfId="1" applyNumberFormat="1" applyFont="1" applyFill="1" applyBorder="1" applyAlignment="1">
      <alignment horizontal="center" vertical="center" wrapText="1"/>
    </xf>
    <xf numFmtId="2" fontId="5" fillId="27" borderId="12" xfId="3" applyNumberFormat="1" applyFont="1" applyFill="1" applyBorder="1" applyAlignment="1" applyProtection="1">
      <alignment horizontal="center" vertical="center" wrapText="1"/>
    </xf>
    <xf numFmtId="10" fontId="5" fillId="26" borderId="12" xfId="1" applyNumberFormat="1" applyFont="1" applyFill="1" applyBorder="1" applyAlignment="1">
      <alignment horizontal="center" vertical="center" wrapText="1"/>
    </xf>
    <xf numFmtId="9" fontId="5" fillId="26" borderId="12" xfId="1" applyNumberFormat="1" applyFont="1" applyFill="1" applyBorder="1" applyAlignment="1">
      <alignment horizontal="center" vertical="center" wrapText="1"/>
    </xf>
    <xf numFmtId="0" fontId="16" fillId="26" borderId="1" xfId="1" applyNumberFormat="1" applyFont="1" applyFill="1" applyBorder="1" applyAlignment="1">
      <alignment horizontal="center" vertical="center" wrapText="1"/>
    </xf>
    <xf numFmtId="49" fontId="6" fillId="26" borderId="1" xfId="1" applyNumberFormat="1" applyFont="1" applyFill="1" applyBorder="1" applyAlignment="1" applyProtection="1">
      <alignment horizontal="center"/>
      <protection locked="0"/>
    </xf>
    <xf numFmtId="49" fontId="5" fillId="26" borderId="1" xfId="1" applyNumberFormat="1" applyFont="1" applyFill="1" applyBorder="1" applyAlignment="1">
      <alignment horizontal="center" vertical="center" wrapText="1"/>
    </xf>
    <xf numFmtId="0" fontId="5" fillId="26" borderId="1" xfId="1" applyNumberFormat="1" applyFont="1" applyFill="1" applyBorder="1" applyAlignment="1">
      <alignment horizontal="center" vertical="center"/>
    </xf>
    <xf numFmtId="164" fontId="5" fillId="26" borderId="1" xfId="1" applyNumberFormat="1" applyFont="1" applyFill="1" applyBorder="1" applyAlignment="1">
      <alignment horizontal="center" vertical="center" wrapText="1"/>
    </xf>
    <xf numFmtId="0" fontId="5" fillId="26" borderId="1" xfId="1" applyFont="1" applyFill="1" applyBorder="1" applyAlignment="1"/>
    <xf numFmtId="0" fontId="5" fillId="26" borderId="1" xfId="1" applyFont="1" applyFill="1" applyBorder="1" applyAlignment="1">
      <alignment horizontal="center" wrapText="1"/>
    </xf>
    <xf numFmtId="0" fontId="8" fillId="26" borderId="0" xfId="1" applyFont="1" applyFill="1" applyBorder="1" applyAlignment="1">
      <alignment wrapText="1"/>
    </xf>
    <xf numFmtId="0" fontId="8" fillId="26" borderId="0" xfId="1" applyFont="1" applyFill="1" applyAlignment="1">
      <alignment wrapText="1"/>
    </xf>
    <xf numFmtId="2" fontId="9" fillId="26" borderId="1" xfId="1" applyNumberFormat="1" applyFont="1" applyFill="1" applyBorder="1" applyAlignment="1">
      <alignment horizontal="center" vertical="center" wrapText="1"/>
    </xf>
    <xf numFmtId="9" fontId="9" fillId="26" borderId="1" xfId="1" applyNumberFormat="1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vertical="center" wrapText="1"/>
    </xf>
    <xf numFmtId="0" fontId="16" fillId="27" borderId="1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center" vertical="center" wrapText="1"/>
    </xf>
    <xf numFmtId="0" fontId="5" fillId="26" borderId="3" xfId="1" applyNumberFormat="1" applyFont="1" applyFill="1" applyBorder="1" applyAlignment="1">
      <alignment horizontal="center" vertical="center"/>
    </xf>
    <xf numFmtId="2" fontId="5" fillId="26" borderId="3" xfId="1" applyNumberFormat="1" applyFont="1" applyFill="1" applyBorder="1" applyAlignment="1">
      <alignment horizontal="center" vertical="center" wrapText="1"/>
    </xf>
    <xf numFmtId="2" fontId="7" fillId="26" borderId="3" xfId="1" applyNumberFormat="1" applyFont="1" applyFill="1" applyBorder="1" applyAlignment="1">
      <alignment horizontal="center" vertical="center" wrapText="1"/>
    </xf>
    <xf numFmtId="2" fontId="5" fillId="27" borderId="3" xfId="3" applyNumberFormat="1" applyFont="1" applyFill="1" applyBorder="1" applyAlignment="1" applyProtection="1">
      <alignment horizontal="center" vertical="center" wrapText="1"/>
    </xf>
    <xf numFmtId="10" fontId="5" fillId="26" borderId="3" xfId="1" applyNumberFormat="1" applyFont="1" applyFill="1" applyBorder="1" applyAlignment="1">
      <alignment horizontal="center" vertical="center" wrapText="1"/>
    </xf>
    <xf numFmtId="9" fontId="5" fillId="26" borderId="3" xfId="1" applyNumberFormat="1" applyFont="1" applyFill="1" applyBorder="1" applyAlignment="1">
      <alignment horizontal="center" vertical="center" wrapText="1"/>
    </xf>
    <xf numFmtId="0" fontId="12" fillId="28" borderId="5" xfId="1" applyFont="1" applyFill="1" applyBorder="1" applyAlignment="1">
      <alignment horizontal="center" vertical="center" wrapText="1"/>
    </xf>
    <xf numFmtId="0" fontId="12" fillId="28" borderId="4" xfId="1" applyFont="1" applyFill="1" applyBorder="1" applyAlignment="1">
      <alignment vertical="center"/>
    </xf>
    <xf numFmtId="0" fontId="12" fillId="28" borderId="6" xfId="1" applyFont="1" applyFill="1" applyBorder="1" applyAlignment="1">
      <alignment horizontal="center" vertical="center"/>
    </xf>
    <xf numFmtId="14" fontId="12" fillId="28" borderId="4" xfId="1" applyNumberFormat="1" applyFont="1" applyFill="1" applyBorder="1" applyAlignment="1">
      <alignment horizontal="center" vertical="center" wrapText="1"/>
    </xf>
    <xf numFmtId="0" fontId="12" fillId="28" borderId="4" xfId="1" applyNumberFormat="1" applyFont="1" applyFill="1" applyBorder="1" applyAlignment="1">
      <alignment horizontal="center" vertical="center" wrapText="1"/>
    </xf>
    <xf numFmtId="0" fontId="12" fillId="28" borderId="4" xfId="1" applyFont="1" applyFill="1" applyBorder="1" applyAlignment="1">
      <alignment vertical="center" wrapText="1"/>
    </xf>
    <xf numFmtId="2" fontId="12" fillId="29" borderId="1" xfId="3" applyNumberFormat="1" applyFont="1" applyFill="1" applyBorder="1" applyAlignment="1" applyProtection="1">
      <alignment horizontal="center" vertical="center" wrapText="1"/>
    </xf>
    <xf numFmtId="10" fontId="12" fillId="28" borderId="7" xfId="1" applyNumberFormat="1" applyFont="1" applyFill="1" applyBorder="1" applyAlignment="1">
      <alignment horizontal="center" vertical="center" wrapText="1"/>
    </xf>
    <xf numFmtId="9" fontId="12" fillId="28" borderId="4" xfId="1" applyNumberFormat="1" applyFont="1" applyFill="1" applyBorder="1" applyAlignment="1">
      <alignment horizontal="center" vertical="center" wrapText="1"/>
    </xf>
    <xf numFmtId="0" fontId="8" fillId="28" borderId="0" xfId="1" applyFont="1" applyFill="1" applyBorder="1" applyAlignment="1">
      <alignment wrapText="1"/>
    </xf>
    <xf numFmtId="0" fontId="8" fillId="28" borderId="0" xfId="1" applyFont="1" applyFill="1" applyAlignment="1">
      <alignment wrapText="1"/>
    </xf>
    <xf numFmtId="0" fontId="12" fillId="28" borderId="8" xfId="1" applyFont="1" applyFill="1" applyBorder="1" applyAlignment="1">
      <alignment horizontal="center" vertical="center" wrapText="1"/>
    </xf>
    <xf numFmtId="0" fontId="12" fillId="28" borderId="9" xfId="1" applyFont="1" applyFill="1" applyBorder="1" applyAlignment="1">
      <alignment horizontal="center" vertical="center"/>
    </xf>
    <xf numFmtId="14" fontId="12" fillId="28" borderId="1" xfId="1" applyNumberFormat="1" applyFont="1" applyFill="1" applyBorder="1" applyAlignment="1">
      <alignment horizontal="center" vertical="center" wrapText="1"/>
    </xf>
    <xf numFmtId="0" fontId="12" fillId="28" borderId="1" xfId="1" applyNumberFormat="1" applyFont="1" applyFill="1" applyBorder="1" applyAlignment="1">
      <alignment horizontal="center" vertical="center" wrapText="1"/>
    </xf>
    <xf numFmtId="0" fontId="12" fillId="28" borderId="1" xfId="1" applyFont="1" applyFill="1" applyBorder="1" applyAlignment="1">
      <alignment vertical="center" wrapText="1"/>
    </xf>
    <xf numFmtId="0" fontId="12" fillId="28" borderId="1" xfId="1" applyFont="1" applyFill="1" applyBorder="1" applyAlignment="1">
      <alignment horizontal="left" vertical="center" wrapText="1"/>
    </xf>
    <xf numFmtId="0" fontId="12" fillId="28" borderId="9" xfId="2" applyFont="1" applyFill="1" applyBorder="1" applyAlignment="1">
      <alignment vertical="center"/>
    </xf>
    <xf numFmtId="165" fontId="12" fillId="28" borderId="1" xfId="2" applyNumberFormat="1" applyFont="1" applyFill="1" applyBorder="1" applyAlignment="1">
      <alignment horizontal="center" vertical="center"/>
    </xf>
    <xf numFmtId="2" fontId="12" fillId="28" borderId="1" xfId="2" applyNumberFormat="1" applyFont="1" applyFill="1" applyBorder="1" applyAlignment="1">
      <alignment horizontal="center" vertical="center"/>
    </xf>
    <xf numFmtId="0" fontId="11" fillId="28" borderId="0" xfId="1" applyFont="1" applyFill="1" applyAlignment="1">
      <alignment vertical="center" wrapText="1"/>
    </xf>
    <xf numFmtId="2" fontId="12" fillId="28" borderId="1" xfId="2" applyNumberFormat="1" applyFont="1" applyFill="1" applyBorder="1" applyAlignment="1">
      <alignment vertical="center"/>
    </xf>
    <xf numFmtId="49" fontId="12" fillId="28" borderId="1" xfId="1" applyNumberFormat="1" applyFont="1" applyFill="1" applyBorder="1" applyAlignment="1">
      <alignment horizontal="center" vertical="center" wrapText="1"/>
    </xf>
    <xf numFmtId="9" fontId="12" fillId="28" borderId="1" xfId="1" applyNumberFormat="1" applyFont="1" applyFill="1" applyBorder="1" applyAlignment="1">
      <alignment horizontal="center" vertical="center" wrapText="1"/>
    </xf>
    <xf numFmtId="0" fontId="12" fillId="29" borderId="10" xfId="3" applyNumberFormat="1" applyFont="1" applyFill="1" applyBorder="1" applyAlignment="1" applyProtection="1">
      <alignment horizontal="left" vertical="center"/>
      <protection locked="0"/>
    </xf>
    <xf numFmtId="0" fontId="12" fillId="28" borderId="3" xfId="2" applyFont="1" applyFill="1" applyBorder="1" applyAlignment="1">
      <alignment horizontal="left" vertical="center"/>
    </xf>
    <xf numFmtId="0" fontId="12" fillId="29" borderId="10" xfId="3" applyNumberFormat="1" applyFont="1" applyFill="1" applyBorder="1" applyAlignment="1" applyProtection="1">
      <alignment horizontal="center" vertical="center" wrapText="1"/>
    </xf>
    <xf numFmtId="14" fontId="12" fillId="29" borderId="10" xfId="3" applyNumberFormat="1" applyFont="1" applyFill="1" applyBorder="1" applyAlignment="1" applyProtection="1">
      <alignment horizontal="center" vertical="center" wrapText="1"/>
    </xf>
    <xf numFmtId="0" fontId="12" fillId="29" borderId="10" xfId="3" applyNumberFormat="1" applyFont="1" applyFill="1" applyBorder="1" applyAlignment="1" applyProtection="1">
      <alignment horizontal="center" vertical="center"/>
    </xf>
    <xf numFmtId="0" fontId="12" fillId="28" borderId="3" xfId="1" applyFont="1" applyFill="1" applyBorder="1" applyAlignment="1">
      <alignment horizontal="center" vertical="center"/>
    </xf>
    <xf numFmtId="2" fontId="12" fillId="29" borderId="10" xfId="3" applyNumberFormat="1" applyFont="1" applyFill="1" applyBorder="1" applyAlignment="1" applyProtection="1">
      <alignment horizontal="center" vertical="center" wrapText="1"/>
    </xf>
    <xf numFmtId="9" fontId="12" fillId="28" borderId="3" xfId="1" applyNumberFormat="1" applyFont="1" applyFill="1" applyBorder="1" applyAlignment="1">
      <alignment horizontal="center" vertical="center" wrapText="1"/>
    </xf>
    <xf numFmtId="2" fontId="12" fillId="28" borderId="3" xfId="1" applyNumberFormat="1" applyFont="1" applyFill="1" applyBorder="1" applyAlignment="1">
      <alignment horizontal="center" vertical="center" wrapText="1"/>
    </xf>
    <xf numFmtId="166" fontId="2" fillId="28" borderId="0" xfId="1" applyNumberFormat="1" applyFont="1" applyFill="1" applyBorder="1" applyAlignment="1">
      <alignment vertical="center" wrapText="1"/>
    </xf>
    <xf numFmtId="2" fontId="2" fillId="28" borderId="0" xfId="1" applyNumberFormat="1" applyFont="1" applyFill="1" applyBorder="1" applyAlignment="1">
      <alignment vertical="center" wrapText="1"/>
    </xf>
    <xf numFmtId="9" fontId="11" fillId="28" borderId="1" xfId="1" applyNumberFormat="1" applyFont="1" applyFill="1" applyBorder="1" applyAlignment="1">
      <alignment horizontal="center" vertical="center" wrapText="1"/>
    </xf>
    <xf numFmtId="2" fontId="12" fillId="28" borderId="1" xfId="1" applyNumberFormat="1" applyFont="1" applyFill="1" applyBorder="1" applyAlignment="1">
      <alignment horizontal="center" wrapText="1"/>
    </xf>
    <xf numFmtId="0" fontId="28" fillId="28" borderId="1" xfId="1" applyFont="1" applyFill="1" applyBorder="1" applyAlignment="1">
      <alignment horizontal="left" vertical="center"/>
    </xf>
    <xf numFmtId="0" fontId="12" fillId="29" borderId="1" xfId="3" applyNumberFormat="1" applyFont="1" applyFill="1" applyBorder="1" applyAlignment="1" applyProtection="1">
      <alignment horizontal="left" vertical="center"/>
      <protection locked="0"/>
    </xf>
    <xf numFmtId="0" fontId="12" fillId="29" borderId="1" xfId="3" applyNumberFormat="1" applyFont="1" applyFill="1" applyBorder="1" applyAlignment="1" applyProtection="1">
      <alignment horizontal="left" vertical="center" wrapText="1"/>
    </xf>
    <xf numFmtId="0" fontId="12" fillId="29" borderId="1" xfId="3" applyNumberFormat="1" applyFont="1" applyFill="1" applyBorder="1" applyAlignment="1" applyProtection="1">
      <alignment horizontal="center" vertical="center" wrapText="1"/>
    </xf>
    <xf numFmtId="14" fontId="12" fillId="29" borderId="1" xfId="3" applyNumberFormat="1" applyFont="1" applyFill="1" applyBorder="1" applyAlignment="1" applyProtection="1">
      <alignment horizontal="center" vertical="center" wrapText="1"/>
    </xf>
    <xf numFmtId="0" fontId="12" fillId="29" borderId="1" xfId="3" applyNumberFormat="1" applyFont="1" applyFill="1" applyBorder="1" applyAlignment="1" applyProtection="1">
      <alignment horizontal="center" vertical="center"/>
    </xf>
    <xf numFmtId="0" fontId="12" fillId="29" borderId="1" xfId="3" applyNumberFormat="1" applyFont="1" applyFill="1" applyBorder="1" applyAlignment="1" applyProtection="1">
      <alignment horizontal="left" vertical="center"/>
    </xf>
    <xf numFmtId="2" fontId="11" fillId="28" borderId="0" xfId="1" applyNumberFormat="1" applyFont="1" applyFill="1" applyAlignment="1">
      <alignment vertical="center" wrapText="1"/>
    </xf>
    <xf numFmtId="0" fontId="12" fillId="33" borderId="1" xfId="1" applyFont="1" applyFill="1" applyBorder="1" applyAlignment="1">
      <alignment horizontal="center" vertical="center" wrapText="1"/>
    </xf>
    <xf numFmtId="0" fontId="12" fillId="34" borderId="1" xfId="3" applyNumberFormat="1" applyFont="1" applyFill="1" applyBorder="1" applyAlignment="1" applyProtection="1">
      <alignment horizontal="left" vertical="center" wrapText="1"/>
    </xf>
    <xf numFmtId="0" fontId="12" fillId="34" borderId="1" xfId="3" applyNumberFormat="1" applyFont="1" applyFill="1" applyBorder="1" applyAlignment="1" applyProtection="1">
      <alignment horizontal="center" vertical="center" wrapText="1"/>
    </xf>
    <xf numFmtId="0" fontId="11" fillId="34" borderId="1" xfId="3" applyNumberFormat="1" applyFont="1" applyFill="1" applyBorder="1" applyAlignment="1" applyProtection="1">
      <alignment horizontal="center" vertical="center" wrapText="1"/>
    </xf>
    <xf numFmtId="0" fontId="11" fillId="34" borderId="1" xfId="3" applyNumberFormat="1" applyFont="1" applyFill="1" applyBorder="1" applyAlignment="1" applyProtection="1">
      <alignment horizontal="center"/>
      <protection locked="0"/>
    </xf>
    <xf numFmtId="2" fontId="12" fillId="33" borderId="1" xfId="1" applyNumberFormat="1" applyFont="1" applyFill="1" applyBorder="1" applyAlignment="1">
      <alignment horizontal="center" vertical="center" wrapText="1"/>
    </xf>
    <xf numFmtId="166" fontId="34" fillId="34" borderId="1" xfId="3" applyNumberFormat="1" applyFont="1" applyFill="1" applyBorder="1" applyAlignment="1" applyProtection="1">
      <alignment horizontal="center" vertical="center" wrapText="1"/>
    </xf>
    <xf numFmtId="2" fontId="12" fillId="34" borderId="1" xfId="3" applyNumberFormat="1" applyFont="1" applyFill="1" applyBorder="1" applyAlignment="1" applyProtection="1">
      <alignment horizontal="center" vertical="center" wrapText="1"/>
    </xf>
    <xf numFmtId="0" fontId="12" fillId="33" borderId="1" xfId="2" applyFont="1" applyFill="1" applyBorder="1" applyAlignment="1">
      <alignment horizontal="center" vertical="center"/>
    </xf>
    <xf numFmtId="2" fontId="12" fillId="34" borderId="12" xfId="3" applyNumberFormat="1" applyFont="1" applyFill="1" applyBorder="1" applyAlignment="1" applyProtection="1">
      <alignment horizontal="center" vertical="center" wrapText="1"/>
    </xf>
    <xf numFmtId="10" fontId="12" fillId="34" borderId="1" xfId="3" applyNumberFormat="1" applyFont="1" applyFill="1" applyBorder="1" applyAlignment="1" applyProtection="1">
      <alignment horizontal="center" vertical="center" wrapText="1"/>
    </xf>
    <xf numFmtId="9" fontId="12" fillId="33" borderId="1" xfId="1" applyNumberFormat="1" applyFont="1" applyFill="1" applyBorder="1" applyAlignment="1">
      <alignment horizontal="center" vertical="center" wrapText="1"/>
    </xf>
    <xf numFmtId="2" fontId="30" fillId="33" borderId="1" xfId="1" applyNumberFormat="1" applyFont="1" applyFill="1" applyBorder="1" applyAlignment="1">
      <alignment horizontal="center" vertical="center" wrapText="1"/>
    </xf>
    <xf numFmtId="0" fontId="5" fillId="33" borderId="1" xfId="1" applyFont="1" applyFill="1" applyBorder="1" applyAlignment="1">
      <alignment horizontal="center" vertical="center" wrapText="1"/>
    </xf>
    <xf numFmtId="0" fontId="5" fillId="33" borderId="1" xfId="1" applyFont="1" applyFill="1" applyBorder="1" applyAlignment="1">
      <alignment horizontal="left" vertical="center" wrapText="1"/>
    </xf>
    <xf numFmtId="2" fontId="5" fillId="33" borderId="1" xfId="1" applyNumberFormat="1" applyFont="1" applyFill="1" applyBorder="1" applyAlignment="1">
      <alignment horizontal="center" vertical="center" wrapText="1"/>
    </xf>
    <xf numFmtId="49" fontId="6" fillId="33" borderId="1" xfId="1" applyNumberFormat="1" applyFont="1" applyFill="1" applyBorder="1" applyAlignment="1" applyProtection="1">
      <alignment horizontal="center" vertical="center"/>
      <protection locked="0"/>
    </xf>
    <xf numFmtId="2" fontId="7" fillId="33" borderId="1" xfId="1" applyNumberFormat="1" applyFont="1" applyFill="1" applyBorder="1" applyAlignment="1">
      <alignment horizontal="center" vertical="center" wrapText="1"/>
    </xf>
    <xf numFmtId="2" fontId="5" fillId="34" borderId="1" xfId="3" applyNumberFormat="1" applyFont="1" applyFill="1" applyBorder="1" applyAlignment="1" applyProtection="1">
      <alignment horizontal="center" vertical="center" wrapText="1"/>
    </xf>
    <xf numFmtId="2" fontId="5" fillId="34" borderId="12" xfId="3" applyNumberFormat="1" applyFont="1" applyFill="1" applyBorder="1" applyAlignment="1" applyProtection="1">
      <alignment horizontal="center" vertical="center" wrapText="1"/>
    </xf>
    <xf numFmtId="10" fontId="5" fillId="33" borderId="1" xfId="1" applyNumberFormat="1" applyFont="1" applyFill="1" applyBorder="1" applyAlignment="1">
      <alignment horizontal="center" vertical="center" wrapText="1"/>
    </xf>
    <xf numFmtId="9" fontId="5" fillId="33" borderId="1" xfId="1" applyNumberFormat="1" applyFont="1" applyFill="1" applyBorder="1" applyAlignment="1">
      <alignment horizontal="center" vertical="center" wrapText="1"/>
    </xf>
    <xf numFmtId="0" fontId="30" fillId="18" borderId="1" xfId="1" applyFont="1" applyFill="1" applyBorder="1" applyAlignment="1">
      <alignment vertical="center"/>
    </xf>
    <xf numFmtId="0" fontId="30" fillId="9" borderId="1" xfId="1" applyFont="1" applyFill="1" applyBorder="1" applyAlignment="1">
      <alignment vertical="center"/>
    </xf>
    <xf numFmtId="0" fontId="7" fillId="33" borderId="1" xfId="1" applyFont="1" applyFill="1" applyBorder="1" applyAlignment="1">
      <alignment vertical="center"/>
    </xf>
    <xf numFmtId="2" fontId="56" fillId="15" borderId="12" xfId="1" applyNumberFormat="1" applyFont="1" applyFill="1" applyBorder="1" applyAlignment="1">
      <alignment horizontal="center" vertical="center" wrapText="1"/>
    </xf>
    <xf numFmtId="49" fontId="13" fillId="15" borderId="4" xfId="1" applyNumberFormat="1" applyFont="1" applyFill="1" applyBorder="1" applyAlignment="1">
      <alignment horizontal="center" vertical="center" wrapText="1"/>
    </xf>
    <xf numFmtId="0" fontId="11" fillId="15" borderId="1" xfId="1" applyFont="1" applyFill="1" applyBorder="1" applyAlignment="1">
      <alignment horizontal="center" vertical="center" wrapText="1"/>
    </xf>
    <xf numFmtId="0" fontId="11" fillId="15" borderId="12" xfId="1" applyNumberFormat="1" applyFont="1" applyFill="1" applyBorder="1" applyAlignment="1">
      <alignment horizontal="center" vertical="center" wrapText="1"/>
    </xf>
    <xf numFmtId="2" fontId="31" fillId="15" borderId="12" xfId="1" applyNumberFormat="1" applyFont="1" applyFill="1" applyBorder="1" applyAlignment="1">
      <alignment horizontal="center" vertical="top" wrapText="1"/>
    </xf>
    <xf numFmtId="2" fontId="38" fillId="15" borderId="12" xfId="1" applyNumberFormat="1" applyFont="1" applyFill="1" applyBorder="1" applyAlignment="1">
      <alignment horizontal="center" vertical="center" wrapText="1"/>
    </xf>
    <xf numFmtId="49" fontId="13" fillId="15" borderId="29" xfId="1" applyNumberFormat="1" applyFont="1" applyFill="1" applyBorder="1" applyAlignment="1">
      <alignment horizontal="center" vertical="center" wrapText="1"/>
    </xf>
    <xf numFmtId="49" fontId="12" fillId="15" borderId="1" xfId="1" applyNumberFormat="1" applyFont="1" applyFill="1" applyBorder="1" applyAlignment="1">
      <alignment horizontal="center" vertical="center" wrapText="1"/>
    </xf>
    <xf numFmtId="49" fontId="12" fillId="15" borderId="4" xfId="1" applyNumberFormat="1" applyFont="1" applyFill="1" applyBorder="1" applyAlignment="1">
      <alignment horizontal="center" vertical="center" wrapText="1"/>
    </xf>
    <xf numFmtId="0" fontId="12" fillId="15" borderId="29" xfId="1" applyFont="1" applyFill="1" applyBorder="1" applyAlignment="1">
      <alignment vertical="center"/>
    </xf>
    <xf numFmtId="0" fontId="12" fillId="15" borderId="29" xfId="1" applyFont="1" applyFill="1" applyBorder="1" applyAlignment="1">
      <alignment horizontal="left" vertical="center" wrapText="1"/>
    </xf>
    <xf numFmtId="0" fontId="12" fillId="15" borderId="29" xfId="1" applyFont="1" applyFill="1" applyBorder="1" applyAlignment="1">
      <alignment horizontal="center" vertical="center"/>
    </xf>
    <xf numFmtId="0" fontId="11" fillId="15" borderId="29" xfId="1" applyNumberFormat="1" applyFont="1" applyFill="1" applyBorder="1" applyAlignment="1">
      <alignment horizontal="center" vertical="center" wrapText="1"/>
    </xf>
    <xf numFmtId="0" fontId="11" fillId="15" borderId="29" xfId="1" applyFont="1" applyFill="1" applyBorder="1" applyAlignment="1">
      <alignment horizontal="center" vertical="center"/>
    </xf>
    <xf numFmtId="0" fontId="32" fillId="15" borderId="29" xfId="1" applyFont="1" applyFill="1" applyBorder="1" applyAlignment="1" applyProtection="1">
      <alignment horizontal="center"/>
      <protection locked="0"/>
    </xf>
    <xf numFmtId="2" fontId="12" fillId="15" borderId="29" xfId="1" applyNumberFormat="1" applyFont="1" applyFill="1" applyBorder="1" applyAlignment="1">
      <alignment horizontal="center" vertical="center" wrapText="1"/>
    </xf>
    <xf numFmtId="2" fontId="31" fillId="15" borderId="29" xfId="1" applyNumberFormat="1" applyFont="1" applyFill="1" applyBorder="1" applyAlignment="1">
      <alignment horizontal="center" vertical="top" wrapText="1"/>
    </xf>
    <xf numFmtId="2" fontId="38" fillId="15" borderId="29" xfId="1" applyNumberFormat="1" applyFont="1" applyFill="1" applyBorder="1" applyAlignment="1">
      <alignment horizontal="center" vertical="center" wrapText="1"/>
    </xf>
    <xf numFmtId="10" fontId="12" fillId="15" borderId="29" xfId="1" applyNumberFormat="1" applyFont="1" applyFill="1" applyBorder="1" applyAlignment="1">
      <alignment horizontal="center" vertical="center" wrapText="1"/>
    </xf>
    <xf numFmtId="10" fontId="12" fillId="2" borderId="12" xfId="1" applyNumberFormat="1" applyFont="1" applyFill="1" applyBorder="1" applyAlignment="1">
      <alignment horizontal="center" vertical="center" wrapText="1"/>
    </xf>
    <xf numFmtId="49" fontId="13" fillId="2" borderId="12" xfId="1" applyNumberFormat="1" applyFont="1" applyFill="1" applyBorder="1" applyAlignment="1">
      <alignment horizontal="center" vertical="center" wrapText="1"/>
    </xf>
    <xf numFmtId="2" fontId="29" fillId="2" borderId="12" xfId="1" applyNumberFormat="1" applyFont="1" applyFill="1" applyBorder="1" applyAlignment="1">
      <alignment horizontal="center" vertical="center" wrapText="1"/>
    </xf>
    <xf numFmtId="10" fontId="5" fillId="5" borderId="12" xfId="3" applyNumberFormat="1" applyFont="1" applyFill="1" applyBorder="1" applyAlignment="1" applyProtection="1">
      <alignment horizontal="center" vertical="center" wrapText="1"/>
    </xf>
    <xf numFmtId="2" fontId="30" fillId="2" borderId="12" xfId="1" applyNumberFormat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/>
    </xf>
    <xf numFmtId="2" fontId="7" fillId="15" borderId="29" xfId="1" applyNumberFormat="1" applyFont="1" applyFill="1" applyBorder="1" applyAlignment="1">
      <alignment horizontal="center" vertical="center" wrapText="1"/>
    </xf>
    <xf numFmtId="2" fontId="7" fillId="15" borderId="23" xfId="1" applyNumberFormat="1" applyFont="1" applyFill="1" applyBorder="1" applyAlignment="1">
      <alignment horizontal="center" vertical="center" wrapText="1"/>
    </xf>
    <xf numFmtId="0" fontId="2" fillId="15" borderId="33" xfId="1" applyFont="1" applyFill="1" applyBorder="1" applyAlignment="1">
      <alignment vertical="center" wrapText="1"/>
    </xf>
    <xf numFmtId="2" fontId="7" fillId="2" borderId="12" xfId="1" applyNumberFormat="1" applyFont="1" applyFill="1" applyBorder="1" applyAlignment="1">
      <alignment horizontal="center" vertical="center" wrapText="1"/>
    </xf>
    <xf numFmtId="0" fontId="12" fillId="15" borderId="4" xfId="2" applyFont="1" applyFill="1" applyBorder="1" applyAlignment="1">
      <alignment vertical="center"/>
    </xf>
    <xf numFmtId="0" fontId="12" fillId="15" borderId="4" xfId="2" applyFont="1" applyFill="1" applyBorder="1" applyAlignment="1">
      <alignment horizontal="left" vertical="center"/>
    </xf>
    <xf numFmtId="0" fontId="12" fillId="15" borderId="4" xfId="2" applyFont="1" applyFill="1" applyBorder="1" applyAlignment="1">
      <alignment horizontal="center" vertical="center"/>
    </xf>
    <xf numFmtId="0" fontId="13" fillId="15" borderId="4" xfId="2" applyFont="1" applyFill="1" applyBorder="1" applyAlignment="1">
      <alignment horizontal="center" vertical="center"/>
    </xf>
    <xf numFmtId="0" fontId="28" fillId="15" borderId="4" xfId="1" applyNumberFormat="1" applyFont="1" applyFill="1" applyBorder="1" applyAlignment="1" applyProtection="1">
      <alignment horizontal="center" vertical="center"/>
      <protection locked="0"/>
    </xf>
    <xf numFmtId="0" fontId="30" fillId="15" borderId="4" xfId="2" applyFont="1" applyFill="1" applyBorder="1" applyAlignment="1">
      <alignment horizontal="center" vertical="center"/>
    </xf>
    <xf numFmtId="0" fontId="12" fillId="15" borderId="1" xfId="2" applyFont="1" applyFill="1" applyBorder="1" applyAlignment="1">
      <alignment vertical="center"/>
    </xf>
    <xf numFmtId="0" fontId="12" fillId="15" borderId="12" xfId="2" applyFont="1" applyFill="1" applyBorder="1" applyAlignment="1">
      <alignment vertical="center"/>
    </xf>
    <xf numFmtId="0" fontId="12" fillId="15" borderId="12" xfId="2" applyFont="1" applyFill="1" applyBorder="1" applyAlignment="1">
      <alignment horizontal="center" vertical="center"/>
    </xf>
    <xf numFmtId="0" fontId="30" fillId="15" borderId="12" xfId="2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30" fillId="11" borderId="1" xfId="1" applyFont="1" applyFill="1" applyBorder="1" applyAlignment="1">
      <alignment horizontal="center" vertical="center" wrapText="1"/>
    </xf>
    <xf numFmtId="0" fontId="5" fillId="27" borderId="12" xfId="0" applyFont="1" applyFill="1" applyBorder="1" applyAlignment="1">
      <alignment vertical="center" wrapText="1"/>
    </xf>
    <xf numFmtId="0" fontId="5" fillId="26" borderId="12" xfId="1" applyFont="1" applyFill="1" applyBorder="1" applyAlignment="1">
      <alignment horizontal="center" vertical="center"/>
    </xf>
    <xf numFmtId="0" fontId="5" fillId="27" borderId="12" xfId="0" applyFont="1" applyFill="1" applyBorder="1" applyAlignment="1">
      <alignment horizontal="center" vertical="center" wrapText="1"/>
    </xf>
    <xf numFmtId="2" fontId="5" fillId="26" borderId="29" xfId="1" applyNumberFormat="1" applyFont="1" applyFill="1" applyBorder="1" applyAlignment="1">
      <alignment horizontal="center" vertical="center" wrapText="1"/>
    </xf>
    <xf numFmtId="2" fontId="7" fillId="26" borderId="29" xfId="1" applyNumberFormat="1" applyFont="1" applyFill="1" applyBorder="1" applyAlignment="1">
      <alignment horizontal="center" vertical="center" wrapText="1"/>
    </xf>
    <xf numFmtId="10" fontId="5" fillId="26" borderId="29" xfId="1" applyNumberFormat="1" applyFont="1" applyFill="1" applyBorder="1" applyAlignment="1">
      <alignment horizontal="center" vertical="center" wrapText="1"/>
    </xf>
    <xf numFmtId="9" fontId="5" fillId="26" borderId="29" xfId="1" applyNumberFormat="1" applyFont="1" applyFill="1" applyBorder="1" applyAlignment="1">
      <alignment horizontal="center" vertical="center" wrapText="1"/>
    </xf>
    <xf numFmtId="2" fontId="37" fillId="0" borderId="0" xfId="1" applyNumberFormat="1" applyFont="1" applyFill="1" applyAlignment="1">
      <alignment horizontal="center"/>
    </xf>
    <xf numFmtId="2" fontId="2" fillId="28" borderId="0" xfId="1" applyNumberFormat="1" applyFont="1" applyFill="1" applyAlignment="1">
      <alignment vertical="center" wrapText="1"/>
    </xf>
    <xf numFmtId="0" fontId="2" fillId="35" borderId="0" xfId="1" applyFont="1" applyFill="1"/>
    <xf numFmtId="2" fontId="2" fillId="35" borderId="0" xfId="1" applyNumberFormat="1" applyFont="1" applyFill="1" applyBorder="1"/>
    <xf numFmtId="0" fontId="2" fillId="35" borderId="0" xfId="1" applyFont="1" applyFill="1" applyBorder="1"/>
    <xf numFmtId="2" fontId="2" fillId="35" borderId="0" xfId="1" applyNumberFormat="1" applyFont="1" applyFill="1"/>
    <xf numFmtId="0" fontId="38" fillId="35" borderId="0" xfId="1" applyFont="1" applyFill="1" applyAlignment="1">
      <alignment horizontal="center" wrapText="1"/>
    </xf>
    <xf numFmtId="0" fontId="39" fillId="35" borderId="0" xfId="1" applyFont="1" applyFill="1" applyBorder="1" applyAlignment="1">
      <alignment horizontal="center" wrapText="1"/>
    </xf>
    <xf numFmtId="2" fontId="7" fillId="15" borderId="26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12" fillId="2" borderId="4" xfId="1" applyFont="1" applyFill="1" applyBorder="1" applyAlignment="1" applyProtection="1">
      <alignment horizontal="center" vertical="center"/>
      <protection locked="0"/>
    </xf>
    <xf numFmtId="0" fontId="56" fillId="2" borderId="4" xfId="1" applyFont="1" applyFill="1" applyBorder="1" applyAlignment="1">
      <alignment horizontal="center" vertical="center" wrapText="1"/>
    </xf>
    <xf numFmtId="0" fontId="12" fillId="2" borderId="12" xfId="1" applyFont="1" applyFill="1" applyBorder="1" applyAlignment="1" applyProtection="1">
      <alignment horizontal="center"/>
      <protection locked="0"/>
    </xf>
    <xf numFmtId="0" fontId="62" fillId="2" borderId="1" xfId="1" applyFont="1" applyFill="1" applyBorder="1" applyAlignment="1" applyProtection="1">
      <alignment horizontal="center"/>
      <protection locked="0"/>
    </xf>
    <xf numFmtId="2" fontId="56" fillId="2" borderId="4" xfId="1" applyNumberFormat="1" applyFont="1" applyFill="1" applyBorder="1" applyAlignment="1">
      <alignment horizontal="center" vertical="center" wrapText="1"/>
    </xf>
    <xf numFmtId="2" fontId="13" fillId="2" borderId="12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 applyProtection="1">
      <alignment horizontal="center" vertical="center"/>
      <protection locked="0"/>
    </xf>
    <xf numFmtId="0" fontId="38" fillId="2" borderId="1" xfId="1" applyFont="1" applyFill="1" applyBorder="1" applyAlignment="1" applyProtection="1">
      <alignment horizontal="center"/>
      <protection locked="0"/>
    </xf>
    <xf numFmtId="49" fontId="13" fillId="2" borderId="29" xfId="1" applyNumberFormat="1" applyFont="1" applyFill="1" applyBorder="1" applyAlignment="1">
      <alignment horizontal="center" vertical="center" wrapText="1"/>
    </xf>
    <xf numFmtId="0" fontId="56" fillId="2" borderId="1" xfId="1" applyFont="1" applyFill="1" applyBorder="1" applyAlignment="1">
      <alignment horizontal="center" vertical="center" wrapText="1"/>
    </xf>
    <xf numFmtId="2" fontId="56" fillId="2" borderId="1" xfId="1" applyNumberFormat="1" applyFont="1" applyFill="1" applyBorder="1" applyAlignment="1">
      <alignment horizontal="center" wrapText="1"/>
    </xf>
    <xf numFmtId="0" fontId="13" fillId="2" borderId="12" xfId="1" applyFont="1" applyFill="1" applyBorder="1" applyAlignment="1">
      <alignment horizontal="center" vertical="center"/>
    </xf>
    <xf numFmtId="0" fontId="28" fillId="2" borderId="12" xfId="1" applyFont="1" applyFill="1" applyBorder="1" applyAlignment="1" applyProtection="1">
      <alignment horizontal="center"/>
      <protection locked="0"/>
    </xf>
    <xf numFmtId="2" fontId="38" fillId="2" borderId="12" xfId="1" applyNumberFormat="1" applyFont="1" applyFill="1" applyBorder="1" applyAlignment="1">
      <alignment horizontal="center" vertical="center" wrapText="1"/>
    </xf>
    <xf numFmtId="0" fontId="12" fillId="2" borderId="29" xfId="1" applyFont="1" applyFill="1" applyBorder="1" applyAlignment="1">
      <alignment horizontal="center" vertical="center"/>
    </xf>
    <xf numFmtId="0" fontId="11" fillId="2" borderId="29" xfId="1" applyFont="1" applyFill="1" applyBorder="1" applyAlignment="1">
      <alignment horizontal="center" vertical="center"/>
    </xf>
    <xf numFmtId="0" fontId="32" fillId="2" borderId="29" xfId="1" applyFont="1" applyFill="1" applyBorder="1" applyAlignment="1" applyProtection="1">
      <alignment horizontal="center"/>
      <protection locked="0"/>
    </xf>
    <xf numFmtId="2" fontId="38" fillId="2" borderId="29" xfId="1" applyNumberFormat="1" applyFont="1" applyFill="1" applyBorder="1" applyAlignment="1">
      <alignment horizontal="center" vertical="center" wrapText="1"/>
    </xf>
    <xf numFmtId="2" fontId="12" fillId="37" borderId="12" xfId="3" applyNumberFormat="1" applyFont="1" applyFill="1" applyBorder="1" applyAlignment="1" applyProtection="1">
      <alignment horizontal="center" vertical="center" wrapText="1"/>
    </xf>
    <xf numFmtId="0" fontId="30" fillId="2" borderId="4" xfId="2" applyFont="1" applyFill="1" applyBorder="1" applyAlignment="1">
      <alignment horizontal="center" vertical="center"/>
    </xf>
    <xf numFmtId="0" fontId="30" fillId="2" borderId="1" xfId="2" applyFont="1" applyFill="1" applyBorder="1" applyAlignment="1">
      <alignment horizontal="center" vertical="center"/>
    </xf>
    <xf numFmtId="0" fontId="13" fillId="2" borderId="12" xfId="2" applyFont="1" applyFill="1" applyBorder="1" applyAlignment="1">
      <alignment horizontal="center" vertical="center"/>
    </xf>
    <xf numFmtId="0" fontId="30" fillId="2" borderId="12" xfId="2" applyFont="1" applyFill="1" applyBorder="1" applyAlignment="1">
      <alignment horizontal="center" vertical="center"/>
    </xf>
    <xf numFmtId="0" fontId="63" fillId="2" borderId="1" xfId="1" applyFont="1" applyFill="1" applyBorder="1" applyAlignment="1" applyProtection="1">
      <alignment horizontal="center"/>
      <protection locked="0"/>
    </xf>
    <xf numFmtId="0" fontId="30" fillId="2" borderId="1" xfId="2" applyFont="1" applyFill="1" applyBorder="1" applyAlignment="1">
      <alignment horizontal="center" vertical="center" wrapText="1"/>
    </xf>
    <xf numFmtId="0" fontId="12" fillId="2" borderId="1" xfId="1" applyNumberFormat="1" applyFont="1" applyFill="1" applyBorder="1" applyAlignment="1" applyProtection="1">
      <alignment horizontal="center" vertical="center"/>
      <protection locked="0"/>
    </xf>
    <xf numFmtId="0" fontId="63" fillId="2" borderId="12" xfId="1" applyFont="1" applyFill="1" applyBorder="1" applyAlignment="1" applyProtection="1">
      <alignment horizontal="center"/>
      <protection locked="0"/>
    </xf>
    <xf numFmtId="0" fontId="30" fillId="2" borderId="12" xfId="2" applyFont="1" applyFill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left" vertical="center"/>
    </xf>
    <xf numFmtId="2" fontId="33" fillId="5" borderId="4" xfId="3" applyNumberFormat="1" applyFont="1" applyFill="1" applyBorder="1" applyAlignment="1" applyProtection="1">
      <alignment horizontal="center" vertical="center" wrapText="1"/>
    </xf>
    <xf numFmtId="2" fontId="30" fillId="5" borderId="1" xfId="3" applyNumberFormat="1" applyFont="1" applyFill="1" applyBorder="1" applyAlignment="1" applyProtection="1">
      <alignment horizontal="center" vertical="center" wrapText="1"/>
    </xf>
    <xf numFmtId="0" fontId="13" fillId="5" borderId="4" xfId="1" applyFont="1" applyFill="1" applyBorder="1" applyAlignment="1">
      <alignment horizontal="center" vertical="center" wrapText="1"/>
    </xf>
    <xf numFmtId="0" fontId="30" fillId="5" borderId="1" xfId="3" applyNumberFormat="1" applyFont="1" applyFill="1" applyBorder="1" applyAlignment="1" applyProtection="1">
      <alignment horizontal="center" vertical="center" wrapText="1"/>
    </xf>
    <xf numFmtId="0" fontId="30" fillId="5" borderId="12" xfId="3" applyNumberFormat="1" applyFont="1" applyFill="1" applyBorder="1" applyAlignment="1" applyProtection="1">
      <alignment horizontal="center" vertical="center" wrapText="1"/>
    </xf>
    <xf numFmtId="2" fontId="30" fillId="5" borderId="12" xfId="3" applyNumberFormat="1" applyFont="1" applyFill="1" applyBorder="1" applyAlignment="1" applyProtection="1">
      <alignment horizontal="center" vertical="center" wrapText="1"/>
    </xf>
    <xf numFmtId="0" fontId="11" fillId="5" borderId="10" xfId="3" applyNumberFormat="1" applyFont="1" applyFill="1" applyBorder="1" applyAlignment="1" applyProtection="1">
      <alignment horizontal="left" vertical="center" wrapText="1"/>
    </xf>
    <xf numFmtId="0" fontId="12" fillId="36" borderId="12" xfId="1" applyFont="1" applyFill="1" applyBorder="1" applyAlignment="1">
      <alignment horizontal="center" vertical="center" wrapText="1"/>
    </xf>
    <xf numFmtId="0" fontId="12" fillId="36" borderId="12" xfId="1" applyFont="1" applyFill="1" applyBorder="1" applyAlignment="1">
      <alignment vertical="center"/>
    </xf>
    <xf numFmtId="0" fontId="12" fillId="36" borderId="12" xfId="1" applyFont="1" applyFill="1" applyBorder="1" applyAlignment="1">
      <alignment horizontal="left" vertical="center" wrapText="1"/>
    </xf>
    <xf numFmtId="49" fontId="13" fillId="36" borderId="4" xfId="1" applyNumberFormat="1" applyFont="1" applyFill="1" applyBorder="1" applyAlignment="1">
      <alignment horizontal="center" vertical="center" wrapText="1"/>
    </xf>
    <xf numFmtId="49" fontId="13" fillId="36" borderId="12" xfId="1" applyNumberFormat="1" applyFont="1" applyFill="1" applyBorder="1" applyAlignment="1">
      <alignment horizontal="center" vertical="center" wrapText="1"/>
    </xf>
    <xf numFmtId="0" fontId="11" fillId="36" borderId="12" xfId="1" applyFont="1" applyFill="1" applyBorder="1" applyAlignment="1">
      <alignment horizontal="center" vertical="center"/>
    </xf>
    <xf numFmtId="0" fontId="32" fillId="36" borderId="12" xfId="1" applyFont="1" applyFill="1" applyBorder="1" applyAlignment="1" applyProtection="1">
      <alignment horizontal="center"/>
      <protection locked="0"/>
    </xf>
    <xf numFmtId="2" fontId="12" fillId="36" borderId="12" xfId="1" applyNumberFormat="1" applyFont="1" applyFill="1" applyBorder="1" applyAlignment="1">
      <alignment horizontal="center" vertical="center" wrapText="1"/>
    </xf>
    <xf numFmtId="2" fontId="56" fillId="36" borderId="12" xfId="1" applyNumberFormat="1" applyFont="1" applyFill="1" applyBorder="1" applyAlignment="1">
      <alignment horizontal="center" vertical="center" wrapText="1"/>
    </xf>
    <xf numFmtId="10" fontId="12" fillId="36" borderId="12" xfId="1" applyNumberFormat="1" applyFont="1" applyFill="1" applyBorder="1" applyAlignment="1">
      <alignment horizontal="center" vertical="center" wrapText="1"/>
    </xf>
    <xf numFmtId="10" fontId="5" fillId="37" borderId="12" xfId="3" applyNumberFormat="1" applyFont="1" applyFill="1" applyBorder="1" applyAlignment="1" applyProtection="1">
      <alignment horizontal="center" vertical="center" wrapText="1"/>
    </xf>
    <xf numFmtId="2" fontId="30" fillId="36" borderId="12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/>
    </xf>
    <xf numFmtId="0" fontId="7" fillId="5" borderId="1" xfId="3" applyNumberFormat="1" applyFont="1" applyFill="1" applyBorder="1" applyAlignment="1" applyProtection="1">
      <alignment horizontal="center" vertical="center" wrapText="1"/>
    </xf>
    <xf numFmtId="2" fontId="7" fillId="5" borderId="1" xfId="3" applyNumberFormat="1" applyFont="1" applyFill="1" applyBorder="1" applyAlignment="1" applyProtection="1">
      <alignment horizontal="center" vertical="center" wrapText="1"/>
    </xf>
    <xf numFmtId="0" fontId="5" fillId="2" borderId="12" xfId="1" applyFont="1" applyFill="1" applyBorder="1" applyAlignment="1">
      <alignment horizontal="left" vertical="center" wrapText="1"/>
    </xf>
    <xf numFmtId="2" fontId="16" fillId="2" borderId="29" xfId="1" applyNumberFormat="1" applyFont="1" applyFill="1" applyBorder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 wrapText="1"/>
    </xf>
    <xf numFmtId="0" fontId="5" fillId="2" borderId="12" xfId="1" applyNumberFormat="1" applyFont="1" applyFill="1" applyBorder="1" applyAlignment="1">
      <alignment horizontal="center" vertical="center" wrapText="1"/>
    </xf>
    <xf numFmtId="49" fontId="7" fillId="2" borderId="12" xfId="1" applyNumberFormat="1" applyFont="1" applyFill="1" applyBorder="1" applyAlignment="1">
      <alignment horizontal="center" vertical="center" wrapText="1"/>
    </xf>
    <xf numFmtId="10" fontId="5" fillId="2" borderId="12" xfId="1" applyNumberFormat="1" applyFont="1" applyFill="1" applyBorder="1" applyAlignment="1">
      <alignment horizontal="center" vertical="center" wrapText="1"/>
    </xf>
    <xf numFmtId="0" fontId="16" fillId="2" borderId="1" xfId="1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vertical="center" wrapText="1"/>
    </xf>
    <xf numFmtId="0" fontId="5" fillId="2" borderId="12" xfId="1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 wrapText="1"/>
    </xf>
    <xf numFmtId="10" fontId="5" fillId="2" borderId="29" xfId="1" applyNumberFormat="1" applyFont="1" applyFill="1" applyBorder="1" applyAlignment="1">
      <alignment horizontal="center" vertical="center" wrapText="1"/>
    </xf>
    <xf numFmtId="9" fontId="5" fillId="2" borderId="29" xfId="1" applyNumberFormat="1" applyFont="1" applyFill="1" applyBorder="1" applyAlignment="1">
      <alignment horizontal="center" vertical="center" wrapText="1"/>
    </xf>
    <xf numFmtId="2" fontId="64" fillId="2" borderId="1" xfId="1" applyNumberFormat="1" applyFont="1" applyFill="1" applyBorder="1" applyAlignment="1">
      <alignment horizontal="center" vertical="top" wrapText="1"/>
    </xf>
    <xf numFmtId="166" fontId="34" fillId="34" borderId="1" xfId="3" applyNumberFormat="1" applyFont="1" applyFill="1" applyBorder="1" applyAlignment="1" applyProtection="1">
      <alignment vertical="center" wrapText="1"/>
    </xf>
    <xf numFmtId="165" fontId="33" fillId="24" borderId="4" xfId="2" applyNumberFormat="1" applyFont="1" applyFill="1" applyBorder="1" applyAlignment="1">
      <alignment horizontal="center" vertical="center"/>
    </xf>
    <xf numFmtId="49" fontId="12" fillId="2" borderId="12" xfId="1" applyNumberFormat="1" applyFont="1" applyFill="1" applyBorder="1" applyAlignment="1">
      <alignment horizontal="center" vertical="center" wrapText="1"/>
    </xf>
    <xf numFmtId="0" fontId="12" fillId="2" borderId="12" xfId="1" applyNumberFormat="1" applyFont="1" applyFill="1" applyBorder="1" applyAlignment="1" applyProtection="1">
      <alignment horizontal="center" vertical="center"/>
      <protection locked="0"/>
    </xf>
    <xf numFmtId="2" fontId="64" fillId="2" borderId="12" xfId="1" applyNumberFormat="1" applyFont="1" applyFill="1" applyBorder="1" applyAlignment="1">
      <alignment horizontal="center" vertical="top" wrapText="1"/>
    </xf>
    <xf numFmtId="2" fontId="64" fillId="2" borderId="29" xfId="1" applyNumberFormat="1" applyFont="1" applyFill="1" applyBorder="1" applyAlignment="1">
      <alignment horizontal="center" vertical="top" wrapText="1"/>
    </xf>
    <xf numFmtId="0" fontId="13" fillId="2" borderId="12" xfId="1" applyFont="1" applyFill="1" applyBorder="1" applyAlignment="1">
      <alignment horizontal="center" vertical="center" wrapText="1"/>
    </xf>
    <xf numFmtId="2" fontId="7" fillId="28" borderId="1" xfId="1" applyNumberFormat="1" applyFont="1" applyFill="1" applyBorder="1" applyAlignment="1">
      <alignment horizontal="center" vertical="center" wrapText="1"/>
    </xf>
    <xf numFmtId="2" fontId="7" fillId="28" borderId="12" xfId="1" applyNumberFormat="1" applyFont="1" applyFill="1" applyBorder="1" applyAlignment="1">
      <alignment horizontal="center" vertical="center" wrapText="1"/>
    </xf>
    <xf numFmtId="0" fontId="12" fillId="9" borderId="35" xfId="1" applyFont="1" applyFill="1" applyBorder="1" applyAlignment="1">
      <alignment horizontal="center" vertical="center" wrapText="1"/>
    </xf>
    <xf numFmtId="0" fontId="12" fillId="9" borderId="31" xfId="1" applyFont="1" applyFill="1" applyBorder="1" applyAlignment="1">
      <alignment vertical="center"/>
    </xf>
    <xf numFmtId="0" fontId="12" fillId="9" borderId="31" xfId="1" applyFont="1" applyFill="1" applyBorder="1" applyAlignment="1">
      <alignment horizontal="left" vertical="center" wrapText="1"/>
    </xf>
    <xf numFmtId="0" fontId="12" fillId="9" borderId="31" xfId="1" applyFont="1" applyFill="1" applyBorder="1" applyAlignment="1">
      <alignment horizontal="center" vertical="center"/>
    </xf>
    <xf numFmtId="0" fontId="13" fillId="9" borderId="31" xfId="1" applyFont="1" applyFill="1" applyBorder="1" applyAlignment="1">
      <alignment horizontal="center" vertical="center"/>
    </xf>
    <xf numFmtId="49" fontId="13" fillId="9" borderId="31" xfId="1" applyNumberFormat="1" applyFont="1" applyFill="1" applyBorder="1" applyAlignment="1">
      <alignment horizontal="center" vertical="center" wrapText="1"/>
    </xf>
    <xf numFmtId="0" fontId="12" fillId="9" borderId="31" xfId="1" applyFont="1" applyFill="1" applyBorder="1" applyAlignment="1">
      <alignment horizontal="center" vertical="center" wrapText="1"/>
    </xf>
    <xf numFmtId="0" fontId="28" fillId="9" borderId="31" xfId="1" applyFont="1" applyFill="1" applyBorder="1" applyAlignment="1" applyProtection="1">
      <alignment horizontal="center"/>
      <protection locked="0"/>
    </xf>
    <xf numFmtId="2" fontId="12" fillId="9" borderId="31" xfId="1" applyNumberFormat="1" applyFont="1" applyFill="1" applyBorder="1" applyAlignment="1">
      <alignment horizontal="center" vertical="center" wrapText="1"/>
    </xf>
    <xf numFmtId="2" fontId="29" fillId="9" borderId="31" xfId="1" applyNumberFormat="1" applyFont="1" applyFill="1" applyBorder="1" applyAlignment="1">
      <alignment horizontal="center" vertical="center" wrapText="1"/>
    </xf>
    <xf numFmtId="2" fontId="56" fillId="9" borderId="31" xfId="1" applyNumberFormat="1" applyFont="1" applyFill="1" applyBorder="1" applyAlignment="1">
      <alignment horizontal="center" vertical="center" wrapText="1"/>
    </xf>
    <xf numFmtId="2" fontId="12" fillId="10" borderId="31" xfId="3" applyNumberFormat="1" applyFont="1" applyFill="1" applyBorder="1" applyAlignment="1" applyProtection="1">
      <alignment horizontal="center" vertical="center" wrapText="1"/>
    </xf>
    <xf numFmtId="10" fontId="12" fillId="9" borderId="31" xfId="1" applyNumberFormat="1" applyFont="1" applyFill="1" applyBorder="1" applyAlignment="1">
      <alignment horizontal="center" vertical="center" wrapText="1"/>
    </xf>
    <xf numFmtId="9" fontId="12" fillId="9" borderId="31" xfId="1" applyNumberFormat="1" applyFont="1" applyFill="1" applyBorder="1" applyAlignment="1">
      <alignment horizontal="center" vertical="center" wrapText="1"/>
    </xf>
    <xf numFmtId="2" fontId="30" fillId="9" borderId="32" xfId="1" applyNumberFormat="1" applyFont="1" applyFill="1" applyBorder="1" applyAlignment="1">
      <alignment horizontal="center" vertical="center" wrapText="1"/>
    </xf>
    <xf numFmtId="0" fontId="11" fillId="2" borderId="4" xfId="1" applyNumberFormat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/>
    </xf>
    <xf numFmtId="0" fontId="32" fillId="2" borderId="4" xfId="1" applyFont="1" applyFill="1" applyBorder="1" applyAlignment="1" applyProtection="1">
      <alignment horizontal="center"/>
      <protection locked="0"/>
    </xf>
    <xf numFmtId="2" fontId="64" fillId="2" borderId="4" xfId="1" applyNumberFormat="1" applyFont="1" applyFill="1" applyBorder="1" applyAlignment="1">
      <alignment horizontal="center" vertical="top" wrapText="1"/>
    </xf>
    <xf numFmtId="2" fontId="38" fillId="2" borderId="4" xfId="1" applyNumberFormat="1" applyFont="1" applyFill="1" applyBorder="1" applyAlignment="1">
      <alignment horizontal="center" vertical="center" wrapText="1"/>
    </xf>
    <xf numFmtId="10" fontId="5" fillId="5" borderId="4" xfId="3" applyNumberFormat="1" applyFont="1" applyFill="1" applyBorder="1" applyAlignment="1" applyProtection="1">
      <alignment horizontal="center" vertical="center" wrapText="1"/>
    </xf>
    <xf numFmtId="0" fontId="12" fillId="9" borderId="36" xfId="1" applyFont="1" applyFill="1" applyBorder="1" applyAlignment="1">
      <alignment horizontal="center" vertical="center" wrapText="1"/>
    </xf>
    <xf numFmtId="0" fontId="30" fillId="9" borderId="37" xfId="1" applyFont="1" applyFill="1" applyBorder="1" applyAlignment="1">
      <alignment vertical="center"/>
    </xf>
    <xf numFmtId="0" fontId="12" fillId="9" borderId="37" xfId="1" applyFont="1" applyFill="1" applyBorder="1" applyAlignment="1">
      <alignment horizontal="left" vertical="center" wrapText="1"/>
    </xf>
    <xf numFmtId="0" fontId="12" fillId="9" borderId="37" xfId="1" applyFont="1" applyFill="1" applyBorder="1" applyAlignment="1">
      <alignment horizontal="center" vertical="center"/>
    </xf>
    <xf numFmtId="49" fontId="13" fillId="9" borderId="37" xfId="1" applyNumberFormat="1" applyFont="1" applyFill="1" applyBorder="1" applyAlignment="1">
      <alignment horizontal="center" vertical="center" wrapText="1"/>
    </xf>
    <xf numFmtId="0" fontId="12" fillId="9" borderId="37" xfId="1" applyFont="1" applyFill="1" applyBorder="1" applyAlignment="1">
      <alignment horizontal="center" vertical="center" wrapText="1"/>
    </xf>
    <xf numFmtId="0" fontId="28" fillId="9" borderId="37" xfId="1" applyFont="1" applyFill="1" applyBorder="1" applyAlignment="1" applyProtection="1">
      <alignment horizontal="center"/>
      <protection locked="0"/>
    </xf>
    <xf numFmtId="2" fontId="12" fillId="9" borderId="37" xfId="1" applyNumberFormat="1" applyFont="1" applyFill="1" applyBorder="1" applyAlignment="1">
      <alignment horizontal="center" vertical="center" wrapText="1"/>
    </xf>
    <xf numFmtId="2" fontId="29" fillId="9" borderId="37" xfId="1" applyNumberFormat="1" applyFont="1" applyFill="1" applyBorder="1" applyAlignment="1">
      <alignment horizontal="center" vertical="center" wrapText="1"/>
    </xf>
    <xf numFmtId="2" fontId="56" fillId="9" borderId="37" xfId="1" applyNumberFormat="1" applyFont="1" applyFill="1" applyBorder="1" applyAlignment="1">
      <alignment horizontal="center" vertical="center" wrapText="1"/>
    </xf>
    <xf numFmtId="2" fontId="12" fillId="10" borderId="37" xfId="3" applyNumberFormat="1" applyFont="1" applyFill="1" applyBorder="1" applyAlignment="1" applyProtection="1">
      <alignment horizontal="center" vertical="center" wrapText="1"/>
    </xf>
    <xf numFmtId="10" fontId="12" fillId="9" borderId="37" xfId="1" applyNumberFormat="1" applyFont="1" applyFill="1" applyBorder="1" applyAlignment="1">
      <alignment horizontal="center" vertical="center" wrapText="1"/>
    </xf>
    <xf numFmtId="9" fontId="12" fillId="9" borderId="37" xfId="1" applyNumberFormat="1" applyFont="1" applyFill="1" applyBorder="1" applyAlignment="1">
      <alignment horizontal="center" vertical="center" wrapText="1"/>
    </xf>
    <xf numFmtId="2" fontId="30" fillId="9" borderId="38" xfId="1" applyNumberFormat="1" applyFont="1" applyFill="1" applyBorder="1" applyAlignment="1">
      <alignment horizontal="center" vertical="center" wrapText="1"/>
    </xf>
    <xf numFmtId="2" fontId="7" fillId="9" borderId="3" xfId="1" applyNumberFormat="1" applyFont="1" applyFill="1" applyBorder="1" applyAlignment="1">
      <alignment horizontal="center" vertical="center" wrapText="1"/>
    </xf>
    <xf numFmtId="1" fontId="12" fillId="2" borderId="12" xfId="1" applyNumberFormat="1" applyFont="1" applyFill="1" applyBorder="1" applyAlignment="1">
      <alignment horizontal="center" vertical="center" wrapText="1"/>
    </xf>
    <xf numFmtId="2" fontId="7" fillId="2" borderId="29" xfId="1" applyNumberFormat="1" applyFont="1" applyFill="1" applyBorder="1" applyAlignment="1">
      <alignment horizontal="center" vertical="center" wrapText="1"/>
    </xf>
    <xf numFmtId="2" fontId="57" fillId="2" borderId="1" xfId="1" applyNumberFormat="1" applyFont="1" applyFill="1" applyBorder="1" applyAlignment="1">
      <alignment horizontal="center" vertical="center" wrapText="1"/>
    </xf>
    <xf numFmtId="0" fontId="46" fillId="2" borderId="0" xfId="1" applyFont="1" applyFill="1" applyAlignment="1">
      <alignment vertical="center" wrapText="1"/>
    </xf>
    <xf numFmtId="2" fontId="7" fillId="2" borderId="12" xfId="1" applyNumberFormat="1" applyFont="1" applyFill="1" applyBorder="1" applyAlignment="1">
      <alignment horizontal="center" wrapText="1"/>
    </xf>
    <xf numFmtId="0" fontId="13" fillId="2" borderId="29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 wrapText="1"/>
    </xf>
    <xf numFmtId="0" fontId="28" fillId="2" borderId="29" xfId="1" applyFont="1" applyFill="1" applyBorder="1" applyAlignment="1" applyProtection="1">
      <alignment horizontal="center"/>
      <protection locked="0"/>
    </xf>
    <xf numFmtId="2" fontId="30" fillId="2" borderId="29" xfId="1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12" fillId="2" borderId="12" xfId="1" applyFont="1" applyFill="1" applyBorder="1" applyAlignment="1"/>
    <xf numFmtId="0" fontId="5" fillId="2" borderId="12" xfId="1" applyFont="1" applyFill="1" applyBorder="1" applyAlignment="1"/>
    <xf numFmtId="0" fontId="5" fillId="5" borderId="10" xfId="0" applyFont="1" applyFill="1" applyBorder="1" applyAlignment="1">
      <alignment vertical="center" wrapText="1"/>
    </xf>
    <xf numFmtId="0" fontId="11" fillId="5" borderId="1" xfId="3" applyNumberFormat="1" applyFont="1" applyFill="1" applyBorder="1" applyAlignment="1" applyProtection="1">
      <alignment horizontal="left" vertical="center" wrapText="1"/>
    </xf>
    <xf numFmtId="0" fontId="12" fillId="2" borderId="29" xfId="2" applyFont="1" applyFill="1" applyBorder="1" applyAlignment="1">
      <alignment vertical="center"/>
    </xf>
    <xf numFmtId="0" fontId="5" fillId="2" borderId="29" xfId="1" applyFont="1" applyFill="1" applyBorder="1" applyAlignment="1">
      <alignment horizontal="left" vertical="center"/>
    </xf>
    <xf numFmtId="0" fontId="12" fillId="2" borderId="29" xfId="2" applyFont="1" applyFill="1" applyBorder="1" applyAlignment="1">
      <alignment horizontal="left" vertical="center"/>
    </xf>
    <xf numFmtId="0" fontId="5" fillId="2" borderId="29" xfId="1" applyFont="1" applyFill="1" applyBorder="1" applyAlignment="1">
      <alignment horizontal="left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center"/>
    </xf>
    <xf numFmtId="0" fontId="12" fillId="2" borderId="29" xfId="2" applyFont="1" applyFill="1" applyBorder="1" applyAlignment="1">
      <alignment horizontal="center" vertical="center"/>
    </xf>
    <xf numFmtId="2" fontId="16" fillId="2" borderId="10" xfId="1" applyNumberFormat="1" applyFont="1" applyFill="1" applyBorder="1" applyAlignment="1">
      <alignment horizontal="center" vertical="center" wrapText="1"/>
    </xf>
    <xf numFmtId="0" fontId="12" fillId="5" borderId="3" xfId="3" applyNumberFormat="1" applyFont="1" applyFill="1" applyBorder="1" applyAlignment="1" applyProtection="1">
      <alignment horizontal="center" vertical="center" wrapText="1"/>
    </xf>
    <xf numFmtId="49" fontId="13" fillId="2" borderId="9" xfId="1" applyNumberFormat="1" applyFont="1" applyFill="1" applyBorder="1" applyAlignment="1">
      <alignment horizontal="center" vertical="center" wrapText="1"/>
    </xf>
    <xf numFmtId="49" fontId="13" fillId="2" borderId="6" xfId="1" applyNumberFormat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/>
    </xf>
    <xf numFmtId="0" fontId="13" fillId="2" borderId="29" xfId="1" applyFont="1" applyFill="1" applyBorder="1" applyAlignment="1">
      <alignment horizontal="center" vertical="center" wrapText="1"/>
    </xf>
    <xf numFmtId="0" fontId="13" fillId="2" borderId="29" xfId="2" applyFont="1" applyFill="1" applyBorder="1" applyAlignment="1">
      <alignment horizontal="center" vertical="center"/>
    </xf>
    <xf numFmtId="0" fontId="13" fillId="5" borderId="9" xfId="3" applyNumberFormat="1" applyFont="1" applyFill="1" applyBorder="1" applyAlignment="1" applyProtection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2" fontId="16" fillId="2" borderId="12" xfId="1" applyNumberFormat="1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/>
    </xf>
    <xf numFmtId="49" fontId="12" fillId="2" borderId="9" xfId="1" applyNumberFormat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1" fontId="12" fillId="2" borderId="1" xfId="1" applyNumberFormat="1" applyFont="1" applyFill="1" applyBorder="1" applyAlignment="1">
      <alignment horizontal="center" vertical="center" wrapText="1"/>
    </xf>
    <xf numFmtId="1" fontId="12" fillId="2" borderId="4" xfId="1" applyNumberFormat="1" applyFont="1" applyFill="1" applyBorder="1" applyAlignment="1">
      <alignment horizontal="center" vertical="center" wrapText="1"/>
    </xf>
    <xf numFmtId="0" fontId="12" fillId="2" borderId="3" xfId="1" applyNumberFormat="1" applyFont="1" applyFill="1" applyBorder="1" applyAlignment="1">
      <alignment horizontal="center" vertical="center" wrapText="1"/>
    </xf>
    <xf numFmtId="0" fontId="11" fillId="5" borderId="4" xfId="3" applyNumberFormat="1" applyFont="1" applyFill="1" applyBorder="1" applyAlignment="1" applyProtection="1">
      <alignment horizontal="center" vertical="center" wrapText="1"/>
    </xf>
    <xf numFmtId="0" fontId="11" fillId="2" borderId="11" xfId="1" applyNumberFormat="1" applyFont="1" applyFill="1" applyBorder="1" applyAlignment="1">
      <alignment horizontal="center" vertical="center" wrapText="1"/>
    </xf>
    <xf numFmtId="0" fontId="5" fillId="5" borderId="4" xfId="3" applyNumberFormat="1" applyFont="1" applyFill="1" applyBorder="1" applyAlignment="1" applyProtection="1">
      <alignment horizontal="center" vertical="center" wrapText="1"/>
    </xf>
    <xf numFmtId="0" fontId="12" fillId="2" borderId="29" xfId="1" applyFont="1" applyFill="1" applyBorder="1" applyAlignment="1">
      <alignment horizontal="center" vertical="center" wrapText="1"/>
    </xf>
    <xf numFmtId="0" fontId="11" fillId="2" borderId="12" xfId="1" applyNumberFormat="1" applyFont="1" applyFill="1" applyBorder="1" applyAlignment="1">
      <alignment horizontal="center" vertical="center" wrapText="1"/>
    </xf>
    <xf numFmtId="0" fontId="12" fillId="5" borderId="4" xfId="3" applyNumberFormat="1" applyFont="1" applyFill="1" applyBorder="1" applyAlignment="1" applyProtection="1">
      <alignment horizontal="center" vertical="center" wrapText="1"/>
    </xf>
    <xf numFmtId="49" fontId="6" fillId="2" borderId="4" xfId="1" applyNumberFormat="1" applyFont="1" applyFill="1" applyBorder="1" applyAlignment="1" applyProtection="1">
      <alignment horizontal="center" vertical="center"/>
      <protection locked="0"/>
    </xf>
    <xf numFmtId="49" fontId="5" fillId="2" borderId="3" xfId="1" applyNumberFormat="1" applyFont="1" applyFill="1" applyBorder="1" applyAlignment="1" applyProtection="1">
      <alignment horizontal="center" vertical="center"/>
      <protection locked="0"/>
    </xf>
    <xf numFmtId="0" fontId="12" fillId="2" borderId="4" xfId="1" applyFont="1" applyFill="1" applyBorder="1" applyAlignment="1" applyProtection="1">
      <alignment horizontal="center"/>
      <protection locked="0"/>
    </xf>
    <xf numFmtId="0" fontId="28" fillId="2" borderId="3" xfId="1" applyNumberFormat="1" applyFont="1" applyFill="1" applyBorder="1" applyAlignment="1" applyProtection="1">
      <alignment horizontal="center" vertical="center"/>
      <protection locked="0"/>
    </xf>
    <xf numFmtId="0" fontId="28" fillId="2" borderId="29" xfId="1" applyNumberFormat="1" applyFont="1" applyFill="1" applyBorder="1" applyAlignment="1" applyProtection="1">
      <alignment horizontal="center" vertical="center"/>
      <protection locked="0"/>
    </xf>
    <xf numFmtId="2" fontId="5" fillId="2" borderId="10" xfId="1" applyNumberFormat="1" applyFont="1" applyFill="1" applyBorder="1" applyAlignment="1">
      <alignment horizontal="center" vertical="center" wrapText="1"/>
    </xf>
    <xf numFmtId="165" fontId="33" fillId="2" borderId="12" xfId="2" applyNumberFormat="1" applyFont="1" applyFill="1" applyBorder="1" applyAlignment="1">
      <alignment horizontal="center" vertical="center"/>
    </xf>
    <xf numFmtId="165" fontId="33" fillId="2" borderId="3" xfId="2" applyNumberFormat="1" applyFont="1" applyFill="1" applyBorder="1" applyAlignment="1">
      <alignment horizontal="center" vertical="center"/>
    </xf>
    <xf numFmtId="165" fontId="33" fillId="2" borderId="29" xfId="2" applyNumberFormat="1" applyFont="1" applyFill="1" applyBorder="1" applyAlignment="1">
      <alignment horizontal="center" vertical="center"/>
    </xf>
    <xf numFmtId="2" fontId="12" fillId="2" borderId="4" xfId="2" applyNumberFormat="1" applyFont="1" applyFill="1" applyBorder="1" applyAlignment="1">
      <alignment horizontal="center" vertical="center"/>
    </xf>
    <xf numFmtId="2" fontId="12" fillId="2" borderId="10" xfId="1" applyNumberFormat="1" applyFont="1" applyFill="1" applyBorder="1" applyAlignment="1">
      <alignment horizontal="center" vertical="center" wrapText="1"/>
    </xf>
    <xf numFmtId="2" fontId="13" fillId="2" borderId="29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49" fontId="7" fillId="2" borderId="29" xfId="1" applyNumberFormat="1" applyFont="1" applyFill="1" applyBorder="1" applyAlignment="1">
      <alignment horizontal="center" vertical="center" wrapText="1"/>
    </xf>
    <xf numFmtId="2" fontId="56" fillId="2" borderId="4" xfId="1" applyNumberFormat="1" applyFont="1" applyFill="1" applyBorder="1" applyAlignment="1">
      <alignment horizontal="center" wrapText="1"/>
    </xf>
    <xf numFmtId="0" fontId="56" fillId="2" borderId="12" xfId="1" applyFont="1" applyFill="1" applyBorder="1" applyAlignment="1">
      <alignment horizontal="center" vertical="center" wrapText="1"/>
    </xf>
    <xf numFmtId="0" fontId="30" fillId="2" borderId="3" xfId="2" applyFont="1" applyFill="1" applyBorder="1" applyAlignment="1">
      <alignment horizontal="center" vertical="center"/>
    </xf>
    <xf numFmtId="0" fontId="30" fillId="2" borderId="4" xfId="2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10" fontId="12" fillId="5" borderId="12" xfId="3" applyNumberFormat="1" applyFont="1" applyFill="1" applyBorder="1" applyAlignment="1" applyProtection="1">
      <alignment horizontal="center" vertical="center" wrapText="1"/>
    </xf>
    <xf numFmtId="10" fontId="12" fillId="2" borderId="4" xfId="1" applyNumberFormat="1" applyFont="1" applyFill="1" applyBorder="1" applyAlignment="1">
      <alignment horizontal="center" wrapText="1"/>
    </xf>
    <xf numFmtId="10" fontId="12" fillId="5" borderId="4" xfId="3" applyNumberFormat="1" applyFont="1" applyFill="1" applyBorder="1" applyAlignment="1" applyProtection="1">
      <alignment horizontal="center" vertical="center" wrapText="1"/>
    </xf>
    <xf numFmtId="2" fontId="5" fillId="2" borderId="7" xfId="1" applyNumberFormat="1" applyFont="1" applyFill="1" applyBorder="1" applyAlignment="1">
      <alignment horizontal="center" vertical="center" wrapText="1"/>
    </xf>
    <xf numFmtId="2" fontId="12" fillId="2" borderId="7" xfId="1" applyNumberFormat="1" applyFont="1" applyFill="1" applyBorder="1" applyAlignment="1">
      <alignment horizontal="center" vertical="center" wrapText="1"/>
    </xf>
    <xf numFmtId="2" fontId="12" fillId="2" borderId="7" xfId="1" applyNumberFormat="1" applyFont="1" applyFill="1" applyBorder="1" applyAlignment="1">
      <alignment horizontal="center" wrapText="1"/>
    </xf>
    <xf numFmtId="10" fontId="5" fillId="5" borderId="29" xfId="3" applyNumberFormat="1" applyFont="1" applyFill="1" applyBorder="1" applyAlignment="1" applyProtection="1">
      <alignment horizontal="center" vertical="center" wrapText="1"/>
    </xf>
    <xf numFmtId="9" fontId="11" fillId="2" borderId="12" xfId="1" applyNumberFormat="1" applyFont="1" applyFill="1" applyBorder="1" applyAlignment="1">
      <alignment horizontal="center" vertical="center" wrapText="1"/>
    </xf>
    <xf numFmtId="9" fontId="9" fillId="2" borderId="12" xfId="1" applyNumberFormat="1" applyFont="1" applyFill="1" applyBorder="1" applyAlignment="1">
      <alignment horizontal="center" vertical="center" wrapText="1"/>
    </xf>
    <xf numFmtId="2" fontId="9" fillId="2" borderId="4" xfId="1" applyNumberFormat="1" applyFont="1" applyFill="1" applyBorder="1" applyAlignment="1">
      <alignment horizontal="center" vertical="center" wrapText="1"/>
    </xf>
    <xf numFmtId="2" fontId="7" fillId="26" borderId="4" xfId="1" applyNumberFormat="1" applyFont="1" applyFill="1" applyBorder="1" applyAlignment="1">
      <alignment horizontal="center" vertical="center" wrapText="1"/>
    </xf>
    <xf numFmtId="2" fontId="5" fillId="20" borderId="4" xfId="1" applyNumberFormat="1" applyFont="1" applyFill="1" applyBorder="1" applyAlignment="1">
      <alignment horizontal="center" vertical="center" wrapText="1"/>
    </xf>
    <xf numFmtId="2" fontId="7" fillId="20" borderId="4" xfId="1" applyNumberFormat="1" applyFont="1" applyFill="1" applyBorder="1" applyAlignment="1">
      <alignment horizontal="center" vertical="center" wrapText="1"/>
    </xf>
    <xf numFmtId="2" fontId="5" fillId="32" borderId="1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0" fillId="11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0" fontId="4" fillId="0" borderId="18" xfId="1" applyFont="1" applyFill="1" applyBorder="1" applyAlignment="1">
      <alignment horizontal="center" vertical="center" wrapText="1"/>
    </xf>
    <xf numFmtId="0" fontId="39" fillId="0" borderId="0" xfId="1" applyFont="1" applyFill="1" applyBorder="1" applyAlignment="1">
      <alignment horizontal="center" wrapText="1"/>
    </xf>
    <xf numFmtId="0" fontId="48" fillId="11" borderId="9" xfId="1" applyFont="1" applyFill="1" applyBorder="1" applyAlignment="1">
      <alignment horizontal="center" vertical="center" wrapText="1"/>
    </xf>
    <xf numFmtId="0" fontId="47" fillId="11" borderId="16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39" fillId="35" borderId="0" xfId="1" applyFont="1" applyFill="1" applyBorder="1" applyAlignment="1">
      <alignment horizontal="center" wrapText="1"/>
    </xf>
    <xf numFmtId="0" fontId="4" fillId="0" borderId="0" xfId="1" applyFont="1" applyFill="1" applyAlignment="1">
      <alignment horizontal="center" vertical="center" wrapText="1"/>
    </xf>
    <xf numFmtId="0" fontId="11" fillId="2" borderId="0" xfId="1" applyFont="1" applyFill="1" applyBorder="1" applyAlignment="1">
      <alignment vertical="center" wrapText="1"/>
    </xf>
    <xf numFmtId="0" fontId="2" fillId="5" borderId="0" xfId="1" applyFont="1" applyFill="1" applyBorder="1" applyAlignment="1">
      <alignment vertical="center" wrapText="1"/>
    </xf>
    <xf numFmtId="2" fontId="2" fillId="5" borderId="0" xfId="1" applyNumberFormat="1" applyFont="1" applyFill="1" applyBorder="1" applyAlignment="1">
      <alignment vertical="center" wrapText="1"/>
    </xf>
    <xf numFmtId="10" fontId="2" fillId="5" borderId="0" xfId="1" applyNumberFormat="1" applyFont="1" applyFill="1" applyBorder="1" applyAlignment="1">
      <alignment vertical="center" wrapText="1"/>
    </xf>
    <xf numFmtId="0" fontId="46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wrapText="1"/>
    </xf>
    <xf numFmtId="2" fontId="11" fillId="2" borderId="0" xfId="1" applyNumberFormat="1" applyFont="1" applyFill="1" applyBorder="1" applyAlignment="1">
      <alignment vertical="center" wrapText="1"/>
    </xf>
    <xf numFmtId="2" fontId="4" fillId="2" borderId="0" xfId="1" applyNumberFormat="1" applyFont="1" applyFill="1" applyBorder="1" applyAlignment="1">
      <alignment vertical="center" wrapText="1"/>
    </xf>
    <xf numFmtId="0" fontId="4" fillId="2" borderId="0" xfId="1" applyFont="1" applyFill="1" applyBorder="1" applyAlignment="1">
      <alignment vertical="center" wrapText="1"/>
    </xf>
    <xf numFmtId="2" fontId="8" fillId="2" borderId="0" xfId="1" applyNumberFormat="1" applyFont="1" applyFill="1" applyBorder="1" applyAlignment="1">
      <alignment wrapText="1"/>
    </xf>
    <xf numFmtId="0" fontId="27" fillId="2" borderId="4" xfId="1" applyFont="1" applyFill="1" applyBorder="1" applyAlignment="1">
      <alignment horizontal="left"/>
    </xf>
    <xf numFmtId="0" fontId="12" fillId="5" borderId="12" xfId="3" applyNumberFormat="1" applyFont="1" applyFill="1" applyBorder="1" applyAlignment="1" applyProtection="1">
      <alignment vertical="center" wrapText="1"/>
    </xf>
    <xf numFmtId="0" fontId="12" fillId="5" borderId="12" xfId="3" applyNumberFormat="1" applyFont="1" applyFill="1" applyBorder="1" applyAlignment="1" applyProtection="1">
      <alignment horizontal="left" vertical="center" wrapText="1"/>
    </xf>
    <xf numFmtId="0" fontId="12" fillId="2" borderId="10" xfId="1" applyFont="1" applyFill="1" applyBorder="1" applyAlignment="1">
      <alignment vertical="center"/>
    </xf>
    <xf numFmtId="0" fontId="11" fillId="5" borderId="12" xfId="3" applyNumberFormat="1" applyFont="1" applyFill="1" applyBorder="1" applyAlignment="1" applyProtection="1">
      <alignment horizontal="left" vertical="center" wrapText="1"/>
    </xf>
    <xf numFmtId="0" fontId="12" fillId="2" borderId="12" xfId="1" applyFont="1" applyFill="1" applyBorder="1" applyAlignment="1">
      <alignment horizontal="left" wrapText="1"/>
    </xf>
    <xf numFmtId="0" fontId="13" fillId="5" borderId="4" xfId="3" applyNumberFormat="1" applyFont="1" applyFill="1" applyBorder="1" applyAlignment="1" applyProtection="1">
      <alignment horizontal="center" vertical="center" wrapText="1"/>
    </xf>
    <xf numFmtId="49" fontId="13" fillId="2" borderId="12" xfId="1" applyNumberFormat="1" applyFont="1" applyFill="1" applyBorder="1" applyAlignment="1">
      <alignment horizontal="center" wrapText="1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1" applyNumberFormat="1" applyFont="1" applyFill="1" applyBorder="1" applyAlignment="1" applyProtection="1">
      <alignment horizontal="center" vertical="center"/>
      <protection locked="0"/>
    </xf>
    <xf numFmtId="0" fontId="28" fillId="2" borderId="12" xfId="1" applyNumberFormat="1" applyFont="1" applyFill="1" applyBorder="1" applyAlignment="1" applyProtection="1">
      <alignment horizontal="center" vertical="center"/>
      <protection locked="0"/>
    </xf>
    <xf numFmtId="0" fontId="12" fillId="2" borderId="29" xfId="1" applyFont="1" applyFill="1" applyBorder="1" applyAlignment="1" applyProtection="1">
      <alignment horizontal="center"/>
      <protection locked="0"/>
    </xf>
    <xf numFmtId="2" fontId="29" fillId="2" borderId="4" xfId="1" applyNumberFormat="1" applyFont="1" applyFill="1" applyBorder="1" applyAlignment="1">
      <alignment horizontal="center" wrapText="1"/>
    </xf>
    <xf numFmtId="0" fontId="62" fillId="2" borderId="12" xfId="1" applyFont="1" applyFill="1" applyBorder="1" applyAlignment="1" applyProtection="1">
      <alignment horizontal="center"/>
      <protection locked="0"/>
    </xf>
    <xf numFmtId="0" fontId="11" fillId="2" borderId="29" xfId="1" applyFont="1" applyFill="1" applyBorder="1" applyAlignment="1" applyProtection="1">
      <alignment horizontal="center"/>
      <protection locked="0"/>
    </xf>
    <xf numFmtId="0" fontId="56" fillId="2" borderId="3" xfId="1" applyFont="1" applyFill="1" applyBorder="1" applyAlignment="1">
      <alignment horizontal="center" vertical="center" wrapText="1"/>
    </xf>
    <xf numFmtId="2" fontId="30" fillId="5" borderId="4" xfId="3" applyNumberFormat="1" applyFont="1" applyFill="1" applyBorder="1" applyAlignment="1" applyProtection="1">
      <alignment horizontal="center" vertical="center" wrapText="1"/>
    </xf>
    <xf numFmtId="2" fontId="12" fillId="5" borderId="4" xfId="3" applyNumberFormat="1" applyFont="1" applyFill="1" applyBorder="1" applyAlignment="1" applyProtection="1">
      <alignment horizontal="center" wrapText="1"/>
    </xf>
    <xf numFmtId="2" fontId="7" fillId="20" borderId="12" xfId="1" applyNumberFormat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left" vertical="center" wrapText="1"/>
    </xf>
    <xf numFmtId="0" fontId="43" fillId="2" borderId="11" xfId="1" applyFont="1" applyFill="1" applyBorder="1" applyAlignment="1" applyProtection="1">
      <alignment horizontal="center"/>
      <protection locked="0"/>
    </xf>
    <xf numFmtId="0" fontId="43" fillId="2" borderId="11" xfId="1" applyFont="1" applyFill="1" applyBorder="1" applyAlignment="1">
      <alignment horizontal="center"/>
    </xf>
    <xf numFmtId="0" fontId="43" fillId="2" borderId="11" xfId="1" applyFont="1" applyFill="1" applyBorder="1" applyAlignment="1" applyProtection="1">
      <alignment horizontal="center"/>
    </xf>
    <xf numFmtId="0" fontId="43" fillId="2" borderId="4" xfId="1" applyFont="1" applyFill="1" applyBorder="1" applyAlignment="1" applyProtection="1">
      <alignment horizontal="center"/>
    </xf>
    <xf numFmtId="0" fontId="2" fillId="2" borderId="21" xfId="1" applyFont="1" applyFill="1" applyBorder="1" applyAlignment="1" applyProtection="1">
      <alignment horizontal="center"/>
    </xf>
    <xf numFmtId="0" fontId="17" fillId="2" borderId="1" xfId="1" applyNumberFormat="1" applyFont="1" applyFill="1" applyBorder="1" applyAlignment="1" applyProtection="1">
      <alignment horizontal="center"/>
      <protection locked="0"/>
    </xf>
    <xf numFmtId="0" fontId="8" fillId="2" borderId="1" xfId="1" applyFont="1" applyFill="1" applyBorder="1" applyAlignment="1">
      <alignment horizontal="center" wrapText="1"/>
    </xf>
    <xf numFmtId="9" fontId="45" fillId="2" borderId="1" xfId="1" applyNumberFormat="1" applyFont="1" applyFill="1" applyBorder="1" applyAlignment="1" applyProtection="1">
      <alignment horizontal="center"/>
      <protection locked="0"/>
    </xf>
    <xf numFmtId="9" fontId="46" fillId="2" borderId="1" xfId="1" applyNumberFormat="1" applyFont="1" applyFill="1" applyBorder="1" applyAlignment="1" applyProtection="1">
      <alignment horizontal="center"/>
      <protection locked="0"/>
    </xf>
    <xf numFmtId="0" fontId="8" fillId="2" borderId="1" xfId="1" applyFont="1" applyFill="1" applyBorder="1" applyAlignment="1">
      <alignment horizontal="center"/>
    </xf>
    <xf numFmtId="2" fontId="8" fillId="2" borderId="12" xfId="1" applyNumberFormat="1" applyFont="1" applyFill="1" applyBorder="1" applyAlignment="1">
      <alignment horizontal="center" wrapText="1"/>
    </xf>
    <xf numFmtId="0" fontId="8" fillId="2" borderId="12" xfId="1" applyFont="1" applyFill="1" applyBorder="1" applyAlignment="1">
      <alignment horizontal="center" vertical="center" wrapText="1"/>
    </xf>
    <xf numFmtId="9" fontId="2" fillId="2" borderId="12" xfId="1" applyNumberFormat="1" applyFont="1" applyFill="1" applyBorder="1" applyAlignment="1" applyProtection="1">
      <alignment horizontal="center"/>
      <protection locked="0"/>
    </xf>
    <xf numFmtId="9" fontId="45" fillId="2" borderId="12" xfId="1" applyNumberFormat="1" applyFont="1" applyFill="1" applyBorder="1" applyAlignment="1" applyProtection="1">
      <alignment horizontal="center"/>
      <protection locked="0"/>
    </xf>
    <xf numFmtId="2" fontId="8" fillId="2" borderId="12" xfId="1" applyNumberFormat="1" applyFont="1" applyFill="1" applyBorder="1" applyAlignment="1">
      <alignment horizontal="center" vertical="center" wrapText="1"/>
    </xf>
    <xf numFmtId="0" fontId="12" fillId="33" borderId="12" xfId="1" applyFont="1" applyFill="1" applyBorder="1" applyAlignment="1">
      <alignment horizontal="center" vertical="center" wrapText="1"/>
    </xf>
    <xf numFmtId="0" fontId="12" fillId="33" borderId="12" xfId="1" applyFont="1" applyFill="1" applyBorder="1" applyAlignment="1">
      <alignment vertical="center"/>
    </xf>
    <xf numFmtId="0" fontId="12" fillId="33" borderId="12" xfId="1" applyFont="1" applyFill="1" applyBorder="1" applyAlignment="1">
      <alignment horizontal="left" vertical="center" wrapText="1"/>
    </xf>
    <xf numFmtId="49" fontId="13" fillId="33" borderId="4" xfId="1" applyNumberFormat="1" applyFont="1" applyFill="1" applyBorder="1" applyAlignment="1">
      <alignment horizontal="center" vertical="center" wrapText="1"/>
    </xf>
    <xf numFmtId="49" fontId="13" fillId="33" borderId="12" xfId="1" applyNumberFormat="1" applyFont="1" applyFill="1" applyBorder="1" applyAlignment="1">
      <alignment horizontal="center" vertical="center" wrapText="1"/>
    </xf>
    <xf numFmtId="0" fontId="11" fillId="33" borderId="12" xfId="1" applyFont="1" applyFill="1" applyBorder="1" applyAlignment="1">
      <alignment horizontal="center" vertical="center"/>
    </xf>
    <xf numFmtId="0" fontId="32" fillId="33" borderId="12" xfId="1" applyFont="1" applyFill="1" applyBorder="1" applyAlignment="1" applyProtection="1">
      <alignment horizontal="center"/>
      <protection locked="0"/>
    </xf>
    <xf numFmtId="2" fontId="12" fillId="33" borderId="12" xfId="1" applyNumberFormat="1" applyFont="1" applyFill="1" applyBorder="1" applyAlignment="1">
      <alignment horizontal="center" vertical="center" wrapText="1"/>
    </xf>
    <xf numFmtId="2" fontId="56" fillId="33" borderId="12" xfId="1" applyNumberFormat="1" applyFont="1" applyFill="1" applyBorder="1" applyAlignment="1">
      <alignment horizontal="center" vertical="center" wrapText="1"/>
    </xf>
    <xf numFmtId="10" fontId="12" fillId="33" borderId="12" xfId="1" applyNumberFormat="1" applyFont="1" applyFill="1" applyBorder="1" applyAlignment="1">
      <alignment horizontal="center" vertical="center" wrapText="1"/>
    </xf>
    <xf numFmtId="10" fontId="5" fillId="34" borderId="12" xfId="3" applyNumberFormat="1" applyFont="1" applyFill="1" applyBorder="1" applyAlignment="1" applyProtection="1">
      <alignment horizontal="center" vertical="center" wrapText="1"/>
    </xf>
    <xf numFmtId="0" fontId="30" fillId="33" borderId="1" xfId="1" applyFont="1" applyFill="1" applyBorder="1" applyAlignment="1">
      <alignment vertical="center"/>
    </xf>
    <xf numFmtId="0" fontId="12" fillId="33" borderId="1" xfId="1" applyFont="1" applyFill="1" applyBorder="1" applyAlignment="1">
      <alignment horizontal="left" vertical="center" wrapText="1"/>
    </xf>
    <xf numFmtId="0" fontId="12" fillId="33" borderId="1" xfId="1" applyFont="1" applyFill="1" applyBorder="1" applyAlignment="1">
      <alignment horizontal="center" vertical="center"/>
    </xf>
    <xf numFmtId="49" fontId="13" fillId="33" borderId="1" xfId="1" applyNumberFormat="1" applyFont="1" applyFill="1" applyBorder="1" applyAlignment="1">
      <alignment horizontal="center" vertical="center" wrapText="1"/>
    </xf>
    <xf numFmtId="0" fontId="11" fillId="33" borderId="1" xfId="1" applyNumberFormat="1" applyFont="1" applyFill="1" applyBorder="1" applyAlignment="1">
      <alignment horizontal="center" vertical="center" wrapText="1"/>
    </xf>
    <xf numFmtId="0" fontId="11" fillId="33" borderId="1" xfId="1" applyFont="1" applyFill="1" applyBorder="1" applyAlignment="1">
      <alignment horizontal="center" vertical="center"/>
    </xf>
    <xf numFmtId="0" fontId="32" fillId="33" borderId="1" xfId="1" applyFont="1" applyFill="1" applyBorder="1" applyAlignment="1" applyProtection="1">
      <alignment horizontal="center"/>
      <protection locked="0"/>
    </xf>
    <xf numFmtId="2" fontId="31" fillId="33" borderId="1" xfId="1" applyNumberFormat="1" applyFont="1" applyFill="1" applyBorder="1" applyAlignment="1">
      <alignment horizontal="center" vertical="top" wrapText="1"/>
    </xf>
    <xf numFmtId="2" fontId="11" fillId="33" borderId="1" xfId="1" applyNumberFormat="1" applyFont="1" applyFill="1" applyBorder="1" applyAlignment="1">
      <alignment horizontal="center" vertical="center" wrapText="1"/>
    </xf>
    <xf numFmtId="2" fontId="30" fillId="34" borderId="12" xfId="3" applyNumberFormat="1" applyFont="1" applyFill="1" applyBorder="1" applyAlignment="1" applyProtection="1">
      <alignment horizontal="center" vertical="center" wrapText="1"/>
    </xf>
    <xf numFmtId="2" fontId="30" fillId="34" borderId="1" xfId="3" applyNumberFormat="1" applyFont="1" applyFill="1" applyBorder="1" applyAlignment="1" applyProtection="1">
      <alignment horizontal="center" vertical="center" wrapText="1"/>
    </xf>
    <xf numFmtId="0" fontId="12" fillId="33" borderId="4" xfId="1" applyFont="1" applyFill="1" applyBorder="1" applyAlignment="1">
      <alignment horizontal="center" vertical="center" wrapText="1"/>
    </xf>
    <xf numFmtId="0" fontId="12" fillId="33" borderId="12" xfId="2" applyFont="1" applyFill="1" applyBorder="1" applyAlignment="1">
      <alignment horizontal="left" vertical="center"/>
    </xf>
    <xf numFmtId="0" fontId="12" fillId="33" borderId="12" xfId="1" applyFont="1" applyFill="1" applyBorder="1" applyAlignment="1">
      <alignment horizontal="center" vertical="center"/>
    </xf>
    <xf numFmtId="0" fontId="13" fillId="33" borderId="12" xfId="2" applyFont="1" applyFill="1" applyBorder="1" applyAlignment="1">
      <alignment horizontal="center" vertical="center"/>
    </xf>
    <xf numFmtId="0" fontId="13" fillId="33" borderId="12" xfId="1" applyFont="1" applyFill="1" applyBorder="1" applyAlignment="1">
      <alignment horizontal="center" vertical="center" wrapText="1"/>
    </xf>
    <xf numFmtId="0" fontId="12" fillId="33" borderId="12" xfId="1" applyNumberFormat="1" applyFont="1" applyFill="1" applyBorder="1" applyAlignment="1" applyProtection="1">
      <alignment horizontal="center" vertical="center"/>
      <protection locked="0"/>
    </xf>
    <xf numFmtId="165" fontId="33" fillId="33" borderId="4" xfId="2" applyNumberFormat="1" applyFont="1" applyFill="1" applyBorder="1" applyAlignment="1">
      <alignment horizontal="center" vertical="center"/>
    </xf>
    <xf numFmtId="2" fontId="12" fillId="33" borderId="4" xfId="1" applyNumberFormat="1" applyFont="1" applyFill="1" applyBorder="1" applyAlignment="1">
      <alignment horizontal="center" vertical="center" wrapText="1"/>
    </xf>
    <xf numFmtId="0" fontId="63" fillId="33" borderId="12" xfId="1" applyFont="1" applyFill="1" applyBorder="1" applyAlignment="1" applyProtection="1">
      <alignment horizontal="center"/>
      <protection locked="0"/>
    </xf>
    <xf numFmtId="0" fontId="30" fillId="33" borderId="12" xfId="2" applyFont="1" applyFill="1" applyBorder="1" applyAlignment="1">
      <alignment horizontal="center" vertical="center" wrapText="1"/>
    </xf>
    <xf numFmtId="2" fontId="12" fillId="34" borderId="4" xfId="3" applyNumberFormat="1" applyFont="1" applyFill="1" applyBorder="1" applyAlignment="1" applyProtection="1">
      <alignment horizontal="center" vertical="center" wrapText="1"/>
    </xf>
    <xf numFmtId="0" fontId="30" fillId="33" borderId="1" xfId="1" applyFont="1" applyFill="1" applyBorder="1" applyAlignment="1">
      <alignment horizontal="center" vertical="center" wrapText="1"/>
    </xf>
    <xf numFmtId="49" fontId="30" fillId="33" borderId="1" xfId="1" applyNumberFormat="1" applyFont="1" applyFill="1" applyBorder="1" applyAlignment="1">
      <alignment horizontal="center" vertical="center" wrapText="1"/>
    </xf>
    <xf numFmtId="43" fontId="65" fillId="33" borderId="1" xfId="1" applyNumberFormat="1" applyFont="1" applyFill="1" applyBorder="1" applyAlignment="1">
      <alignment horizontal="center" vertical="center" wrapText="1"/>
    </xf>
    <xf numFmtId="4" fontId="30" fillId="33" borderId="1" xfId="1" applyNumberFormat="1" applyFont="1" applyFill="1" applyBorder="1" applyAlignment="1">
      <alignment horizontal="center" vertical="center" wrapText="1"/>
    </xf>
    <xf numFmtId="0" fontId="13" fillId="33" borderId="12" xfId="1" applyFont="1" applyFill="1" applyBorder="1" applyAlignment="1">
      <alignment horizontal="center" vertical="center"/>
    </xf>
    <xf numFmtId="0" fontId="28" fillId="33" borderId="12" xfId="1" applyFont="1" applyFill="1" applyBorder="1" applyAlignment="1" applyProtection="1">
      <alignment horizontal="center"/>
      <protection locked="0"/>
    </xf>
    <xf numFmtId="2" fontId="29" fillId="33" borderId="12" xfId="1" applyNumberFormat="1" applyFont="1" applyFill="1" applyBorder="1" applyAlignment="1">
      <alignment horizontal="center" vertical="center" wrapText="1"/>
    </xf>
    <xf numFmtId="2" fontId="5" fillId="33" borderId="12" xfId="1" applyNumberFormat="1" applyFont="1" applyFill="1" applyBorder="1" applyAlignment="1">
      <alignment horizontal="center" vertical="center" wrapText="1"/>
    </xf>
    <xf numFmtId="9" fontId="12" fillId="33" borderId="12" xfId="1" applyNumberFormat="1" applyFont="1" applyFill="1" applyBorder="1" applyAlignment="1">
      <alignment horizontal="center" vertical="center" wrapText="1"/>
    </xf>
    <xf numFmtId="2" fontId="7" fillId="33" borderId="12" xfId="1" applyNumberFormat="1" applyFont="1" applyFill="1" applyBorder="1" applyAlignment="1">
      <alignment horizontal="center" vertical="center" wrapText="1"/>
    </xf>
    <xf numFmtId="0" fontId="30" fillId="33" borderId="12" xfId="1" applyFont="1" applyFill="1" applyBorder="1" applyAlignment="1">
      <alignment vertical="center"/>
    </xf>
    <xf numFmtId="0" fontId="2" fillId="2" borderId="33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0" fontId="4" fillId="0" borderId="18" xfId="1" applyFont="1" applyFill="1" applyBorder="1" applyAlignment="1">
      <alignment horizontal="center" vertical="center" wrapText="1"/>
    </xf>
    <xf numFmtId="0" fontId="39" fillId="0" borderId="0" xfId="1" applyFont="1" applyFill="1" applyBorder="1" applyAlignment="1">
      <alignment horizontal="center" wrapText="1"/>
    </xf>
    <xf numFmtId="0" fontId="48" fillId="11" borderId="9" xfId="1" applyFont="1" applyFill="1" applyBorder="1" applyAlignment="1">
      <alignment horizontal="center" vertical="center" wrapText="1"/>
    </xf>
    <xf numFmtId="0" fontId="47" fillId="11" borderId="16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39" fillId="35" borderId="0" xfId="1" applyFont="1" applyFill="1" applyBorder="1" applyAlignment="1">
      <alignment horizontal="center" wrapText="1"/>
    </xf>
    <xf numFmtId="0" fontId="30" fillId="11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12" fillId="38" borderId="4" xfId="1" applyFont="1" applyFill="1" applyBorder="1" applyAlignment="1">
      <alignment horizontal="center" vertical="center" wrapText="1"/>
    </xf>
    <xf numFmtId="0" fontId="12" fillId="38" borderId="12" xfId="2" applyFont="1" applyFill="1" applyBorder="1" applyAlignment="1">
      <alignment horizontal="left" vertical="center"/>
    </xf>
    <xf numFmtId="0" fontId="12" fillId="38" borderId="12" xfId="1" applyFont="1" applyFill="1" applyBorder="1" applyAlignment="1">
      <alignment horizontal="center" vertical="center"/>
    </xf>
    <xf numFmtId="0" fontId="13" fillId="38" borderId="12" xfId="2" applyFont="1" applyFill="1" applyBorder="1" applyAlignment="1">
      <alignment horizontal="center" vertical="center"/>
    </xf>
    <xf numFmtId="0" fontId="13" fillId="38" borderId="12" xfId="1" applyFont="1" applyFill="1" applyBorder="1" applyAlignment="1">
      <alignment horizontal="center" vertical="center" wrapText="1"/>
    </xf>
    <xf numFmtId="0" fontId="12" fillId="38" borderId="12" xfId="1" applyFont="1" applyFill="1" applyBorder="1" applyAlignment="1">
      <alignment horizontal="center" vertical="center" wrapText="1"/>
    </xf>
    <xf numFmtId="0" fontId="12" fillId="38" borderId="12" xfId="1" applyNumberFormat="1" applyFont="1" applyFill="1" applyBorder="1" applyAlignment="1" applyProtection="1">
      <alignment horizontal="center" vertical="center"/>
      <protection locked="0"/>
    </xf>
    <xf numFmtId="2" fontId="12" fillId="38" borderId="12" xfId="1" applyNumberFormat="1" applyFont="1" applyFill="1" applyBorder="1" applyAlignment="1">
      <alignment horizontal="center" vertical="center" wrapText="1"/>
    </xf>
    <xf numFmtId="165" fontId="33" fillId="38" borderId="4" xfId="2" applyNumberFormat="1" applyFont="1" applyFill="1" applyBorder="1" applyAlignment="1">
      <alignment horizontal="center" vertical="center"/>
    </xf>
    <xf numFmtId="2" fontId="12" fillId="38" borderId="4" xfId="1" applyNumberFormat="1" applyFont="1" applyFill="1" applyBorder="1" applyAlignment="1">
      <alignment horizontal="center" vertical="center" wrapText="1"/>
    </xf>
    <xf numFmtId="0" fontId="63" fillId="38" borderId="12" xfId="1" applyFont="1" applyFill="1" applyBorder="1" applyAlignment="1" applyProtection="1">
      <alignment horizontal="center"/>
      <protection locked="0"/>
    </xf>
    <xf numFmtId="0" fontId="30" fillId="38" borderId="12" xfId="2" applyFont="1" applyFill="1" applyBorder="1" applyAlignment="1">
      <alignment horizontal="center" vertical="center" wrapText="1"/>
    </xf>
    <xf numFmtId="2" fontId="12" fillId="39" borderId="4" xfId="3" applyNumberFormat="1" applyFont="1" applyFill="1" applyBorder="1" applyAlignment="1" applyProtection="1">
      <alignment horizontal="center" vertical="center" wrapText="1"/>
    </xf>
    <xf numFmtId="10" fontId="12" fillId="38" borderId="12" xfId="1" applyNumberFormat="1" applyFont="1" applyFill="1" applyBorder="1" applyAlignment="1">
      <alignment horizontal="center" vertical="center" wrapText="1"/>
    </xf>
    <xf numFmtId="10" fontId="5" fillId="39" borderId="12" xfId="3" applyNumberFormat="1" applyFont="1" applyFill="1" applyBorder="1" applyAlignment="1" applyProtection="1">
      <alignment horizontal="center" vertical="center" wrapText="1"/>
    </xf>
    <xf numFmtId="2" fontId="30" fillId="38" borderId="4" xfId="1" applyNumberFormat="1" applyFont="1" applyFill="1" applyBorder="1" applyAlignment="1">
      <alignment horizontal="center" vertical="center" wrapText="1"/>
    </xf>
    <xf numFmtId="0" fontId="12" fillId="38" borderId="1" xfId="1" applyFont="1" applyFill="1" applyBorder="1" applyAlignment="1">
      <alignment horizontal="center" vertical="center" wrapText="1"/>
    </xf>
    <xf numFmtId="0" fontId="12" fillId="39" borderId="1" xfId="3" applyNumberFormat="1" applyFont="1" applyFill="1" applyBorder="1" applyAlignment="1" applyProtection="1">
      <alignment horizontal="left" vertical="center" wrapText="1"/>
    </xf>
    <xf numFmtId="0" fontId="12" fillId="39" borderId="1" xfId="3" applyNumberFormat="1" applyFont="1" applyFill="1" applyBorder="1" applyAlignment="1" applyProtection="1">
      <alignment horizontal="center" vertical="center" wrapText="1"/>
    </xf>
    <xf numFmtId="0" fontId="11" fillId="39" borderId="1" xfId="3" applyNumberFormat="1" applyFont="1" applyFill="1" applyBorder="1" applyAlignment="1" applyProtection="1">
      <alignment horizontal="center" vertical="center" wrapText="1"/>
    </xf>
    <xf numFmtId="0" fontId="11" fillId="39" borderId="1" xfId="3" applyNumberFormat="1" applyFont="1" applyFill="1" applyBorder="1" applyAlignment="1" applyProtection="1">
      <alignment horizontal="center"/>
      <protection locked="0"/>
    </xf>
    <xf numFmtId="2" fontId="12" fillId="38" borderId="1" xfId="1" applyNumberFormat="1" applyFont="1" applyFill="1" applyBorder="1" applyAlignment="1">
      <alignment horizontal="center" vertical="center" wrapText="1"/>
    </xf>
    <xf numFmtId="166" fontId="34" fillId="39" borderId="1" xfId="3" applyNumberFormat="1" applyFont="1" applyFill="1" applyBorder="1" applyAlignment="1" applyProtection="1">
      <alignment vertical="center" wrapText="1"/>
    </xf>
    <xf numFmtId="2" fontId="12" fillId="39" borderId="1" xfId="3" applyNumberFormat="1" applyFont="1" applyFill="1" applyBorder="1" applyAlignment="1" applyProtection="1">
      <alignment horizontal="center" vertical="center" wrapText="1"/>
    </xf>
    <xf numFmtId="0" fontId="12" fillId="38" borderId="1" xfId="2" applyFont="1" applyFill="1" applyBorder="1" applyAlignment="1">
      <alignment horizontal="center" vertical="center"/>
    </xf>
    <xf numFmtId="2" fontId="12" fillId="39" borderId="12" xfId="3" applyNumberFormat="1" applyFont="1" applyFill="1" applyBorder="1" applyAlignment="1" applyProtection="1">
      <alignment horizontal="center" vertical="center" wrapText="1"/>
    </xf>
    <xf numFmtId="10" fontId="12" fillId="39" borderId="1" xfId="3" applyNumberFormat="1" applyFont="1" applyFill="1" applyBorder="1" applyAlignment="1" applyProtection="1">
      <alignment horizontal="center" vertical="center" wrapText="1"/>
    </xf>
    <xf numFmtId="9" fontId="12" fillId="38" borderId="1" xfId="1" applyNumberFormat="1" applyFont="1" applyFill="1" applyBorder="1" applyAlignment="1">
      <alignment horizontal="center" vertical="center" wrapText="1"/>
    </xf>
    <xf numFmtId="2" fontId="30" fillId="38" borderId="1" xfId="1" applyNumberFormat="1" applyFont="1" applyFill="1" applyBorder="1" applyAlignment="1">
      <alignment horizontal="center" vertical="center" wrapText="1"/>
    </xf>
    <xf numFmtId="0" fontId="12" fillId="38" borderId="12" xfId="1" applyFont="1" applyFill="1" applyBorder="1" applyAlignment="1">
      <alignment horizontal="left" vertical="center" wrapText="1"/>
    </xf>
    <xf numFmtId="49" fontId="13" fillId="38" borderId="4" xfId="1" applyNumberFormat="1" applyFont="1" applyFill="1" applyBorder="1" applyAlignment="1">
      <alignment horizontal="center" vertical="center" wrapText="1"/>
    </xf>
    <xf numFmtId="49" fontId="13" fillId="38" borderId="12" xfId="1" applyNumberFormat="1" applyFont="1" applyFill="1" applyBorder="1" applyAlignment="1">
      <alignment horizontal="center" vertical="center" wrapText="1"/>
    </xf>
    <xf numFmtId="0" fontId="11" fillId="38" borderId="12" xfId="1" applyFont="1" applyFill="1" applyBorder="1" applyAlignment="1">
      <alignment horizontal="center" vertical="center"/>
    </xf>
    <xf numFmtId="0" fontId="32" fillId="38" borderId="12" xfId="1" applyFont="1" applyFill="1" applyBorder="1" applyAlignment="1" applyProtection="1">
      <alignment horizontal="center"/>
      <protection locked="0"/>
    </xf>
    <xf numFmtId="2" fontId="56" fillId="38" borderId="12" xfId="1" applyNumberFormat="1" applyFont="1" applyFill="1" applyBorder="1" applyAlignment="1">
      <alignment horizontal="center" vertical="center" wrapText="1"/>
    </xf>
    <xf numFmtId="2" fontId="30" fillId="38" borderId="12" xfId="1" applyNumberFormat="1" applyFont="1" applyFill="1" applyBorder="1" applyAlignment="1">
      <alignment horizontal="center" vertical="center" wrapText="1"/>
    </xf>
    <xf numFmtId="0" fontId="12" fillId="38" borderId="35" xfId="1" applyFont="1" applyFill="1" applyBorder="1" applyAlignment="1">
      <alignment horizontal="center" vertical="center" wrapText="1"/>
    </xf>
    <xf numFmtId="0" fontId="12" fillId="38" borderId="31" xfId="1" applyFont="1" applyFill="1" applyBorder="1" applyAlignment="1">
      <alignment horizontal="left" vertical="center" wrapText="1"/>
    </xf>
    <xf numFmtId="0" fontId="12" fillId="38" borderId="31" xfId="1" applyFont="1" applyFill="1" applyBorder="1" applyAlignment="1">
      <alignment horizontal="center" vertical="center"/>
    </xf>
    <xf numFmtId="0" fontId="13" fillId="38" borderId="31" xfId="1" applyFont="1" applyFill="1" applyBorder="1" applyAlignment="1">
      <alignment horizontal="center" vertical="center"/>
    </xf>
    <xf numFmtId="49" fontId="13" fillId="38" borderId="31" xfId="1" applyNumberFormat="1" applyFont="1" applyFill="1" applyBorder="1" applyAlignment="1">
      <alignment horizontal="center" vertical="center" wrapText="1"/>
    </xf>
    <xf numFmtId="0" fontId="12" fillId="38" borderId="31" xfId="1" applyFont="1" applyFill="1" applyBorder="1" applyAlignment="1">
      <alignment horizontal="center" vertical="center" wrapText="1"/>
    </xf>
    <xf numFmtId="0" fontId="28" fillId="38" borderId="31" xfId="1" applyFont="1" applyFill="1" applyBorder="1" applyAlignment="1" applyProtection="1">
      <alignment horizontal="center"/>
      <protection locked="0"/>
    </xf>
    <xf numFmtId="2" fontId="12" fillId="38" borderId="31" xfId="1" applyNumberFormat="1" applyFont="1" applyFill="1" applyBorder="1" applyAlignment="1">
      <alignment horizontal="center" vertical="center" wrapText="1"/>
    </xf>
    <xf numFmtId="2" fontId="29" fillId="38" borderId="31" xfId="1" applyNumberFormat="1" applyFont="1" applyFill="1" applyBorder="1" applyAlignment="1">
      <alignment horizontal="center" vertical="center" wrapText="1"/>
    </xf>
    <xf numFmtId="2" fontId="56" fillId="38" borderId="31" xfId="1" applyNumberFormat="1" applyFont="1" applyFill="1" applyBorder="1" applyAlignment="1">
      <alignment horizontal="center" vertical="center" wrapText="1"/>
    </xf>
    <xf numFmtId="2" fontId="12" fillId="39" borderId="31" xfId="3" applyNumberFormat="1" applyFont="1" applyFill="1" applyBorder="1" applyAlignment="1" applyProtection="1">
      <alignment horizontal="center" vertical="center" wrapText="1"/>
    </xf>
    <xf numFmtId="10" fontId="12" fillId="38" borderId="31" xfId="1" applyNumberFormat="1" applyFont="1" applyFill="1" applyBorder="1" applyAlignment="1">
      <alignment horizontal="center" vertical="center" wrapText="1"/>
    </xf>
    <xf numFmtId="9" fontId="12" fillId="38" borderId="31" xfId="1" applyNumberFormat="1" applyFont="1" applyFill="1" applyBorder="1" applyAlignment="1">
      <alignment horizontal="center" vertical="center" wrapText="1"/>
    </xf>
    <xf numFmtId="2" fontId="30" fillId="38" borderId="32" xfId="1" applyNumberFormat="1" applyFont="1" applyFill="1" applyBorder="1" applyAlignment="1">
      <alignment horizontal="center" vertical="center" wrapText="1"/>
    </xf>
    <xf numFmtId="0" fontId="30" fillId="38" borderId="12" xfId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9" fillId="0" borderId="0" xfId="1" applyFont="1" applyFill="1" applyBorder="1" applyAlignment="1">
      <alignment horizontal="center" wrapText="1"/>
    </xf>
    <xf numFmtId="0" fontId="48" fillId="11" borderId="9" xfId="1" applyFont="1" applyFill="1" applyBorder="1" applyAlignment="1">
      <alignment horizontal="center" vertical="center" wrapText="1"/>
    </xf>
    <xf numFmtId="0" fontId="47" fillId="11" borderId="16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4" fillId="0" borderId="18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0" fontId="39" fillId="2" borderId="0" xfId="1" applyFont="1" applyFill="1" applyBorder="1" applyAlignment="1">
      <alignment horizontal="center" wrapText="1"/>
    </xf>
    <xf numFmtId="0" fontId="4" fillId="0" borderId="0" xfId="1" applyFont="1" applyFill="1" applyAlignment="1">
      <alignment horizontal="center" vertical="center" wrapText="1"/>
    </xf>
    <xf numFmtId="0" fontId="30" fillId="11" borderId="1" xfId="1" applyFont="1" applyFill="1" applyBorder="1" applyAlignment="1">
      <alignment horizontal="center" vertical="center" wrapText="1"/>
    </xf>
    <xf numFmtId="1" fontId="2" fillId="2" borderId="0" xfId="1" applyNumberFormat="1" applyFont="1" applyFill="1" applyBorder="1" applyAlignment="1">
      <alignment vertical="center" wrapText="1"/>
    </xf>
    <xf numFmtId="43" fontId="48" fillId="11" borderId="1" xfId="1" applyNumberFormat="1" applyFont="1" applyFill="1" applyBorder="1" applyAlignment="1" applyProtection="1">
      <alignment horizontal="center" vertical="center"/>
    </xf>
    <xf numFmtId="43" fontId="47" fillId="11" borderId="28" xfId="1" applyNumberFormat="1" applyFont="1" applyFill="1" applyBorder="1" applyAlignment="1">
      <alignment horizontal="center" vertical="center"/>
    </xf>
    <xf numFmtId="2" fontId="48" fillId="11" borderId="1" xfId="1" applyNumberFormat="1" applyFont="1" applyFill="1" applyBorder="1" applyAlignment="1" applyProtection="1">
      <alignment horizontal="center" vertical="center"/>
    </xf>
    <xf numFmtId="2" fontId="48" fillId="11" borderId="22" xfId="1" applyNumberFormat="1" applyFont="1" applyFill="1" applyBorder="1" applyAlignment="1" applyProtection="1">
      <alignment horizontal="center" vertical="center"/>
    </xf>
    <xf numFmtId="0" fontId="38" fillId="7" borderId="0" xfId="1" applyFont="1" applyFill="1" applyAlignment="1">
      <alignment horizontal="center" wrapText="1"/>
    </xf>
    <xf numFmtId="0" fontId="39" fillId="7" borderId="0" xfId="1" applyFont="1" applyFill="1" applyBorder="1" applyAlignment="1">
      <alignment horizontal="center" wrapText="1"/>
    </xf>
    <xf numFmtId="0" fontId="2" fillId="2" borderId="0" xfId="1" applyFont="1" applyFill="1"/>
    <xf numFmtId="2" fontId="2" fillId="2" borderId="0" xfId="1" applyNumberFormat="1" applyFont="1" applyFill="1" applyBorder="1"/>
    <xf numFmtId="2" fontId="2" fillId="2" borderId="0" xfId="1" applyNumberFormat="1" applyFont="1" applyFill="1"/>
    <xf numFmtId="0" fontId="2" fillId="2" borderId="0" xfId="1" applyFont="1" applyFill="1" applyBorder="1"/>
    <xf numFmtId="0" fontId="11" fillId="7" borderId="0" xfId="1" applyFont="1" applyFill="1" applyBorder="1" applyAlignment="1">
      <alignment vertical="center" wrapText="1"/>
    </xf>
    <xf numFmtId="0" fontId="2" fillId="8" borderId="0" xfId="1" applyFont="1" applyFill="1" applyBorder="1" applyAlignment="1">
      <alignment vertical="center" wrapText="1"/>
    </xf>
    <xf numFmtId="2" fontId="2" fillId="8" borderId="0" xfId="1" applyNumberFormat="1" applyFont="1" applyFill="1" applyBorder="1" applyAlignment="1">
      <alignment vertical="center" wrapText="1"/>
    </xf>
    <xf numFmtId="10" fontId="2" fillId="8" borderId="0" xfId="1" applyNumberFormat="1" applyFont="1" applyFill="1" applyBorder="1" applyAlignment="1">
      <alignment vertical="center" wrapText="1"/>
    </xf>
    <xf numFmtId="0" fontId="69" fillId="2" borderId="0" xfId="1" applyFont="1" applyFill="1" applyBorder="1" applyAlignment="1">
      <alignment vertical="center" wrapText="1"/>
    </xf>
    <xf numFmtId="2" fontId="69" fillId="2" borderId="0" xfId="1" applyNumberFormat="1" applyFont="1" applyFill="1" applyBorder="1" applyAlignment="1">
      <alignment vertical="center" wrapText="1"/>
    </xf>
    <xf numFmtId="0" fontId="12" fillId="6" borderId="4" xfId="1" applyFont="1" applyFill="1" applyBorder="1" applyAlignment="1">
      <alignment horizontal="center" vertical="center" wrapText="1"/>
    </xf>
    <xf numFmtId="0" fontId="12" fillId="6" borderId="4" xfId="1" applyFont="1" applyFill="1" applyBorder="1" applyAlignment="1">
      <alignment vertical="center"/>
    </xf>
    <xf numFmtId="0" fontId="12" fillId="6" borderId="4" xfId="1" applyFont="1" applyFill="1" applyBorder="1" applyAlignment="1">
      <alignment horizontal="left" vertical="center" wrapText="1"/>
    </xf>
    <xf numFmtId="2" fontId="12" fillId="6" borderId="4" xfId="1" applyNumberFormat="1" applyFont="1" applyFill="1" applyBorder="1" applyAlignment="1">
      <alignment horizontal="center" vertical="center" wrapText="1"/>
    </xf>
    <xf numFmtId="2" fontId="29" fillId="6" borderId="4" xfId="1" applyNumberFormat="1" applyFont="1" applyFill="1" applyBorder="1" applyAlignment="1">
      <alignment horizontal="center" vertical="center" wrapText="1"/>
    </xf>
    <xf numFmtId="2" fontId="12" fillId="6" borderId="1" xfId="1" applyNumberFormat="1" applyFont="1" applyFill="1" applyBorder="1" applyAlignment="1">
      <alignment horizontal="center" vertical="center" wrapText="1"/>
    </xf>
    <xf numFmtId="2" fontId="12" fillId="40" borderId="4" xfId="3" applyNumberFormat="1" applyFont="1" applyFill="1" applyBorder="1" applyAlignment="1" applyProtection="1">
      <alignment horizontal="center" vertical="center" wrapText="1"/>
    </xf>
    <xf numFmtId="10" fontId="12" fillId="6" borderId="4" xfId="1" applyNumberFormat="1" applyFont="1" applyFill="1" applyBorder="1" applyAlignment="1">
      <alignment horizontal="center" vertical="center" wrapText="1"/>
    </xf>
    <xf numFmtId="9" fontId="12" fillId="6" borderId="4" xfId="1" applyNumberFormat="1" applyFont="1" applyFill="1" applyBorder="1" applyAlignment="1">
      <alignment horizontal="center" vertical="center" wrapText="1"/>
    </xf>
    <xf numFmtId="2" fontId="7" fillId="6" borderId="4" xfId="1" applyNumberFormat="1" applyFont="1" applyFill="1" applyBorder="1" applyAlignment="1">
      <alignment horizontal="center" vertical="center" wrapText="1"/>
    </xf>
    <xf numFmtId="0" fontId="2" fillId="6" borderId="0" xfId="1" applyFont="1" applyFill="1" applyBorder="1" applyAlignment="1">
      <alignment vertical="center" wrapText="1"/>
    </xf>
    <xf numFmtId="0" fontId="2" fillId="6" borderId="0" xfId="1" applyFont="1" applyFill="1" applyAlignment="1">
      <alignment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2" fillId="6" borderId="12" xfId="1" applyFont="1" applyFill="1" applyBorder="1" applyAlignment="1">
      <alignment vertical="center"/>
    </xf>
    <xf numFmtId="0" fontId="12" fillId="6" borderId="12" xfId="1" applyFont="1" applyFill="1" applyBorder="1" applyAlignment="1">
      <alignment horizontal="left" vertical="center" wrapText="1"/>
    </xf>
    <xf numFmtId="0" fontId="12" fillId="6" borderId="12" xfId="1" applyFont="1" applyFill="1" applyBorder="1" applyAlignment="1">
      <alignment horizontal="center" vertical="center" wrapText="1"/>
    </xf>
    <xf numFmtId="49" fontId="13" fillId="6" borderId="12" xfId="1" applyNumberFormat="1" applyFont="1" applyFill="1" applyBorder="1" applyAlignment="1">
      <alignment horizontal="center" vertical="center" wrapText="1"/>
    </xf>
    <xf numFmtId="0" fontId="12" fillId="6" borderId="12" xfId="1" applyFont="1" applyFill="1" applyBorder="1" applyAlignment="1">
      <alignment horizontal="center" vertical="center"/>
    </xf>
    <xf numFmtId="2" fontId="29" fillId="6" borderId="12" xfId="1" applyNumberFormat="1" applyFont="1" applyFill="1" applyBorder="1" applyAlignment="1">
      <alignment horizontal="center" vertical="center" wrapText="1"/>
    </xf>
    <xf numFmtId="2" fontId="13" fillId="6" borderId="1" xfId="1" applyNumberFormat="1" applyFont="1" applyFill="1" applyBorder="1" applyAlignment="1">
      <alignment horizontal="center" vertical="center" wrapText="1"/>
    </xf>
    <xf numFmtId="2" fontId="56" fillId="6" borderId="1" xfId="1" applyNumberFormat="1" applyFont="1" applyFill="1" applyBorder="1" applyAlignment="1">
      <alignment horizontal="center" vertical="center" wrapText="1"/>
    </xf>
    <xf numFmtId="10" fontId="12" fillId="6" borderId="1" xfId="1" applyNumberFormat="1" applyFont="1" applyFill="1" applyBorder="1" applyAlignment="1">
      <alignment horizontal="center" vertical="center" wrapText="1"/>
    </xf>
    <xf numFmtId="9" fontId="12" fillId="6" borderId="1" xfId="1" applyNumberFormat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left"/>
    </xf>
    <xf numFmtId="0" fontId="12" fillId="6" borderId="1" xfId="1" applyFont="1" applyFill="1" applyBorder="1" applyAlignment="1">
      <alignment horizontal="left" vertical="center" wrapText="1"/>
    </xf>
    <xf numFmtId="49" fontId="13" fillId="6" borderId="1" xfId="1" applyNumberFormat="1" applyFont="1" applyFill="1" applyBorder="1" applyAlignment="1">
      <alignment horizontal="center" vertical="center" wrapText="1"/>
    </xf>
    <xf numFmtId="0" fontId="12" fillId="6" borderId="4" xfId="1" applyFont="1" applyFill="1" applyBorder="1" applyAlignment="1">
      <alignment horizontal="center" vertical="center"/>
    </xf>
    <xf numFmtId="0" fontId="28" fillId="6" borderId="4" xfId="1" applyFont="1" applyFill="1" applyBorder="1" applyAlignment="1" applyProtection="1">
      <alignment horizontal="center"/>
      <protection locked="0"/>
    </xf>
    <xf numFmtId="2" fontId="29" fillId="6" borderId="1" xfId="1" applyNumberFormat="1" applyFont="1" applyFill="1" applyBorder="1" applyAlignment="1">
      <alignment horizontal="center" vertical="center" wrapText="1"/>
    </xf>
    <xf numFmtId="0" fontId="62" fillId="6" borderId="1" xfId="1" applyFont="1" applyFill="1" applyBorder="1" applyAlignment="1" applyProtection="1">
      <alignment horizontal="center"/>
      <protection locked="0"/>
    </xf>
    <xf numFmtId="2" fontId="56" fillId="6" borderId="3" xfId="1" applyNumberFormat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vertical="center"/>
    </xf>
    <xf numFmtId="0" fontId="12" fillId="6" borderId="1" xfId="1" applyFont="1" applyFill="1" applyBorder="1" applyAlignment="1">
      <alignment horizontal="center" vertical="center"/>
    </xf>
    <xf numFmtId="0" fontId="12" fillId="6" borderId="1" xfId="1" applyFont="1" applyFill="1" applyBorder="1" applyAlignment="1" applyProtection="1">
      <alignment horizontal="center"/>
      <protection locked="0"/>
    </xf>
    <xf numFmtId="0" fontId="11" fillId="6" borderId="1" xfId="1" applyFont="1" applyFill="1" applyBorder="1" applyAlignment="1">
      <alignment horizontal="center" vertical="center"/>
    </xf>
    <xf numFmtId="0" fontId="11" fillId="6" borderId="1" xfId="1" applyFont="1" applyFill="1" applyBorder="1" applyAlignment="1" applyProtection="1">
      <alignment horizontal="center"/>
      <protection locked="0"/>
    </xf>
    <xf numFmtId="2" fontId="31" fillId="6" borderId="1" xfId="1" applyNumberFormat="1" applyFont="1" applyFill="1" applyBorder="1" applyAlignment="1">
      <alignment horizontal="center" vertical="top" wrapText="1"/>
    </xf>
    <xf numFmtId="2" fontId="38" fillId="6" borderId="1" xfId="1" applyNumberFormat="1" applyFont="1" applyFill="1" applyBorder="1" applyAlignment="1">
      <alignment horizontal="center" vertical="center" wrapText="1"/>
    </xf>
    <xf numFmtId="2" fontId="5" fillId="6" borderId="1" xfId="1" applyNumberFormat="1" applyFont="1" applyFill="1" applyBorder="1" applyAlignment="1">
      <alignment horizontal="center" vertical="center" wrapText="1"/>
    </xf>
    <xf numFmtId="0" fontId="28" fillId="6" borderId="1" xfId="1" applyFont="1" applyFill="1" applyBorder="1" applyAlignment="1" applyProtection="1">
      <alignment horizontal="center"/>
      <protection locked="0"/>
    </xf>
    <xf numFmtId="0" fontId="32" fillId="6" borderId="1" xfId="1" applyFont="1" applyFill="1" applyBorder="1" applyAlignment="1" applyProtection="1">
      <alignment horizontal="center"/>
      <protection locked="0"/>
    </xf>
    <xf numFmtId="2" fontId="56" fillId="6" borderId="4" xfId="1" applyNumberFormat="1" applyFont="1" applyFill="1" applyBorder="1" applyAlignment="1">
      <alignment horizontal="center" vertical="center" wrapText="1"/>
    </xf>
    <xf numFmtId="0" fontId="58" fillId="6" borderId="1" xfId="1" applyFont="1" applyFill="1" applyBorder="1" applyAlignment="1">
      <alignment horizontal="center" vertical="center" wrapText="1"/>
    </xf>
    <xf numFmtId="10" fontId="12" fillId="6" borderId="12" xfId="1" applyNumberFormat="1" applyFont="1" applyFill="1" applyBorder="1" applyAlignment="1">
      <alignment horizontal="center" vertical="center" wrapText="1"/>
    </xf>
    <xf numFmtId="2" fontId="12" fillId="6" borderId="12" xfId="1" applyNumberFormat="1" applyFont="1" applyFill="1" applyBorder="1" applyAlignment="1">
      <alignment horizontal="center" vertical="center" wrapText="1"/>
    </xf>
    <xf numFmtId="9" fontId="12" fillId="6" borderId="12" xfId="1" applyNumberFormat="1" applyFont="1" applyFill="1" applyBorder="1" applyAlignment="1">
      <alignment horizontal="center" vertical="center" wrapText="1"/>
    </xf>
    <xf numFmtId="2" fontId="5" fillId="6" borderId="12" xfId="1" applyNumberFormat="1" applyFont="1" applyFill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center" vertical="center" wrapText="1"/>
    </xf>
    <xf numFmtId="2" fontId="13" fillId="6" borderId="12" xfId="1" applyNumberFormat="1" applyFont="1" applyFill="1" applyBorder="1" applyAlignment="1">
      <alignment horizontal="center" vertical="center" wrapText="1"/>
    </xf>
    <xf numFmtId="49" fontId="13" fillId="6" borderId="4" xfId="1" applyNumberFormat="1" applyFont="1" applyFill="1" applyBorder="1" applyAlignment="1">
      <alignment horizontal="center" vertical="center" wrapText="1"/>
    </xf>
    <xf numFmtId="0" fontId="32" fillId="6" borderId="12" xfId="1" applyFont="1" applyFill="1" applyBorder="1" applyAlignment="1" applyProtection="1">
      <alignment horizontal="center"/>
      <protection locked="0"/>
    </xf>
    <xf numFmtId="2" fontId="56" fillId="6" borderId="12" xfId="1" applyNumberFormat="1" applyFont="1" applyFill="1" applyBorder="1" applyAlignment="1">
      <alignment horizontal="center" vertical="center" wrapText="1"/>
    </xf>
    <xf numFmtId="2" fontId="7" fillId="6" borderId="12" xfId="1" applyNumberFormat="1" applyFont="1" applyFill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center" vertical="center"/>
    </xf>
    <xf numFmtId="2" fontId="57" fillId="6" borderId="1" xfId="1" applyNumberFormat="1" applyFont="1" applyFill="1" applyBorder="1" applyAlignment="1">
      <alignment horizontal="center" vertical="center" wrapText="1"/>
    </xf>
    <xf numFmtId="0" fontId="46" fillId="6" borderId="0" xfId="1" applyFont="1" applyFill="1" applyAlignment="1">
      <alignment vertical="center" wrapText="1"/>
    </xf>
    <xf numFmtId="0" fontId="46" fillId="6" borderId="0" xfId="1" applyFont="1" applyFill="1" applyBorder="1" applyAlignment="1">
      <alignment vertical="center" wrapText="1"/>
    </xf>
    <xf numFmtId="0" fontId="12" fillId="6" borderId="1" xfId="1" applyFont="1" applyFill="1" applyBorder="1" applyAlignment="1" applyProtection="1">
      <alignment horizontal="center" vertical="center"/>
      <protection locked="0"/>
    </xf>
    <xf numFmtId="49" fontId="13" fillId="6" borderId="29" xfId="1" applyNumberFormat="1" applyFont="1" applyFill="1" applyBorder="1" applyAlignment="1">
      <alignment horizontal="center" vertical="center" wrapText="1"/>
    </xf>
    <xf numFmtId="0" fontId="12" fillId="6" borderId="12" xfId="1" applyNumberFormat="1" applyFont="1" applyFill="1" applyBorder="1" applyAlignment="1" applyProtection="1">
      <alignment horizontal="center" vertical="center"/>
      <protection locked="0"/>
    </xf>
    <xf numFmtId="0" fontId="56" fillId="6" borderId="1" xfId="1" applyFont="1" applyFill="1" applyBorder="1" applyAlignment="1">
      <alignment horizontal="center" vertical="center" wrapText="1"/>
    </xf>
    <xf numFmtId="2" fontId="7" fillId="6" borderId="12" xfId="1" applyNumberFormat="1" applyFont="1" applyFill="1" applyBorder="1" applyAlignment="1">
      <alignment horizontal="center" wrapText="1"/>
    </xf>
    <xf numFmtId="0" fontId="2" fillId="6" borderId="0" xfId="1" applyFont="1" applyFill="1" applyAlignment="1">
      <alignment wrapText="1"/>
    </xf>
    <xf numFmtId="0" fontId="2" fillId="6" borderId="0" xfId="1" applyFont="1" applyFill="1" applyBorder="1" applyAlignment="1">
      <alignment wrapText="1"/>
    </xf>
    <xf numFmtId="0" fontId="13" fillId="6" borderId="1" xfId="2" applyFont="1" applyFill="1" applyBorder="1" applyAlignment="1">
      <alignment horizontal="center" vertical="center"/>
    </xf>
    <xf numFmtId="2" fontId="7" fillId="6" borderId="1" xfId="1" applyNumberFormat="1" applyFont="1" applyFill="1" applyBorder="1" applyAlignment="1">
      <alignment horizontal="center" wrapText="1"/>
    </xf>
    <xf numFmtId="0" fontId="12" fillId="6" borderId="1" xfId="1" applyFont="1" applyFill="1" applyBorder="1" applyAlignment="1"/>
    <xf numFmtId="0" fontId="12" fillId="6" borderId="1" xfId="1" applyFont="1" applyFill="1" applyBorder="1" applyAlignment="1">
      <alignment horizontal="left" wrapText="1"/>
    </xf>
    <xf numFmtId="0" fontId="12" fillId="6" borderId="1" xfId="1" applyFont="1" applyFill="1" applyBorder="1" applyAlignment="1">
      <alignment horizontal="center"/>
    </xf>
    <xf numFmtId="49" fontId="13" fillId="6" borderId="1" xfId="1" applyNumberFormat="1" applyFont="1" applyFill="1" applyBorder="1" applyAlignment="1">
      <alignment horizontal="center" wrapText="1"/>
    </xf>
    <xf numFmtId="2" fontId="29" fillId="6" borderId="1" xfId="1" applyNumberFormat="1" applyFont="1" applyFill="1" applyBorder="1" applyAlignment="1">
      <alignment horizontal="center" wrapText="1"/>
    </xf>
    <xf numFmtId="10" fontId="12" fillId="6" borderId="1" xfId="1" applyNumberFormat="1" applyFont="1" applyFill="1" applyBorder="1" applyAlignment="1">
      <alignment horizontal="center" wrapText="1"/>
    </xf>
    <xf numFmtId="2" fontId="12" fillId="6" borderId="1" xfId="1" applyNumberFormat="1" applyFont="1" applyFill="1" applyBorder="1" applyAlignment="1">
      <alignment horizontal="center" wrapText="1"/>
    </xf>
    <xf numFmtId="9" fontId="12" fillId="6" borderId="1" xfId="1" applyNumberFormat="1" applyFont="1" applyFill="1" applyBorder="1" applyAlignment="1">
      <alignment horizontal="center" wrapText="1"/>
    </xf>
    <xf numFmtId="0" fontId="12" fillId="6" borderId="12" xfId="1" applyFont="1" applyFill="1" applyBorder="1" applyAlignment="1"/>
    <xf numFmtId="0" fontId="12" fillId="6" borderId="12" xfId="1" applyFont="1" applyFill="1" applyBorder="1" applyAlignment="1">
      <alignment horizontal="left" wrapText="1"/>
    </xf>
    <xf numFmtId="0" fontId="12" fillId="6" borderId="12" xfId="1" applyFont="1" applyFill="1" applyBorder="1" applyAlignment="1">
      <alignment horizontal="center"/>
    </xf>
    <xf numFmtId="2" fontId="56" fillId="6" borderId="12" xfId="1" applyNumberFormat="1" applyFont="1" applyFill="1" applyBorder="1" applyAlignment="1">
      <alignment horizontal="center" wrapText="1"/>
    </xf>
    <xf numFmtId="2" fontId="12" fillId="6" borderId="12" xfId="1" applyNumberFormat="1" applyFont="1" applyFill="1" applyBorder="1" applyAlignment="1">
      <alignment horizontal="center" wrapText="1"/>
    </xf>
    <xf numFmtId="9" fontId="12" fillId="6" borderId="12" xfId="1" applyNumberFormat="1" applyFont="1" applyFill="1" applyBorder="1" applyAlignment="1">
      <alignment horizontal="center" wrapText="1"/>
    </xf>
    <xf numFmtId="2" fontId="7" fillId="6" borderId="3" xfId="1" applyNumberFormat="1" applyFont="1" applyFill="1" applyBorder="1" applyAlignment="1">
      <alignment horizontal="center" vertical="center" wrapText="1"/>
    </xf>
    <xf numFmtId="0" fontId="12" fillId="6" borderId="29" xfId="1" applyFont="1" applyFill="1" applyBorder="1" applyAlignment="1">
      <alignment vertical="center"/>
    </xf>
    <xf numFmtId="0" fontId="12" fillId="6" borderId="29" xfId="1" applyFont="1" applyFill="1" applyBorder="1" applyAlignment="1">
      <alignment horizontal="left" vertical="center" wrapText="1"/>
    </xf>
    <xf numFmtId="2" fontId="29" fillId="6" borderId="29" xfId="1" applyNumberFormat="1" applyFont="1" applyFill="1" applyBorder="1" applyAlignment="1">
      <alignment horizontal="center" vertical="center" wrapText="1"/>
    </xf>
    <xf numFmtId="2" fontId="56" fillId="6" borderId="29" xfId="1" applyNumberFormat="1" applyFont="1" applyFill="1" applyBorder="1" applyAlignment="1">
      <alignment horizontal="center" vertical="center" wrapText="1"/>
    </xf>
    <xf numFmtId="10" fontId="12" fillId="6" borderId="29" xfId="1" applyNumberFormat="1" applyFont="1" applyFill="1" applyBorder="1" applyAlignment="1">
      <alignment horizontal="center" vertical="center" wrapText="1"/>
    </xf>
    <xf numFmtId="2" fontId="12" fillId="6" borderId="29" xfId="1" applyNumberFormat="1" applyFont="1" applyFill="1" applyBorder="1" applyAlignment="1">
      <alignment horizontal="center" vertical="center" wrapText="1"/>
    </xf>
    <xf numFmtId="9" fontId="12" fillId="6" borderId="29" xfId="1" applyNumberFormat="1" applyFont="1" applyFill="1" applyBorder="1" applyAlignment="1">
      <alignment horizontal="center" vertical="center" wrapText="1"/>
    </xf>
    <xf numFmtId="2" fontId="5" fillId="6" borderId="29" xfId="1" applyNumberFormat="1" applyFont="1" applyFill="1" applyBorder="1" applyAlignment="1">
      <alignment horizontal="center" vertical="center" wrapText="1"/>
    </xf>
    <xf numFmtId="0" fontId="12" fillId="6" borderId="29" xfId="1" applyFont="1" applyFill="1" applyBorder="1" applyAlignment="1">
      <alignment horizontal="center" vertical="center" wrapText="1"/>
    </xf>
    <xf numFmtId="0" fontId="28" fillId="6" borderId="12" xfId="1" applyFont="1" applyFill="1" applyBorder="1" applyAlignment="1" applyProtection="1">
      <alignment horizontal="center"/>
      <protection locked="0"/>
    </xf>
    <xf numFmtId="0" fontId="12" fillId="6" borderId="29" xfId="1" applyFont="1" applyFill="1" applyBorder="1" applyAlignment="1">
      <alignment horizontal="center" vertical="center"/>
    </xf>
    <xf numFmtId="2" fontId="30" fillId="6" borderId="29" xfId="1" applyNumberFormat="1" applyFont="1" applyFill="1" applyBorder="1" applyAlignment="1">
      <alignment horizontal="center" vertical="center" wrapText="1"/>
    </xf>
    <xf numFmtId="0" fontId="12" fillId="6" borderId="4" xfId="2" applyFont="1" applyFill="1" applyBorder="1" applyAlignment="1">
      <alignment horizontal="center" vertical="center"/>
    </xf>
    <xf numFmtId="165" fontId="33" fillId="6" borderId="4" xfId="2" applyNumberFormat="1" applyFont="1" applyFill="1" applyBorder="1" applyAlignment="1">
      <alignment horizontal="center" vertical="center"/>
    </xf>
    <xf numFmtId="0" fontId="30" fillId="6" borderId="4" xfId="2" applyFont="1" applyFill="1" applyBorder="1" applyAlignment="1">
      <alignment horizontal="center" vertical="center"/>
    </xf>
    <xf numFmtId="10" fontId="5" fillId="40" borderId="1" xfId="3" applyNumberFormat="1" applyFont="1" applyFill="1" applyBorder="1" applyAlignment="1" applyProtection="1">
      <alignment horizontal="center" vertical="center" wrapText="1"/>
    </xf>
    <xf numFmtId="0" fontId="12" fillId="6" borderId="1" xfId="2" applyFont="1" applyFill="1" applyBorder="1" applyAlignment="1">
      <alignment vertical="center"/>
    </xf>
    <xf numFmtId="0" fontId="12" fillId="6" borderId="1" xfId="2" applyFont="1" applyFill="1" applyBorder="1" applyAlignment="1">
      <alignment horizontal="left" vertical="center"/>
    </xf>
    <xf numFmtId="0" fontId="12" fillId="6" borderId="1" xfId="2" applyFont="1" applyFill="1" applyBorder="1" applyAlignment="1">
      <alignment horizontal="center" vertical="center"/>
    </xf>
    <xf numFmtId="0" fontId="28" fillId="6" borderId="1" xfId="1" applyNumberFormat="1" applyFont="1" applyFill="1" applyBorder="1" applyAlignment="1" applyProtection="1">
      <alignment horizontal="center" vertical="center"/>
      <protection locked="0"/>
    </xf>
    <xf numFmtId="0" fontId="30" fillId="6" borderId="1" xfId="2" applyFont="1" applyFill="1" applyBorder="1" applyAlignment="1">
      <alignment horizontal="center" vertical="center"/>
    </xf>
    <xf numFmtId="0" fontId="12" fillId="6" borderId="12" xfId="2" applyFont="1" applyFill="1" applyBorder="1" applyAlignment="1">
      <alignment vertical="center"/>
    </xf>
    <xf numFmtId="0" fontId="12" fillId="6" borderId="12" xfId="2" applyFont="1" applyFill="1" applyBorder="1" applyAlignment="1">
      <alignment horizontal="left" vertical="center"/>
    </xf>
    <xf numFmtId="0" fontId="12" fillId="6" borderId="12" xfId="2" applyFont="1" applyFill="1" applyBorder="1" applyAlignment="1">
      <alignment horizontal="center" vertical="center"/>
    </xf>
    <xf numFmtId="0" fontId="13" fillId="6" borderId="12" xfId="2" applyFont="1" applyFill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/>
    </xf>
    <xf numFmtId="10" fontId="5" fillId="40" borderId="12" xfId="3" applyNumberFormat="1" applyFont="1" applyFill="1" applyBorder="1" applyAlignment="1" applyProtection="1">
      <alignment horizontal="center" vertical="center" wrapText="1"/>
    </xf>
    <xf numFmtId="0" fontId="63" fillId="6" borderId="1" xfId="1" applyFont="1" applyFill="1" applyBorder="1" applyAlignment="1" applyProtection="1">
      <alignment horizontal="center"/>
      <protection locked="0"/>
    </xf>
    <xf numFmtId="0" fontId="30" fillId="6" borderId="1" xfId="2" applyFont="1" applyFill="1" applyBorder="1" applyAlignment="1">
      <alignment horizontal="center" vertical="center" wrapText="1"/>
    </xf>
    <xf numFmtId="0" fontId="12" fillId="6" borderId="1" xfId="1" applyNumberFormat="1" applyFont="1" applyFill="1" applyBorder="1" applyAlignment="1" applyProtection="1">
      <alignment horizontal="center" vertical="center"/>
      <protection locked="0"/>
    </xf>
    <xf numFmtId="0" fontId="30" fillId="6" borderId="12" xfId="2" applyFont="1" applyFill="1" applyBorder="1" applyAlignment="1">
      <alignment horizontal="center" vertical="center" wrapText="1"/>
    </xf>
    <xf numFmtId="0" fontId="63" fillId="6" borderId="12" xfId="1" applyFont="1" applyFill="1" applyBorder="1" applyAlignment="1" applyProtection="1">
      <alignment horizontal="center"/>
      <protection locked="0"/>
    </xf>
    <xf numFmtId="0" fontId="12" fillId="40" borderId="1" xfId="3" applyNumberFormat="1" applyFont="1" applyFill="1" applyBorder="1" applyAlignment="1" applyProtection="1">
      <alignment vertical="center" wrapText="1"/>
    </xf>
    <xf numFmtId="0" fontId="12" fillId="40" borderId="1" xfId="3" applyNumberFormat="1" applyFont="1" applyFill="1" applyBorder="1" applyAlignment="1" applyProtection="1">
      <alignment horizontal="center" vertical="center" wrapText="1"/>
    </xf>
    <xf numFmtId="0" fontId="13" fillId="40" borderId="1" xfId="3" applyNumberFormat="1" applyFont="1" applyFill="1" applyBorder="1" applyAlignment="1" applyProtection="1">
      <alignment horizontal="center" vertical="center" wrapText="1"/>
    </xf>
    <xf numFmtId="0" fontId="12" fillId="40" borderId="1" xfId="1" applyFont="1" applyFill="1" applyBorder="1" applyAlignment="1">
      <alignment vertical="center" wrapText="1"/>
    </xf>
    <xf numFmtId="0" fontId="13" fillId="40" borderId="1" xfId="1" applyFont="1" applyFill="1" applyBorder="1" applyAlignment="1">
      <alignment horizontal="center" vertical="center" wrapText="1"/>
    </xf>
    <xf numFmtId="0" fontId="27" fillId="6" borderId="1" xfId="1" applyFont="1" applyFill="1" applyBorder="1" applyAlignment="1">
      <alignment horizontal="left"/>
    </xf>
    <xf numFmtId="0" fontId="12" fillId="40" borderId="1" xfId="3" applyNumberFormat="1" applyFont="1" applyFill="1" applyBorder="1" applyAlignment="1" applyProtection="1">
      <alignment horizontal="left" vertical="center" wrapText="1"/>
    </xf>
    <xf numFmtId="0" fontId="12" fillId="40" borderId="12" xfId="3" applyNumberFormat="1" applyFont="1" applyFill="1" applyBorder="1" applyAlignment="1" applyProtection="1">
      <alignment horizontal="center" vertical="center" wrapText="1"/>
    </xf>
    <xf numFmtId="0" fontId="13" fillId="40" borderId="12" xfId="3" applyNumberFormat="1" applyFont="1" applyFill="1" applyBorder="1" applyAlignment="1" applyProtection="1">
      <alignment horizontal="center" vertical="center" wrapText="1"/>
    </xf>
    <xf numFmtId="0" fontId="12" fillId="6" borderId="1" xfId="1" applyFont="1" applyFill="1" applyBorder="1" applyAlignment="1">
      <alignment horizontal="left" vertical="center"/>
    </xf>
    <xf numFmtId="0" fontId="12" fillId="6" borderId="12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 wrapText="1"/>
    </xf>
    <xf numFmtId="0" fontId="11" fillId="40" borderId="1" xfId="3" applyNumberFormat="1" applyFont="1" applyFill="1" applyBorder="1" applyAlignment="1" applyProtection="1">
      <alignment horizontal="center" vertical="center" wrapText="1"/>
    </xf>
    <xf numFmtId="0" fontId="11" fillId="40" borderId="1" xfId="3" applyNumberFormat="1" applyFont="1" applyFill="1" applyBorder="1" applyAlignment="1" applyProtection="1">
      <alignment horizontal="center"/>
      <protection locked="0"/>
    </xf>
    <xf numFmtId="0" fontId="11" fillId="40" borderId="1" xfId="1" applyFont="1" applyFill="1" applyBorder="1" applyAlignment="1">
      <alignment horizontal="center" vertical="center" wrapText="1"/>
    </xf>
    <xf numFmtId="0" fontId="12" fillId="6" borderId="9" xfId="1" applyFont="1" applyFill="1" applyBorder="1" applyAlignment="1">
      <alignment horizontal="center" vertical="center"/>
    </xf>
    <xf numFmtId="14" fontId="12" fillId="6" borderId="1" xfId="1" applyNumberFormat="1" applyFont="1" applyFill="1" applyBorder="1" applyAlignment="1">
      <alignment horizontal="center" vertical="center" wrapText="1"/>
    </xf>
    <xf numFmtId="0" fontId="12" fillId="6" borderId="1" xfId="1" applyNumberFormat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vertical="center" wrapText="1"/>
    </xf>
    <xf numFmtId="2" fontId="12" fillId="40" borderId="1" xfId="3" applyNumberFormat="1" applyFont="1" applyFill="1" applyBorder="1" applyAlignment="1" applyProtection="1">
      <alignment horizontal="center" vertical="center" wrapText="1"/>
    </xf>
    <xf numFmtId="10" fontId="12" fillId="6" borderId="7" xfId="1" applyNumberFormat="1" applyFont="1" applyFill="1" applyBorder="1" applyAlignment="1">
      <alignment horizontal="center" vertical="center" wrapText="1"/>
    </xf>
    <xf numFmtId="0" fontId="8" fillId="6" borderId="0" xfId="1" applyFont="1" applyFill="1" applyBorder="1" applyAlignment="1">
      <alignment wrapText="1"/>
    </xf>
    <xf numFmtId="0" fontId="8" fillId="6" borderId="0" xfId="1" applyFont="1" applyFill="1" applyAlignment="1">
      <alignment wrapText="1"/>
    </xf>
    <xf numFmtId="165" fontId="12" fillId="6" borderId="1" xfId="2" applyNumberFormat="1" applyFont="1" applyFill="1" applyBorder="1" applyAlignment="1">
      <alignment horizontal="center" vertical="center"/>
    </xf>
    <xf numFmtId="2" fontId="12" fillId="6" borderId="1" xfId="2" applyNumberFormat="1" applyFont="1" applyFill="1" applyBorder="1" applyAlignment="1">
      <alignment horizontal="center" vertical="center"/>
    </xf>
    <xf numFmtId="2" fontId="2" fillId="6" borderId="0" xfId="1" applyNumberFormat="1" applyFont="1" applyFill="1" applyBorder="1" applyAlignment="1">
      <alignment vertical="center" wrapText="1"/>
    </xf>
    <xf numFmtId="0" fontId="11" fillId="6" borderId="0" xfId="1" applyFont="1" applyFill="1" applyAlignment="1">
      <alignment vertical="center" wrapText="1"/>
    </xf>
    <xf numFmtId="0" fontId="11" fillId="6" borderId="0" xfId="1" applyFont="1" applyFill="1" applyBorder="1" applyAlignment="1">
      <alignment vertical="center" wrapText="1"/>
    </xf>
    <xf numFmtId="2" fontId="12" fillId="6" borderId="1" xfId="2" applyNumberFormat="1" applyFont="1" applyFill="1" applyBorder="1" applyAlignment="1">
      <alignment vertical="center"/>
    </xf>
    <xf numFmtId="49" fontId="12" fillId="6" borderId="1" xfId="1" applyNumberFormat="1" applyFont="1" applyFill="1" applyBorder="1" applyAlignment="1">
      <alignment horizontal="center" vertical="center" wrapText="1"/>
    </xf>
    <xf numFmtId="2" fontId="8" fillId="6" borderId="0" xfId="1" applyNumberFormat="1" applyFont="1" applyFill="1" applyBorder="1" applyAlignment="1">
      <alignment wrapText="1"/>
    </xf>
    <xf numFmtId="0" fontId="12" fillId="6" borderId="3" xfId="1" applyFont="1" applyFill="1" applyBorder="1" applyAlignment="1">
      <alignment horizontal="center" vertical="center"/>
    </xf>
    <xf numFmtId="2" fontId="12" fillId="6" borderId="3" xfId="1" applyNumberFormat="1" applyFont="1" applyFill="1" applyBorder="1" applyAlignment="1">
      <alignment horizontal="center" vertical="center" wrapText="1"/>
    </xf>
    <xf numFmtId="9" fontId="11" fillId="6" borderId="1" xfId="1" applyNumberFormat="1" applyFont="1" applyFill="1" applyBorder="1" applyAlignment="1">
      <alignment horizontal="center" vertical="center" wrapText="1"/>
    </xf>
    <xf numFmtId="166" fontId="2" fillId="6" borderId="0" xfId="1" applyNumberFormat="1" applyFont="1" applyFill="1" applyBorder="1" applyAlignment="1">
      <alignment vertical="center" wrapText="1"/>
    </xf>
    <xf numFmtId="0" fontId="28" fillId="6" borderId="1" xfId="1" applyFont="1" applyFill="1" applyBorder="1" applyAlignment="1">
      <alignment horizontal="left" vertical="center"/>
    </xf>
    <xf numFmtId="0" fontId="12" fillId="40" borderId="1" xfId="3" applyNumberFormat="1" applyFont="1" applyFill="1" applyBorder="1" applyAlignment="1" applyProtection="1">
      <alignment horizontal="left" vertical="center"/>
      <protection locked="0"/>
    </xf>
    <xf numFmtId="14" fontId="12" fillId="40" borderId="1" xfId="3" applyNumberFormat="1" applyFont="1" applyFill="1" applyBorder="1" applyAlignment="1" applyProtection="1">
      <alignment horizontal="center" vertical="center" wrapText="1"/>
    </xf>
    <xf numFmtId="0" fontId="12" fillId="40" borderId="1" xfId="3" applyNumberFormat="1" applyFont="1" applyFill="1" applyBorder="1" applyAlignment="1" applyProtection="1">
      <alignment horizontal="center" vertical="center"/>
    </xf>
    <xf numFmtId="2" fontId="11" fillId="6" borderId="0" xfId="1" applyNumberFormat="1" applyFont="1" applyFill="1" applyAlignment="1">
      <alignment vertical="center" wrapText="1"/>
    </xf>
    <xf numFmtId="0" fontId="12" fillId="6" borderId="6" xfId="1" applyFont="1" applyFill="1" applyBorder="1" applyAlignment="1">
      <alignment horizontal="center" vertical="center"/>
    </xf>
    <xf numFmtId="14" fontId="12" fillId="6" borderId="4" xfId="1" applyNumberFormat="1" applyFont="1" applyFill="1" applyBorder="1" applyAlignment="1">
      <alignment horizontal="center" vertical="center" wrapText="1"/>
    </xf>
    <xf numFmtId="0" fontId="12" fillId="6" borderId="4" xfId="1" applyFont="1" applyFill="1" applyBorder="1" applyAlignment="1">
      <alignment vertical="center" wrapText="1"/>
    </xf>
    <xf numFmtId="0" fontId="11" fillId="6" borderId="4" xfId="1" applyNumberFormat="1" applyFont="1" applyFill="1" applyBorder="1" applyAlignment="1">
      <alignment horizontal="center" vertical="center" wrapText="1"/>
    </xf>
    <xf numFmtId="2" fontId="64" fillId="6" borderId="4" xfId="1" applyNumberFormat="1" applyFont="1" applyFill="1" applyBorder="1" applyAlignment="1">
      <alignment horizontal="center" vertical="top" wrapText="1"/>
    </xf>
    <xf numFmtId="2" fontId="38" fillId="6" borderId="4" xfId="1" applyNumberFormat="1" applyFont="1" applyFill="1" applyBorder="1" applyAlignment="1">
      <alignment horizontal="center" vertical="center" wrapText="1"/>
    </xf>
    <xf numFmtId="0" fontId="11" fillId="6" borderId="1" xfId="1" applyNumberFormat="1" applyFont="1" applyFill="1" applyBorder="1" applyAlignment="1">
      <alignment horizontal="center" vertical="center" wrapText="1"/>
    </xf>
    <xf numFmtId="2" fontId="64" fillId="6" borderId="1" xfId="1" applyNumberFormat="1" applyFont="1" applyFill="1" applyBorder="1" applyAlignment="1">
      <alignment horizontal="center" vertical="top" wrapText="1"/>
    </xf>
    <xf numFmtId="2" fontId="12" fillId="40" borderId="12" xfId="3" applyNumberFormat="1" applyFont="1" applyFill="1" applyBorder="1" applyAlignment="1" applyProtection="1">
      <alignment horizontal="center" vertical="center" wrapText="1"/>
    </xf>
    <xf numFmtId="2" fontId="64" fillId="6" borderId="12" xfId="1" applyNumberFormat="1" applyFont="1" applyFill="1" applyBorder="1" applyAlignment="1">
      <alignment horizontal="center" vertical="top" wrapText="1"/>
    </xf>
    <xf numFmtId="2" fontId="38" fillId="6" borderId="12" xfId="1" applyNumberFormat="1" applyFont="1" applyFill="1" applyBorder="1" applyAlignment="1">
      <alignment horizontal="center" vertical="center" wrapText="1"/>
    </xf>
    <xf numFmtId="1" fontId="12" fillId="6" borderId="12" xfId="1" applyNumberFormat="1" applyFont="1" applyFill="1" applyBorder="1" applyAlignment="1">
      <alignment horizontal="center" vertical="center" wrapText="1"/>
    </xf>
    <xf numFmtId="2" fontId="64" fillId="6" borderId="29" xfId="1" applyNumberFormat="1" applyFont="1" applyFill="1" applyBorder="1" applyAlignment="1">
      <alignment horizontal="center" vertical="top" wrapText="1"/>
    </xf>
    <xf numFmtId="10" fontId="12" fillId="6" borderId="3" xfId="1" applyNumberFormat="1" applyFont="1" applyFill="1" applyBorder="1" applyAlignment="1">
      <alignment horizontal="center" vertical="center" wrapText="1"/>
    </xf>
    <xf numFmtId="2" fontId="38" fillId="6" borderId="29" xfId="1" applyNumberFormat="1" applyFont="1" applyFill="1" applyBorder="1" applyAlignment="1">
      <alignment horizontal="center" vertical="center" wrapText="1"/>
    </xf>
    <xf numFmtId="2" fontId="7" fillId="6" borderId="29" xfId="1" applyNumberFormat="1" applyFont="1" applyFill="1" applyBorder="1" applyAlignment="1">
      <alignment horizontal="center" vertical="center" wrapText="1"/>
    </xf>
    <xf numFmtId="0" fontId="12" fillId="40" borderId="12" xfId="3" applyNumberFormat="1" applyFont="1" applyFill="1" applyBorder="1" applyAlignment="1" applyProtection="1">
      <alignment horizontal="left" vertical="center" wrapText="1"/>
    </xf>
    <xf numFmtId="0" fontId="11" fillId="40" borderId="12" xfId="3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12" fillId="40" borderId="10" xfId="3" applyNumberFormat="1" applyFont="1" applyFill="1" applyBorder="1" applyAlignment="1" applyProtection="1">
      <alignment horizontal="left" vertical="center" wrapText="1"/>
    </xf>
    <xf numFmtId="0" fontId="11" fillId="40" borderId="1" xfId="3" applyNumberFormat="1" applyFont="1" applyFill="1" applyBorder="1" applyAlignment="1" applyProtection="1">
      <alignment horizontal="left" vertical="center" wrapText="1"/>
    </xf>
    <xf numFmtId="0" fontId="12" fillId="40" borderId="12" xfId="3" applyNumberFormat="1" applyFont="1" applyFill="1" applyBorder="1" applyAlignment="1" applyProtection="1">
      <alignment horizontal="left" vertical="center"/>
      <protection locked="0"/>
    </xf>
    <xf numFmtId="0" fontId="12" fillId="40" borderId="12" xfId="3" applyNumberFormat="1" applyFont="1" applyFill="1" applyBorder="1" applyAlignment="1" applyProtection="1">
      <alignment vertical="center" wrapText="1"/>
    </xf>
    <xf numFmtId="0" fontId="12" fillId="6" borderId="10" xfId="1" applyFont="1" applyFill="1" applyBorder="1" applyAlignment="1">
      <alignment vertical="center"/>
    </xf>
    <xf numFmtId="0" fontId="5" fillId="2" borderId="29" xfId="1" applyFont="1" applyFill="1" applyBorder="1" applyAlignment="1">
      <alignment vertical="center"/>
    </xf>
    <xf numFmtId="0" fontId="5" fillId="2" borderId="12" xfId="2" applyFont="1" applyFill="1" applyBorder="1" applyAlignment="1">
      <alignment horizontal="left" vertical="center"/>
    </xf>
    <xf numFmtId="0" fontId="12" fillId="40" borderId="12" xfId="3" applyNumberFormat="1" applyFont="1" applyFill="1" applyBorder="1" applyAlignment="1" applyProtection="1">
      <alignment horizontal="left" vertical="center"/>
    </xf>
    <xf numFmtId="0" fontId="28" fillId="6" borderId="3" xfId="1" applyFont="1" applyFill="1" applyBorder="1" applyAlignment="1">
      <alignment horizontal="left" vertical="center"/>
    </xf>
    <xf numFmtId="0" fontId="12" fillId="40" borderId="4" xfId="3" applyNumberFormat="1" applyFont="1" applyFill="1" applyBorder="1" applyAlignment="1" applyProtection="1">
      <alignment horizontal="left" vertical="center" wrapText="1"/>
    </xf>
    <xf numFmtId="0" fontId="12" fillId="6" borderId="10" xfId="1" applyFont="1" applyFill="1" applyBorder="1" applyAlignment="1">
      <alignment horizontal="center" vertical="center" wrapText="1"/>
    </xf>
    <xf numFmtId="0" fontId="13" fillId="40" borderId="29" xfId="3" applyNumberFormat="1" applyFont="1" applyFill="1" applyBorder="1" applyAlignment="1" applyProtection="1">
      <alignment horizontal="center" vertical="center" wrapText="1"/>
    </xf>
    <xf numFmtId="0" fontId="13" fillId="6" borderId="9" xfId="2" applyFont="1" applyFill="1" applyBorder="1" applyAlignment="1">
      <alignment horizontal="center" vertical="center"/>
    </xf>
    <xf numFmtId="0" fontId="13" fillId="6" borderId="12" xfId="1" applyFont="1" applyFill="1" applyBorder="1" applyAlignment="1">
      <alignment horizontal="center" vertical="center" wrapText="1"/>
    </xf>
    <xf numFmtId="49" fontId="13" fillId="6" borderId="9" xfId="1" applyNumberFormat="1" applyFont="1" applyFill="1" applyBorder="1" applyAlignment="1">
      <alignment horizontal="center" vertical="center" wrapText="1"/>
    </xf>
    <xf numFmtId="0" fontId="13" fillId="6" borderId="9" xfId="1" applyFont="1" applyFill="1" applyBorder="1" applyAlignment="1">
      <alignment horizontal="center" vertical="center"/>
    </xf>
    <xf numFmtId="0" fontId="12" fillId="6" borderId="10" xfId="1" applyFont="1" applyFill="1" applyBorder="1" applyAlignment="1">
      <alignment horizontal="center" vertical="center"/>
    </xf>
    <xf numFmtId="0" fontId="12" fillId="40" borderId="3" xfId="3" applyNumberFormat="1" applyFont="1" applyFill="1" applyBorder="1" applyAlignment="1" applyProtection="1">
      <alignment horizontal="center" vertical="center" wrapText="1"/>
    </xf>
    <xf numFmtId="0" fontId="13" fillId="6" borderId="12" xfId="1" applyFont="1" applyFill="1" applyBorder="1" applyAlignment="1">
      <alignment horizontal="center"/>
    </xf>
    <xf numFmtId="0" fontId="13" fillId="6" borderId="29" xfId="2" applyFont="1" applyFill="1" applyBorder="1" applyAlignment="1">
      <alignment horizontal="center" vertical="center"/>
    </xf>
    <xf numFmtId="49" fontId="12" fillId="6" borderId="12" xfId="1" applyNumberFormat="1" applyFont="1" applyFill="1" applyBorder="1" applyAlignment="1">
      <alignment horizontal="center" vertical="center" wrapText="1"/>
    </xf>
    <xf numFmtId="0" fontId="16" fillId="2" borderId="12" xfId="2" applyFont="1" applyFill="1" applyBorder="1" applyAlignment="1">
      <alignment horizontal="center" vertical="center"/>
    </xf>
    <xf numFmtId="0" fontId="13" fillId="40" borderId="9" xfId="3" applyNumberFormat="1" applyFont="1" applyFill="1" applyBorder="1" applyAlignment="1" applyProtection="1">
      <alignment horizontal="center" vertical="center" wrapText="1"/>
    </xf>
    <xf numFmtId="14" fontId="12" fillId="40" borderId="12" xfId="3" applyNumberFormat="1" applyFont="1" applyFill="1" applyBorder="1" applyAlignment="1" applyProtection="1">
      <alignment horizontal="center" vertical="center" wrapText="1"/>
    </xf>
    <xf numFmtId="49" fontId="12" fillId="6" borderId="4" xfId="1" applyNumberFormat="1" applyFont="1" applyFill="1" applyBorder="1" applyAlignment="1">
      <alignment horizontal="center" vertical="center" wrapText="1"/>
    </xf>
    <xf numFmtId="1" fontId="12" fillId="6" borderId="1" xfId="1" applyNumberFormat="1" applyFont="1" applyFill="1" applyBorder="1" applyAlignment="1">
      <alignment horizontal="center" vertical="center" wrapText="1"/>
    </xf>
    <xf numFmtId="0" fontId="11" fillId="40" borderId="4" xfId="3" applyNumberFormat="1" applyFont="1" applyFill="1" applyBorder="1" applyAlignment="1" applyProtection="1">
      <alignment horizontal="center" vertical="center" wrapText="1"/>
    </xf>
    <xf numFmtId="0" fontId="12" fillId="6" borderId="3" xfId="1" applyFont="1" applyFill="1" applyBorder="1" applyAlignment="1">
      <alignment horizontal="center" vertical="center" wrapText="1"/>
    </xf>
    <xf numFmtId="0" fontId="11" fillId="6" borderId="3" xfId="1" applyNumberFormat="1" applyFont="1" applyFill="1" applyBorder="1" applyAlignment="1">
      <alignment horizontal="center" vertical="center" wrapText="1"/>
    </xf>
    <xf numFmtId="49" fontId="12" fillId="6" borderId="10" xfId="1" applyNumberFormat="1" applyFont="1" applyFill="1" applyBorder="1" applyAlignment="1">
      <alignment horizontal="center" vertical="center" wrapText="1"/>
    </xf>
    <xf numFmtId="0" fontId="12" fillId="40" borderId="4" xfId="3" applyNumberFormat="1" applyFont="1" applyFill="1" applyBorder="1" applyAlignment="1" applyProtection="1">
      <alignment horizontal="center" vertical="center" wrapText="1"/>
    </xf>
    <xf numFmtId="0" fontId="12" fillId="40" borderId="12" xfId="3" applyNumberFormat="1" applyFont="1" applyFill="1" applyBorder="1" applyAlignment="1" applyProtection="1">
      <alignment horizontal="center" vertical="center"/>
    </xf>
    <xf numFmtId="0" fontId="11" fillId="6" borderId="12" xfId="1" applyFont="1" applyFill="1" applyBorder="1" applyAlignment="1">
      <alignment horizontal="center" vertical="center"/>
    </xf>
    <xf numFmtId="2" fontId="5" fillId="2" borderId="12" xfId="2" applyNumberFormat="1" applyFont="1" applyFill="1" applyBorder="1" applyAlignment="1">
      <alignment horizontal="center" vertical="center"/>
    </xf>
    <xf numFmtId="2" fontId="5" fillId="2" borderId="4" xfId="2" applyNumberFormat="1" applyFont="1" applyFill="1" applyBorder="1" applyAlignment="1">
      <alignment horizontal="center" vertical="center"/>
    </xf>
    <xf numFmtId="0" fontId="12" fillId="6" borderId="10" xfId="1" applyFont="1" applyFill="1" applyBorder="1" applyAlignment="1">
      <alignment vertical="center" wrapText="1"/>
    </xf>
    <xf numFmtId="0" fontId="12" fillId="6" borderId="29" xfId="1" applyFont="1" applyFill="1" applyBorder="1" applyAlignment="1" applyProtection="1">
      <alignment horizontal="center"/>
      <protection locked="0"/>
    </xf>
    <xf numFmtId="0" fontId="12" fillId="6" borderId="4" xfId="1" applyFont="1" applyFill="1" applyBorder="1" applyAlignment="1" applyProtection="1">
      <alignment horizontal="center"/>
      <protection locked="0"/>
    </xf>
    <xf numFmtId="0" fontId="6" fillId="2" borderId="29" xfId="1" applyFont="1" applyFill="1" applyBorder="1" applyAlignment="1" applyProtection="1">
      <alignment horizontal="center" vertical="center"/>
      <protection locked="0"/>
    </xf>
    <xf numFmtId="0" fontId="28" fillId="6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12" xfId="2" applyFont="1" applyFill="1" applyBorder="1" applyAlignment="1">
      <alignment horizontal="center" vertical="center"/>
    </xf>
    <xf numFmtId="0" fontId="12" fillId="6" borderId="4" xfId="1" applyNumberFormat="1" applyFont="1" applyFill="1" applyBorder="1" applyAlignment="1" applyProtection="1">
      <alignment horizontal="center" vertical="center"/>
      <protection locked="0"/>
    </xf>
    <xf numFmtId="2" fontId="12" fillId="6" borderId="4" xfId="2" applyNumberFormat="1" applyFont="1" applyFill="1" applyBorder="1" applyAlignment="1">
      <alignment horizontal="center" vertical="center"/>
    </xf>
    <xf numFmtId="2" fontId="12" fillId="6" borderId="10" xfId="1" applyNumberFormat="1" applyFont="1" applyFill="1" applyBorder="1" applyAlignment="1">
      <alignment horizontal="center" vertical="center" wrapText="1"/>
    </xf>
    <xf numFmtId="165" fontId="33" fillId="6" borderId="1" xfId="2" applyNumberFormat="1" applyFont="1" applyFill="1" applyBorder="1" applyAlignment="1">
      <alignment horizontal="center" vertical="center"/>
    </xf>
    <xf numFmtId="165" fontId="33" fillId="6" borderId="12" xfId="2" applyNumberFormat="1" applyFont="1" applyFill="1" applyBorder="1" applyAlignment="1">
      <alignment horizontal="center" vertical="center"/>
    </xf>
    <xf numFmtId="165" fontId="33" fillId="6" borderId="3" xfId="2" applyNumberFormat="1" applyFont="1" applyFill="1" applyBorder="1" applyAlignment="1">
      <alignment horizontal="center" vertical="center"/>
    </xf>
    <xf numFmtId="2" fontId="64" fillId="6" borderId="3" xfId="1" applyNumberFormat="1" applyFont="1" applyFill="1" applyBorder="1" applyAlignment="1">
      <alignment horizontal="center" vertical="top" wrapText="1"/>
    </xf>
    <xf numFmtId="2" fontId="29" fillId="6" borderId="4" xfId="1" applyNumberFormat="1" applyFont="1" applyFill="1" applyBorder="1" applyAlignment="1">
      <alignment horizontal="center" wrapText="1"/>
    </xf>
    <xf numFmtId="0" fontId="11" fillId="6" borderId="29" xfId="1" applyFont="1" applyFill="1" applyBorder="1" applyAlignment="1" applyProtection="1">
      <alignment horizontal="center"/>
      <protection locked="0"/>
    </xf>
    <xf numFmtId="0" fontId="32" fillId="6" borderId="3" xfId="1" applyFont="1" applyFill="1" applyBorder="1" applyAlignment="1" applyProtection="1">
      <alignment horizontal="center"/>
      <protection locked="0"/>
    </xf>
    <xf numFmtId="0" fontId="38" fillId="6" borderId="12" xfId="1" applyFont="1" applyFill="1" applyBorder="1" applyAlignment="1" applyProtection="1">
      <alignment horizontal="center"/>
      <protection locked="0"/>
    </xf>
    <xf numFmtId="2" fontId="13" fillId="6" borderId="3" xfId="1" applyNumberFormat="1" applyFont="1" applyFill="1" applyBorder="1" applyAlignment="1">
      <alignment horizontal="center" vertical="center" wrapText="1"/>
    </xf>
    <xf numFmtId="164" fontId="5" fillId="2" borderId="12" xfId="1" applyNumberFormat="1" applyFont="1" applyFill="1" applyBorder="1" applyAlignment="1">
      <alignment horizontal="center" vertical="center" wrapText="1"/>
    </xf>
    <xf numFmtId="49" fontId="5" fillId="2" borderId="12" xfId="1" applyNumberFormat="1" applyFont="1" applyFill="1" applyBorder="1" applyAlignment="1">
      <alignment horizontal="center" vertical="center" wrapText="1"/>
    </xf>
    <xf numFmtId="0" fontId="62" fillId="6" borderId="12" xfId="1" applyFont="1" applyFill="1" applyBorder="1" applyAlignment="1" applyProtection="1">
      <alignment horizontal="center"/>
      <protection locked="0"/>
    </xf>
    <xf numFmtId="0" fontId="11" fillId="6" borderId="4" xfId="1" applyFont="1" applyFill="1" applyBorder="1" applyAlignment="1" applyProtection="1">
      <alignment horizontal="center"/>
      <protection locked="0"/>
    </xf>
    <xf numFmtId="0" fontId="30" fillId="6" borderId="3" xfId="2" applyFont="1" applyFill="1" applyBorder="1" applyAlignment="1">
      <alignment horizontal="center" vertical="center"/>
    </xf>
    <xf numFmtId="0" fontId="30" fillId="6" borderId="4" xfId="2" applyFont="1" applyFill="1" applyBorder="1" applyAlignment="1">
      <alignment horizontal="center" vertical="center" wrapText="1"/>
    </xf>
    <xf numFmtId="2" fontId="38" fillId="6" borderId="3" xfId="1" applyNumberFormat="1" applyFont="1" applyFill="1" applyBorder="1" applyAlignment="1">
      <alignment horizontal="center" vertical="center" wrapText="1"/>
    </xf>
    <xf numFmtId="2" fontId="56" fillId="6" borderId="4" xfId="1" applyNumberFormat="1" applyFont="1" applyFill="1" applyBorder="1" applyAlignment="1">
      <alignment horizontal="center" wrapText="1"/>
    </xf>
    <xf numFmtId="49" fontId="7" fillId="2" borderId="3" xfId="1" applyNumberFormat="1" applyFont="1" applyFill="1" applyBorder="1" applyAlignment="1">
      <alignment horizontal="center" vertical="center" wrapText="1"/>
    </xf>
    <xf numFmtId="2" fontId="12" fillId="40" borderId="3" xfId="3" applyNumberFormat="1" applyFont="1" applyFill="1" applyBorder="1" applyAlignment="1" applyProtection="1">
      <alignment horizontal="center" vertical="center" wrapText="1"/>
    </xf>
    <xf numFmtId="10" fontId="12" fillId="6" borderId="4" xfId="1" applyNumberFormat="1" applyFont="1" applyFill="1" applyBorder="1" applyAlignment="1">
      <alignment horizontal="center" wrapText="1"/>
    </xf>
    <xf numFmtId="2" fontId="12" fillId="6" borderId="7" xfId="1" applyNumberFormat="1" applyFont="1" applyFill="1" applyBorder="1" applyAlignment="1">
      <alignment horizontal="center" vertical="center" wrapText="1"/>
    </xf>
    <xf numFmtId="2" fontId="12" fillId="6" borderId="7" xfId="1" applyNumberFormat="1" applyFont="1" applyFill="1" applyBorder="1" applyAlignment="1">
      <alignment horizontal="center" wrapText="1"/>
    </xf>
    <xf numFmtId="10" fontId="5" fillId="40" borderId="29" xfId="3" applyNumberFormat="1" applyFont="1" applyFill="1" applyBorder="1" applyAlignment="1" applyProtection="1">
      <alignment horizontal="center" vertical="center" wrapText="1"/>
    </xf>
    <xf numFmtId="10" fontId="5" fillId="40" borderId="3" xfId="3" applyNumberFormat="1" applyFont="1" applyFill="1" applyBorder="1" applyAlignment="1" applyProtection="1">
      <alignment horizontal="center" vertical="center" wrapText="1"/>
    </xf>
    <xf numFmtId="9" fontId="11" fillId="6" borderId="3" xfId="1" applyNumberFormat="1" applyFont="1" applyFill="1" applyBorder="1" applyAlignment="1">
      <alignment horizontal="center" vertical="center" wrapText="1"/>
    </xf>
    <xf numFmtId="2" fontId="12" fillId="6" borderId="3" xfId="1" applyNumberFormat="1" applyFont="1" applyFill="1" applyBorder="1" applyAlignment="1">
      <alignment horizontal="center" wrapText="1"/>
    </xf>
    <xf numFmtId="2" fontId="12" fillId="6" borderId="4" xfId="1" applyNumberFormat="1" applyFont="1" applyFill="1" applyBorder="1" applyAlignment="1">
      <alignment horizontal="center" wrapText="1"/>
    </xf>
    <xf numFmtId="2" fontId="5" fillId="6" borderId="4" xfId="1" applyNumberFormat="1" applyFont="1" applyFill="1" applyBorder="1" applyAlignment="1">
      <alignment horizontal="center" vertical="center" wrapText="1"/>
    </xf>
    <xf numFmtId="2" fontId="7" fillId="41" borderId="1" xfId="1" applyNumberFormat="1" applyFont="1" applyFill="1" applyBorder="1" applyAlignment="1">
      <alignment horizontal="center" vertical="center" wrapText="1"/>
    </xf>
    <xf numFmtId="0" fontId="2" fillId="41" borderId="0" xfId="1" applyFont="1" applyFill="1" applyBorder="1" applyAlignment="1">
      <alignment vertical="center" wrapText="1"/>
    </xf>
    <xf numFmtId="0" fontId="2" fillId="41" borderId="0" xfId="1" applyFont="1" applyFill="1" applyAlignment="1">
      <alignment vertical="center" wrapText="1"/>
    </xf>
    <xf numFmtId="2" fontId="7" fillId="41" borderId="12" xfId="1" applyNumberFormat="1" applyFont="1" applyFill="1" applyBorder="1" applyAlignment="1">
      <alignment horizontal="center" vertical="center" wrapText="1"/>
    </xf>
    <xf numFmtId="2" fontId="5" fillId="41" borderId="1" xfId="1" applyNumberFormat="1" applyFont="1" applyFill="1" applyBorder="1" applyAlignment="1">
      <alignment horizontal="center" vertical="center" wrapText="1"/>
    </xf>
    <xf numFmtId="2" fontId="5" fillId="41" borderId="3" xfId="1" applyNumberFormat="1" applyFont="1" applyFill="1" applyBorder="1" applyAlignment="1">
      <alignment horizontal="center" vertical="center" wrapText="1"/>
    </xf>
    <xf numFmtId="2" fontId="5" fillId="41" borderId="12" xfId="1" applyNumberFormat="1" applyFont="1" applyFill="1" applyBorder="1" applyAlignment="1">
      <alignment horizontal="center" vertical="center" wrapText="1"/>
    </xf>
    <xf numFmtId="2" fontId="7" fillId="22" borderId="4" xfId="1" applyNumberFormat="1" applyFont="1" applyFill="1" applyBorder="1" applyAlignment="1">
      <alignment horizontal="center" vertical="center" wrapText="1"/>
    </xf>
    <xf numFmtId="2" fontId="7" fillId="22" borderId="1" xfId="1" applyNumberFormat="1" applyFont="1" applyFill="1" applyBorder="1" applyAlignment="1">
      <alignment horizontal="center" vertical="center" wrapText="1"/>
    </xf>
    <xf numFmtId="2" fontId="2" fillId="22" borderId="0" xfId="1" applyNumberFormat="1" applyFont="1" applyFill="1" applyBorder="1" applyAlignment="1">
      <alignment vertical="center" wrapText="1"/>
    </xf>
    <xf numFmtId="2" fontId="7" fillId="22" borderId="12" xfId="1" applyNumberFormat="1" applyFont="1" applyFill="1" applyBorder="1" applyAlignment="1">
      <alignment horizontal="center" vertical="center" wrapText="1"/>
    </xf>
    <xf numFmtId="2" fontId="57" fillId="22" borderId="1" xfId="1" applyNumberFormat="1" applyFont="1" applyFill="1" applyBorder="1" applyAlignment="1">
      <alignment horizontal="center" vertical="center" wrapText="1"/>
    </xf>
    <xf numFmtId="0" fontId="46" fillId="22" borderId="0" xfId="1" applyFont="1" applyFill="1" applyAlignment="1">
      <alignment vertical="center" wrapText="1"/>
    </xf>
    <xf numFmtId="1" fontId="2" fillId="22" borderId="0" xfId="1" applyNumberFormat="1" applyFont="1" applyFill="1" applyBorder="1" applyAlignment="1">
      <alignment vertical="center" wrapText="1"/>
    </xf>
    <xf numFmtId="0" fontId="11" fillId="22" borderId="0" xfId="1" applyFont="1" applyFill="1" applyAlignment="1">
      <alignment vertical="center" wrapText="1"/>
    </xf>
    <xf numFmtId="10" fontId="11" fillId="22" borderId="0" xfId="1" applyNumberFormat="1" applyFont="1" applyFill="1" applyAlignment="1">
      <alignment vertical="center" wrapText="1"/>
    </xf>
    <xf numFmtId="2" fontId="11" fillId="22" borderId="0" xfId="1" applyNumberFormat="1" applyFont="1" applyFill="1" applyAlignment="1">
      <alignment vertical="center" wrapText="1"/>
    </xf>
    <xf numFmtId="0" fontId="2" fillId="42" borderId="0" xfId="1" applyFont="1" applyFill="1" applyAlignment="1">
      <alignment vertical="center" wrapText="1"/>
    </xf>
    <xf numFmtId="10" fontId="2" fillId="22" borderId="0" xfId="1" applyNumberFormat="1" applyFont="1" applyFill="1" applyAlignment="1">
      <alignment vertical="center" wrapText="1"/>
    </xf>
    <xf numFmtId="2" fontId="2" fillId="22" borderId="0" xfId="1" applyNumberFormat="1" applyFont="1" applyFill="1" applyAlignment="1">
      <alignment vertical="center" wrapText="1"/>
    </xf>
    <xf numFmtId="2" fontId="29" fillId="2" borderId="12" xfId="1" applyNumberFormat="1" applyFont="1" applyFill="1" applyBorder="1" applyAlignment="1">
      <alignment horizontal="center" wrapText="1"/>
    </xf>
    <xf numFmtId="2" fontId="70" fillId="2" borderId="0" xfId="1" applyNumberFormat="1" applyFont="1" applyFill="1" applyBorder="1" applyAlignment="1">
      <alignment vertical="center" wrapText="1"/>
    </xf>
    <xf numFmtId="0" fontId="2" fillId="15" borderId="0" xfId="1" applyFont="1" applyFill="1"/>
    <xf numFmtId="2" fontId="2" fillId="15" borderId="0" xfId="1" applyNumberFormat="1" applyFont="1" applyFill="1" applyBorder="1"/>
    <xf numFmtId="0" fontId="2" fillId="15" borderId="0" xfId="1" applyFont="1" applyFill="1" applyBorder="1"/>
    <xf numFmtId="0" fontId="2" fillId="30" borderId="0" xfId="1" applyFont="1" applyFill="1"/>
    <xf numFmtId="2" fontId="2" fillId="30" borderId="0" xfId="1" applyNumberFormat="1" applyFont="1" applyFill="1" applyBorder="1"/>
    <xf numFmtId="0" fontId="2" fillId="30" borderId="0" xfId="1" applyFont="1" applyFill="1" applyBorder="1"/>
    <xf numFmtId="2" fontId="2" fillId="30" borderId="0" xfId="1" applyNumberFormat="1" applyFont="1" applyFill="1"/>
    <xf numFmtId="0" fontId="38" fillId="30" borderId="0" xfId="1" applyFont="1" applyFill="1" applyAlignment="1">
      <alignment horizontal="center" wrapText="1"/>
    </xf>
    <xf numFmtId="0" fontId="39" fillId="30" borderId="0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vertical="center"/>
    </xf>
    <xf numFmtId="2" fontId="2" fillId="2" borderId="12" xfId="1" applyNumberFormat="1" applyFont="1" applyFill="1" applyBorder="1" applyAlignment="1">
      <alignment horizontal="center" vertical="center" wrapText="1"/>
    </xf>
    <xf numFmtId="9" fontId="2" fillId="2" borderId="12" xfId="1" applyNumberFormat="1" applyFont="1" applyFill="1" applyBorder="1" applyAlignment="1" applyProtection="1">
      <alignment horizontal="center" vertical="center"/>
      <protection locked="0"/>
    </xf>
    <xf numFmtId="2" fontId="42" fillId="2" borderId="12" xfId="1" applyNumberFormat="1" applyFont="1" applyFill="1" applyBorder="1" applyAlignment="1" applyProtection="1">
      <alignment horizontal="center" vertical="center"/>
      <protection locked="0"/>
    </xf>
    <xf numFmtId="0" fontId="12" fillId="6" borderId="5" xfId="1" applyFont="1" applyFill="1" applyBorder="1" applyAlignment="1">
      <alignment horizontal="center" vertical="center" wrapText="1"/>
    </xf>
    <xf numFmtId="2" fontId="12" fillId="40" borderId="10" xfId="3" applyNumberFormat="1" applyFont="1" applyFill="1" applyBorder="1" applyAlignment="1" applyProtection="1">
      <alignment horizontal="center" vertical="center" wrapText="1"/>
    </xf>
    <xf numFmtId="0" fontId="12" fillId="6" borderId="8" xfId="1" applyFont="1" applyFill="1" applyBorder="1" applyAlignment="1">
      <alignment horizontal="center" vertical="center" wrapText="1"/>
    </xf>
    <xf numFmtId="2" fontId="69" fillId="6" borderId="0" xfId="1" applyNumberFormat="1" applyFont="1" applyFill="1" applyBorder="1" applyAlignment="1">
      <alignment vertical="center" wrapText="1"/>
    </xf>
    <xf numFmtId="0" fontId="12" fillId="40" borderId="1" xfId="3" applyNumberFormat="1" applyFont="1" applyFill="1" applyBorder="1" applyAlignment="1" applyProtection="1">
      <alignment horizontal="left" vertical="center"/>
    </xf>
    <xf numFmtId="2" fontId="55" fillId="2" borderId="0" xfId="1" applyNumberFormat="1" applyFont="1" applyFill="1" applyBorder="1" applyAlignment="1">
      <alignment vertical="center" wrapText="1"/>
    </xf>
    <xf numFmtId="0" fontId="39" fillId="0" borderId="0" xfId="1" applyFont="1" applyFill="1" applyBorder="1" applyAlignment="1">
      <alignment horizontal="center" wrapText="1"/>
    </xf>
    <xf numFmtId="0" fontId="48" fillId="11" borderId="9" xfId="1" applyFont="1" applyFill="1" applyBorder="1" applyAlignment="1">
      <alignment horizontal="center" vertical="center" wrapText="1"/>
    </xf>
    <xf numFmtId="0" fontId="47" fillId="11" borderId="16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4" fillId="0" borderId="18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0" fontId="39" fillId="30" borderId="0" xfId="1" applyFont="1" applyFill="1" applyBorder="1" applyAlignment="1">
      <alignment horizontal="center" wrapText="1"/>
    </xf>
    <xf numFmtId="0" fontId="4" fillId="0" borderId="0" xfId="1" applyFont="1" applyFill="1" applyAlignment="1">
      <alignment horizontal="center" vertical="center" wrapText="1"/>
    </xf>
    <xf numFmtId="0" fontId="39" fillId="35" borderId="0" xfId="1" applyFont="1" applyFill="1" applyBorder="1" applyAlignment="1">
      <alignment horizontal="center" wrapText="1"/>
    </xf>
    <xf numFmtId="2" fontId="2" fillId="0" borderId="0" xfId="1" applyNumberFormat="1" applyFont="1" applyFill="1" applyAlignment="1">
      <alignment horizontal="right"/>
    </xf>
    <xf numFmtId="0" fontId="2" fillId="0" borderId="1" xfId="1" applyFont="1" applyFill="1" applyBorder="1" applyAlignment="1">
      <alignment horizontal="center" vertical="center" wrapText="1"/>
    </xf>
    <xf numFmtId="0" fontId="21" fillId="6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 applyProtection="1">
      <alignment horizontal="center" wrapText="1"/>
      <protection locked="0"/>
    </xf>
    <xf numFmtId="0" fontId="1" fillId="0" borderId="0" xfId="1" applyFill="1" applyAlignment="1">
      <alignment horizontal="center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horizontal="center" wrapText="1"/>
    </xf>
    <xf numFmtId="0" fontId="1" fillId="0" borderId="0" xfId="1" applyAlignment="1"/>
    <xf numFmtId="0" fontId="1" fillId="0" borderId="0" xfId="1" applyFill="1" applyAlignment="1"/>
    <xf numFmtId="0" fontId="36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0" xfId="1" applyFont="1" applyFill="1" applyAlignment="1"/>
    <xf numFmtId="0" fontId="39" fillId="2" borderId="0" xfId="1" applyFont="1" applyFill="1" applyBorder="1" applyAlignment="1">
      <alignment horizontal="center" wrapText="1"/>
    </xf>
    <xf numFmtId="0" fontId="40" fillId="0" borderId="0" xfId="1" applyFont="1" applyFill="1" applyBorder="1" applyAlignment="1" applyProtection="1">
      <alignment horizontal="center" wrapText="1"/>
      <protection locked="0"/>
    </xf>
    <xf numFmtId="0" fontId="41" fillId="0" borderId="0" xfId="1" applyFont="1" applyFill="1" applyBorder="1" applyAlignment="1" applyProtection="1">
      <alignment horizontal="center" wrapText="1"/>
      <protection locked="0"/>
    </xf>
    <xf numFmtId="0" fontId="3" fillId="0" borderId="13" xfId="1" applyFont="1" applyFill="1" applyBorder="1" applyAlignment="1" applyProtection="1">
      <alignment horizontal="center" wrapText="1"/>
      <protection locked="0"/>
    </xf>
    <xf numFmtId="0" fontId="4" fillId="0" borderId="17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2" fillId="0" borderId="0" xfId="1" applyFont="1" applyFill="1" applyAlignment="1" applyProtection="1">
      <alignment horizontal="right" wrapText="1" indent="1"/>
      <protection locked="0"/>
    </xf>
    <xf numFmtId="0" fontId="4" fillId="0" borderId="14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44" fillId="0" borderId="0" xfId="1" applyFont="1" applyFill="1" applyBorder="1" applyAlignment="1" applyProtection="1">
      <alignment horizontal="center" vertical="center" wrapText="1"/>
      <protection locked="0"/>
    </xf>
    <xf numFmtId="0" fontId="39" fillId="0" borderId="0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center" vertical="center" wrapText="1"/>
    </xf>
    <xf numFmtId="0" fontId="41" fillId="0" borderId="0" xfId="1" applyFont="1" applyFill="1" applyAlignment="1">
      <alignment horizontal="left" vertical="center" wrapText="1"/>
    </xf>
    <xf numFmtId="0" fontId="41" fillId="0" borderId="0" xfId="1" applyFont="1" applyFill="1" applyAlignment="1">
      <alignment wrapText="1"/>
    </xf>
    <xf numFmtId="0" fontId="48" fillId="11" borderId="23" xfId="1" applyFont="1" applyFill="1" applyBorder="1" applyAlignment="1">
      <alignment horizontal="center" vertical="center" wrapText="1"/>
    </xf>
    <xf numFmtId="0" fontId="48" fillId="11" borderId="9" xfId="1" applyFont="1" applyFill="1" applyBorder="1" applyAlignment="1">
      <alignment horizontal="center" vertical="center" wrapText="1"/>
    </xf>
    <xf numFmtId="0" fontId="48" fillId="11" borderId="24" xfId="1" applyFont="1" applyFill="1" applyBorder="1" applyAlignment="1">
      <alignment horizontal="center" vertical="center" wrapText="1"/>
    </xf>
    <xf numFmtId="0" fontId="48" fillId="11" borderId="25" xfId="1" applyFont="1" applyFill="1" applyBorder="1" applyAlignment="1">
      <alignment horizontal="center" vertical="center" wrapText="1"/>
    </xf>
    <xf numFmtId="0" fontId="47" fillId="11" borderId="15" xfId="1" applyFont="1" applyFill="1" applyBorder="1" applyAlignment="1">
      <alignment horizontal="center" vertical="center" wrapText="1"/>
    </xf>
    <xf numFmtId="0" fontId="47" fillId="11" borderId="16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47" fillId="11" borderId="23" xfId="1" applyFont="1" applyFill="1" applyBorder="1" applyAlignment="1">
      <alignment horizontal="center" vertical="center" wrapText="1"/>
    </xf>
    <xf numFmtId="0" fontId="47" fillId="11" borderId="9" xfId="1" applyFont="1" applyFill="1" applyBorder="1" applyAlignment="1">
      <alignment horizontal="center" vertical="center" wrapText="1"/>
    </xf>
    <xf numFmtId="0" fontId="52" fillId="0" borderId="0" xfId="1" applyFont="1" applyFill="1" applyAlignment="1">
      <alignment horizontal="center" wrapText="1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wrapText="1"/>
    </xf>
    <xf numFmtId="0" fontId="8" fillId="0" borderId="0" xfId="1" applyFont="1" applyFill="1" applyAlignment="1" applyProtection="1">
      <alignment horizontal="center" wrapText="1"/>
      <protection locked="0"/>
    </xf>
    <xf numFmtId="0" fontId="72" fillId="0" borderId="0" xfId="1" applyFont="1" applyFill="1" applyAlignment="1"/>
    <xf numFmtId="0" fontId="71" fillId="2" borderId="0" xfId="1" applyFont="1" applyFill="1" applyBorder="1" applyAlignment="1" applyProtection="1">
      <alignment horizontal="center" vertical="center" wrapText="1"/>
      <protection locked="0"/>
    </xf>
    <xf numFmtId="0" fontId="72" fillId="2" borderId="0" xfId="1" applyFont="1" applyFill="1" applyAlignment="1"/>
    <xf numFmtId="0" fontId="38" fillId="0" borderId="0" xfId="1" applyFont="1" applyFill="1" applyBorder="1" applyAlignment="1">
      <alignment horizontal="center" wrapText="1"/>
    </xf>
    <xf numFmtId="0" fontId="39" fillId="30" borderId="0" xfId="1" applyFont="1" applyFill="1" applyBorder="1" applyAlignment="1">
      <alignment horizontal="center" wrapText="1"/>
    </xf>
    <xf numFmtId="0" fontId="2" fillId="11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4" fillId="11" borderId="1" xfId="1" applyFont="1" applyFill="1" applyBorder="1" applyAlignment="1">
      <alignment horizontal="center" vertical="center" wrapText="1"/>
    </xf>
    <xf numFmtId="0" fontId="30" fillId="11" borderId="1" xfId="1" applyFont="1" applyFill="1" applyBorder="1" applyAlignment="1">
      <alignment horizontal="center" vertical="center" wrapText="1"/>
    </xf>
    <xf numFmtId="0" fontId="59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54" fillId="0" borderId="0" xfId="1" applyFont="1" applyFill="1" applyAlignment="1">
      <alignment horizontal="center" vertical="center" wrapText="1"/>
    </xf>
    <xf numFmtId="0" fontId="39" fillId="35" borderId="0" xfId="1" applyFont="1" applyFill="1" applyBorder="1" applyAlignment="1">
      <alignment horizontal="center" wrapText="1"/>
    </xf>
    <xf numFmtId="0" fontId="67" fillId="2" borderId="0" xfId="1" applyFont="1" applyFill="1" applyBorder="1" applyAlignment="1" applyProtection="1">
      <alignment horizontal="center" wrapText="1"/>
      <protection locked="0"/>
    </xf>
    <xf numFmtId="0" fontId="68" fillId="2" borderId="0" xfId="1" applyFont="1" applyFill="1" applyAlignment="1"/>
    <xf numFmtId="0" fontId="39" fillId="2" borderId="0" xfId="1" applyFont="1" applyFill="1" applyBorder="1" applyAlignment="1">
      <alignment horizontal="center" vertical="top" wrapText="1"/>
    </xf>
    <xf numFmtId="0" fontId="1" fillId="2" borderId="0" xfId="1" applyFont="1" applyFill="1" applyAlignment="1">
      <alignment vertical="top"/>
    </xf>
    <xf numFmtId="0" fontId="4" fillId="7" borderId="0" xfId="1" applyFont="1" applyFill="1" applyBorder="1" applyAlignment="1">
      <alignment horizontal="center" wrapText="1"/>
    </xf>
    <xf numFmtId="0" fontId="66" fillId="0" borderId="0" xfId="1" applyFont="1" applyFill="1" applyAlignment="1">
      <alignment horizontal="center" vertical="center" wrapText="1"/>
    </xf>
    <xf numFmtId="0" fontId="52" fillId="0" borderId="0" xfId="1" applyFont="1" applyFill="1" applyAlignment="1">
      <alignment horizontal="center" vertical="center" wrapText="1"/>
    </xf>
    <xf numFmtId="0" fontId="4" fillId="0" borderId="0" xfId="1" applyFont="1" applyFill="1" applyBorder="1" applyAlignment="1">
      <alignment horizontal="center" wrapText="1"/>
    </xf>
    <xf numFmtId="0" fontId="39" fillId="7" borderId="0" xfId="1" applyFont="1" applyFill="1" applyBorder="1" applyAlignment="1">
      <alignment horizontal="center" wrapText="1"/>
    </xf>
    <xf numFmtId="0" fontId="30" fillId="33" borderId="1" xfId="1" applyFont="1" applyFill="1" applyBorder="1" applyAlignment="1">
      <alignment horizontal="center" vertical="center" wrapText="1"/>
    </xf>
    <xf numFmtId="0" fontId="30" fillId="6" borderId="1" xfId="1" applyFont="1" applyFill="1" applyBorder="1" applyAlignment="1">
      <alignment horizontal="center" vertical="center" wrapText="1"/>
    </xf>
    <xf numFmtId="0" fontId="4" fillId="11" borderId="4" xfId="1" applyFont="1" applyFill="1" applyBorder="1" applyAlignment="1">
      <alignment horizontal="center" vertical="center" wrapText="1"/>
    </xf>
    <xf numFmtId="0" fontId="52" fillId="2" borderId="29" xfId="1" applyFont="1" applyFill="1" applyBorder="1" applyAlignment="1">
      <alignment horizontal="center" vertical="center" wrapText="1"/>
    </xf>
    <xf numFmtId="0" fontId="52" fillId="2" borderId="4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48" fillId="11" borderId="15" xfId="1" applyFont="1" applyFill="1" applyBorder="1" applyAlignment="1">
      <alignment horizontal="center" vertical="center" wrapText="1"/>
    </xf>
    <xf numFmtId="0" fontId="48" fillId="11" borderId="30" xfId="1" applyFont="1" applyFill="1" applyBorder="1" applyAlignment="1">
      <alignment horizontal="center" vertical="center" wrapText="1"/>
    </xf>
    <xf numFmtId="0" fontId="55" fillId="0" borderId="0" xfId="1" applyFont="1" applyFill="1" applyAlignment="1">
      <alignment horizontal="center" wrapText="1"/>
    </xf>
    <xf numFmtId="0" fontId="4" fillId="0" borderId="1" xfId="1" applyFont="1" applyFill="1" applyBorder="1" applyAlignment="1">
      <alignment horizontal="right" vertical="center" wrapText="1"/>
    </xf>
  </cellXfs>
  <cellStyles count="4">
    <cellStyle name="Excel_BuiltIn_Вывод" xfId="3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0000"/>
  </sheetPr>
  <dimension ref="A1:AP167"/>
  <sheetViews>
    <sheetView zoomScale="80" zoomScaleNormal="80" zoomScaleSheetLayoutView="40" workbookViewId="0">
      <pane xSplit="2" ySplit="5" topLeftCell="C27" activePane="bottomRight" state="frozen"/>
      <selection pane="topRight" activeCell="C1" sqref="C1"/>
      <selection pane="bottomLeft" activeCell="A9" sqref="A9"/>
      <selection pane="bottomRight" activeCell="W136" sqref="W136"/>
    </sheetView>
  </sheetViews>
  <sheetFormatPr defaultRowHeight="12.75"/>
  <cols>
    <col min="1" max="1" width="6.42578125" style="1" customWidth="1"/>
    <col min="2" max="2" width="20.7109375" style="1" customWidth="1"/>
    <col min="3" max="3" width="19.5703125" style="2" customWidth="1"/>
    <col min="4" max="4" width="11.140625" style="1" customWidth="1"/>
    <col min="5" max="5" width="12.28515625" style="1" customWidth="1"/>
    <col min="6" max="6" width="13.5703125" style="1" customWidth="1"/>
    <col min="7" max="7" width="10.42578125" style="1" customWidth="1"/>
    <col min="8" max="8" width="4.7109375" style="1" customWidth="1"/>
    <col min="9" max="9" width="8.5703125" style="1" customWidth="1"/>
    <col min="10" max="10" width="5.5703125" style="1" customWidth="1"/>
    <col min="11" max="12" width="11.5703125" style="1" customWidth="1"/>
    <col min="13" max="13" width="10.85546875" style="1" customWidth="1"/>
    <col min="14" max="14" width="7.7109375" style="2" customWidth="1"/>
    <col min="15" max="15" width="8" style="1" customWidth="1"/>
    <col min="16" max="16" width="16.28515625" style="1" customWidth="1"/>
    <col min="17" max="17" width="10.5703125" style="1" customWidth="1"/>
    <col min="18" max="18" width="12.42578125" style="1" customWidth="1"/>
    <col min="19" max="19" width="10.140625" style="1" customWidth="1"/>
    <col min="20" max="20" width="15.140625" style="1" customWidth="1"/>
    <col min="21" max="21" width="8.5703125" style="1" customWidth="1"/>
    <col min="22" max="22" width="11.7109375" style="1" customWidth="1"/>
    <col min="23" max="23" width="18.28515625" style="1" customWidth="1"/>
    <col min="24" max="24" width="13.42578125" style="1" bestFit="1" customWidth="1"/>
    <col min="25" max="25" width="11.7109375" style="1" bestFit="1" customWidth="1"/>
    <col min="26" max="32" width="9.140625" style="1"/>
    <col min="33" max="33" width="11.28515625" style="1" bestFit="1" customWidth="1"/>
    <col min="34" max="34" width="10.7109375" style="1" bestFit="1" customWidth="1"/>
    <col min="35" max="256" width="9.140625" style="1"/>
    <col min="257" max="257" width="6.42578125" style="1" customWidth="1"/>
    <col min="258" max="258" width="20.7109375" style="1" customWidth="1"/>
    <col min="259" max="259" width="24.7109375" style="1" customWidth="1"/>
    <col min="260" max="260" width="11.140625" style="1" customWidth="1"/>
    <col min="261" max="261" width="12.28515625" style="1" customWidth="1"/>
    <col min="262" max="262" width="11.140625" style="1" customWidth="1"/>
    <col min="263" max="263" width="10.42578125" style="1" customWidth="1"/>
    <col min="264" max="264" width="4.7109375" style="1" customWidth="1"/>
    <col min="265" max="265" width="8.5703125" style="1" customWidth="1"/>
    <col min="266" max="266" width="5.5703125" style="1" customWidth="1"/>
    <col min="267" max="268" width="11.5703125" style="1" customWidth="1"/>
    <col min="269" max="269" width="10.85546875" style="1" customWidth="1"/>
    <col min="270" max="270" width="7.7109375" style="1" customWidth="1"/>
    <col min="271" max="271" width="8" style="1" customWidth="1"/>
    <col min="272" max="272" width="16.28515625" style="1" customWidth="1"/>
    <col min="273" max="273" width="10.5703125" style="1" customWidth="1"/>
    <col min="274" max="274" width="14.140625" style="1" customWidth="1"/>
    <col min="275" max="275" width="10.140625" style="1" customWidth="1"/>
    <col min="276" max="276" width="15.140625" style="1" customWidth="1"/>
    <col min="277" max="277" width="8.5703125" style="1" customWidth="1"/>
    <col min="278" max="278" width="14.28515625" style="1" customWidth="1"/>
    <col min="279" max="279" width="18.28515625" style="1" customWidth="1"/>
    <col min="280" max="280" width="13" style="1" bestFit="1" customWidth="1"/>
    <col min="281" max="281" width="11.7109375" style="1" bestFit="1" customWidth="1"/>
    <col min="282" max="288" width="9.140625" style="1"/>
    <col min="289" max="289" width="11.28515625" style="1" bestFit="1" customWidth="1"/>
    <col min="290" max="290" width="10.7109375" style="1" bestFit="1" customWidth="1"/>
    <col min="291" max="512" width="9.140625" style="1"/>
    <col min="513" max="513" width="6.42578125" style="1" customWidth="1"/>
    <col min="514" max="514" width="20.7109375" style="1" customWidth="1"/>
    <col min="515" max="515" width="24.7109375" style="1" customWidth="1"/>
    <col min="516" max="516" width="11.140625" style="1" customWidth="1"/>
    <col min="517" max="517" width="12.28515625" style="1" customWidth="1"/>
    <col min="518" max="518" width="11.140625" style="1" customWidth="1"/>
    <col min="519" max="519" width="10.42578125" style="1" customWidth="1"/>
    <col min="520" max="520" width="4.7109375" style="1" customWidth="1"/>
    <col min="521" max="521" width="8.5703125" style="1" customWidth="1"/>
    <col min="522" max="522" width="5.5703125" style="1" customWidth="1"/>
    <col min="523" max="524" width="11.5703125" style="1" customWidth="1"/>
    <col min="525" max="525" width="10.85546875" style="1" customWidth="1"/>
    <col min="526" max="526" width="7.7109375" style="1" customWidth="1"/>
    <col min="527" max="527" width="8" style="1" customWidth="1"/>
    <col min="528" max="528" width="16.28515625" style="1" customWidth="1"/>
    <col min="529" max="529" width="10.5703125" style="1" customWidth="1"/>
    <col min="530" max="530" width="14.140625" style="1" customWidth="1"/>
    <col min="531" max="531" width="10.140625" style="1" customWidth="1"/>
    <col min="532" max="532" width="15.140625" style="1" customWidth="1"/>
    <col min="533" max="533" width="8.5703125" style="1" customWidth="1"/>
    <col min="534" max="534" width="14.28515625" style="1" customWidth="1"/>
    <col min="535" max="535" width="18.28515625" style="1" customWidth="1"/>
    <col min="536" max="536" width="13" style="1" bestFit="1" customWidth="1"/>
    <col min="537" max="537" width="11.7109375" style="1" bestFit="1" customWidth="1"/>
    <col min="538" max="544" width="9.140625" style="1"/>
    <col min="545" max="545" width="11.28515625" style="1" bestFit="1" customWidth="1"/>
    <col min="546" max="546" width="10.7109375" style="1" bestFit="1" customWidth="1"/>
    <col min="547" max="768" width="9.140625" style="1"/>
    <col min="769" max="769" width="6.42578125" style="1" customWidth="1"/>
    <col min="770" max="770" width="20.7109375" style="1" customWidth="1"/>
    <col min="771" max="771" width="24.7109375" style="1" customWidth="1"/>
    <col min="772" max="772" width="11.140625" style="1" customWidth="1"/>
    <col min="773" max="773" width="12.28515625" style="1" customWidth="1"/>
    <col min="774" max="774" width="11.140625" style="1" customWidth="1"/>
    <col min="775" max="775" width="10.42578125" style="1" customWidth="1"/>
    <col min="776" max="776" width="4.7109375" style="1" customWidth="1"/>
    <col min="777" max="777" width="8.5703125" style="1" customWidth="1"/>
    <col min="778" max="778" width="5.5703125" style="1" customWidth="1"/>
    <col min="779" max="780" width="11.5703125" style="1" customWidth="1"/>
    <col min="781" max="781" width="10.85546875" style="1" customWidth="1"/>
    <col min="782" max="782" width="7.7109375" style="1" customWidth="1"/>
    <col min="783" max="783" width="8" style="1" customWidth="1"/>
    <col min="784" max="784" width="16.28515625" style="1" customWidth="1"/>
    <col min="785" max="785" width="10.5703125" style="1" customWidth="1"/>
    <col min="786" max="786" width="14.140625" style="1" customWidth="1"/>
    <col min="787" max="787" width="10.140625" style="1" customWidth="1"/>
    <col min="788" max="788" width="15.140625" style="1" customWidth="1"/>
    <col min="789" max="789" width="8.5703125" style="1" customWidth="1"/>
    <col min="790" max="790" width="14.28515625" style="1" customWidth="1"/>
    <col min="791" max="791" width="18.28515625" style="1" customWidth="1"/>
    <col min="792" max="792" width="13" style="1" bestFit="1" customWidth="1"/>
    <col min="793" max="793" width="11.7109375" style="1" bestFit="1" customWidth="1"/>
    <col min="794" max="800" width="9.140625" style="1"/>
    <col min="801" max="801" width="11.28515625" style="1" bestFit="1" customWidth="1"/>
    <col min="802" max="802" width="10.7109375" style="1" bestFit="1" customWidth="1"/>
    <col min="803" max="1024" width="9.140625" style="1"/>
    <col min="1025" max="1025" width="6.42578125" style="1" customWidth="1"/>
    <col min="1026" max="1026" width="20.7109375" style="1" customWidth="1"/>
    <col min="1027" max="1027" width="24.7109375" style="1" customWidth="1"/>
    <col min="1028" max="1028" width="11.140625" style="1" customWidth="1"/>
    <col min="1029" max="1029" width="12.28515625" style="1" customWidth="1"/>
    <col min="1030" max="1030" width="11.140625" style="1" customWidth="1"/>
    <col min="1031" max="1031" width="10.42578125" style="1" customWidth="1"/>
    <col min="1032" max="1032" width="4.7109375" style="1" customWidth="1"/>
    <col min="1033" max="1033" width="8.5703125" style="1" customWidth="1"/>
    <col min="1034" max="1034" width="5.5703125" style="1" customWidth="1"/>
    <col min="1035" max="1036" width="11.5703125" style="1" customWidth="1"/>
    <col min="1037" max="1037" width="10.85546875" style="1" customWidth="1"/>
    <col min="1038" max="1038" width="7.7109375" style="1" customWidth="1"/>
    <col min="1039" max="1039" width="8" style="1" customWidth="1"/>
    <col min="1040" max="1040" width="16.28515625" style="1" customWidth="1"/>
    <col min="1041" max="1041" width="10.5703125" style="1" customWidth="1"/>
    <col min="1042" max="1042" width="14.140625" style="1" customWidth="1"/>
    <col min="1043" max="1043" width="10.140625" style="1" customWidth="1"/>
    <col min="1044" max="1044" width="15.140625" style="1" customWidth="1"/>
    <col min="1045" max="1045" width="8.5703125" style="1" customWidth="1"/>
    <col min="1046" max="1046" width="14.28515625" style="1" customWidth="1"/>
    <col min="1047" max="1047" width="18.28515625" style="1" customWidth="1"/>
    <col min="1048" max="1048" width="13" style="1" bestFit="1" customWidth="1"/>
    <col min="1049" max="1049" width="11.7109375" style="1" bestFit="1" customWidth="1"/>
    <col min="1050" max="1056" width="9.140625" style="1"/>
    <col min="1057" max="1057" width="11.28515625" style="1" bestFit="1" customWidth="1"/>
    <col min="1058" max="1058" width="10.7109375" style="1" bestFit="1" customWidth="1"/>
    <col min="1059" max="1280" width="9.140625" style="1"/>
    <col min="1281" max="1281" width="6.42578125" style="1" customWidth="1"/>
    <col min="1282" max="1282" width="20.7109375" style="1" customWidth="1"/>
    <col min="1283" max="1283" width="24.7109375" style="1" customWidth="1"/>
    <col min="1284" max="1284" width="11.140625" style="1" customWidth="1"/>
    <col min="1285" max="1285" width="12.28515625" style="1" customWidth="1"/>
    <col min="1286" max="1286" width="11.140625" style="1" customWidth="1"/>
    <col min="1287" max="1287" width="10.42578125" style="1" customWidth="1"/>
    <col min="1288" max="1288" width="4.7109375" style="1" customWidth="1"/>
    <col min="1289" max="1289" width="8.5703125" style="1" customWidth="1"/>
    <col min="1290" max="1290" width="5.5703125" style="1" customWidth="1"/>
    <col min="1291" max="1292" width="11.5703125" style="1" customWidth="1"/>
    <col min="1293" max="1293" width="10.85546875" style="1" customWidth="1"/>
    <col min="1294" max="1294" width="7.7109375" style="1" customWidth="1"/>
    <col min="1295" max="1295" width="8" style="1" customWidth="1"/>
    <col min="1296" max="1296" width="16.28515625" style="1" customWidth="1"/>
    <col min="1297" max="1297" width="10.5703125" style="1" customWidth="1"/>
    <col min="1298" max="1298" width="14.140625" style="1" customWidth="1"/>
    <col min="1299" max="1299" width="10.140625" style="1" customWidth="1"/>
    <col min="1300" max="1300" width="15.140625" style="1" customWidth="1"/>
    <col min="1301" max="1301" width="8.5703125" style="1" customWidth="1"/>
    <col min="1302" max="1302" width="14.28515625" style="1" customWidth="1"/>
    <col min="1303" max="1303" width="18.28515625" style="1" customWidth="1"/>
    <col min="1304" max="1304" width="13" style="1" bestFit="1" customWidth="1"/>
    <col min="1305" max="1305" width="11.7109375" style="1" bestFit="1" customWidth="1"/>
    <col min="1306" max="1312" width="9.140625" style="1"/>
    <col min="1313" max="1313" width="11.28515625" style="1" bestFit="1" customWidth="1"/>
    <col min="1314" max="1314" width="10.7109375" style="1" bestFit="1" customWidth="1"/>
    <col min="1315" max="1536" width="9.140625" style="1"/>
    <col min="1537" max="1537" width="6.42578125" style="1" customWidth="1"/>
    <col min="1538" max="1538" width="20.7109375" style="1" customWidth="1"/>
    <col min="1539" max="1539" width="24.7109375" style="1" customWidth="1"/>
    <col min="1540" max="1540" width="11.140625" style="1" customWidth="1"/>
    <col min="1541" max="1541" width="12.28515625" style="1" customWidth="1"/>
    <col min="1542" max="1542" width="11.140625" style="1" customWidth="1"/>
    <col min="1543" max="1543" width="10.42578125" style="1" customWidth="1"/>
    <col min="1544" max="1544" width="4.7109375" style="1" customWidth="1"/>
    <col min="1545" max="1545" width="8.5703125" style="1" customWidth="1"/>
    <col min="1546" max="1546" width="5.5703125" style="1" customWidth="1"/>
    <col min="1547" max="1548" width="11.5703125" style="1" customWidth="1"/>
    <col min="1549" max="1549" width="10.85546875" style="1" customWidth="1"/>
    <col min="1550" max="1550" width="7.7109375" style="1" customWidth="1"/>
    <col min="1551" max="1551" width="8" style="1" customWidth="1"/>
    <col min="1552" max="1552" width="16.28515625" style="1" customWidth="1"/>
    <col min="1553" max="1553" width="10.5703125" style="1" customWidth="1"/>
    <col min="1554" max="1554" width="14.140625" style="1" customWidth="1"/>
    <col min="1555" max="1555" width="10.140625" style="1" customWidth="1"/>
    <col min="1556" max="1556" width="15.140625" style="1" customWidth="1"/>
    <col min="1557" max="1557" width="8.5703125" style="1" customWidth="1"/>
    <col min="1558" max="1558" width="14.28515625" style="1" customWidth="1"/>
    <col min="1559" max="1559" width="18.28515625" style="1" customWidth="1"/>
    <col min="1560" max="1560" width="13" style="1" bestFit="1" customWidth="1"/>
    <col min="1561" max="1561" width="11.7109375" style="1" bestFit="1" customWidth="1"/>
    <col min="1562" max="1568" width="9.140625" style="1"/>
    <col min="1569" max="1569" width="11.28515625" style="1" bestFit="1" customWidth="1"/>
    <col min="1570" max="1570" width="10.7109375" style="1" bestFit="1" customWidth="1"/>
    <col min="1571" max="1792" width="9.140625" style="1"/>
    <col min="1793" max="1793" width="6.42578125" style="1" customWidth="1"/>
    <col min="1794" max="1794" width="20.7109375" style="1" customWidth="1"/>
    <col min="1795" max="1795" width="24.7109375" style="1" customWidth="1"/>
    <col min="1796" max="1796" width="11.140625" style="1" customWidth="1"/>
    <col min="1797" max="1797" width="12.28515625" style="1" customWidth="1"/>
    <col min="1798" max="1798" width="11.140625" style="1" customWidth="1"/>
    <col min="1799" max="1799" width="10.42578125" style="1" customWidth="1"/>
    <col min="1800" max="1800" width="4.7109375" style="1" customWidth="1"/>
    <col min="1801" max="1801" width="8.5703125" style="1" customWidth="1"/>
    <col min="1802" max="1802" width="5.5703125" style="1" customWidth="1"/>
    <col min="1803" max="1804" width="11.5703125" style="1" customWidth="1"/>
    <col min="1805" max="1805" width="10.85546875" style="1" customWidth="1"/>
    <col min="1806" max="1806" width="7.7109375" style="1" customWidth="1"/>
    <col min="1807" max="1807" width="8" style="1" customWidth="1"/>
    <col min="1808" max="1808" width="16.28515625" style="1" customWidth="1"/>
    <col min="1809" max="1809" width="10.5703125" style="1" customWidth="1"/>
    <col min="1810" max="1810" width="14.140625" style="1" customWidth="1"/>
    <col min="1811" max="1811" width="10.140625" style="1" customWidth="1"/>
    <col min="1812" max="1812" width="15.140625" style="1" customWidth="1"/>
    <col min="1813" max="1813" width="8.5703125" style="1" customWidth="1"/>
    <col min="1814" max="1814" width="14.28515625" style="1" customWidth="1"/>
    <col min="1815" max="1815" width="18.28515625" style="1" customWidth="1"/>
    <col min="1816" max="1816" width="13" style="1" bestFit="1" customWidth="1"/>
    <col min="1817" max="1817" width="11.7109375" style="1" bestFit="1" customWidth="1"/>
    <col min="1818" max="1824" width="9.140625" style="1"/>
    <col min="1825" max="1825" width="11.28515625" style="1" bestFit="1" customWidth="1"/>
    <col min="1826" max="1826" width="10.7109375" style="1" bestFit="1" customWidth="1"/>
    <col min="1827" max="2048" width="9.140625" style="1"/>
    <col min="2049" max="2049" width="6.42578125" style="1" customWidth="1"/>
    <col min="2050" max="2050" width="20.7109375" style="1" customWidth="1"/>
    <col min="2051" max="2051" width="24.7109375" style="1" customWidth="1"/>
    <col min="2052" max="2052" width="11.140625" style="1" customWidth="1"/>
    <col min="2053" max="2053" width="12.28515625" style="1" customWidth="1"/>
    <col min="2054" max="2054" width="11.140625" style="1" customWidth="1"/>
    <col min="2055" max="2055" width="10.42578125" style="1" customWidth="1"/>
    <col min="2056" max="2056" width="4.7109375" style="1" customWidth="1"/>
    <col min="2057" max="2057" width="8.5703125" style="1" customWidth="1"/>
    <col min="2058" max="2058" width="5.5703125" style="1" customWidth="1"/>
    <col min="2059" max="2060" width="11.5703125" style="1" customWidth="1"/>
    <col min="2061" max="2061" width="10.85546875" style="1" customWidth="1"/>
    <col min="2062" max="2062" width="7.7109375" style="1" customWidth="1"/>
    <col min="2063" max="2063" width="8" style="1" customWidth="1"/>
    <col min="2064" max="2064" width="16.28515625" style="1" customWidth="1"/>
    <col min="2065" max="2065" width="10.5703125" style="1" customWidth="1"/>
    <col min="2066" max="2066" width="14.140625" style="1" customWidth="1"/>
    <col min="2067" max="2067" width="10.140625" style="1" customWidth="1"/>
    <col min="2068" max="2068" width="15.140625" style="1" customWidth="1"/>
    <col min="2069" max="2069" width="8.5703125" style="1" customWidth="1"/>
    <col min="2070" max="2070" width="14.28515625" style="1" customWidth="1"/>
    <col min="2071" max="2071" width="18.28515625" style="1" customWidth="1"/>
    <col min="2072" max="2072" width="13" style="1" bestFit="1" customWidth="1"/>
    <col min="2073" max="2073" width="11.7109375" style="1" bestFit="1" customWidth="1"/>
    <col min="2074" max="2080" width="9.140625" style="1"/>
    <col min="2081" max="2081" width="11.28515625" style="1" bestFit="1" customWidth="1"/>
    <col min="2082" max="2082" width="10.7109375" style="1" bestFit="1" customWidth="1"/>
    <col min="2083" max="2304" width="9.140625" style="1"/>
    <col min="2305" max="2305" width="6.42578125" style="1" customWidth="1"/>
    <col min="2306" max="2306" width="20.7109375" style="1" customWidth="1"/>
    <col min="2307" max="2307" width="24.7109375" style="1" customWidth="1"/>
    <col min="2308" max="2308" width="11.140625" style="1" customWidth="1"/>
    <col min="2309" max="2309" width="12.28515625" style="1" customWidth="1"/>
    <col min="2310" max="2310" width="11.140625" style="1" customWidth="1"/>
    <col min="2311" max="2311" width="10.42578125" style="1" customWidth="1"/>
    <col min="2312" max="2312" width="4.7109375" style="1" customWidth="1"/>
    <col min="2313" max="2313" width="8.5703125" style="1" customWidth="1"/>
    <col min="2314" max="2314" width="5.5703125" style="1" customWidth="1"/>
    <col min="2315" max="2316" width="11.5703125" style="1" customWidth="1"/>
    <col min="2317" max="2317" width="10.85546875" style="1" customWidth="1"/>
    <col min="2318" max="2318" width="7.7109375" style="1" customWidth="1"/>
    <col min="2319" max="2319" width="8" style="1" customWidth="1"/>
    <col min="2320" max="2320" width="16.28515625" style="1" customWidth="1"/>
    <col min="2321" max="2321" width="10.5703125" style="1" customWidth="1"/>
    <col min="2322" max="2322" width="14.140625" style="1" customWidth="1"/>
    <col min="2323" max="2323" width="10.140625" style="1" customWidth="1"/>
    <col min="2324" max="2324" width="15.140625" style="1" customWidth="1"/>
    <col min="2325" max="2325" width="8.5703125" style="1" customWidth="1"/>
    <col min="2326" max="2326" width="14.28515625" style="1" customWidth="1"/>
    <col min="2327" max="2327" width="18.28515625" style="1" customWidth="1"/>
    <col min="2328" max="2328" width="13" style="1" bestFit="1" customWidth="1"/>
    <col min="2329" max="2329" width="11.7109375" style="1" bestFit="1" customWidth="1"/>
    <col min="2330" max="2336" width="9.140625" style="1"/>
    <col min="2337" max="2337" width="11.28515625" style="1" bestFit="1" customWidth="1"/>
    <col min="2338" max="2338" width="10.7109375" style="1" bestFit="1" customWidth="1"/>
    <col min="2339" max="2560" width="9.140625" style="1"/>
    <col min="2561" max="2561" width="6.42578125" style="1" customWidth="1"/>
    <col min="2562" max="2562" width="20.7109375" style="1" customWidth="1"/>
    <col min="2563" max="2563" width="24.7109375" style="1" customWidth="1"/>
    <col min="2564" max="2564" width="11.140625" style="1" customWidth="1"/>
    <col min="2565" max="2565" width="12.28515625" style="1" customWidth="1"/>
    <col min="2566" max="2566" width="11.140625" style="1" customWidth="1"/>
    <col min="2567" max="2567" width="10.42578125" style="1" customWidth="1"/>
    <col min="2568" max="2568" width="4.7109375" style="1" customWidth="1"/>
    <col min="2569" max="2569" width="8.5703125" style="1" customWidth="1"/>
    <col min="2570" max="2570" width="5.5703125" style="1" customWidth="1"/>
    <col min="2571" max="2572" width="11.5703125" style="1" customWidth="1"/>
    <col min="2573" max="2573" width="10.85546875" style="1" customWidth="1"/>
    <col min="2574" max="2574" width="7.7109375" style="1" customWidth="1"/>
    <col min="2575" max="2575" width="8" style="1" customWidth="1"/>
    <col min="2576" max="2576" width="16.28515625" style="1" customWidth="1"/>
    <col min="2577" max="2577" width="10.5703125" style="1" customWidth="1"/>
    <col min="2578" max="2578" width="14.140625" style="1" customWidth="1"/>
    <col min="2579" max="2579" width="10.140625" style="1" customWidth="1"/>
    <col min="2580" max="2580" width="15.140625" style="1" customWidth="1"/>
    <col min="2581" max="2581" width="8.5703125" style="1" customWidth="1"/>
    <col min="2582" max="2582" width="14.28515625" style="1" customWidth="1"/>
    <col min="2583" max="2583" width="18.28515625" style="1" customWidth="1"/>
    <col min="2584" max="2584" width="13" style="1" bestFit="1" customWidth="1"/>
    <col min="2585" max="2585" width="11.7109375" style="1" bestFit="1" customWidth="1"/>
    <col min="2586" max="2592" width="9.140625" style="1"/>
    <col min="2593" max="2593" width="11.28515625" style="1" bestFit="1" customWidth="1"/>
    <col min="2594" max="2594" width="10.7109375" style="1" bestFit="1" customWidth="1"/>
    <col min="2595" max="2816" width="9.140625" style="1"/>
    <col min="2817" max="2817" width="6.42578125" style="1" customWidth="1"/>
    <col min="2818" max="2818" width="20.7109375" style="1" customWidth="1"/>
    <col min="2819" max="2819" width="24.7109375" style="1" customWidth="1"/>
    <col min="2820" max="2820" width="11.140625" style="1" customWidth="1"/>
    <col min="2821" max="2821" width="12.28515625" style="1" customWidth="1"/>
    <col min="2822" max="2822" width="11.140625" style="1" customWidth="1"/>
    <col min="2823" max="2823" width="10.42578125" style="1" customWidth="1"/>
    <col min="2824" max="2824" width="4.7109375" style="1" customWidth="1"/>
    <col min="2825" max="2825" width="8.5703125" style="1" customWidth="1"/>
    <col min="2826" max="2826" width="5.5703125" style="1" customWidth="1"/>
    <col min="2827" max="2828" width="11.5703125" style="1" customWidth="1"/>
    <col min="2829" max="2829" width="10.85546875" style="1" customWidth="1"/>
    <col min="2830" max="2830" width="7.7109375" style="1" customWidth="1"/>
    <col min="2831" max="2831" width="8" style="1" customWidth="1"/>
    <col min="2832" max="2832" width="16.28515625" style="1" customWidth="1"/>
    <col min="2833" max="2833" width="10.5703125" style="1" customWidth="1"/>
    <col min="2834" max="2834" width="14.140625" style="1" customWidth="1"/>
    <col min="2835" max="2835" width="10.140625" style="1" customWidth="1"/>
    <col min="2836" max="2836" width="15.140625" style="1" customWidth="1"/>
    <col min="2837" max="2837" width="8.5703125" style="1" customWidth="1"/>
    <col min="2838" max="2838" width="14.28515625" style="1" customWidth="1"/>
    <col min="2839" max="2839" width="18.28515625" style="1" customWidth="1"/>
    <col min="2840" max="2840" width="13" style="1" bestFit="1" customWidth="1"/>
    <col min="2841" max="2841" width="11.7109375" style="1" bestFit="1" customWidth="1"/>
    <col min="2842" max="2848" width="9.140625" style="1"/>
    <col min="2849" max="2849" width="11.28515625" style="1" bestFit="1" customWidth="1"/>
    <col min="2850" max="2850" width="10.7109375" style="1" bestFit="1" customWidth="1"/>
    <col min="2851" max="3072" width="9.140625" style="1"/>
    <col min="3073" max="3073" width="6.42578125" style="1" customWidth="1"/>
    <col min="3074" max="3074" width="20.7109375" style="1" customWidth="1"/>
    <col min="3075" max="3075" width="24.7109375" style="1" customWidth="1"/>
    <col min="3076" max="3076" width="11.140625" style="1" customWidth="1"/>
    <col min="3077" max="3077" width="12.28515625" style="1" customWidth="1"/>
    <col min="3078" max="3078" width="11.140625" style="1" customWidth="1"/>
    <col min="3079" max="3079" width="10.42578125" style="1" customWidth="1"/>
    <col min="3080" max="3080" width="4.7109375" style="1" customWidth="1"/>
    <col min="3081" max="3081" width="8.5703125" style="1" customWidth="1"/>
    <col min="3082" max="3082" width="5.5703125" style="1" customWidth="1"/>
    <col min="3083" max="3084" width="11.5703125" style="1" customWidth="1"/>
    <col min="3085" max="3085" width="10.85546875" style="1" customWidth="1"/>
    <col min="3086" max="3086" width="7.7109375" style="1" customWidth="1"/>
    <col min="3087" max="3087" width="8" style="1" customWidth="1"/>
    <col min="3088" max="3088" width="16.28515625" style="1" customWidth="1"/>
    <col min="3089" max="3089" width="10.5703125" style="1" customWidth="1"/>
    <col min="3090" max="3090" width="14.140625" style="1" customWidth="1"/>
    <col min="3091" max="3091" width="10.140625" style="1" customWidth="1"/>
    <col min="3092" max="3092" width="15.140625" style="1" customWidth="1"/>
    <col min="3093" max="3093" width="8.5703125" style="1" customWidth="1"/>
    <col min="3094" max="3094" width="14.28515625" style="1" customWidth="1"/>
    <col min="3095" max="3095" width="18.28515625" style="1" customWidth="1"/>
    <col min="3096" max="3096" width="13" style="1" bestFit="1" customWidth="1"/>
    <col min="3097" max="3097" width="11.7109375" style="1" bestFit="1" customWidth="1"/>
    <col min="3098" max="3104" width="9.140625" style="1"/>
    <col min="3105" max="3105" width="11.28515625" style="1" bestFit="1" customWidth="1"/>
    <col min="3106" max="3106" width="10.7109375" style="1" bestFit="1" customWidth="1"/>
    <col min="3107" max="3328" width="9.140625" style="1"/>
    <col min="3329" max="3329" width="6.42578125" style="1" customWidth="1"/>
    <col min="3330" max="3330" width="20.7109375" style="1" customWidth="1"/>
    <col min="3331" max="3331" width="24.7109375" style="1" customWidth="1"/>
    <col min="3332" max="3332" width="11.140625" style="1" customWidth="1"/>
    <col min="3333" max="3333" width="12.28515625" style="1" customWidth="1"/>
    <col min="3334" max="3334" width="11.140625" style="1" customWidth="1"/>
    <col min="3335" max="3335" width="10.42578125" style="1" customWidth="1"/>
    <col min="3336" max="3336" width="4.7109375" style="1" customWidth="1"/>
    <col min="3337" max="3337" width="8.5703125" style="1" customWidth="1"/>
    <col min="3338" max="3338" width="5.5703125" style="1" customWidth="1"/>
    <col min="3339" max="3340" width="11.5703125" style="1" customWidth="1"/>
    <col min="3341" max="3341" width="10.85546875" style="1" customWidth="1"/>
    <col min="3342" max="3342" width="7.7109375" style="1" customWidth="1"/>
    <col min="3343" max="3343" width="8" style="1" customWidth="1"/>
    <col min="3344" max="3344" width="16.28515625" style="1" customWidth="1"/>
    <col min="3345" max="3345" width="10.5703125" style="1" customWidth="1"/>
    <col min="3346" max="3346" width="14.140625" style="1" customWidth="1"/>
    <col min="3347" max="3347" width="10.140625" style="1" customWidth="1"/>
    <col min="3348" max="3348" width="15.140625" style="1" customWidth="1"/>
    <col min="3349" max="3349" width="8.5703125" style="1" customWidth="1"/>
    <col min="3350" max="3350" width="14.28515625" style="1" customWidth="1"/>
    <col min="3351" max="3351" width="18.28515625" style="1" customWidth="1"/>
    <col min="3352" max="3352" width="13" style="1" bestFit="1" customWidth="1"/>
    <col min="3353" max="3353" width="11.7109375" style="1" bestFit="1" customWidth="1"/>
    <col min="3354" max="3360" width="9.140625" style="1"/>
    <col min="3361" max="3361" width="11.28515625" style="1" bestFit="1" customWidth="1"/>
    <col min="3362" max="3362" width="10.7109375" style="1" bestFit="1" customWidth="1"/>
    <col min="3363" max="3584" width="9.140625" style="1"/>
    <col min="3585" max="3585" width="6.42578125" style="1" customWidth="1"/>
    <col min="3586" max="3586" width="20.7109375" style="1" customWidth="1"/>
    <col min="3587" max="3587" width="24.7109375" style="1" customWidth="1"/>
    <col min="3588" max="3588" width="11.140625" style="1" customWidth="1"/>
    <col min="3589" max="3589" width="12.28515625" style="1" customWidth="1"/>
    <col min="3590" max="3590" width="11.140625" style="1" customWidth="1"/>
    <col min="3591" max="3591" width="10.42578125" style="1" customWidth="1"/>
    <col min="3592" max="3592" width="4.7109375" style="1" customWidth="1"/>
    <col min="3593" max="3593" width="8.5703125" style="1" customWidth="1"/>
    <col min="3594" max="3594" width="5.5703125" style="1" customWidth="1"/>
    <col min="3595" max="3596" width="11.5703125" style="1" customWidth="1"/>
    <col min="3597" max="3597" width="10.85546875" style="1" customWidth="1"/>
    <col min="3598" max="3598" width="7.7109375" style="1" customWidth="1"/>
    <col min="3599" max="3599" width="8" style="1" customWidth="1"/>
    <col min="3600" max="3600" width="16.28515625" style="1" customWidth="1"/>
    <col min="3601" max="3601" width="10.5703125" style="1" customWidth="1"/>
    <col min="3602" max="3602" width="14.140625" style="1" customWidth="1"/>
    <col min="3603" max="3603" width="10.140625" style="1" customWidth="1"/>
    <col min="3604" max="3604" width="15.140625" style="1" customWidth="1"/>
    <col min="3605" max="3605" width="8.5703125" style="1" customWidth="1"/>
    <col min="3606" max="3606" width="14.28515625" style="1" customWidth="1"/>
    <col min="3607" max="3607" width="18.28515625" style="1" customWidth="1"/>
    <col min="3608" max="3608" width="13" style="1" bestFit="1" customWidth="1"/>
    <col min="3609" max="3609" width="11.7109375" style="1" bestFit="1" customWidth="1"/>
    <col min="3610" max="3616" width="9.140625" style="1"/>
    <col min="3617" max="3617" width="11.28515625" style="1" bestFit="1" customWidth="1"/>
    <col min="3618" max="3618" width="10.7109375" style="1" bestFit="1" customWidth="1"/>
    <col min="3619" max="3840" width="9.140625" style="1"/>
    <col min="3841" max="3841" width="6.42578125" style="1" customWidth="1"/>
    <col min="3842" max="3842" width="20.7109375" style="1" customWidth="1"/>
    <col min="3843" max="3843" width="24.7109375" style="1" customWidth="1"/>
    <col min="3844" max="3844" width="11.140625" style="1" customWidth="1"/>
    <col min="3845" max="3845" width="12.28515625" style="1" customWidth="1"/>
    <col min="3846" max="3846" width="11.140625" style="1" customWidth="1"/>
    <col min="3847" max="3847" width="10.42578125" style="1" customWidth="1"/>
    <col min="3848" max="3848" width="4.7109375" style="1" customWidth="1"/>
    <col min="3849" max="3849" width="8.5703125" style="1" customWidth="1"/>
    <col min="3850" max="3850" width="5.5703125" style="1" customWidth="1"/>
    <col min="3851" max="3852" width="11.5703125" style="1" customWidth="1"/>
    <col min="3853" max="3853" width="10.85546875" style="1" customWidth="1"/>
    <col min="3854" max="3854" width="7.7109375" style="1" customWidth="1"/>
    <col min="3855" max="3855" width="8" style="1" customWidth="1"/>
    <col min="3856" max="3856" width="16.28515625" style="1" customWidth="1"/>
    <col min="3857" max="3857" width="10.5703125" style="1" customWidth="1"/>
    <col min="3858" max="3858" width="14.140625" style="1" customWidth="1"/>
    <col min="3859" max="3859" width="10.140625" style="1" customWidth="1"/>
    <col min="3860" max="3860" width="15.140625" style="1" customWidth="1"/>
    <col min="3861" max="3861" width="8.5703125" style="1" customWidth="1"/>
    <col min="3862" max="3862" width="14.28515625" style="1" customWidth="1"/>
    <col min="3863" max="3863" width="18.28515625" style="1" customWidth="1"/>
    <col min="3864" max="3864" width="13" style="1" bestFit="1" customWidth="1"/>
    <col min="3865" max="3865" width="11.7109375" style="1" bestFit="1" customWidth="1"/>
    <col min="3866" max="3872" width="9.140625" style="1"/>
    <col min="3873" max="3873" width="11.28515625" style="1" bestFit="1" customWidth="1"/>
    <col min="3874" max="3874" width="10.7109375" style="1" bestFit="1" customWidth="1"/>
    <col min="3875" max="4096" width="9.140625" style="1"/>
    <col min="4097" max="4097" width="6.42578125" style="1" customWidth="1"/>
    <col min="4098" max="4098" width="20.7109375" style="1" customWidth="1"/>
    <col min="4099" max="4099" width="24.7109375" style="1" customWidth="1"/>
    <col min="4100" max="4100" width="11.140625" style="1" customWidth="1"/>
    <col min="4101" max="4101" width="12.28515625" style="1" customWidth="1"/>
    <col min="4102" max="4102" width="11.140625" style="1" customWidth="1"/>
    <col min="4103" max="4103" width="10.42578125" style="1" customWidth="1"/>
    <col min="4104" max="4104" width="4.7109375" style="1" customWidth="1"/>
    <col min="4105" max="4105" width="8.5703125" style="1" customWidth="1"/>
    <col min="4106" max="4106" width="5.5703125" style="1" customWidth="1"/>
    <col min="4107" max="4108" width="11.5703125" style="1" customWidth="1"/>
    <col min="4109" max="4109" width="10.85546875" style="1" customWidth="1"/>
    <col min="4110" max="4110" width="7.7109375" style="1" customWidth="1"/>
    <col min="4111" max="4111" width="8" style="1" customWidth="1"/>
    <col min="4112" max="4112" width="16.28515625" style="1" customWidth="1"/>
    <col min="4113" max="4113" width="10.5703125" style="1" customWidth="1"/>
    <col min="4114" max="4114" width="14.140625" style="1" customWidth="1"/>
    <col min="4115" max="4115" width="10.140625" style="1" customWidth="1"/>
    <col min="4116" max="4116" width="15.140625" style="1" customWidth="1"/>
    <col min="4117" max="4117" width="8.5703125" style="1" customWidth="1"/>
    <col min="4118" max="4118" width="14.28515625" style="1" customWidth="1"/>
    <col min="4119" max="4119" width="18.28515625" style="1" customWidth="1"/>
    <col min="4120" max="4120" width="13" style="1" bestFit="1" customWidth="1"/>
    <col min="4121" max="4121" width="11.7109375" style="1" bestFit="1" customWidth="1"/>
    <col min="4122" max="4128" width="9.140625" style="1"/>
    <col min="4129" max="4129" width="11.28515625" style="1" bestFit="1" customWidth="1"/>
    <col min="4130" max="4130" width="10.7109375" style="1" bestFit="1" customWidth="1"/>
    <col min="4131" max="4352" width="9.140625" style="1"/>
    <col min="4353" max="4353" width="6.42578125" style="1" customWidth="1"/>
    <col min="4354" max="4354" width="20.7109375" style="1" customWidth="1"/>
    <col min="4355" max="4355" width="24.7109375" style="1" customWidth="1"/>
    <col min="4356" max="4356" width="11.140625" style="1" customWidth="1"/>
    <col min="4357" max="4357" width="12.28515625" style="1" customWidth="1"/>
    <col min="4358" max="4358" width="11.140625" style="1" customWidth="1"/>
    <col min="4359" max="4359" width="10.42578125" style="1" customWidth="1"/>
    <col min="4360" max="4360" width="4.7109375" style="1" customWidth="1"/>
    <col min="4361" max="4361" width="8.5703125" style="1" customWidth="1"/>
    <col min="4362" max="4362" width="5.5703125" style="1" customWidth="1"/>
    <col min="4363" max="4364" width="11.5703125" style="1" customWidth="1"/>
    <col min="4365" max="4365" width="10.85546875" style="1" customWidth="1"/>
    <col min="4366" max="4366" width="7.7109375" style="1" customWidth="1"/>
    <col min="4367" max="4367" width="8" style="1" customWidth="1"/>
    <col min="4368" max="4368" width="16.28515625" style="1" customWidth="1"/>
    <col min="4369" max="4369" width="10.5703125" style="1" customWidth="1"/>
    <col min="4370" max="4370" width="14.140625" style="1" customWidth="1"/>
    <col min="4371" max="4371" width="10.140625" style="1" customWidth="1"/>
    <col min="4372" max="4372" width="15.140625" style="1" customWidth="1"/>
    <col min="4373" max="4373" width="8.5703125" style="1" customWidth="1"/>
    <col min="4374" max="4374" width="14.28515625" style="1" customWidth="1"/>
    <col min="4375" max="4375" width="18.28515625" style="1" customWidth="1"/>
    <col min="4376" max="4376" width="13" style="1" bestFit="1" customWidth="1"/>
    <col min="4377" max="4377" width="11.7109375" style="1" bestFit="1" customWidth="1"/>
    <col min="4378" max="4384" width="9.140625" style="1"/>
    <col min="4385" max="4385" width="11.28515625" style="1" bestFit="1" customWidth="1"/>
    <col min="4386" max="4386" width="10.7109375" style="1" bestFit="1" customWidth="1"/>
    <col min="4387" max="4608" width="9.140625" style="1"/>
    <col min="4609" max="4609" width="6.42578125" style="1" customWidth="1"/>
    <col min="4610" max="4610" width="20.7109375" style="1" customWidth="1"/>
    <col min="4611" max="4611" width="24.7109375" style="1" customWidth="1"/>
    <col min="4612" max="4612" width="11.140625" style="1" customWidth="1"/>
    <col min="4613" max="4613" width="12.28515625" style="1" customWidth="1"/>
    <col min="4614" max="4614" width="11.140625" style="1" customWidth="1"/>
    <col min="4615" max="4615" width="10.42578125" style="1" customWidth="1"/>
    <col min="4616" max="4616" width="4.7109375" style="1" customWidth="1"/>
    <col min="4617" max="4617" width="8.5703125" style="1" customWidth="1"/>
    <col min="4618" max="4618" width="5.5703125" style="1" customWidth="1"/>
    <col min="4619" max="4620" width="11.5703125" style="1" customWidth="1"/>
    <col min="4621" max="4621" width="10.85546875" style="1" customWidth="1"/>
    <col min="4622" max="4622" width="7.7109375" style="1" customWidth="1"/>
    <col min="4623" max="4623" width="8" style="1" customWidth="1"/>
    <col min="4624" max="4624" width="16.28515625" style="1" customWidth="1"/>
    <col min="4625" max="4625" width="10.5703125" style="1" customWidth="1"/>
    <col min="4626" max="4626" width="14.140625" style="1" customWidth="1"/>
    <col min="4627" max="4627" width="10.140625" style="1" customWidth="1"/>
    <col min="4628" max="4628" width="15.140625" style="1" customWidth="1"/>
    <col min="4629" max="4629" width="8.5703125" style="1" customWidth="1"/>
    <col min="4630" max="4630" width="14.28515625" style="1" customWidth="1"/>
    <col min="4631" max="4631" width="18.28515625" style="1" customWidth="1"/>
    <col min="4632" max="4632" width="13" style="1" bestFit="1" customWidth="1"/>
    <col min="4633" max="4633" width="11.7109375" style="1" bestFit="1" customWidth="1"/>
    <col min="4634" max="4640" width="9.140625" style="1"/>
    <col min="4641" max="4641" width="11.28515625" style="1" bestFit="1" customWidth="1"/>
    <col min="4642" max="4642" width="10.7109375" style="1" bestFit="1" customWidth="1"/>
    <col min="4643" max="4864" width="9.140625" style="1"/>
    <col min="4865" max="4865" width="6.42578125" style="1" customWidth="1"/>
    <col min="4866" max="4866" width="20.7109375" style="1" customWidth="1"/>
    <col min="4867" max="4867" width="24.7109375" style="1" customWidth="1"/>
    <col min="4868" max="4868" width="11.140625" style="1" customWidth="1"/>
    <col min="4869" max="4869" width="12.28515625" style="1" customWidth="1"/>
    <col min="4870" max="4870" width="11.140625" style="1" customWidth="1"/>
    <col min="4871" max="4871" width="10.42578125" style="1" customWidth="1"/>
    <col min="4872" max="4872" width="4.7109375" style="1" customWidth="1"/>
    <col min="4873" max="4873" width="8.5703125" style="1" customWidth="1"/>
    <col min="4874" max="4874" width="5.5703125" style="1" customWidth="1"/>
    <col min="4875" max="4876" width="11.5703125" style="1" customWidth="1"/>
    <col min="4877" max="4877" width="10.85546875" style="1" customWidth="1"/>
    <col min="4878" max="4878" width="7.7109375" style="1" customWidth="1"/>
    <col min="4879" max="4879" width="8" style="1" customWidth="1"/>
    <col min="4880" max="4880" width="16.28515625" style="1" customWidth="1"/>
    <col min="4881" max="4881" width="10.5703125" style="1" customWidth="1"/>
    <col min="4882" max="4882" width="14.140625" style="1" customWidth="1"/>
    <col min="4883" max="4883" width="10.140625" style="1" customWidth="1"/>
    <col min="4884" max="4884" width="15.140625" style="1" customWidth="1"/>
    <col min="4885" max="4885" width="8.5703125" style="1" customWidth="1"/>
    <col min="4886" max="4886" width="14.28515625" style="1" customWidth="1"/>
    <col min="4887" max="4887" width="18.28515625" style="1" customWidth="1"/>
    <col min="4888" max="4888" width="13" style="1" bestFit="1" customWidth="1"/>
    <col min="4889" max="4889" width="11.7109375" style="1" bestFit="1" customWidth="1"/>
    <col min="4890" max="4896" width="9.140625" style="1"/>
    <col min="4897" max="4897" width="11.28515625" style="1" bestFit="1" customWidth="1"/>
    <col min="4898" max="4898" width="10.7109375" style="1" bestFit="1" customWidth="1"/>
    <col min="4899" max="5120" width="9.140625" style="1"/>
    <col min="5121" max="5121" width="6.42578125" style="1" customWidth="1"/>
    <col min="5122" max="5122" width="20.7109375" style="1" customWidth="1"/>
    <col min="5123" max="5123" width="24.7109375" style="1" customWidth="1"/>
    <col min="5124" max="5124" width="11.140625" style="1" customWidth="1"/>
    <col min="5125" max="5125" width="12.28515625" style="1" customWidth="1"/>
    <col min="5126" max="5126" width="11.140625" style="1" customWidth="1"/>
    <col min="5127" max="5127" width="10.42578125" style="1" customWidth="1"/>
    <col min="5128" max="5128" width="4.7109375" style="1" customWidth="1"/>
    <col min="5129" max="5129" width="8.5703125" style="1" customWidth="1"/>
    <col min="5130" max="5130" width="5.5703125" style="1" customWidth="1"/>
    <col min="5131" max="5132" width="11.5703125" style="1" customWidth="1"/>
    <col min="5133" max="5133" width="10.85546875" style="1" customWidth="1"/>
    <col min="5134" max="5134" width="7.7109375" style="1" customWidth="1"/>
    <col min="5135" max="5135" width="8" style="1" customWidth="1"/>
    <col min="5136" max="5136" width="16.28515625" style="1" customWidth="1"/>
    <col min="5137" max="5137" width="10.5703125" style="1" customWidth="1"/>
    <col min="5138" max="5138" width="14.140625" style="1" customWidth="1"/>
    <col min="5139" max="5139" width="10.140625" style="1" customWidth="1"/>
    <col min="5140" max="5140" width="15.140625" style="1" customWidth="1"/>
    <col min="5141" max="5141" width="8.5703125" style="1" customWidth="1"/>
    <col min="5142" max="5142" width="14.28515625" style="1" customWidth="1"/>
    <col min="5143" max="5143" width="18.28515625" style="1" customWidth="1"/>
    <col min="5144" max="5144" width="13" style="1" bestFit="1" customWidth="1"/>
    <col min="5145" max="5145" width="11.7109375" style="1" bestFit="1" customWidth="1"/>
    <col min="5146" max="5152" width="9.140625" style="1"/>
    <col min="5153" max="5153" width="11.28515625" style="1" bestFit="1" customWidth="1"/>
    <col min="5154" max="5154" width="10.7109375" style="1" bestFit="1" customWidth="1"/>
    <col min="5155" max="5376" width="9.140625" style="1"/>
    <col min="5377" max="5377" width="6.42578125" style="1" customWidth="1"/>
    <col min="5378" max="5378" width="20.7109375" style="1" customWidth="1"/>
    <col min="5379" max="5379" width="24.7109375" style="1" customWidth="1"/>
    <col min="5380" max="5380" width="11.140625" style="1" customWidth="1"/>
    <col min="5381" max="5381" width="12.28515625" style="1" customWidth="1"/>
    <col min="5382" max="5382" width="11.140625" style="1" customWidth="1"/>
    <col min="5383" max="5383" width="10.42578125" style="1" customWidth="1"/>
    <col min="5384" max="5384" width="4.7109375" style="1" customWidth="1"/>
    <col min="5385" max="5385" width="8.5703125" style="1" customWidth="1"/>
    <col min="5386" max="5386" width="5.5703125" style="1" customWidth="1"/>
    <col min="5387" max="5388" width="11.5703125" style="1" customWidth="1"/>
    <col min="5389" max="5389" width="10.85546875" style="1" customWidth="1"/>
    <col min="5390" max="5390" width="7.7109375" style="1" customWidth="1"/>
    <col min="5391" max="5391" width="8" style="1" customWidth="1"/>
    <col min="5392" max="5392" width="16.28515625" style="1" customWidth="1"/>
    <col min="5393" max="5393" width="10.5703125" style="1" customWidth="1"/>
    <col min="5394" max="5394" width="14.140625" style="1" customWidth="1"/>
    <col min="5395" max="5395" width="10.140625" style="1" customWidth="1"/>
    <col min="5396" max="5396" width="15.140625" style="1" customWidth="1"/>
    <col min="5397" max="5397" width="8.5703125" style="1" customWidth="1"/>
    <col min="5398" max="5398" width="14.28515625" style="1" customWidth="1"/>
    <col min="5399" max="5399" width="18.28515625" style="1" customWidth="1"/>
    <col min="5400" max="5400" width="13" style="1" bestFit="1" customWidth="1"/>
    <col min="5401" max="5401" width="11.7109375" style="1" bestFit="1" customWidth="1"/>
    <col min="5402" max="5408" width="9.140625" style="1"/>
    <col min="5409" max="5409" width="11.28515625" style="1" bestFit="1" customWidth="1"/>
    <col min="5410" max="5410" width="10.7109375" style="1" bestFit="1" customWidth="1"/>
    <col min="5411" max="5632" width="9.140625" style="1"/>
    <col min="5633" max="5633" width="6.42578125" style="1" customWidth="1"/>
    <col min="5634" max="5634" width="20.7109375" style="1" customWidth="1"/>
    <col min="5635" max="5635" width="24.7109375" style="1" customWidth="1"/>
    <col min="5636" max="5636" width="11.140625" style="1" customWidth="1"/>
    <col min="5637" max="5637" width="12.28515625" style="1" customWidth="1"/>
    <col min="5638" max="5638" width="11.140625" style="1" customWidth="1"/>
    <col min="5639" max="5639" width="10.42578125" style="1" customWidth="1"/>
    <col min="5640" max="5640" width="4.7109375" style="1" customWidth="1"/>
    <col min="5641" max="5641" width="8.5703125" style="1" customWidth="1"/>
    <col min="5642" max="5642" width="5.5703125" style="1" customWidth="1"/>
    <col min="5643" max="5644" width="11.5703125" style="1" customWidth="1"/>
    <col min="5645" max="5645" width="10.85546875" style="1" customWidth="1"/>
    <col min="5646" max="5646" width="7.7109375" style="1" customWidth="1"/>
    <col min="5647" max="5647" width="8" style="1" customWidth="1"/>
    <col min="5648" max="5648" width="16.28515625" style="1" customWidth="1"/>
    <col min="5649" max="5649" width="10.5703125" style="1" customWidth="1"/>
    <col min="5650" max="5650" width="14.140625" style="1" customWidth="1"/>
    <col min="5651" max="5651" width="10.140625" style="1" customWidth="1"/>
    <col min="5652" max="5652" width="15.140625" style="1" customWidth="1"/>
    <col min="5653" max="5653" width="8.5703125" style="1" customWidth="1"/>
    <col min="5654" max="5654" width="14.28515625" style="1" customWidth="1"/>
    <col min="5655" max="5655" width="18.28515625" style="1" customWidth="1"/>
    <col min="5656" max="5656" width="13" style="1" bestFit="1" customWidth="1"/>
    <col min="5657" max="5657" width="11.7109375" style="1" bestFit="1" customWidth="1"/>
    <col min="5658" max="5664" width="9.140625" style="1"/>
    <col min="5665" max="5665" width="11.28515625" style="1" bestFit="1" customWidth="1"/>
    <col min="5666" max="5666" width="10.7109375" style="1" bestFit="1" customWidth="1"/>
    <col min="5667" max="5888" width="9.140625" style="1"/>
    <col min="5889" max="5889" width="6.42578125" style="1" customWidth="1"/>
    <col min="5890" max="5890" width="20.7109375" style="1" customWidth="1"/>
    <col min="5891" max="5891" width="24.7109375" style="1" customWidth="1"/>
    <col min="5892" max="5892" width="11.140625" style="1" customWidth="1"/>
    <col min="5893" max="5893" width="12.28515625" style="1" customWidth="1"/>
    <col min="5894" max="5894" width="11.140625" style="1" customWidth="1"/>
    <col min="5895" max="5895" width="10.42578125" style="1" customWidth="1"/>
    <col min="5896" max="5896" width="4.7109375" style="1" customWidth="1"/>
    <col min="5897" max="5897" width="8.5703125" style="1" customWidth="1"/>
    <col min="5898" max="5898" width="5.5703125" style="1" customWidth="1"/>
    <col min="5899" max="5900" width="11.5703125" style="1" customWidth="1"/>
    <col min="5901" max="5901" width="10.85546875" style="1" customWidth="1"/>
    <col min="5902" max="5902" width="7.7109375" style="1" customWidth="1"/>
    <col min="5903" max="5903" width="8" style="1" customWidth="1"/>
    <col min="5904" max="5904" width="16.28515625" style="1" customWidth="1"/>
    <col min="5905" max="5905" width="10.5703125" style="1" customWidth="1"/>
    <col min="5906" max="5906" width="14.140625" style="1" customWidth="1"/>
    <col min="5907" max="5907" width="10.140625" style="1" customWidth="1"/>
    <col min="5908" max="5908" width="15.140625" style="1" customWidth="1"/>
    <col min="5909" max="5909" width="8.5703125" style="1" customWidth="1"/>
    <col min="5910" max="5910" width="14.28515625" style="1" customWidth="1"/>
    <col min="5911" max="5911" width="18.28515625" style="1" customWidth="1"/>
    <col min="5912" max="5912" width="13" style="1" bestFit="1" customWidth="1"/>
    <col min="5913" max="5913" width="11.7109375" style="1" bestFit="1" customWidth="1"/>
    <col min="5914" max="5920" width="9.140625" style="1"/>
    <col min="5921" max="5921" width="11.28515625" style="1" bestFit="1" customWidth="1"/>
    <col min="5922" max="5922" width="10.7109375" style="1" bestFit="1" customWidth="1"/>
    <col min="5923" max="6144" width="9.140625" style="1"/>
    <col min="6145" max="6145" width="6.42578125" style="1" customWidth="1"/>
    <col min="6146" max="6146" width="20.7109375" style="1" customWidth="1"/>
    <col min="6147" max="6147" width="24.7109375" style="1" customWidth="1"/>
    <col min="6148" max="6148" width="11.140625" style="1" customWidth="1"/>
    <col min="6149" max="6149" width="12.28515625" style="1" customWidth="1"/>
    <col min="6150" max="6150" width="11.140625" style="1" customWidth="1"/>
    <col min="6151" max="6151" width="10.42578125" style="1" customWidth="1"/>
    <col min="6152" max="6152" width="4.7109375" style="1" customWidth="1"/>
    <col min="6153" max="6153" width="8.5703125" style="1" customWidth="1"/>
    <col min="6154" max="6154" width="5.5703125" style="1" customWidth="1"/>
    <col min="6155" max="6156" width="11.5703125" style="1" customWidth="1"/>
    <col min="6157" max="6157" width="10.85546875" style="1" customWidth="1"/>
    <col min="6158" max="6158" width="7.7109375" style="1" customWidth="1"/>
    <col min="6159" max="6159" width="8" style="1" customWidth="1"/>
    <col min="6160" max="6160" width="16.28515625" style="1" customWidth="1"/>
    <col min="6161" max="6161" width="10.5703125" style="1" customWidth="1"/>
    <col min="6162" max="6162" width="14.140625" style="1" customWidth="1"/>
    <col min="6163" max="6163" width="10.140625" style="1" customWidth="1"/>
    <col min="6164" max="6164" width="15.140625" style="1" customWidth="1"/>
    <col min="6165" max="6165" width="8.5703125" style="1" customWidth="1"/>
    <col min="6166" max="6166" width="14.28515625" style="1" customWidth="1"/>
    <col min="6167" max="6167" width="18.28515625" style="1" customWidth="1"/>
    <col min="6168" max="6168" width="13" style="1" bestFit="1" customWidth="1"/>
    <col min="6169" max="6169" width="11.7109375" style="1" bestFit="1" customWidth="1"/>
    <col min="6170" max="6176" width="9.140625" style="1"/>
    <col min="6177" max="6177" width="11.28515625" style="1" bestFit="1" customWidth="1"/>
    <col min="6178" max="6178" width="10.7109375" style="1" bestFit="1" customWidth="1"/>
    <col min="6179" max="6400" width="9.140625" style="1"/>
    <col min="6401" max="6401" width="6.42578125" style="1" customWidth="1"/>
    <col min="6402" max="6402" width="20.7109375" style="1" customWidth="1"/>
    <col min="6403" max="6403" width="24.7109375" style="1" customWidth="1"/>
    <col min="6404" max="6404" width="11.140625" style="1" customWidth="1"/>
    <col min="6405" max="6405" width="12.28515625" style="1" customWidth="1"/>
    <col min="6406" max="6406" width="11.140625" style="1" customWidth="1"/>
    <col min="6407" max="6407" width="10.42578125" style="1" customWidth="1"/>
    <col min="6408" max="6408" width="4.7109375" style="1" customWidth="1"/>
    <col min="6409" max="6409" width="8.5703125" style="1" customWidth="1"/>
    <col min="6410" max="6410" width="5.5703125" style="1" customWidth="1"/>
    <col min="6411" max="6412" width="11.5703125" style="1" customWidth="1"/>
    <col min="6413" max="6413" width="10.85546875" style="1" customWidth="1"/>
    <col min="6414" max="6414" width="7.7109375" style="1" customWidth="1"/>
    <col min="6415" max="6415" width="8" style="1" customWidth="1"/>
    <col min="6416" max="6416" width="16.28515625" style="1" customWidth="1"/>
    <col min="6417" max="6417" width="10.5703125" style="1" customWidth="1"/>
    <col min="6418" max="6418" width="14.140625" style="1" customWidth="1"/>
    <col min="6419" max="6419" width="10.140625" style="1" customWidth="1"/>
    <col min="6420" max="6420" width="15.140625" style="1" customWidth="1"/>
    <col min="6421" max="6421" width="8.5703125" style="1" customWidth="1"/>
    <col min="6422" max="6422" width="14.28515625" style="1" customWidth="1"/>
    <col min="6423" max="6423" width="18.28515625" style="1" customWidth="1"/>
    <col min="6424" max="6424" width="13" style="1" bestFit="1" customWidth="1"/>
    <col min="6425" max="6425" width="11.7109375" style="1" bestFit="1" customWidth="1"/>
    <col min="6426" max="6432" width="9.140625" style="1"/>
    <col min="6433" max="6433" width="11.28515625" style="1" bestFit="1" customWidth="1"/>
    <col min="6434" max="6434" width="10.7109375" style="1" bestFit="1" customWidth="1"/>
    <col min="6435" max="6656" width="9.140625" style="1"/>
    <col min="6657" max="6657" width="6.42578125" style="1" customWidth="1"/>
    <col min="6658" max="6658" width="20.7109375" style="1" customWidth="1"/>
    <col min="6659" max="6659" width="24.7109375" style="1" customWidth="1"/>
    <col min="6660" max="6660" width="11.140625" style="1" customWidth="1"/>
    <col min="6661" max="6661" width="12.28515625" style="1" customWidth="1"/>
    <col min="6662" max="6662" width="11.140625" style="1" customWidth="1"/>
    <col min="6663" max="6663" width="10.42578125" style="1" customWidth="1"/>
    <col min="6664" max="6664" width="4.7109375" style="1" customWidth="1"/>
    <col min="6665" max="6665" width="8.5703125" style="1" customWidth="1"/>
    <col min="6666" max="6666" width="5.5703125" style="1" customWidth="1"/>
    <col min="6667" max="6668" width="11.5703125" style="1" customWidth="1"/>
    <col min="6669" max="6669" width="10.85546875" style="1" customWidth="1"/>
    <col min="6670" max="6670" width="7.7109375" style="1" customWidth="1"/>
    <col min="6671" max="6671" width="8" style="1" customWidth="1"/>
    <col min="6672" max="6672" width="16.28515625" style="1" customWidth="1"/>
    <col min="6673" max="6673" width="10.5703125" style="1" customWidth="1"/>
    <col min="6674" max="6674" width="14.140625" style="1" customWidth="1"/>
    <col min="6675" max="6675" width="10.140625" style="1" customWidth="1"/>
    <col min="6676" max="6676" width="15.140625" style="1" customWidth="1"/>
    <col min="6677" max="6677" width="8.5703125" style="1" customWidth="1"/>
    <col min="6678" max="6678" width="14.28515625" style="1" customWidth="1"/>
    <col min="6679" max="6679" width="18.28515625" style="1" customWidth="1"/>
    <col min="6680" max="6680" width="13" style="1" bestFit="1" customWidth="1"/>
    <col min="6681" max="6681" width="11.7109375" style="1" bestFit="1" customWidth="1"/>
    <col min="6682" max="6688" width="9.140625" style="1"/>
    <col min="6689" max="6689" width="11.28515625" style="1" bestFit="1" customWidth="1"/>
    <col min="6690" max="6690" width="10.7109375" style="1" bestFit="1" customWidth="1"/>
    <col min="6691" max="6912" width="9.140625" style="1"/>
    <col min="6913" max="6913" width="6.42578125" style="1" customWidth="1"/>
    <col min="6914" max="6914" width="20.7109375" style="1" customWidth="1"/>
    <col min="6915" max="6915" width="24.7109375" style="1" customWidth="1"/>
    <col min="6916" max="6916" width="11.140625" style="1" customWidth="1"/>
    <col min="6917" max="6917" width="12.28515625" style="1" customWidth="1"/>
    <col min="6918" max="6918" width="11.140625" style="1" customWidth="1"/>
    <col min="6919" max="6919" width="10.42578125" style="1" customWidth="1"/>
    <col min="6920" max="6920" width="4.7109375" style="1" customWidth="1"/>
    <col min="6921" max="6921" width="8.5703125" style="1" customWidth="1"/>
    <col min="6922" max="6922" width="5.5703125" style="1" customWidth="1"/>
    <col min="6923" max="6924" width="11.5703125" style="1" customWidth="1"/>
    <col min="6925" max="6925" width="10.85546875" style="1" customWidth="1"/>
    <col min="6926" max="6926" width="7.7109375" style="1" customWidth="1"/>
    <col min="6927" max="6927" width="8" style="1" customWidth="1"/>
    <col min="6928" max="6928" width="16.28515625" style="1" customWidth="1"/>
    <col min="6929" max="6929" width="10.5703125" style="1" customWidth="1"/>
    <col min="6930" max="6930" width="14.140625" style="1" customWidth="1"/>
    <col min="6931" max="6931" width="10.140625" style="1" customWidth="1"/>
    <col min="6932" max="6932" width="15.140625" style="1" customWidth="1"/>
    <col min="6933" max="6933" width="8.5703125" style="1" customWidth="1"/>
    <col min="6934" max="6934" width="14.28515625" style="1" customWidth="1"/>
    <col min="6935" max="6935" width="18.28515625" style="1" customWidth="1"/>
    <col min="6936" max="6936" width="13" style="1" bestFit="1" customWidth="1"/>
    <col min="6937" max="6937" width="11.7109375" style="1" bestFit="1" customWidth="1"/>
    <col min="6938" max="6944" width="9.140625" style="1"/>
    <col min="6945" max="6945" width="11.28515625" style="1" bestFit="1" customWidth="1"/>
    <col min="6946" max="6946" width="10.7109375" style="1" bestFit="1" customWidth="1"/>
    <col min="6947" max="7168" width="9.140625" style="1"/>
    <col min="7169" max="7169" width="6.42578125" style="1" customWidth="1"/>
    <col min="7170" max="7170" width="20.7109375" style="1" customWidth="1"/>
    <col min="7171" max="7171" width="24.7109375" style="1" customWidth="1"/>
    <col min="7172" max="7172" width="11.140625" style="1" customWidth="1"/>
    <col min="7173" max="7173" width="12.28515625" style="1" customWidth="1"/>
    <col min="7174" max="7174" width="11.140625" style="1" customWidth="1"/>
    <col min="7175" max="7175" width="10.42578125" style="1" customWidth="1"/>
    <col min="7176" max="7176" width="4.7109375" style="1" customWidth="1"/>
    <col min="7177" max="7177" width="8.5703125" style="1" customWidth="1"/>
    <col min="7178" max="7178" width="5.5703125" style="1" customWidth="1"/>
    <col min="7179" max="7180" width="11.5703125" style="1" customWidth="1"/>
    <col min="7181" max="7181" width="10.85546875" style="1" customWidth="1"/>
    <col min="7182" max="7182" width="7.7109375" style="1" customWidth="1"/>
    <col min="7183" max="7183" width="8" style="1" customWidth="1"/>
    <col min="7184" max="7184" width="16.28515625" style="1" customWidth="1"/>
    <col min="7185" max="7185" width="10.5703125" style="1" customWidth="1"/>
    <col min="7186" max="7186" width="14.140625" style="1" customWidth="1"/>
    <col min="7187" max="7187" width="10.140625" style="1" customWidth="1"/>
    <col min="7188" max="7188" width="15.140625" style="1" customWidth="1"/>
    <col min="7189" max="7189" width="8.5703125" style="1" customWidth="1"/>
    <col min="7190" max="7190" width="14.28515625" style="1" customWidth="1"/>
    <col min="7191" max="7191" width="18.28515625" style="1" customWidth="1"/>
    <col min="7192" max="7192" width="13" style="1" bestFit="1" customWidth="1"/>
    <col min="7193" max="7193" width="11.7109375" style="1" bestFit="1" customWidth="1"/>
    <col min="7194" max="7200" width="9.140625" style="1"/>
    <col min="7201" max="7201" width="11.28515625" style="1" bestFit="1" customWidth="1"/>
    <col min="7202" max="7202" width="10.7109375" style="1" bestFit="1" customWidth="1"/>
    <col min="7203" max="7424" width="9.140625" style="1"/>
    <col min="7425" max="7425" width="6.42578125" style="1" customWidth="1"/>
    <col min="7426" max="7426" width="20.7109375" style="1" customWidth="1"/>
    <col min="7427" max="7427" width="24.7109375" style="1" customWidth="1"/>
    <col min="7428" max="7428" width="11.140625" style="1" customWidth="1"/>
    <col min="7429" max="7429" width="12.28515625" style="1" customWidth="1"/>
    <col min="7430" max="7430" width="11.140625" style="1" customWidth="1"/>
    <col min="7431" max="7431" width="10.42578125" style="1" customWidth="1"/>
    <col min="7432" max="7432" width="4.7109375" style="1" customWidth="1"/>
    <col min="7433" max="7433" width="8.5703125" style="1" customWidth="1"/>
    <col min="7434" max="7434" width="5.5703125" style="1" customWidth="1"/>
    <col min="7435" max="7436" width="11.5703125" style="1" customWidth="1"/>
    <col min="7437" max="7437" width="10.85546875" style="1" customWidth="1"/>
    <col min="7438" max="7438" width="7.7109375" style="1" customWidth="1"/>
    <col min="7439" max="7439" width="8" style="1" customWidth="1"/>
    <col min="7440" max="7440" width="16.28515625" style="1" customWidth="1"/>
    <col min="7441" max="7441" width="10.5703125" style="1" customWidth="1"/>
    <col min="7442" max="7442" width="14.140625" style="1" customWidth="1"/>
    <col min="7443" max="7443" width="10.140625" style="1" customWidth="1"/>
    <col min="7444" max="7444" width="15.140625" style="1" customWidth="1"/>
    <col min="7445" max="7445" width="8.5703125" style="1" customWidth="1"/>
    <col min="7446" max="7446" width="14.28515625" style="1" customWidth="1"/>
    <col min="7447" max="7447" width="18.28515625" style="1" customWidth="1"/>
    <col min="7448" max="7448" width="13" style="1" bestFit="1" customWidth="1"/>
    <col min="7449" max="7449" width="11.7109375" style="1" bestFit="1" customWidth="1"/>
    <col min="7450" max="7456" width="9.140625" style="1"/>
    <col min="7457" max="7457" width="11.28515625" style="1" bestFit="1" customWidth="1"/>
    <col min="7458" max="7458" width="10.7109375" style="1" bestFit="1" customWidth="1"/>
    <col min="7459" max="7680" width="9.140625" style="1"/>
    <col min="7681" max="7681" width="6.42578125" style="1" customWidth="1"/>
    <col min="7682" max="7682" width="20.7109375" style="1" customWidth="1"/>
    <col min="7683" max="7683" width="24.7109375" style="1" customWidth="1"/>
    <col min="7684" max="7684" width="11.140625" style="1" customWidth="1"/>
    <col min="7685" max="7685" width="12.28515625" style="1" customWidth="1"/>
    <col min="7686" max="7686" width="11.140625" style="1" customWidth="1"/>
    <col min="7687" max="7687" width="10.42578125" style="1" customWidth="1"/>
    <col min="7688" max="7688" width="4.7109375" style="1" customWidth="1"/>
    <col min="7689" max="7689" width="8.5703125" style="1" customWidth="1"/>
    <col min="7690" max="7690" width="5.5703125" style="1" customWidth="1"/>
    <col min="7691" max="7692" width="11.5703125" style="1" customWidth="1"/>
    <col min="7693" max="7693" width="10.85546875" style="1" customWidth="1"/>
    <col min="7694" max="7694" width="7.7109375" style="1" customWidth="1"/>
    <col min="7695" max="7695" width="8" style="1" customWidth="1"/>
    <col min="7696" max="7696" width="16.28515625" style="1" customWidth="1"/>
    <col min="7697" max="7697" width="10.5703125" style="1" customWidth="1"/>
    <col min="7698" max="7698" width="14.140625" style="1" customWidth="1"/>
    <col min="7699" max="7699" width="10.140625" style="1" customWidth="1"/>
    <col min="7700" max="7700" width="15.140625" style="1" customWidth="1"/>
    <col min="7701" max="7701" width="8.5703125" style="1" customWidth="1"/>
    <col min="7702" max="7702" width="14.28515625" style="1" customWidth="1"/>
    <col min="7703" max="7703" width="18.28515625" style="1" customWidth="1"/>
    <col min="7704" max="7704" width="13" style="1" bestFit="1" customWidth="1"/>
    <col min="7705" max="7705" width="11.7109375" style="1" bestFit="1" customWidth="1"/>
    <col min="7706" max="7712" width="9.140625" style="1"/>
    <col min="7713" max="7713" width="11.28515625" style="1" bestFit="1" customWidth="1"/>
    <col min="7714" max="7714" width="10.7109375" style="1" bestFit="1" customWidth="1"/>
    <col min="7715" max="7936" width="9.140625" style="1"/>
    <col min="7937" max="7937" width="6.42578125" style="1" customWidth="1"/>
    <col min="7938" max="7938" width="20.7109375" style="1" customWidth="1"/>
    <col min="7939" max="7939" width="24.7109375" style="1" customWidth="1"/>
    <col min="7940" max="7940" width="11.140625" style="1" customWidth="1"/>
    <col min="7941" max="7941" width="12.28515625" style="1" customWidth="1"/>
    <col min="7942" max="7942" width="11.140625" style="1" customWidth="1"/>
    <col min="7943" max="7943" width="10.42578125" style="1" customWidth="1"/>
    <col min="7944" max="7944" width="4.7109375" style="1" customWidth="1"/>
    <col min="7945" max="7945" width="8.5703125" style="1" customWidth="1"/>
    <col min="7946" max="7946" width="5.5703125" style="1" customWidth="1"/>
    <col min="7947" max="7948" width="11.5703125" style="1" customWidth="1"/>
    <col min="7949" max="7949" width="10.85546875" style="1" customWidth="1"/>
    <col min="7950" max="7950" width="7.7109375" style="1" customWidth="1"/>
    <col min="7951" max="7951" width="8" style="1" customWidth="1"/>
    <col min="7952" max="7952" width="16.28515625" style="1" customWidth="1"/>
    <col min="7953" max="7953" width="10.5703125" style="1" customWidth="1"/>
    <col min="7954" max="7954" width="14.140625" style="1" customWidth="1"/>
    <col min="7955" max="7955" width="10.140625" style="1" customWidth="1"/>
    <col min="7956" max="7956" width="15.140625" style="1" customWidth="1"/>
    <col min="7957" max="7957" width="8.5703125" style="1" customWidth="1"/>
    <col min="7958" max="7958" width="14.28515625" style="1" customWidth="1"/>
    <col min="7959" max="7959" width="18.28515625" style="1" customWidth="1"/>
    <col min="7960" max="7960" width="13" style="1" bestFit="1" customWidth="1"/>
    <col min="7961" max="7961" width="11.7109375" style="1" bestFit="1" customWidth="1"/>
    <col min="7962" max="7968" width="9.140625" style="1"/>
    <col min="7969" max="7969" width="11.28515625" style="1" bestFit="1" customWidth="1"/>
    <col min="7970" max="7970" width="10.7109375" style="1" bestFit="1" customWidth="1"/>
    <col min="7971" max="8192" width="9.140625" style="1"/>
    <col min="8193" max="8193" width="6.42578125" style="1" customWidth="1"/>
    <col min="8194" max="8194" width="20.7109375" style="1" customWidth="1"/>
    <col min="8195" max="8195" width="24.7109375" style="1" customWidth="1"/>
    <col min="8196" max="8196" width="11.140625" style="1" customWidth="1"/>
    <col min="8197" max="8197" width="12.28515625" style="1" customWidth="1"/>
    <col min="8198" max="8198" width="11.140625" style="1" customWidth="1"/>
    <col min="8199" max="8199" width="10.42578125" style="1" customWidth="1"/>
    <col min="8200" max="8200" width="4.7109375" style="1" customWidth="1"/>
    <col min="8201" max="8201" width="8.5703125" style="1" customWidth="1"/>
    <col min="8202" max="8202" width="5.5703125" style="1" customWidth="1"/>
    <col min="8203" max="8204" width="11.5703125" style="1" customWidth="1"/>
    <col min="8205" max="8205" width="10.85546875" style="1" customWidth="1"/>
    <col min="8206" max="8206" width="7.7109375" style="1" customWidth="1"/>
    <col min="8207" max="8207" width="8" style="1" customWidth="1"/>
    <col min="8208" max="8208" width="16.28515625" style="1" customWidth="1"/>
    <col min="8209" max="8209" width="10.5703125" style="1" customWidth="1"/>
    <col min="8210" max="8210" width="14.140625" style="1" customWidth="1"/>
    <col min="8211" max="8211" width="10.140625" style="1" customWidth="1"/>
    <col min="8212" max="8212" width="15.140625" style="1" customWidth="1"/>
    <col min="8213" max="8213" width="8.5703125" style="1" customWidth="1"/>
    <col min="8214" max="8214" width="14.28515625" style="1" customWidth="1"/>
    <col min="8215" max="8215" width="18.28515625" style="1" customWidth="1"/>
    <col min="8216" max="8216" width="13" style="1" bestFit="1" customWidth="1"/>
    <col min="8217" max="8217" width="11.7109375" style="1" bestFit="1" customWidth="1"/>
    <col min="8218" max="8224" width="9.140625" style="1"/>
    <col min="8225" max="8225" width="11.28515625" style="1" bestFit="1" customWidth="1"/>
    <col min="8226" max="8226" width="10.7109375" style="1" bestFit="1" customWidth="1"/>
    <col min="8227" max="8448" width="9.140625" style="1"/>
    <col min="8449" max="8449" width="6.42578125" style="1" customWidth="1"/>
    <col min="8450" max="8450" width="20.7109375" style="1" customWidth="1"/>
    <col min="8451" max="8451" width="24.7109375" style="1" customWidth="1"/>
    <col min="8452" max="8452" width="11.140625" style="1" customWidth="1"/>
    <col min="8453" max="8453" width="12.28515625" style="1" customWidth="1"/>
    <col min="8454" max="8454" width="11.140625" style="1" customWidth="1"/>
    <col min="8455" max="8455" width="10.42578125" style="1" customWidth="1"/>
    <col min="8456" max="8456" width="4.7109375" style="1" customWidth="1"/>
    <col min="8457" max="8457" width="8.5703125" style="1" customWidth="1"/>
    <col min="8458" max="8458" width="5.5703125" style="1" customWidth="1"/>
    <col min="8459" max="8460" width="11.5703125" style="1" customWidth="1"/>
    <col min="8461" max="8461" width="10.85546875" style="1" customWidth="1"/>
    <col min="8462" max="8462" width="7.7109375" style="1" customWidth="1"/>
    <col min="8463" max="8463" width="8" style="1" customWidth="1"/>
    <col min="8464" max="8464" width="16.28515625" style="1" customWidth="1"/>
    <col min="8465" max="8465" width="10.5703125" style="1" customWidth="1"/>
    <col min="8466" max="8466" width="14.140625" style="1" customWidth="1"/>
    <col min="8467" max="8467" width="10.140625" style="1" customWidth="1"/>
    <col min="8468" max="8468" width="15.140625" style="1" customWidth="1"/>
    <col min="8469" max="8469" width="8.5703125" style="1" customWidth="1"/>
    <col min="8470" max="8470" width="14.28515625" style="1" customWidth="1"/>
    <col min="8471" max="8471" width="18.28515625" style="1" customWidth="1"/>
    <col min="8472" max="8472" width="13" style="1" bestFit="1" customWidth="1"/>
    <col min="8473" max="8473" width="11.7109375" style="1" bestFit="1" customWidth="1"/>
    <col min="8474" max="8480" width="9.140625" style="1"/>
    <col min="8481" max="8481" width="11.28515625" style="1" bestFit="1" customWidth="1"/>
    <col min="8482" max="8482" width="10.7109375" style="1" bestFit="1" customWidth="1"/>
    <col min="8483" max="8704" width="9.140625" style="1"/>
    <col min="8705" max="8705" width="6.42578125" style="1" customWidth="1"/>
    <col min="8706" max="8706" width="20.7109375" style="1" customWidth="1"/>
    <col min="8707" max="8707" width="24.7109375" style="1" customWidth="1"/>
    <col min="8708" max="8708" width="11.140625" style="1" customWidth="1"/>
    <col min="8709" max="8709" width="12.28515625" style="1" customWidth="1"/>
    <col min="8710" max="8710" width="11.140625" style="1" customWidth="1"/>
    <col min="8711" max="8711" width="10.42578125" style="1" customWidth="1"/>
    <col min="8712" max="8712" width="4.7109375" style="1" customWidth="1"/>
    <col min="8713" max="8713" width="8.5703125" style="1" customWidth="1"/>
    <col min="8714" max="8714" width="5.5703125" style="1" customWidth="1"/>
    <col min="8715" max="8716" width="11.5703125" style="1" customWidth="1"/>
    <col min="8717" max="8717" width="10.85546875" style="1" customWidth="1"/>
    <col min="8718" max="8718" width="7.7109375" style="1" customWidth="1"/>
    <col min="8719" max="8719" width="8" style="1" customWidth="1"/>
    <col min="8720" max="8720" width="16.28515625" style="1" customWidth="1"/>
    <col min="8721" max="8721" width="10.5703125" style="1" customWidth="1"/>
    <col min="8722" max="8722" width="14.140625" style="1" customWidth="1"/>
    <col min="8723" max="8723" width="10.140625" style="1" customWidth="1"/>
    <col min="8724" max="8724" width="15.140625" style="1" customWidth="1"/>
    <col min="8725" max="8725" width="8.5703125" style="1" customWidth="1"/>
    <col min="8726" max="8726" width="14.28515625" style="1" customWidth="1"/>
    <col min="8727" max="8727" width="18.28515625" style="1" customWidth="1"/>
    <col min="8728" max="8728" width="13" style="1" bestFit="1" customWidth="1"/>
    <col min="8729" max="8729" width="11.7109375" style="1" bestFit="1" customWidth="1"/>
    <col min="8730" max="8736" width="9.140625" style="1"/>
    <col min="8737" max="8737" width="11.28515625" style="1" bestFit="1" customWidth="1"/>
    <col min="8738" max="8738" width="10.7109375" style="1" bestFit="1" customWidth="1"/>
    <col min="8739" max="8960" width="9.140625" style="1"/>
    <col min="8961" max="8961" width="6.42578125" style="1" customWidth="1"/>
    <col min="8962" max="8962" width="20.7109375" style="1" customWidth="1"/>
    <col min="8963" max="8963" width="24.7109375" style="1" customWidth="1"/>
    <col min="8964" max="8964" width="11.140625" style="1" customWidth="1"/>
    <col min="8965" max="8965" width="12.28515625" style="1" customWidth="1"/>
    <col min="8966" max="8966" width="11.140625" style="1" customWidth="1"/>
    <col min="8967" max="8967" width="10.42578125" style="1" customWidth="1"/>
    <col min="8968" max="8968" width="4.7109375" style="1" customWidth="1"/>
    <col min="8969" max="8969" width="8.5703125" style="1" customWidth="1"/>
    <col min="8970" max="8970" width="5.5703125" style="1" customWidth="1"/>
    <col min="8971" max="8972" width="11.5703125" style="1" customWidth="1"/>
    <col min="8973" max="8973" width="10.85546875" style="1" customWidth="1"/>
    <col min="8974" max="8974" width="7.7109375" style="1" customWidth="1"/>
    <col min="8975" max="8975" width="8" style="1" customWidth="1"/>
    <col min="8976" max="8976" width="16.28515625" style="1" customWidth="1"/>
    <col min="8977" max="8977" width="10.5703125" style="1" customWidth="1"/>
    <col min="8978" max="8978" width="14.140625" style="1" customWidth="1"/>
    <col min="8979" max="8979" width="10.140625" style="1" customWidth="1"/>
    <col min="8980" max="8980" width="15.140625" style="1" customWidth="1"/>
    <col min="8981" max="8981" width="8.5703125" style="1" customWidth="1"/>
    <col min="8982" max="8982" width="14.28515625" style="1" customWidth="1"/>
    <col min="8983" max="8983" width="18.28515625" style="1" customWidth="1"/>
    <col min="8984" max="8984" width="13" style="1" bestFit="1" customWidth="1"/>
    <col min="8985" max="8985" width="11.7109375" style="1" bestFit="1" customWidth="1"/>
    <col min="8986" max="8992" width="9.140625" style="1"/>
    <col min="8993" max="8993" width="11.28515625" style="1" bestFit="1" customWidth="1"/>
    <col min="8994" max="8994" width="10.7109375" style="1" bestFit="1" customWidth="1"/>
    <col min="8995" max="9216" width="9.140625" style="1"/>
    <col min="9217" max="9217" width="6.42578125" style="1" customWidth="1"/>
    <col min="9218" max="9218" width="20.7109375" style="1" customWidth="1"/>
    <col min="9219" max="9219" width="24.7109375" style="1" customWidth="1"/>
    <col min="9220" max="9220" width="11.140625" style="1" customWidth="1"/>
    <col min="9221" max="9221" width="12.28515625" style="1" customWidth="1"/>
    <col min="9222" max="9222" width="11.140625" style="1" customWidth="1"/>
    <col min="9223" max="9223" width="10.42578125" style="1" customWidth="1"/>
    <col min="9224" max="9224" width="4.7109375" style="1" customWidth="1"/>
    <col min="9225" max="9225" width="8.5703125" style="1" customWidth="1"/>
    <col min="9226" max="9226" width="5.5703125" style="1" customWidth="1"/>
    <col min="9227" max="9228" width="11.5703125" style="1" customWidth="1"/>
    <col min="9229" max="9229" width="10.85546875" style="1" customWidth="1"/>
    <col min="9230" max="9230" width="7.7109375" style="1" customWidth="1"/>
    <col min="9231" max="9231" width="8" style="1" customWidth="1"/>
    <col min="9232" max="9232" width="16.28515625" style="1" customWidth="1"/>
    <col min="9233" max="9233" width="10.5703125" style="1" customWidth="1"/>
    <col min="9234" max="9234" width="14.140625" style="1" customWidth="1"/>
    <col min="9235" max="9235" width="10.140625" style="1" customWidth="1"/>
    <col min="9236" max="9236" width="15.140625" style="1" customWidth="1"/>
    <col min="9237" max="9237" width="8.5703125" style="1" customWidth="1"/>
    <col min="9238" max="9238" width="14.28515625" style="1" customWidth="1"/>
    <col min="9239" max="9239" width="18.28515625" style="1" customWidth="1"/>
    <col min="9240" max="9240" width="13" style="1" bestFit="1" customWidth="1"/>
    <col min="9241" max="9241" width="11.7109375" style="1" bestFit="1" customWidth="1"/>
    <col min="9242" max="9248" width="9.140625" style="1"/>
    <col min="9249" max="9249" width="11.28515625" style="1" bestFit="1" customWidth="1"/>
    <col min="9250" max="9250" width="10.7109375" style="1" bestFit="1" customWidth="1"/>
    <col min="9251" max="9472" width="9.140625" style="1"/>
    <col min="9473" max="9473" width="6.42578125" style="1" customWidth="1"/>
    <col min="9474" max="9474" width="20.7109375" style="1" customWidth="1"/>
    <col min="9475" max="9475" width="24.7109375" style="1" customWidth="1"/>
    <col min="9476" max="9476" width="11.140625" style="1" customWidth="1"/>
    <col min="9477" max="9477" width="12.28515625" style="1" customWidth="1"/>
    <col min="9478" max="9478" width="11.140625" style="1" customWidth="1"/>
    <col min="9479" max="9479" width="10.42578125" style="1" customWidth="1"/>
    <col min="9480" max="9480" width="4.7109375" style="1" customWidth="1"/>
    <col min="9481" max="9481" width="8.5703125" style="1" customWidth="1"/>
    <col min="9482" max="9482" width="5.5703125" style="1" customWidth="1"/>
    <col min="9483" max="9484" width="11.5703125" style="1" customWidth="1"/>
    <col min="9485" max="9485" width="10.85546875" style="1" customWidth="1"/>
    <col min="9486" max="9486" width="7.7109375" style="1" customWidth="1"/>
    <col min="9487" max="9487" width="8" style="1" customWidth="1"/>
    <col min="9488" max="9488" width="16.28515625" style="1" customWidth="1"/>
    <col min="9489" max="9489" width="10.5703125" style="1" customWidth="1"/>
    <col min="9490" max="9490" width="14.140625" style="1" customWidth="1"/>
    <col min="9491" max="9491" width="10.140625" style="1" customWidth="1"/>
    <col min="9492" max="9492" width="15.140625" style="1" customWidth="1"/>
    <col min="9493" max="9493" width="8.5703125" style="1" customWidth="1"/>
    <col min="9494" max="9494" width="14.28515625" style="1" customWidth="1"/>
    <col min="9495" max="9495" width="18.28515625" style="1" customWidth="1"/>
    <col min="9496" max="9496" width="13" style="1" bestFit="1" customWidth="1"/>
    <col min="9497" max="9497" width="11.7109375" style="1" bestFit="1" customWidth="1"/>
    <col min="9498" max="9504" width="9.140625" style="1"/>
    <col min="9505" max="9505" width="11.28515625" style="1" bestFit="1" customWidth="1"/>
    <col min="9506" max="9506" width="10.7109375" style="1" bestFit="1" customWidth="1"/>
    <col min="9507" max="9728" width="9.140625" style="1"/>
    <col min="9729" max="9729" width="6.42578125" style="1" customWidth="1"/>
    <col min="9730" max="9730" width="20.7109375" style="1" customWidth="1"/>
    <col min="9731" max="9731" width="24.7109375" style="1" customWidth="1"/>
    <col min="9732" max="9732" width="11.140625" style="1" customWidth="1"/>
    <col min="9733" max="9733" width="12.28515625" style="1" customWidth="1"/>
    <col min="9734" max="9734" width="11.140625" style="1" customWidth="1"/>
    <col min="9735" max="9735" width="10.42578125" style="1" customWidth="1"/>
    <col min="9736" max="9736" width="4.7109375" style="1" customWidth="1"/>
    <col min="9737" max="9737" width="8.5703125" style="1" customWidth="1"/>
    <col min="9738" max="9738" width="5.5703125" style="1" customWidth="1"/>
    <col min="9739" max="9740" width="11.5703125" style="1" customWidth="1"/>
    <col min="9741" max="9741" width="10.85546875" style="1" customWidth="1"/>
    <col min="9742" max="9742" width="7.7109375" style="1" customWidth="1"/>
    <col min="9743" max="9743" width="8" style="1" customWidth="1"/>
    <col min="9744" max="9744" width="16.28515625" style="1" customWidth="1"/>
    <col min="9745" max="9745" width="10.5703125" style="1" customWidth="1"/>
    <col min="9746" max="9746" width="14.140625" style="1" customWidth="1"/>
    <col min="9747" max="9747" width="10.140625" style="1" customWidth="1"/>
    <col min="9748" max="9748" width="15.140625" style="1" customWidth="1"/>
    <col min="9749" max="9749" width="8.5703125" style="1" customWidth="1"/>
    <col min="9750" max="9750" width="14.28515625" style="1" customWidth="1"/>
    <col min="9751" max="9751" width="18.28515625" style="1" customWidth="1"/>
    <col min="9752" max="9752" width="13" style="1" bestFit="1" customWidth="1"/>
    <col min="9753" max="9753" width="11.7109375" style="1" bestFit="1" customWidth="1"/>
    <col min="9754" max="9760" width="9.140625" style="1"/>
    <col min="9761" max="9761" width="11.28515625" style="1" bestFit="1" customWidth="1"/>
    <col min="9762" max="9762" width="10.7109375" style="1" bestFit="1" customWidth="1"/>
    <col min="9763" max="9984" width="9.140625" style="1"/>
    <col min="9985" max="9985" width="6.42578125" style="1" customWidth="1"/>
    <col min="9986" max="9986" width="20.7109375" style="1" customWidth="1"/>
    <col min="9987" max="9987" width="24.7109375" style="1" customWidth="1"/>
    <col min="9988" max="9988" width="11.140625" style="1" customWidth="1"/>
    <col min="9989" max="9989" width="12.28515625" style="1" customWidth="1"/>
    <col min="9990" max="9990" width="11.140625" style="1" customWidth="1"/>
    <col min="9991" max="9991" width="10.42578125" style="1" customWidth="1"/>
    <col min="9992" max="9992" width="4.7109375" style="1" customWidth="1"/>
    <col min="9993" max="9993" width="8.5703125" style="1" customWidth="1"/>
    <col min="9994" max="9994" width="5.5703125" style="1" customWidth="1"/>
    <col min="9995" max="9996" width="11.5703125" style="1" customWidth="1"/>
    <col min="9997" max="9997" width="10.85546875" style="1" customWidth="1"/>
    <col min="9998" max="9998" width="7.7109375" style="1" customWidth="1"/>
    <col min="9999" max="9999" width="8" style="1" customWidth="1"/>
    <col min="10000" max="10000" width="16.28515625" style="1" customWidth="1"/>
    <col min="10001" max="10001" width="10.5703125" style="1" customWidth="1"/>
    <col min="10002" max="10002" width="14.140625" style="1" customWidth="1"/>
    <col min="10003" max="10003" width="10.140625" style="1" customWidth="1"/>
    <col min="10004" max="10004" width="15.140625" style="1" customWidth="1"/>
    <col min="10005" max="10005" width="8.5703125" style="1" customWidth="1"/>
    <col min="10006" max="10006" width="14.28515625" style="1" customWidth="1"/>
    <col min="10007" max="10007" width="18.28515625" style="1" customWidth="1"/>
    <col min="10008" max="10008" width="13" style="1" bestFit="1" customWidth="1"/>
    <col min="10009" max="10009" width="11.7109375" style="1" bestFit="1" customWidth="1"/>
    <col min="10010" max="10016" width="9.140625" style="1"/>
    <col min="10017" max="10017" width="11.28515625" style="1" bestFit="1" customWidth="1"/>
    <col min="10018" max="10018" width="10.7109375" style="1" bestFit="1" customWidth="1"/>
    <col min="10019" max="10240" width="9.140625" style="1"/>
    <col min="10241" max="10241" width="6.42578125" style="1" customWidth="1"/>
    <col min="10242" max="10242" width="20.7109375" style="1" customWidth="1"/>
    <col min="10243" max="10243" width="24.7109375" style="1" customWidth="1"/>
    <col min="10244" max="10244" width="11.140625" style="1" customWidth="1"/>
    <col min="10245" max="10245" width="12.28515625" style="1" customWidth="1"/>
    <col min="10246" max="10246" width="11.140625" style="1" customWidth="1"/>
    <col min="10247" max="10247" width="10.42578125" style="1" customWidth="1"/>
    <col min="10248" max="10248" width="4.7109375" style="1" customWidth="1"/>
    <col min="10249" max="10249" width="8.5703125" style="1" customWidth="1"/>
    <col min="10250" max="10250" width="5.5703125" style="1" customWidth="1"/>
    <col min="10251" max="10252" width="11.5703125" style="1" customWidth="1"/>
    <col min="10253" max="10253" width="10.85546875" style="1" customWidth="1"/>
    <col min="10254" max="10254" width="7.7109375" style="1" customWidth="1"/>
    <col min="10255" max="10255" width="8" style="1" customWidth="1"/>
    <col min="10256" max="10256" width="16.28515625" style="1" customWidth="1"/>
    <col min="10257" max="10257" width="10.5703125" style="1" customWidth="1"/>
    <col min="10258" max="10258" width="14.140625" style="1" customWidth="1"/>
    <col min="10259" max="10259" width="10.140625" style="1" customWidth="1"/>
    <col min="10260" max="10260" width="15.140625" style="1" customWidth="1"/>
    <col min="10261" max="10261" width="8.5703125" style="1" customWidth="1"/>
    <col min="10262" max="10262" width="14.28515625" style="1" customWidth="1"/>
    <col min="10263" max="10263" width="18.28515625" style="1" customWidth="1"/>
    <col min="10264" max="10264" width="13" style="1" bestFit="1" customWidth="1"/>
    <col min="10265" max="10265" width="11.7109375" style="1" bestFit="1" customWidth="1"/>
    <col min="10266" max="10272" width="9.140625" style="1"/>
    <col min="10273" max="10273" width="11.28515625" style="1" bestFit="1" customWidth="1"/>
    <col min="10274" max="10274" width="10.7109375" style="1" bestFit="1" customWidth="1"/>
    <col min="10275" max="10496" width="9.140625" style="1"/>
    <col min="10497" max="10497" width="6.42578125" style="1" customWidth="1"/>
    <col min="10498" max="10498" width="20.7109375" style="1" customWidth="1"/>
    <col min="10499" max="10499" width="24.7109375" style="1" customWidth="1"/>
    <col min="10500" max="10500" width="11.140625" style="1" customWidth="1"/>
    <col min="10501" max="10501" width="12.28515625" style="1" customWidth="1"/>
    <col min="10502" max="10502" width="11.140625" style="1" customWidth="1"/>
    <col min="10503" max="10503" width="10.42578125" style="1" customWidth="1"/>
    <col min="10504" max="10504" width="4.7109375" style="1" customWidth="1"/>
    <col min="10505" max="10505" width="8.5703125" style="1" customWidth="1"/>
    <col min="10506" max="10506" width="5.5703125" style="1" customWidth="1"/>
    <col min="10507" max="10508" width="11.5703125" style="1" customWidth="1"/>
    <col min="10509" max="10509" width="10.85546875" style="1" customWidth="1"/>
    <col min="10510" max="10510" width="7.7109375" style="1" customWidth="1"/>
    <col min="10511" max="10511" width="8" style="1" customWidth="1"/>
    <col min="10512" max="10512" width="16.28515625" style="1" customWidth="1"/>
    <col min="10513" max="10513" width="10.5703125" style="1" customWidth="1"/>
    <col min="10514" max="10514" width="14.140625" style="1" customWidth="1"/>
    <col min="10515" max="10515" width="10.140625" style="1" customWidth="1"/>
    <col min="10516" max="10516" width="15.140625" style="1" customWidth="1"/>
    <col min="10517" max="10517" width="8.5703125" style="1" customWidth="1"/>
    <col min="10518" max="10518" width="14.28515625" style="1" customWidth="1"/>
    <col min="10519" max="10519" width="18.28515625" style="1" customWidth="1"/>
    <col min="10520" max="10520" width="13" style="1" bestFit="1" customWidth="1"/>
    <col min="10521" max="10521" width="11.7109375" style="1" bestFit="1" customWidth="1"/>
    <col min="10522" max="10528" width="9.140625" style="1"/>
    <col min="10529" max="10529" width="11.28515625" style="1" bestFit="1" customWidth="1"/>
    <col min="10530" max="10530" width="10.7109375" style="1" bestFit="1" customWidth="1"/>
    <col min="10531" max="10752" width="9.140625" style="1"/>
    <col min="10753" max="10753" width="6.42578125" style="1" customWidth="1"/>
    <col min="10754" max="10754" width="20.7109375" style="1" customWidth="1"/>
    <col min="10755" max="10755" width="24.7109375" style="1" customWidth="1"/>
    <col min="10756" max="10756" width="11.140625" style="1" customWidth="1"/>
    <col min="10757" max="10757" width="12.28515625" style="1" customWidth="1"/>
    <col min="10758" max="10758" width="11.140625" style="1" customWidth="1"/>
    <col min="10759" max="10759" width="10.42578125" style="1" customWidth="1"/>
    <col min="10760" max="10760" width="4.7109375" style="1" customWidth="1"/>
    <col min="10761" max="10761" width="8.5703125" style="1" customWidth="1"/>
    <col min="10762" max="10762" width="5.5703125" style="1" customWidth="1"/>
    <col min="10763" max="10764" width="11.5703125" style="1" customWidth="1"/>
    <col min="10765" max="10765" width="10.85546875" style="1" customWidth="1"/>
    <col min="10766" max="10766" width="7.7109375" style="1" customWidth="1"/>
    <col min="10767" max="10767" width="8" style="1" customWidth="1"/>
    <col min="10768" max="10768" width="16.28515625" style="1" customWidth="1"/>
    <col min="10769" max="10769" width="10.5703125" style="1" customWidth="1"/>
    <col min="10770" max="10770" width="14.140625" style="1" customWidth="1"/>
    <col min="10771" max="10771" width="10.140625" style="1" customWidth="1"/>
    <col min="10772" max="10772" width="15.140625" style="1" customWidth="1"/>
    <col min="10773" max="10773" width="8.5703125" style="1" customWidth="1"/>
    <col min="10774" max="10774" width="14.28515625" style="1" customWidth="1"/>
    <col min="10775" max="10775" width="18.28515625" style="1" customWidth="1"/>
    <col min="10776" max="10776" width="13" style="1" bestFit="1" customWidth="1"/>
    <col min="10777" max="10777" width="11.7109375" style="1" bestFit="1" customWidth="1"/>
    <col min="10778" max="10784" width="9.140625" style="1"/>
    <col min="10785" max="10785" width="11.28515625" style="1" bestFit="1" customWidth="1"/>
    <col min="10786" max="10786" width="10.7109375" style="1" bestFit="1" customWidth="1"/>
    <col min="10787" max="11008" width="9.140625" style="1"/>
    <col min="11009" max="11009" width="6.42578125" style="1" customWidth="1"/>
    <col min="11010" max="11010" width="20.7109375" style="1" customWidth="1"/>
    <col min="11011" max="11011" width="24.7109375" style="1" customWidth="1"/>
    <col min="11012" max="11012" width="11.140625" style="1" customWidth="1"/>
    <col min="11013" max="11013" width="12.28515625" style="1" customWidth="1"/>
    <col min="11014" max="11014" width="11.140625" style="1" customWidth="1"/>
    <col min="11015" max="11015" width="10.42578125" style="1" customWidth="1"/>
    <col min="11016" max="11016" width="4.7109375" style="1" customWidth="1"/>
    <col min="11017" max="11017" width="8.5703125" style="1" customWidth="1"/>
    <col min="11018" max="11018" width="5.5703125" style="1" customWidth="1"/>
    <col min="11019" max="11020" width="11.5703125" style="1" customWidth="1"/>
    <col min="11021" max="11021" width="10.85546875" style="1" customWidth="1"/>
    <col min="11022" max="11022" width="7.7109375" style="1" customWidth="1"/>
    <col min="11023" max="11023" width="8" style="1" customWidth="1"/>
    <col min="11024" max="11024" width="16.28515625" style="1" customWidth="1"/>
    <col min="11025" max="11025" width="10.5703125" style="1" customWidth="1"/>
    <col min="11026" max="11026" width="14.140625" style="1" customWidth="1"/>
    <col min="11027" max="11027" width="10.140625" style="1" customWidth="1"/>
    <col min="11028" max="11028" width="15.140625" style="1" customWidth="1"/>
    <col min="11029" max="11029" width="8.5703125" style="1" customWidth="1"/>
    <col min="11030" max="11030" width="14.28515625" style="1" customWidth="1"/>
    <col min="11031" max="11031" width="18.28515625" style="1" customWidth="1"/>
    <col min="11032" max="11032" width="13" style="1" bestFit="1" customWidth="1"/>
    <col min="11033" max="11033" width="11.7109375" style="1" bestFit="1" customWidth="1"/>
    <col min="11034" max="11040" width="9.140625" style="1"/>
    <col min="11041" max="11041" width="11.28515625" style="1" bestFit="1" customWidth="1"/>
    <col min="11042" max="11042" width="10.7109375" style="1" bestFit="1" customWidth="1"/>
    <col min="11043" max="11264" width="9.140625" style="1"/>
    <col min="11265" max="11265" width="6.42578125" style="1" customWidth="1"/>
    <col min="11266" max="11266" width="20.7109375" style="1" customWidth="1"/>
    <col min="11267" max="11267" width="24.7109375" style="1" customWidth="1"/>
    <col min="11268" max="11268" width="11.140625" style="1" customWidth="1"/>
    <col min="11269" max="11269" width="12.28515625" style="1" customWidth="1"/>
    <col min="11270" max="11270" width="11.140625" style="1" customWidth="1"/>
    <col min="11271" max="11271" width="10.42578125" style="1" customWidth="1"/>
    <col min="11272" max="11272" width="4.7109375" style="1" customWidth="1"/>
    <col min="11273" max="11273" width="8.5703125" style="1" customWidth="1"/>
    <col min="11274" max="11274" width="5.5703125" style="1" customWidth="1"/>
    <col min="11275" max="11276" width="11.5703125" style="1" customWidth="1"/>
    <col min="11277" max="11277" width="10.85546875" style="1" customWidth="1"/>
    <col min="11278" max="11278" width="7.7109375" style="1" customWidth="1"/>
    <col min="11279" max="11279" width="8" style="1" customWidth="1"/>
    <col min="11280" max="11280" width="16.28515625" style="1" customWidth="1"/>
    <col min="11281" max="11281" width="10.5703125" style="1" customWidth="1"/>
    <col min="11282" max="11282" width="14.140625" style="1" customWidth="1"/>
    <col min="11283" max="11283" width="10.140625" style="1" customWidth="1"/>
    <col min="11284" max="11284" width="15.140625" style="1" customWidth="1"/>
    <col min="11285" max="11285" width="8.5703125" style="1" customWidth="1"/>
    <col min="11286" max="11286" width="14.28515625" style="1" customWidth="1"/>
    <col min="11287" max="11287" width="18.28515625" style="1" customWidth="1"/>
    <col min="11288" max="11288" width="13" style="1" bestFit="1" customWidth="1"/>
    <col min="11289" max="11289" width="11.7109375" style="1" bestFit="1" customWidth="1"/>
    <col min="11290" max="11296" width="9.140625" style="1"/>
    <col min="11297" max="11297" width="11.28515625" style="1" bestFit="1" customWidth="1"/>
    <col min="11298" max="11298" width="10.7109375" style="1" bestFit="1" customWidth="1"/>
    <col min="11299" max="11520" width="9.140625" style="1"/>
    <col min="11521" max="11521" width="6.42578125" style="1" customWidth="1"/>
    <col min="11522" max="11522" width="20.7109375" style="1" customWidth="1"/>
    <col min="11523" max="11523" width="24.7109375" style="1" customWidth="1"/>
    <col min="11524" max="11524" width="11.140625" style="1" customWidth="1"/>
    <col min="11525" max="11525" width="12.28515625" style="1" customWidth="1"/>
    <col min="11526" max="11526" width="11.140625" style="1" customWidth="1"/>
    <col min="11527" max="11527" width="10.42578125" style="1" customWidth="1"/>
    <col min="11528" max="11528" width="4.7109375" style="1" customWidth="1"/>
    <col min="11529" max="11529" width="8.5703125" style="1" customWidth="1"/>
    <col min="11530" max="11530" width="5.5703125" style="1" customWidth="1"/>
    <col min="11531" max="11532" width="11.5703125" style="1" customWidth="1"/>
    <col min="11533" max="11533" width="10.85546875" style="1" customWidth="1"/>
    <col min="11534" max="11534" width="7.7109375" style="1" customWidth="1"/>
    <col min="11535" max="11535" width="8" style="1" customWidth="1"/>
    <col min="11536" max="11536" width="16.28515625" style="1" customWidth="1"/>
    <col min="11537" max="11537" width="10.5703125" style="1" customWidth="1"/>
    <col min="11538" max="11538" width="14.140625" style="1" customWidth="1"/>
    <col min="11539" max="11539" width="10.140625" style="1" customWidth="1"/>
    <col min="11540" max="11540" width="15.140625" style="1" customWidth="1"/>
    <col min="11541" max="11541" width="8.5703125" style="1" customWidth="1"/>
    <col min="11542" max="11542" width="14.28515625" style="1" customWidth="1"/>
    <col min="11543" max="11543" width="18.28515625" style="1" customWidth="1"/>
    <col min="11544" max="11544" width="13" style="1" bestFit="1" customWidth="1"/>
    <col min="11545" max="11545" width="11.7109375" style="1" bestFit="1" customWidth="1"/>
    <col min="11546" max="11552" width="9.140625" style="1"/>
    <col min="11553" max="11553" width="11.28515625" style="1" bestFit="1" customWidth="1"/>
    <col min="11554" max="11554" width="10.7109375" style="1" bestFit="1" customWidth="1"/>
    <col min="11555" max="11776" width="9.140625" style="1"/>
    <col min="11777" max="11777" width="6.42578125" style="1" customWidth="1"/>
    <col min="11778" max="11778" width="20.7109375" style="1" customWidth="1"/>
    <col min="11779" max="11779" width="24.7109375" style="1" customWidth="1"/>
    <col min="11780" max="11780" width="11.140625" style="1" customWidth="1"/>
    <col min="11781" max="11781" width="12.28515625" style="1" customWidth="1"/>
    <col min="11782" max="11782" width="11.140625" style="1" customWidth="1"/>
    <col min="11783" max="11783" width="10.42578125" style="1" customWidth="1"/>
    <col min="11784" max="11784" width="4.7109375" style="1" customWidth="1"/>
    <col min="11785" max="11785" width="8.5703125" style="1" customWidth="1"/>
    <col min="11786" max="11786" width="5.5703125" style="1" customWidth="1"/>
    <col min="11787" max="11788" width="11.5703125" style="1" customWidth="1"/>
    <col min="11789" max="11789" width="10.85546875" style="1" customWidth="1"/>
    <col min="11790" max="11790" width="7.7109375" style="1" customWidth="1"/>
    <col min="11791" max="11791" width="8" style="1" customWidth="1"/>
    <col min="11792" max="11792" width="16.28515625" style="1" customWidth="1"/>
    <col min="11793" max="11793" width="10.5703125" style="1" customWidth="1"/>
    <col min="11794" max="11794" width="14.140625" style="1" customWidth="1"/>
    <col min="11795" max="11795" width="10.140625" style="1" customWidth="1"/>
    <col min="11796" max="11796" width="15.140625" style="1" customWidth="1"/>
    <col min="11797" max="11797" width="8.5703125" style="1" customWidth="1"/>
    <col min="11798" max="11798" width="14.28515625" style="1" customWidth="1"/>
    <col min="11799" max="11799" width="18.28515625" style="1" customWidth="1"/>
    <col min="11800" max="11800" width="13" style="1" bestFit="1" customWidth="1"/>
    <col min="11801" max="11801" width="11.7109375" style="1" bestFit="1" customWidth="1"/>
    <col min="11802" max="11808" width="9.140625" style="1"/>
    <col min="11809" max="11809" width="11.28515625" style="1" bestFit="1" customWidth="1"/>
    <col min="11810" max="11810" width="10.7109375" style="1" bestFit="1" customWidth="1"/>
    <col min="11811" max="12032" width="9.140625" style="1"/>
    <col min="12033" max="12033" width="6.42578125" style="1" customWidth="1"/>
    <col min="12034" max="12034" width="20.7109375" style="1" customWidth="1"/>
    <col min="12035" max="12035" width="24.7109375" style="1" customWidth="1"/>
    <col min="12036" max="12036" width="11.140625" style="1" customWidth="1"/>
    <col min="12037" max="12037" width="12.28515625" style="1" customWidth="1"/>
    <col min="12038" max="12038" width="11.140625" style="1" customWidth="1"/>
    <col min="12039" max="12039" width="10.42578125" style="1" customWidth="1"/>
    <col min="12040" max="12040" width="4.7109375" style="1" customWidth="1"/>
    <col min="12041" max="12041" width="8.5703125" style="1" customWidth="1"/>
    <col min="12042" max="12042" width="5.5703125" style="1" customWidth="1"/>
    <col min="12043" max="12044" width="11.5703125" style="1" customWidth="1"/>
    <col min="12045" max="12045" width="10.85546875" style="1" customWidth="1"/>
    <col min="12046" max="12046" width="7.7109375" style="1" customWidth="1"/>
    <col min="12047" max="12047" width="8" style="1" customWidth="1"/>
    <col min="12048" max="12048" width="16.28515625" style="1" customWidth="1"/>
    <col min="12049" max="12049" width="10.5703125" style="1" customWidth="1"/>
    <col min="12050" max="12050" width="14.140625" style="1" customWidth="1"/>
    <col min="12051" max="12051" width="10.140625" style="1" customWidth="1"/>
    <col min="12052" max="12052" width="15.140625" style="1" customWidth="1"/>
    <col min="12053" max="12053" width="8.5703125" style="1" customWidth="1"/>
    <col min="12054" max="12054" width="14.28515625" style="1" customWidth="1"/>
    <col min="12055" max="12055" width="18.28515625" style="1" customWidth="1"/>
    <col min="12056" max="12056" width="13" style="1" bestFit="1" customWidth="1"/>
    <col min="12057" max="12057" width="11.7109375" style="1" bestFit="1" customWidth="1"/>
    <col min="12058" max="12064" width="9.140625" style="1"/>
    <col min="12065" max="12065" width="11.28515625" style="1" bestFit="1" customWidth="1"/>
    <col min="12066" max="12066" width="10.7109375" style="1" bestFit="1" customWidth="1"/>
    <col min="12067" max="12288" width="9.140625" style="1"/>
    <col min="12289" max="12289" width="6.42578125" style="1" customWidth="1"/>
    <col min="12290" max="12290" width="20.7109375" style="1" customWidth="1"/>
    <col min="12291" max="12291" width="24.7109375" style="1" customWidth="1"/>
    <col min="12292" max="12292" width="11.140625" style="1" customWidth="1"/>
    <col min="12293" max="12293" width="12.28515625" style="1" customWidth="1"/>
    <col min="12294" max="12294" width="11.140625" style="1" customWidth="1"/>
    <col min="12295" max="12295" width="10.42578125" style="1" customWidth="1"/>
    <col min="12296" max="12296" width="4.7109375" style="1" customWidth="1"/>
    <col min="12297" max="12297" width="8.5703125" style="1" customWidth="1"/>
    <col min="12298" max="12298" width="5.5703125" style="1" customWidth="1"/>
    <col min="12299" max="12300" width="11.5703125" style="1" customWidth="1"/>
    <col min="12301" max="12301" width="10.85546875" style="1" customWidth="1"/>
    <col min="12302" max="12302" width="7.7109375" style="1" customWidth="1"/>
    <col min="12303" max="12303" width="8" style="1" customWidth="1"/>
    <col min="12304" max="12304" width="16.28515625" style="1" customWidth="1"/>
    <col min="12305" max="12305" width="10.5703125" style="1" customWidth="1"/>
    <col min="12306" max="12306" width="14.140625" style="1" customWidth="1"/>
    <col min="12307" max="12307" width="10.140625" style="1" customWidth="1"/>
    <col min="12308" max="12308" width="15.140625" style="1" customWidth="1"/>
    <col min="12309" max="12309" width="8.5703125" style="1" customWidth="1"/>
    <col min="12310" max="12310" width="14.28515625" style="1" customWidth="1"/>
    <col min="12311" max="12311" width="18.28515625" style="1" customWidth="1"/>
    <col min="12312" max="12312" width="13" style="1" bestFit="1" customWidth="1"/>
    <col min="12313" max="12313" width="11.7109375" style="1" bestFit="1" customWidth="1"/>
    <col min="12314" max="12320" width="9.140625" style="1"/>
    <col min="12321" max="12321" width="11.28515625" style="1" bestFit="1" customWidth="1"/>
    <col min="12322" max="12322" width="10.7109375" style="1" bestFit="1" customWidth="1"/>
    <col min="12323" max="12544" width="9.140625" style="1"/>
    <col min="12545" max="12545" width="6.42578125" style="1" customWidth="1"/>
    <col min="12546" max="12546" width="20.7109375" style="1" customWidth="1"/>
    <col min="12547" max="12547" width="24.7109375" style="1" customWidth="1"/>
    <col min="12548" max="12548" width="11.140625" style="1" customWidth="1"/>
    <col min="12549" max="12549" width="12.28515625" style="1" customWidth="1"/>
    <col min="12550" max="12550" width="11.140625" style="1" customWidth="1"/>
    <col min="12551" max="12551" width="10.42578125" style="1" customWidth="1"/>
    <col min="12552" max="12552" width="4.7109375" style="1" customWidth="1"/>
    <col min="12553" max="12553" width="8.5703125" style="1" customWidth="1"/>
    <col min="12554" max="12554" width="5.5703125" style="1" customWidth="1"/>
    <col min="12555" max="12556" width="11.5703125" style="1" customWidth="1"/>
    <col min="12557" max="12557" width="10.85546875" style="1" customWidth="1"/>
    <col min="12558" max="12558" width="7.7109375" style="1" customWidth="1"/>
    <col min="12559" max="12559" width="8" style="1" customWidth="1"/>
    <col min="12560" max="12560" width="16.28515625" style="1" customWidth="1"/>
    <col min="12561" max="12561" width="10.5703125" style="1" customWidth="1"/>
    <col min="12562" max="12562" width="14.140625" style="1" customWidth="1"/>
    <col min="12563" max="12563" width="10.140625" style="1" customWidth="1"/>
    <col min="12564" max="12564" width="15.140625" style="1" customWidth="1"/>
    <col min="12565" max="12565" width="8.5703125" style="1" customWidth="1"/>
    <col min="12566" max="12566" width="14.28515625" style="1" customWidth="1"/>
    <col min="12567" max="12567" width="18.28515625" style="1" customWidth="1"/>
    <col min="12568" max="12568" width="13" style="1" bestFit="1" customWidth="1"/>
    <col min="12569" max="12569" width="11.7109375" style="1" bestFit="1" customWidth="1"/>
    <col min="12570" max="12576" width="9.140625" style="1"/>
    <col min="12577" max="12577" width="11.28515625" style="1" bestFit="1" customWidth="1"/>
    <col min="12578" max="12578" width="10.7109375" style="1" bestFit="1" customWidth="1"/>
    <col min="12579" max="12800" width="9.140625" style="1"/>
    <col min="12801" max="12801" width="6.42578125" style="1" customWidth="1"/>
    <col min="12802" max="12802" width="20.7109375" style="1" customWidth="1"/>
    <col min="12803" max="12803" width="24.7109375" style="1" customWidth="1"/>
    <col min="12804" max="12804" width="11.140625" style="1" customWidth="1"/>
    <col min="12805" max="12805" width="12.28515625" style="1" customWidth="1"/>
    <col min="12806" max="12806" width="11.140625" style="1" customWidth="1"/>
    <col min="12807" max="12807" width="10.42578125" style="1" customWidth="1"/>
    <col min="12808" max="12808" width="4.7109375" style="1" customWidth="1"/>
    <col min="12809" max="12809" width="8.5703125" style="1" customWidth="1"/>
    <col min="12810" max="12810" width="5.5703125" style="1" customWidth="1"/>
    <col min="12811" max="12812" width="11.5703125" style="1" customWidth="1"/>
    <col min="12813" max="12813" width="10.85546875" style="1" customWidth="1"/>
    <col min="12814" max="12814" width="7.7109375" style="1" customWidth="1"/>
    <col min="12815" max="12815" width="8" style="1" customWidth="1"/>
    <col min="12816" max="12816" width="16.28515625" style="1" customWidth="1"/>
    <col min="12817" max="12817" width="10.5703125" style="1" customWidth="1"/>
    <col min="12818" max="12818" width="14.140625" style="1" customWidth="1"/>
    <col min="12819" max="12819" width="10.140625" style="1" customWidth="1"/>
    <col min="12820" max="12820" width="15.140625" style="1" customWidth="1"/>
    <col min="12821" max="12821" width="8.5703125" style="1" customWidth="1"/>
    <col min="12822" max="12822" width="14.28515625" style="1" customWidth="1"/>
    <col min="12823" max="12823" width="18.28515625" style="1" customWidth="1"/>
    <col min="12824" max="12824" width="13" style="1" bestFit="1" customWidth="1"/>
    <col min="12825" max="12825" width="11.7109375" style="1" bestFit="1" customWidth="1"/>
    <col min="12826" max="12832" width="9.140625" style="1"/>
    <col min="12833" max="12833" width="11.28515625" style="1" bestFit="1" customWidth="1"/>
    <col min="12834" max="12834" width="10.7109375" style="1" bestFit="1" customWidth="1"/>
    <col min="12835" max="13056" width="9.140625" style="1"/>
    <col min="13057" max="13057" width="6.42578125" style="1" customWidth="1"/>
    <col min="13058" max="13058" width="20.7109375" style="1" customWidth="1"/>
    <col min="13059" max="13059" width="24.7109375" style="1" customWidth="1"/>
    <col min="13060" max="13060" width="11.140625" style="1" customWidth="1"/>
    <col min="13061" max="13061" width="12.28515625" style="1" customWidth="1"/>
    <col min="13062" max="13062" width="11.140625" style="1" customWidth="1"/>
    <col min="13063" max="13063" width="10.42578125" style="1" customWidth="1"/>
    <col min="13064" max="13064" width="4.7109375" style="1" customWidth="1"/>
    <col min="13065" max="13065" width="8.5703125" style="1" customWidth="1"/>
    <col min="13066" max="13066" width="5.5703125" style="1" customWidth="1"/>
    <col min="13067" max="13068" width="11.5703125" style="1" customWidth="1"/>
    <col min="13069" max="13069" width="10.85546875" style="1" customWidth="1"/>
    <col min="13070" max="13070" width="7.7109375" style="1" customWidth="1"/>
    <col min="13071" max="13071" width="8" style="1" customWidth="1"/>
    <col min="13072" max="13072" width="16.28515625" style="1" customWidth="1"/>
    <col min="13073" max="13073" width="10.5703125" style="1" customWidth="1"/>
    <col min="13074" max="13074" width="14.140625" style="1" customWidth="1"/>
    <col min="13075" max="13075" width="10.140625" style="1" customWidth="1"/>
    <col min="13076" max="13076" width="15.140625" style="1" customWidth="1"/>
    <col min="13077" max="13077" width="8.5703125" style="1" customWidth="1"/>
    <col min="13078" max="13078" width="14.28515625" style="1" customWidth="1"/>
    <col min="13079" max="13079" width="18.28515625" style="1" customWidth="1"/>
    <col min="13080" max="13080" width="13" style="1" bestFit="1" customWidth="1"/>
    <col min="13081" max="13081" width="11.7109375" style="1" bestFit="1" customWidth="1"/>
    <col min="13082" max="13088" width="9.140625" style="1"/>
    <col min="13089" max="13089" width="11.28515625" style="1" bestFit="1" customWidth="1"/>
    <col min="13090" max="13090" width="10.7109375" style="1" bestFit="1" customWidth="1"/>
    <col min="13091" max="13312" width="9.140625" style="1"/>
    <col min="13313" max="13313" width="6.42578125" style="1" customWidth="1"/>
    <col min="13314" max="13314" width="20.7109375" style="1" customWidth="1"/>
    <col min="13315" max="13315" width="24.7109375" style="1" customWidth="1"/>
    <col min="13316" max="13316" width="11.140625" style="1" customWidth="1"/>
    <col min="13317" max="13317" width="12.28515625" style="1" customWidth="1"/>
    <col min="13318" max="13318" width="11.140625" style="1" customWidth="1"/>
    <col min="13319" max="13319" width="10.42578125" style="1" customWidth="1"/>
    <col min="13320" max="13320" width="4.7109375" style="1" customWidth="1"/>
    <col min="13321" max="13321" width="8.5703125" style="1" customWidth="1"/>
    <col min="13322" max="13322" width="5.5703125" style="1" customWidth="1"/>
    <col min="13323" max="13324" width="11.5703125" style="1" customWidth="1"/>
    <col min="13325" max="13325" width="10.85546875" style="1" customWidth="1"/>
    <col min="13326" max="13326" width="7.7109375" style="1" customWidth="1"/>
    <col min="13327" max="13327" width="8" style="1" customWidth="1"/>
    <col min="13328" max="13328" width="16.28515625" style="1" customWidth="1"/>
    <col min="13329" max="13329" width="10.5703125" style="1" customWidth="1"/>
    <col min="13330" max="13330" width="14.140625" style="1" customWidth="1"/>
    <col min="13331" max="13331" width="10.140625" style="1" customWidth="1"/>
    <col min="13332" max="13332" width="15.140625" style="1" customWidth="1"/>
    <col min="13333" max="13333" width="8.5703125" style="1" customWidth="1"/>
    <col min="13334" max="13334" width="14.28515625" style="1" customWidth="1"/>
    <col min="13335" max="13335" width="18.28515625" style="1" customWidth="1"/>
    <col min="13336" max="13336" width="13" style="1" bestFit="1" customWidth="1"/>
    <col min="13337" max="13337" width="11.7109375" style="1" bestFit="1" customWidth="1"/>
    <col min="13338" max="13344" width="9.140625" style="1"/>
    <col min="13345" max="13345" width="11.28515625" style="1" bestFit="1" customWidth="1"/>
    <col min="13346" max="13346" width="10.7109375" style="1" bestFit="1" customWidth="1"/>
    <col min="13347" max="13568" width="9.140625" style="1"/>
    <col min="13569" max="13569" width="6.42578125" style="1" customWidth="1"/>
    <col min="13570" max="13570" width="20.7109375" style="1" customWidth="1"/>
    <col min="13571" max="13571" width="24.7109375" style="1" customWidth="1"/>
    <col min="13572" max="13572" width="11.140625" style="1" customWidth="1"/>
    <col min="13573" max="13573" width="12.28515625" style="1" customWidth="1"/>
    <col min="13574" max="13574" width="11.140625" style="1" customWidth="1"/>
    <col min="13575" max="13575" width="10.42578125" style="1" customWidth="1"/>
    <col min="13576" max="13576" width="4.7109375" style="1" customWidth="1"/>
    <col min="13577" max="13577" width="8.5703125" style="1" customWidth="1"/>
    <col min="13578" max="13578" width="5.5703125" style="1" customWidth="1"/>
    <col min="13579" max="13580" width="11.5703125" style="1" customWidth="1"/>
    <col min="13581" max="13581" width="10.85546875" style="1" customWidth="1"/>
    <col min="13582" max="13582" width="7.7109375" style="1" customWidth="1"/>
    <col min="13583" max="13583" width="8" style="1" customWidth="1"/>
    <col min="13584" max="13584" width="16.28515625" style="1" customWidth="1"/>
    <col min="13585" max="13585" width="10.5703125" style="1" customWidth="1"/>
    <col min="13586" max="13586" width="14.140625" style="1" customWidth="1"/>
    <col min="13587" max="13587" width="10.140625" style="1" customWidth="1"/>
    <col min="13588" max="13588" width="15.140625" style="1" customWidth="1"/>
    <col min="13589" max="13589" width="8.5703125" style="1" customWidth="1"/>
    <col min="13590" max="13590" width="14.28515625" style="1" customWidth="1"/>
    <col min="13591" max="13591" width="18.28515625" style="1" customWidth="1"/>
    <col min="13592" max="13592" width="13" style="1" bestFit="1" customWidth="1"/>
    <col min="13593" max="13593" width="11.7109375" style="1" bestFit="1" customWidth="1"/>
    <col min="13594" max="13600" width="9.140625" style="1"/>
    <col min="13601" max="13601" width="11.28515625" style="1" bestFit="1" customWidth="1"/>
    <col min="13602" max="13602" width="10.7109375" style="1" bestFit="1" customWidth="1"/>
    <col min="13603" max="13824" width="9.140625" style="1"/>
    <col min="13825" max="13825" width="6.42578125" style="1" customWidth="1"/>
    <col min="13826" max="13826" width="20.7109375" style="1" customWidth="1"/>
    <col min="13827" max="13827" width="24.7109375" style="1" customWidth="1"/>
    <col min="13828" max="13828" width="11.140625" style="1" customWidth="1"/>
    <col min="13829" max="13829" width="12.28515625" style="1" customWidth="1"/>
    <col min="13830" max="13830" width="11.140625" style="1" customWidth="1"/>
    <col min="13831" max="13831" width="10.42578125" style="1" customWidth="1"/>
    <col min="13832" max="13832" width="4.7109375" style="1" customWidth="1"/>
    <col min="13833" max="13833" width="8.5703125" style="1" customWidth="1"/>
    <col min="13834" max="13834" width="5.5703125" style="1" customWidth="1"/>
    <col min="13835" max="13836" width="11.5703125" style="1" customWidth="1"/>
    <col min="13837" max="13837" width="10.85546875" style="1" customWidth="1"/>
    <col min="13838" max="13838" width="7.7109375" style="1" customWidth="1"/>
    <col min="13839" max="13839" width="8" style="1" customWidth="1"/>
    <col min="13840" max="13840" width="16.28515625" style="1" customWidth="1"/>
    <col min="13841" max="13841" width="10.5703125" style="1" customWidth="1"/>
    <col min="13842" max="13842" width="14.140625" style="1" customWidth="1"/>
    <col min="13843" max="13843" width="10.140625" style="1" customWidth="1"/>
    <col min="13844" max="13844" width="15.140625" style="1" customWidth="1"/>
    <col min="13845" max="13845" width="8.5703125" style="1" customWidth="1"/>
    <col min="13846" max="13846" width="14.28515625" style="1" customWidth="1"/>
    <col min="13847" max="13847" width="18.28515625" style="1" customWidth="1"/>
    <col min="13848" max="13848" width="13" style="1" bestFit="1" customWidth="1"/>
    <col min="13849" max="13849" width="11.7109375" style="1" bestFit="1" customWidth="1"/>
    <col min="13850" max="13856" width="9.140625" style="1"/>
    <col min="13857" max="13857" width="11.28515625" style="1" bestFit="1" customWidth="1"/>
    <col min="13858" max="13858" width="10.7109375" style="1" bestFit="1" customWidth="1"/>
    <col min="13859" max="14080" width="9.140625" style="1"/>
    <col min="14081" max="14081" width="6.42578125" style="1" customWidth="1"/>
    <col min="14082" max="14082" width="20.7109375" style="1" customWidth="1"/>
    <col min="14083" max="14083" width="24.7109375" style="1" customWidth="1"/>
    <col min="14084" max="14084" width="11.140625" style="1" customWidth="1"/>
    <col min="14085" max="14085" width="12.28515625" style="1" customWidth="1"/>
    <col min="14086" max="14086" width="11.140625" style="1" customWidth="1"/>
    <col min="14087" max="14087" width="10.42578125" style="1" customWidth="1"/>
    <col min="14088" max="14088" width="4.7109375" style="1" customWidth="1"/>
    <col min="14089" max="14089" width="8.5703125" style="1" customWidth="1"/>
    <col min="14090" max="14090" width="5.5703125" style="1" customWidth="1"/>
    <col min="14091" max="14092" width="11.5703125" style="1" customWidth="1"/>
    <col min="14093" max="14093" width="10.85546875" style="1" customWidth="1"/>
    <col min="14094" max="14094" width="7.7109375" style="1" customWidth="1"/>
    <col min="14095" max="14095" width="8" style="1" customWidth="1"/>
    <col min="14096" max="14096" width="16.28515625" style="1" customWidth="1"/>
    <col min="14097" max="14097" width="10.5703125" style="1" customWidth="1"/>
    <col min="14098" max="14098" width="14.140625" style="1" customWidth="1"/>
    <col min="14099" max="14099" width="10.140625" style="1" customWidth="1"/>
    <col min="14100" max="14100" width="15.140625" style="1" customWidth="1"/>
    <col min="14101" max="14101" width="8.5703125" style="1" customWidth="1"/>
    <col min="14102" max="14102" width="14.28515625" style="1" customWidth="1"/>
    <col min="14103" max="14103" width="18.28515625" style="1" customWidth="1"/>
    <col min="14104" max="14104" width="13" style="1" bestFit="1" customWidth="1"/>
    <col min="14105" max="14105" width="11.7109375" style="1" bestFit="1" customWidth="1"/>
    <col min="14106" max="14112" width="9.140625" style="1"/>
    <col min="14113" max="14113" width="11.28515625" style="1" bestFit="1" customWidth="1"/>
    <col min="14114" max="14114" width="10.7109375" style="1" bestFit="1" customWidth="1"/>
    <col min="14115" max="14336" width="9.140625" style="1"/>
    <col min="14337" max="14337" width="6.42578125" style="1" customWidth="1"/>
    <col min="14338" max="14338" width="20.7109375" style="1" customWidth="1"/>
    <col min="14339" max="14339" width="24.7109375" style="1" customWidth="1"/>
    <col min="14340" max="14340" width="11.140625" style="1" customWidth="1"/>
    <col min="14341" max="14341" width="12.28515625" style="1" customWidth="1"/>
    <col min="14342" max="14342" width="11.140625" style="1" customWidth="1"/>
    <col min="14343" max="14343" width="10.42578125" style="1" customWidth="1"/>
    <col min="14344" max="14344" width="4.7109375" style="1" customWidth="1"/>
    <col min="14345" max="14345" width="8.5703125" style="1" customWidth="1"/>
    <col min="14346" max="14346" width="5.5703125" style="1" customWidth="1"/>
    <col min="14347" max="14348" width="11.5703125" style="1" customWidth="1"/>
    <col min="14349" max="14349" width="10.85546875" style="1" customWidth="1"/>
    <col min="14350" max="14350" width="7.7109375" style="1" customWidth="1"/>
    <col min="14351" max="14351" width="8" style="1" customWidth="1"/>
    <col min="14352" max="14352" width="16.28515625" style="1" customWidth="1"/>
    <col min="14353" max="14353" width="10.5703125" style="1" customWidth="1"/>
    <col min="14354" max="14354" width="14.140625" style="1" customWidth="1"/>
    <col min="14355" max="14355" width="10.140625" style="1" customWidth="1"/>
    <col min="14356" max="14356" width="15.140625" style="1" customWidth="1"/>
    <col min="14357" max="14357" width="8.5703125" style="1" customWidth="1"/>
    <col min="14358" max="14358" width="14.28515625" style="1" customWidth="1"/>
    <col min="14359" max="14359" width="18.28515625" style="1" customWidth="1"/>
    <col min="14360" max="14360" width="13" style="1" bestFit="1" customWidth="1"/>
    <col min="14361" max="14361" width="11.7109375" style="1" bestFit="1" customWidth="1"/>
    <col min="14362" max="14368" width="9.140625" style="1"/>
    <col min="14369" max="14369" width="11.28515625" style="1" bestFit="1" customWidth="1"/>
    <col min="14370" max="14370" width="10.7109375" style="1" bestFit="1" customWidth="1"/>
    <col min="14371" max="14592" width="9.140625" style="1"/>
    <col min="14593" max="14593" width="6.42578125" style="1" customWidth="1"/>
    <col min="14594" max="14594" width="20.7109375" style="1" customWidth="1"/>
    <col min="14595" max="14595" width="24.7109375" style="1" customWidth="1"/>
    <col min="14596" max="14596" width="11.140625" style="1" customWidth="1"/>
    <col min="14597" max="14597" width="12.28515625" style="1" customWidth="1"/>
    <col min="14598" max="14598" width="11.140625" style="1" customWidth="1"/>
    <col min="14599" max="14599" width="10.42578125" style="1" customWidth="1"/>
    <col min="14600" max="14600" width="4.7109375" style="1" customWidth="1"/>
    <col min="14601" max="14601" width="8.5703125" style="1" customWidth="1"/>
    <col min="14602" max="14602" width="5.5703125" style="1" customWidth="1"/>
    <col min="14603" max="14604" width="11.5703125" style="1" customWidth="1"/>
    <col min="14605" max="14605" width="10.85546875" style="1" customWidth="1"/>
    <col min="14606" max="14606" width="7.7109375" style="1" customWidth="1"/>
    <col min="14607" max="14607" width="8" style="1" customWidth="1"/>
    <col min="14608" max="14608" width="16.28515625" style="1" customWidth="1"/>
    <col min="14609" max="14609" width="10.5703125" style="1" customWidth="1"/>
    <col min="14610" max="14610" width="14.140625" style="1" customWidth="1"/>
    <col min="14611" max="14611" width="10.140625" style="1" customWidth="1"/>
    <col min="14612" max="14612" width="15.140625" style="1" customWidth="1"/>
    <col min="14613" max="14613" width="8.5703125" style="1" customWidth="1"/>
    <col min="14614" max="14614" width="14.28515625" style="1" customWidth="1"/>
    <col min="14615" max="14615" width="18.28515625" style="1" customWidth="1"/>
    <col min="14616" max="14616" width="13" style="1" bestFit="1" customWidth="1"/>
    <col min="14617" max="14617" width="11.7109375" style="1" bestFit="1" customWidth="1"/>
    <col min="14618" max="14624" width="9.140625" style="1"/>
    <col min="14625" max="14625" width="11.28515625" style="1" bestFit="1" customWidth="1"/>
    <col min="14626" max="14626" width="10.7109375" style="1" bestFit="1" customWidth="1"/>
    <col min="14627" max="14848" width="9.140625" style="1"/>
    <col min="14849" max="14849" width="6.42578125" style="1" customWidth="1"/>
    <col min="14850" max="14850" width="20.7109375" style="1" customWidth="1"/>
    <col min="14851" max="14851" width="24.7109375" style="1" customWidth="1"/>
    <col min="14852" max="14852" width="11.140625" style="1" customWidth="1"/>
    <col min="14853" max="14853" width="12.28515625" style="1" customWidth="1"/>
    <col min="14854" max="14854" width="11.140625" style="1" customWidth="1"/>
    <col min="14855" max="14855" width="10.42578125" style="1" customWidth="1"/>
    <col min="14856" max="14856" width="4.7109375" style="1" customWidth="1"/>
    <col min="14857" max="14857" width="8.5703125" style="1" customWidth="1"/>
    <col min="14858" max="14858" width="5.5703125" style="1" customWidth="1"/>
    <col min="14859" max="14860" width="11.5703125" style="1" customWidth="1"/>
    <col min="14861" max="14861" width="10.85546875" style="1" customWidth="1"/>
    <col min="14862" max="14862" width="7.7109375" style="1" customWidth="1"/>
    <col min="14863" max="14863" width="8" style="1" customWidth="1"/>
    <col min="14864" max="14864" width="16.28515625" style="1" customWidth="1"/>
    <col min="14865" max="14865" width="10.5703125" style="1" customWidth="1"/>
    <col min="14866" max="14866" width="14.140625" style="1" customWidth="1"/>
    <col min="14867" max="14867" width="10.140625" style="1" customWidth="1"/>
    <col min="14868" max="14868" width="15.140625" style="1" customWidth="1"/>
    <col min="14869" max="14869" width="8.5703125" style="1" customWidth="1"/>
    <col min="14870" max="14870" width="14.28515625" style="1" customWidth="1"/>
    <col min="14871" max="14871" width="18.28515625" style="1" customWidth="1"/>
    <col min="14872" max="14872" width="13" style="1" bestFit="1" customWidth="1"/>
    <col min="14873" max="14873" width="11.7109375" style="1" bestFit="1" customWidth="1"/>
    <col min="14874" max="14880" width="9.140625" style="1"/>
    <col min="14881" max="14881" width="11.28515625" style="1" bestFit="1" customWidth="1"/>
    <col min="14882" max="14882" width="10.7109375" style="1" bestFit="1" customWidth="1"/>
    <col min="14883" max="15104" width="9.140625" style="1"/>
    <col min="15105" max="15105" width="6.42578125" style="1" customWidth="1"/>
    <col min="15106" max="15106" width="20.7109375" style="1" customWidth="1"/>
    <col min="15107" max="15107" width="24.7109375" style="1" customWidth="1"/>
    <col min="15108" max="15108" width="11.140625" style="1" customWidth="1"/>
    <col min="15109" max="15109" width="12.28515625" style="1" customWidth="1"/>
    <col min="15110" max="15110" width="11.140625" style="1" customWidth="1"/>
    <col min="15111" max="15111" width="10.42578125" style="1" customWidth="1"/>
    <col min="15112" max="15112" width="4.7109375" style="1" customWidth="1"/>
    <col min="15113" max="15113" width="8.5703125" style="1" customWidth="1"/>
    <col min="15114" max="15114" width="5.5703125" style="1" customWidth="1"/>
    <col min="15115" max="15116" width="11.5703125" style="1" customWidth="1"/>
    <col min="15117" max="15117" width="10.85546875" style="1" customWidth="1"/>
    <col min="15118" max="15118" width="7.7109375" style="1" customWidth="1"/>
    <col min="15119" max="15119" width="8" style="1" customWidth="1"/>
    <col min="15120" max="15120" width="16.28515625" style="1" customWidth="1"/>
    <col min="15121" max="15121" width="10.5703125" style="1" customWidth="1"/>
    <col min="15122" max="15122" width="14.140625" style="1" customWidth="1"/>
    <col min="15123" max="15123" width="10.140625" style="1" customWidth="1"/>
    <col min="15124" max="15124" width="15.140625" style="1" customWidth="1"/>
    <col min="15125" max="15125" width="8.5703125" style="1" customWidth="1"/>
    <col min="15126" max="15126" width="14.28515625" style="1" customWidth="1"/>
    <col min="15127" max="15127" width="18.28515625" style="1" customWidth="1"/>
    <col min="15128" max="15128" width="13" style="1" bestFit="1" customWidth="1"/>
    <col min="15129" max="15129" width="11.7109375" style="1" bestFit="1" customWidth="1"/>
    <col min="15130" max="15136" width="9.140625" style="1"/>
    <col min="15137" max="15137" width="11.28515625" style="1" bestFit="1" customWidth="1"/>
    <col min="15138" max="15138" width="10.7109375" style="1" bestFit="1" customWidth="1"/>
    <col min="15139" max="15360" width="9.140625" style="1"/>
    <col min="15361" max="15361" width="6.42578125" style="1" customWidth="1"/>
    <col min="15362" max="15362" width="20.7109375" style="1" customWidth="1"/>
    <col min="15363" max="15363" width="24.7109375" style="1" customWidth="1"/>
    <col min="15364" max="15364" width="11.140625" style="1" customWidth="1"/>
    <col min="15365" max="15365" width="12.28515625" style="1" customWidth="1"/>
    <col min="15366" max="15366" width="11.140625" style="1" customWidth="1"/>
    <col min="15367" max="15367" width="10.42578125" style="1" customWidth="1"/>
    <col min="15368" max="15368" width="4.7109375" style="1" customWidth="1"/>
    <col min="15369" max="15369" width="8.5703125" style="1" customWidth="1"/>
    <col min="15370" max="15370" width="5.5703125" style="1" customWidth="1"/>
    <col min="15371" max="15372" width="11.5703125" style="1" customWidth="1"/>
    <col min="15373" max="15373" width="10.85546875" style="1" customWidth="1"/>
    <col min="15374" max="15374" width="7.7109375" style="1" customWidth="1"/>
    <col min="15375" max="15375" width="8" style="1" customWidth="1"/>
    <col min="15376" max="15376" width="16.28515625" style="1" customWidth="1"/>
    <col min="15377" max="15377" width="10.5703125" style="1" customWidth="1"/>
    <col min="15378" max="15378" width="14.140625" style="1" customWidth="1"/>
    <col min="15379" max="15379" width="10.140625" style="1" customWidth="1"/>
    <col min="15380" max="15380" width="15.140625" style="1" customWidth="1"/>
    <col min="15381" max="15381" width="8.5703125" style="1" customWidth="1"/>
    <col min="15382" max="15382" width="14.28515625" style="1" customWidth="1"/>
    <col min="15383" max="15383" width="18.28515625" style="1" customWidth="1"/>
    <col min="15384" max="15384" width="13" style="1" bestFit="1" customWidth="1"/>
    <col min="15385" max="15385" width="11.7109375" style="1" bestFit="1" customWidth="1"/>
    <col min="15386" max="15392" width="9.140625" style="1"/>
    <col min="15393" max="15393" width="11.28515625" style="1" bestFit="1" customWidth="1"/>
    <col min="15394" max="15394" width="10.7109375" style="1" bestFit="1" customWidth="1"/>
    <col min="15395" max="15616" width="9.140625" style="1"/>
    <col min="15617" max="15617" width="6.42578125" style="1" customWidth="1"/>
    <col min="15618" max="15618" width="20.7109375" style="1" customWidth="1"/>
    <col min="15619" max="15619" width="24.7109375" style="1" customWidth="1"/>
    <col min="15620" max="15620" width="11.140625" style="1" customWidth="1"/>
    <col min="15621" max="15621" width="12.28515625" style="1" customWidth="1"/>
    <col min="15622" max="15622" width="11.140625" style="1" customWidth="1"/>
    <col min="15623" max="15623" width="10.42578125" style="1" customWidth="1"/>
    <col min="15624" max="15624" width="4.7109375" style="1" customWidth="1"/>
    <col min="15625" max="15625" width="8.5703125" style="1" customWidth="1"/>
    <col min="15626" max="15626" width="5.5703125" style="1" customWidth="1"/>
    <col min="15627" max="15628" width="11.5703125" style="1" customWidth="1"/>
    <col min="15629" max="15629" width="10.85546875" style="1" customWidth="1"/>
    <col min="15630" max="15630" width="7.7109375" style="1" customWidth="1"/>
    <col min="15631" max="15631" width="8" style="1" customWidth="1"/>
    <col min="15632" max="15632" width="16.28515625" style="1" customWidth="1"/>
    <col min="15633" max="15633" width="10.5703125" style="1" customWidth="1"/>
    <col min="15634" max="15634" width="14.140625" style="1" customWidth="1"/>
    <col min="15635" max="15635" width="10.140625" style="1" customWidth="1"/>
    <col min="15636" max="15636" width="15.140625" style="1" customWidth="1"/>
    <col min="15637" max="15637" width="8.5703125" style="1" customWidth="1"/>
    <col min="15638" max="15638" width="14.28515625" style="1" customWidth="1"/>
    <col min="15639" max="15639" width="18.28515625" style="1" customWidth="1"/>
    <col min="15640" max="15640" width="13" style="1" bestFit="1" customWidth="1"/>
    <col min="15641" max="15641" width="11.7109375" style="1" bestFit="1" customWidth="1"/>
    <col min="15642" max="15648" width="9.140625" style="1"/>
    <col min="15649" max="15649" width="11.28515625" style="1" bestFit="1" customWidth="1"/>
    <col min="15650" max="15650" width="10.7109375" style="1" bestFit="1" customWidth="1"/>
    <col min="15651" max="15872" width="9.140625" style="1"/>
    <col min="15873" max="15873" width="6.42578125" style="1" customWidth="1"/>
    <col min="15874" max="15874" width="20.7109375" style="1" customWidth="1"/>
    <col min="15875" max="15875" width="24.7109375" style="1" customWidth="1"/>
    <col min="15876" max="15876" width="11.140625" style="1" customWidth="1"/>
    <col min="15877" max="15877" width="12.28515625" style="1" customWidth="1"/>
    <col min="15878" max="15878" width="11.140625" style="1" customWidth="1"/>
    <col min="15879" max="15879" width="10.42578125" style="1" customWidth="1"/>
    <col min="15880" max="15880" width="4.7109375" style="1" customWidth="1"/>
    <col min="15881" max="15881" width="8.5703125" style="1" customWidth="1"/>
    <col min="15882" max="15882" width="5.5703125" style="1" customWidth="1"/>
    <col min="15883" max="15884" width="11.5703125" style="1" customWidth="1"/>
    <col min="15885" max="15885" width="10.85546875" style="1" customWidth="1"/>
    <col min="15886" max="15886" width="7.7109375" style="1" customWidth="1"/>
    <col min="15887" max="15887" width="8" style="1" customWidth="1"/>
    <col min="15888" max="15888" width="16.28515625" style="1" customWidth="1"/>
    <col min="15889" max="15889" width="10.5703125" style="1" customWidth="1"/>
    <col min="15890" max="15890" width="14.140625" style="1" customWidth="1"/>
    <col min="15891" max="15891" width="10.140625" style="1" customWidth="1"/>
    <col min="15892" max="15892" width="15.140625" style="1" customWidth="1"/>
    <col min="15893" max="15893" width="8.5703125" style="1" customWidth="1"/>
    <col min="15894" max="15894" width="14.28515625" style="1" customWidth="1"/>
    <col min="15895" max="15895" width="18.28515625" style="1" customWidth="1"/>
    <col min="15896" max="15896" width="13" style="1" bestFit="1" customWidth="1"/>
    <col min="15897" max="15897" width="11.7109375" style="1" bestFit="1" customWidth="1"/>
    <col min="15898" max="15904" width="9.140625" style="1"/>
    <col min="15905" max="15905" width="11.28515625" style="1" bestFit="1" customWidth="1"/>
    <col min="15906" max="15906" width="10.7109375" style="1" bestFit="1" customWidth="1"/>
    <col min="15907" max="16128" width="9.140625" style="1"/>
    <col min="16129" max="16129" width="6.42578125" style="1" customWidth="1"/>
    <col min="16130" max="16130" width="20.7109375" style="1" customWidth="1"/>
    <col min="16131" max="16131" width="24.7109375" style="1" customWidth="1"/>
    <col min="16132" max="16132" width="11.140625" style="1" customWidth="1"/>
    <col min="16133" max="16133" width="12.28515625" style="1" customWidth="1"/>
    <col min="16134" max="16134" width="11.140625" style="1" customWidth="1"/>
    <col min="16135" max="16135" width="10.42578125" style="1" customWidth="1"/>
    <col min="16136" max="16136" width="4.7109375" style="1" customWidth="1"/>
    <col min="16137" max="16137" width="8.5703125" style="1" customWidth="1"/>
    <col min="16138" max="16138" width="5.5703125" style="1" customWidth="1"/>
    <col min="16139" max="16140" width="11.5703125" style="1" customWidth="1"/>
    <col min="16141" max="16141" width="10.85546875" style="1" customWidth="1"/>
    <col min="16142" max="16142" width="7.7109375" style="1" customWidth="1"/>
    <col min="16143" max="16143" width="8" style="1" customWidth="1"/>
    <col min="16144" max="16144" width="16.28515625" style="1" customWidth="1"/>
    <col min="16145" max="16145" width="10.5703125" style="1" customWidth="1"/>
    <col min="16146" max="16146" width="14.140625" style="1" customWidth="1"/>
    <col min="16147" max="16147" width="10.140625" style="1" customWidth="1"/>
    <col min="16148" max="16148" width="15.140625" style="1" customWidth="1"/>
    <col min="16149" max="16149" width="8.5703125" style="1" customWidth="1"/>
    <col min="16150" max="16150" width="14.28515625" style="1" customWidth="1"/>
    <col min="16151" max="16151" width="18.28515625" style="1" customWidth="1"/>
    <col min="16152" max="16152" width="13" style="1" bestFit="1" customWidth="1"/>
    <col min="16153" max="16153" width="11.7109375" style="1" bestFit="1" customWidth="1"/>
    <col min="16154" max="16160" width="9.140625" style="1"/>
    <col min="16161" max="16161" width="11.28515625" style="1" bestFit="1" customWidth="1"/>
    <col min="16162" max="16162" width="10.7109375" style="1" bestFit="1" customWidth="1"/>
    <col min="16163" max="16384" width="9.140625" style="1"/>
  </cols>
  <sheetData>
    <row r="1" spans="1:42" ht="9.75" customHeight="1">
      <c r="U1" s="3"/>
    </row>
    <row r="2" spans="1:42" ht="16.5" customHeight="1">
      <c r="A2" s="2258" t="s">
        <v>397</v>
      </c>
      <c r="B2" s="2258"/>
      <c r="C2" s="2258"/>
      <c r="D2" s="2258"/>
      <c r="E2" s="2258"/>
      <c r="F2" s="2258"/>
      <c r="G2" s="2258"/>
      <c r="H2" s="2258"/>
      <c r="I2" s="2258"/>
      <c r="J2" s="2258"/>
      <c r="K2" s="2258"/>
      <c r="L2" s="2258"/>
      <c r="M2" s="2258"/>
      <c r="N2" s="2258"/>
      <c r="O2" s="2258"/>
      <c r="P2" s="2258"/>
      <c r="Q2" s="2258"/>
      <c r="R2" s="2258"/>
      <c r="S2" s="2258"/>
      <c r="T2" s="2258"/>
      <c r="U2" s="2258"/>
      <c r="V2" s="2258"/>
      <c r="W2" s="2258"/>
    </row>
    <row r="3" spans="1:42" ht="13.5" customHeight="1">
      <c r="A3" s="2259" t="s">
        <v>0</v>
      </c>
      <c r="B3" s="2259"/>
      <c r="C3" s="2259"/>
      <c r="D3" s="2259"/>
      <c r="E3" s="2259"/>
      <c r="F3" s="2259"/>
      <c r="G3" s="2259"/>
      <c r="H3" s="2259"/>
      <c r="I3" s="2259"/>
      <c r="J3" s="2259"/>
      <c r="K3" s="2259"/>
      <c r="L3" s="2259"/>
      <c r="M3" s="2259"/>
      <c r="N3" s="2259"/>
      <c r="O3" s="2259"/>
      <c r="P3" s="2259"/>
      <c r="Q3" s="2259"/>
      <c r="R3" s="2259"/>
      <c r="S3" s="2259"/>
      <c r="T3" s="2259"/>
      <c r="U3" s="2259"/>
      <c r="V3" s="2259"/>
      <c r="W3" s="2259"/>
    </row>
    <row r="4" spans="1:42" s="2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5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256" t="s">
        <v>15</v>
      </c>
      <c r="P4" s="2256" t="s">
        <v>16</v>
      </c>
      <c r="Q4" s="2256" t="s">
        <v>17</v>
      </c>
      <c r="R4" s="2256"/>
      <c r="S4" s="2256" t="s">
        <v>18</v>
      </c>
      <c r="T4" s="2256"/>
      <c r="U4" s="2256" t="s">
        <v>19</v>
      </c>
      <c r="V4" s="2256"/>
      <c r="W4" s="2256" t="s">
        <v>20</v>
      </c>
      <c r="Y4" s="1"/>
      <c r="Z4" s="1"/>
    </row>
    <row r="5" spans="1:42" s="2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256"/>
      <c r="P5" s="2256"/>
      <c r="Q5" s="4" t="s">
        <v>21</v>
      </c>
      <c r="R5" s="4" t="s">
        <v>22</v>
      </c>
      <c r="S5" s="4" t="s">
        <v>21</v>
      </c>
      <c r="T5" s="4" t="s">
        <v>22</v>
      </c>
      <c r="U5" s="4" t="s">
        <v>21</v>
      </c>
      <c r="V5" s="4" t="s">
        <v>22</v>
      </c>
      <c r="W5" s="2256"/>
      <c r="Y5" s="1"/>
      <c r="Z5" s="1"/>
    </row>
    <row r="6" spans="1:42" s="80" customFormat="1" ht="15" customHeight="1">
      <c r="A6" s="266">
        <v>1</v>
      </c>
      <c r="B6" s="267" t="s">
        <v>23</v>
      </c>
      <c r="C6" s="268" t="s">
        <v>24</v>
      </c>
      <c r="D6" s="266" t="s">
        <v>25</v>
      </c>
      <c r="E6" s="266" t="s">
        <v>26</v>
      </c>
      <c r="F6" s="266" t="s">
        <v>27</v>
      </c>
      <c r="G6" s="266">
        <v>1</v>
      </c>
      <c r="H6" s="266" t="s">
        <v>28</v>
      </c>
      <c r="I6" s="266" t="s">
        <v>29</v>
      </c>
      <c r="J6" s="269" t="s">
        <v>30</v>
      </c>
      <c r="K6" s="270">
        <v>17697</v>
      </c>
      <c r="L6" s="270"/>
      <c r="M6" s="270">
        <v>1</v>
      </c>
      <c r="N6" s="270"/>
      <c r="O6" s="270">
        <v>6.22</v>
      </c>
      <c r="P6" s="266">
        <f>O6*K6</f>
        <v>110075.34</v>
      </c>
      <c r="Q6" s="270"/>
      <c r="R6" s="271"/>
      <c r="S6" s="270">
        <v>0.1</v>
      </c>
      <c r="T6" s="272">
        <f>S6*P6</f>
        <v>11007.534</v>
      </c>
      <c r="U6" s="270"/>
      <c r="V6" s="273"/>
      <c r="W6" s="274">
        <f>P6+R6+T6</f>
        <v>121082.874</v>
      </c>
      <c r="Y6" s="81"/>
      <c r="Z6" s="81"/>
      <c r="AA6" s="126"/>
      <c r="AB6" s="82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</row>
    <row r="7" spans="1:42" s="80" customFormat="1" ht="15" customHeight="1">
      <c r="A7" s="266">
        <v>2</v>
      </c>
      <c r="B7" s="267" t="s">
        <v>31</v>
      </c>
      <c r="C7" s="268" t="s">
        <v>32</v>
      </c>
      <c r="D7" s="266" t="s">
        <v>25</v>
      </c>
      <c r="E7" s="275" t="s">
        <v>33</v>
      </c>
      <c r="F7" s="276" t="s">
        <v>34</v>
      </c>
      <c r="G7" s="266">
        <v>1</v>
      </c>
      <c r="H7" s="266" t="s">
        <v>28</v>
      </c>
      <c r="I7" s="266" t="s">
        <v>35</v>
      </c>
      <c r="J7" s="277" t="s">
        <v>30</v>
      </c>
      <c r="K7" s="270">
        <v>17697</v>
      </c>
      <c r="L7" s="270"/>
      <c r="M7" s="270">
        <v>1</v>
      </c>
      <c r="N7" s="270"/>
      <c r="O7" s="266">
        <v>5.77</v>
      </c>
      <c r="P7" s="270">
        <f>O7*K7</f>
        <v>102111.68999999999</v>
      </c>
      <c r="Q7" s="271"/>
      <c r="R7" s="270"/>
      <c r="S7" s="270">
        <v>0.1</v>
      </c>
      <c r="T7" s="270">
        <f>ROUND(P7*S7*M7,2)</f>
        <v>10211.17</v>
      </c>
      <c r="U7" s="273"/>
      <c r="V7" s="270"/>
      <c r="W7" s="274">
        <f t="shared" ref="W7:W27" si="0">P7+R7+T7</f>
        <v>112322.85999999999</v>
      </c>
      <c r="X7" s="113"/>
      <c r="AG7" s="127"/>
      <c r="AH7" s="116"/>
    </row>
    <row r="8" spans="1:42" s="129" customFormat="1" ht="15" customHeight="1">
      <c r="A8" s="266">
        <v>3</v>
      </c>
      <c r="B8" s="285" t="s">
        <v>36</v>
      </c>
      <c r="C8" s="268" t="s">
        <v>32</v>
      </c>
      <c r="D8" s="286" t="s">
        <v>25</v>
      </c>
      <c r="E8" s="286" t="s">
        <v>37</v>
      </c>
      <c r="F8" s="276" t="s">
        <v>34</v>
      </c>
      <c r="G8" s="286">
        <v>1</v>
      </c>
      <c r="H8" s="266" t="s">
        <v>28</v>
      </c>
      <c r="I8" s="266" t="s">
        <v>35</v>
      </c>
      <c r="J8" s="286">
        <v>3</v>
      </c>
      <c r="K8" s="287">
        <v>17697</v>
      </c>
      <c r="L8" s="287"/>
      <c r="M8" s="287">
        <v>1</v>
      </c>
      <c r="N8" s="270"/>
      <c r="O8" s="279">
        <v>5.77</v>
      </c>
      <c r="P8" s="270">
        <f>O8*K8</f>
        <v>102111.68999999999</v>
      </c>
      <c r="Q8" s="271"/>
      <c r="R8" s="270"/>
      <c r="S8" s="270">
        <v>0.1</v>
      </c>
      <c r="T8" s="270">
        <f>ROUND(P8*S8*M8,2)</f>
        <v>10211.17</v>
      </c>
      <c r="U8" s="273"/>
      <c r="V8" s="270"/>
      <c r="W8" s="274">
        <f t="shared" si="0"/>
        <v>112322.85999999999</v>
      </c>
      <c r="X8" s="128"/>
      <c r="AG8" s="130"/>
      <c r="AH8" s="131"/>
    </row>
    <row r="9" spans="1:42" s="132" customFormat="1" ht="15">
      <c r="A9" s="266">
        <v>4</v>
      </c>
      <c r="B9" s="278" t="s">
        <v>38</v>
      </c>
      <c r="C9" s="268" t="s">
        <v>32</v>
      </c>
      <c r="D9" s="279" t="s">
        <v>25</v>
      </c>
      <c r="E9" s="279" t="s">
        <v>39</v>
      </c>
      <c r="F9" s="280" t="s">
        <v>40</v>
      </c>
      <c r="G9" s="279">
        <v>1</v>
      </c>
      <c r="H9" s="266" t="s">
        <v>28</v>
      </c>
      <c r="I9" s="266" t="s">
        <v>35</v>
      </c>
      <c r="J9" s="281">
        <v>3</v>
      </c>
      <c r="K9" s="282">
        <v>17697</v>
      </c>
      <c r="L9" s="282"/>
      <c r="M9" s="282">
        <v>1</v>
      </c>
      <c r="N9" s="282"/>
      <c r="O9" s="279">
        <v>5.77</v>
      </c>
      <c r="P9" s="282">
        <f t="shared" ref="P9:P22" si="1">O9*K9*M9</f>
        <v>102111.68999999999</v>
      </c>
      <c r="Q9" s="283">
        <v>0.25</v>
      </c>
      <c r="R9" s="282">
        <f>Q9*P9</f>
        <v>25527.922499999997</v>
      </c>
      <c r="S9" s="270">
        <v>0.1</v>
      </c>
      <c r="T9" s="282">
        <f>ROUND(P9*S9,2)</f>
        <v>10211.17</v>
      </c>
      <c r="U9" s="284"/>
      <c r="V9" s="282"/>
      <c r="W9" s="274">
        <f t="shared" si="0"/>
        <v>137850.7825</v>
      </c>
      <c r="Y9" s="81"/>
      <c r="Z9" s="82"/>
      <c r="AA9" s="82"/>
      <c r="AB9" s="81"/>
      <c r="AC9" s="81"/>
      <c r="AD9" s="82"/>
      <c r="AE9" s="82"/>
      <c r="AF9" s="81"/>
      <c r="AO9" s="133"/>
      <c r="AP9" s="134">
        <f>P9+T9+R9+V9</f>
        <v>137850.78249999997</v>
      </c>
    </row>
    <row r="10" spans="1:42" s="80" customFormat="1" ht="15" customHeight="1">
      <c r="A10" s="266">
        <v>5</v>
      </c>
      <c r="B10" s="267" t="s">
        <v>41</v>
      </c>
      <c r="C10" s="268" t="s">
        <v>42</v>
      </c>
      <c r="D10" s="266" t="s">
        <v>25</v>
      </c>
      <c r="E10" s="266" t="s">
        <v>43</v>
      </c>
      <c r="F10" s="266" t="s">
        <v>27</v>
      </c>
      <c r="G10" s="266">
        <v>1</v>
      </c>
      <c r="H10" s="288" t="s">
        <v>28</v>
      </c>
      <c r="I10" s="288" t="s">
        <v>29</v>
      </c>
      <c r="J10" s="269" t="s">
        <v>44</v>
      </c>
      <c r="K10" s="270">
        <v>17697</v>
      </c>
      <c r="L10" s="270"/>
      <c r="M10" s="270">
        <v>1</v>
      </c>
      <c r="N10" s="270"/>
      <c r="O10" s="289" t="s">
        <v>369</v>
      </c>
      <c r="P10" s="282">
        <f t="shared" si="1"/>
        <v>104589.27</v>
      </c>
      <c r="Q10" s="270"/>
      <c r="R10" s="271"/>
      <c r="S10" s="270">
        <v>0.1</v>
      </c>
      <c r="T10" s="282">
        <f t="shared" ref="T10:T27" si="2">ROUND(P10*S10,2)</f>
        <v>10458.93</v>
      </c>
      <c r="U10" s="270"/>
      <c r="V10" s="273"/>
      <c r="W10" s="274">
        <f t="shared" si="0"/>
        <v>115048.20000000001</v>
      </c>
      <c r="X10" s="116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</row>
    <row r="11" spans="1:42" s="80" customFormat="1" ht="15" customHeight="1">
      <c r="A11" s="266">
        <v>6</v>
      </c>
      <c r="B11" s="267" t="s">
        <v>45</v>
      </c>
      <c r="C11" s="268" t="s">
        <v>46</v>
      </c>
      <c r="D11" s="290" t="s">
        <v>25</v>
      </c>
      <c r="E11" s="291" t="s">
        <v>47</v>
      </c>
      <c r="F11" s="291" t="s">
        <v>34</v>
      </c>
      <c r="G11" s="290">
        <v>1</v>
      </c>
      <c r="H11" s="266" t="s">
        <v>28</v>
      </c>
      <c r="I11" s="266" t="s">
        <v>29</v>
      </c>
      <c r="J11" s="269" t="s">
        <v>44</v>
      </c>
      <c r="K11" s="270">
        <v>17697</v>
      </c>
      <c r="L11" s="270"/>
      <c r="M11" s="270">
        <v>1</v>
      </c>
      <c r="N11" s="270"/>
      <c r="O11" s="270">
        <v>5.91</v>
      </c>
      <c r="P11" s="282">
        <f t="shared" si="1"/>
        <v>104589.27</v>
      </c>
      <c r="Q11" s="283"/>
      <c r="R11" s="270"/>
      <c r="S11" s="270">
        <v>0.1</v>
      </c>
      <c r="T11" s="282">
        <f t="shared" si="2"/>
        <v>10458.93</v>
      </c>
      <c r="U11" s="273"/>
      <c r="V11" s="270"/>
      <c r="W11" s="274">
        <f>P11+R11+T11</f>
        <v>115048.20000000001</v>
      </c>
      <c r="X11" s="135"/>
      <c r="Y11" s="116"/>
    </row>
    <row r="12" spans="1:42" s="80" customFormat="1" ht="15" customHeight="1">
      <c r="A12" s="266">
        <v>7</v>
      </c>
      <c r="B12" s="267" t="s">
        <v>48</v>
      </c>
      <c r="C12" s="268" t="s">
        <v>49</v>
      </c>
      <c r="D12" s="266" t="s">
        <v>25</v>
      </c>
      <c r="E12" s="266" t="s">
        <v>50</v>
      </c>
      <c r="F12" s="266" t="s">
        <v>51</v>
      </c>
      <c r="G12" s="266">
        <v>1</v>
      </c>
      <c r="H12" s="288" t="s">
        <v>28</v>
      </c>
      <c r="I12" s="288" t="s">
        <v>35</v>
      </c>
      <c r="J12" s="269" t="s">
        <v>30</v>
      </c>
      <c r="K12" s="270">
        <v>17697</v>
      </c>
      <c r="L12" s="270"/>
      <c r="M12" s="270">
        <v>1</v>
      </c>
      <c r="N12" s="270"/>
      <c r="O12" s="289" t="s">
        <v>370</v>
      </c>
      <c r="P12" s="282">
        <f t="shared" si="1"/>
        <v>99280.170000000013</v>
      </c>
      <c r="Q12" s="270"/>
      <c r="R12" s="271"/>
      <c r="S12" s="270">
        <v>0.1</v>
      </c>
      <c r="T12" s="282">
        <f t="shared" si="2"/>
        <v>9928.02</v>
      </c>
      <c r="U12" s="270"/>
      <c r="V12" s="273"/>
      <c r="W12" s="274">
        <f>P12+R12+T12</f>
        <v>109208.19000000002</v>
      </c>
      <c r="X12" s="116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</row>
    <row r="13" spans="1:42" s="80" customFormat="1" ht="15" customHeight="1">
      <c r="A13" s="266">
        <v>8</v>
      </c>
      <c r="B13" s="292" t="s">
        <v>52</v>
      </c>
      <c r="C13" s="268" t="s">
        <v>53</v>
      </c>
      <c r="D13" s="266" t="s">
        <v>25</v>
      </c>
      <c r="E13" s="266" t="s">
        <v>54</v>
      </c>
      <c r="F13" s="266" t="s">
        <v>55</v>
      </c>
      <c r="G13" s="266">
        <v>1</v>
      </c>
      <c r="H13" s="288" t="s">
        <v>56</v>
      </c>
      <c r="I13" s="288" t="s">
        <v>56</v>
      </c>
      <c r="J13" s="269" t="s">
        <v>57</v>
      </c>
      <c r="K13" s="270">
        <v>17697</v>
      </c>
      <c r="L13" s="270"/>
      <c r="M13" s="270">
        <v>1</v>
      </c>
      <c r="N13" s="270"/>
      <c r="O13" s="289" t="s">
        <v>371</v>
      </c>
      <c r="P13" s="282">
        <f t="shared" si="1"/>
        <v>75566.189999999988</v>
      </c>
      <c r="Q13" s="270"/>
      <c r="R13" s="271"/>
      <c r="S13" s="270">
        <v>0.1</v>
      </c>
      <c r="T13" s="282">
        <f t="shared" si="2"/>
        <v>7556.62</v>
      </c>
      <c r="U13" s="270"/>
      <c r="V13" s="273"/>
      <c r="W13" s="274">
        <f>P13+R13+T13</f>
        <v>83122.809999999983</v>
      </c>
      <c r="X13" s="116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</row>
    <row r="14" spans="1:42" s="80" customFormat="1" ht="18" customHeight="1">
      <c r="A14" s="266">
        <v>9</v>
      </c>
      <c r="B14" s="292" t="s">
        <v>58</v>
      </c>
      <c r="C14" s="268" t="s">
        <v>59</v>
      </c>
      <c r="D14" s="266" t="s">
        <v>25</v>
      </c>
      <c r="E14" s="289" t="s">
        <v>60</v>
      </c>
      <c r="F14" s="266" t="s">
        <v>51</v>
      </c>
      <c r="G14" s="266">
        <v>1</v>
      </c>
      <c r="H14" s="266" t="s">
        <v>61</v>
      </c>
      <c r="I14" s="266" t="s">
        <v>61</v>
      </c>
      <c r="J14" s="293">
        <v>1</v>
      </c>
      <c r="K14" s="270">
        <v>17697</v>
      </c>
      <c r="L14" s="270"/>
      <c r="M14" s="270">
        <v>1</v>
      </c>
      <c r="N14" s="272"/>
      <c r="O14" s="289" t="s">
        <v>372</v>
      </c>
      <c r="P14" s="282">
        <f t="shared" si="1"/>
        <v>56984.340000000004</v>
      </c>
      <c r="Q14" s="270"/>
      <c r="R14" s="271"/>
      <c r="S14" s="270">
        <v>0.1</v>
      </c>
      <c r="T14" s="282">
        <f>ROUND(P14*S14,2)</f>
        <v>5698.43</v>
      </c>
      <c r="U14" s="270"/>
      <c r="V14" s="273"/>
      <c r="W14" s="274">
        <f>P14+R14+T14</f>
        <v>62682.770000000004</v>
      </c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</row>
    <row r="15" spans="1:42" s="80" customFormat="1" ht="15" customHeight="1">
      <c r="A15" s="266">
        <v>10</v>
      </c>
      <c r="B15" s="292" t="s">
        <v>62</v>
      </c>
      <c r="C15" s="285" t="s">
        <v>63</v>
      </c>
      <c r="D15" s="266" t="s">
        <v>64</v>
      </c>
      <c r="E15" s="266" t="s">
        <v>65</v>
      </c>
      <c r="F15" s="266" t="s">
        <v>66</v>
      </c>
      <c r="G15" s="266">
        <v>1</v>
      </c>
      <c r="H15" s="288" t="s">
        <v>56</v>
      </c>
      <c r="I15" s="288" t="s">
        <v>56</v>
      </c>
      <c r="J15" s="293">
        <v>3</v>
      </c>
      <c r="K15" s="270">
        <v>17697</v>
      </c>
      <c r="L15" s="270"/>
      <c r="M15" s="270">
        <v>1</v>
      </c>
      <c r="N15" s="270"/>
      <c r="O15" s="270">
        <v>3.57</v>
      </c>
      <c r="P15" s="282">
        <f t="shared" si="1"/>
        <v>63178.289999999994</v>
      </c>
      <c r="Q15" s="270"/>
      <c r="R15" s="271"/>
      <c r="S15" s="270">
        <v>0.1</v>
      </c>
      <c r="T15" s="282">
        <f t="shared" si="2"/>
        <v>6317.83</v>
      </c>
      <c r="U15" s="270"/>
      <c r="V15" s="273"/>
      <c r="W15" s="274">
        <f t="shared" si="0"/>
        <v>69496.12</v>
      </c>
      <c r="X15" s="116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</row>
    <row r="16" spans="1:42" s="80" customFormat="1" ht="15" customHeight="1">
      <c r="A16" s="266">
        <v>11</v>
      </c>
      <c r="B16" s="292" t="s">
        <v>74</v>
      </c>
      <c r="C16" s="285" t="s">
        <v>63</v>
      </c>
      <c r="D16" s="266" t="s">
        <v>64</v>
      </c>
      <c r="E16" s="270" t="s">
        <v>377</v>
      </c>
      <c r="F16" s="266" t="s">
        <v>159</v>
      </c>
      <c r="G16" s="266">
        <v>1</v>
      </c>
      <c r="H16" s="288" t="s">
        <v>69</v>
      </c>
      <c r="I16" s="288" t="s">
        <v>69</v>
      </c>
      <c r="J16" s="312" t="s">
        <v>30</v>
      </c>
      <c r="K16" s="270">
        <v>17697</v>
      </c>
      <c r="L16" s="270"/>
      <c r="M16" s="270">
        <v>1</v>
      </c>
      <c r="N16" s="270"/>
      <c r="O16" s="266">
        <v>3.31</v>
      </c>
      <c r="P16" s="282">
        <f>O16*K16*M16</f>
        <v>58577.07</v>
      </c>
      <c r="Q16" s="271"/>
      <c r="R16" s="270"/>
      <c r="S16" s="270">
        <v>0.1</v>
      </c>
      <c r="T16" s="282">
        <f>ROUND(P16*S16,2)</f>
        <v>5857.71</v>
      </c>
      <c r="U16" s="273"/>
      <c r="V16" s="270"/>
      <c r="W16" s="274">
        <f>P16+R16+T16</f>
        <v>64434.78</v>
      </c>
      <c r="X16" s="113"/>
    </row>
    <row r="17" spans="1:39" s="129" customFormat="1" ht="15.75" customHeight="1">
      <c r="A17" s="5">
        <v>12</v>
      </c>
      <c r="B17" s="13" t="s">
        <v>378</v>
      </c>
      <c r="C17" s="13" t="s">
        <v>63</v>
      </c>
      <c r="D17" s="5" t="s">
        <v>64</v>
      </c>
      <c r="E17" s="14" t="s">
        <v>379</v>
      </c>
      <c r="F17" s="5" t="s">
        <v>68</v>
      </c>
      <c r="G17" s="5">
        <v>1</v>
      </c>
      <c r="H17" s="15" t="s">
        <v>56</v>
      </c>
      <c r="I17" s="15" t="s">
        <v>56</v>
      </c>
      <c r="J17" s="14">
        <v>3</v>
      </c>
      <c r="K17" s="15">
        <v>17697</v>
      </c>
      <c r="L17" s="15"/>
      <c r="M17" s="7">
        <v>1</v>
      </c>
      <c r="N17" s="21"/>
      <c r="O17" s="7">
        <v>3.39</v>
      </c>
      <c r="P17" s="18">
        <f t="shared" si="1"/>
        <v>59992.83</v>
      </c>
      <c r="Q17" s="8"/>
      <c r="R17" s="7"/>
      <c r="S17" s="7">
        <v>0.1</v>
      </c>
      <c r="T17" s="18">
        <f t="shared" si="2"/>
        <v>5999.28</v>
      </c>
      <c r="U17" s="9"/>
      <c r="V17" s="7"/>
      <c r="W17" s="10">
        <f t="shared" si="0"/>
        <v>65992.11</v>
      </c>
      <c r="X17" s="128"/>
    </row>
    <row r="18" spans="1:39" s="129" customFormat="1" ht="15.75" customHeight="1">
      <c r="A18" s="266">
        <v>13</v>
      </c>
      <c r="B18" s="285" t="s">
        <v>70</v>
      </c>
      <c r="C18" s="285" t="s">
        <v>71</v>
      </c>
      <c r="D18" s="266" t="s">
        <v>25</v>
      </c>
      <c r="E18" s="286" t="s">
        <v>72</v>
      </c>
      <c r="F18" s="266" t="s">
        <v>73</v>
      </c>
      <c r="G18" s="266">
        <v>1</v>
      </c>
      <c r="H18" s="308" t="s">
        <v>56</v>
      </c>
      <c r="I18" s="308" t="s">
        <v>56</v>
      </c>
      <c r="J18" s="308">
        <v>2</v>
      </c>
      <c r="K18" s="287">
        <v>17697</v>
      </c>
      <c r="L18" s="287"/>
      <c r="M18" s="274">
        <v>0.5</v>
      </c>
      <c r="N18" s="289"/>
      <c r="O18" s="270">
        <v>4.43</v>
      </c>
      <c r="P18" s="282">
        <f>O18*K18*M18</f>
        <v>39198.854999999996</v>
      </c>
      <c r="Q18" s="271"/>
      <c r="R18" s="270"/>
      <c r="S18" s="270">
        <v>0.1</v>
      </c>
      <c r="T18" s="282">
        <f>ROUND(P18*S18,2)</f>
        <v>3919.89</v>
      </c>
      <c r="U18" s="273">
        <v>0.2</v>
      </c>
      <c r="V18" s="270">
        <f>U18*K18*50%</f>
        <v>1769.7</v>
      </c>
      <c r="W18" s="274">
        <f>P18+R18+T18+V18</f>
        <v>44888.444999999992</v>
      </c>
      <c r="X18" s="128"/>
    </row>
    <row r="19" spans="1:39" s="129" customFormat="1" ht="15.75" customHeight="1">
      <c r="A19" s="266">
        <v>14</v>
      </c>
      <c r="B19" s="285" t="s">
        <v>74</v>
      </c>
      <c r="C19" s="285" t="s">
        <v>71</v>
      </c>
      <c r="D19" s="266" t="s">
        <v>75</v>
      </c>
      <c r="E19" s="286" t="s">
        <v>76</v>
      </c>
      <c r="F19" s="266" t="s">
        <v>77</v>
      </c>
      <c r="G19" s="266">
        <v>1</v>
      </c>
      <c r="H19" s="287" t="s">
        <v>56</v>
      </c>
      <c r="I19" s="287" t="s">
        <v>56</v>
      </c>
      <c r="J19" s="286">
        <v>3</v>
      </c>
      <c r="K19" s="287">
        <v>17697</v>
      </c>
      <c r="L19" s="287"/>
      <c r="M19" s="274">
        <v>0.5</v>
      </c>
      <c r="N19" s="289"/>
      <c r="O19" s="270">
        <v>3.43</v>
      </c>
      <c r="P19" s="282">
        <f>O19*K19*M19</f>
        <v>30350.355000000003</v>
      </c>
      <c r="Q19" s="271"/>
      <c r="R19" s="270"/>
      <c r="S19" s="270"/>
      <c r="T19" s="282"/>
      <c r="U19" s="273">
        <v>0.2</v>
      </c>
      <c r="V19" s="270">
        <f>U19*K19*50%</f>
        <v>1769.7</v>
      </c>
      <c r="W19" s="274">
        <f>P19+R19+T19+V19</f>
        <v>32120.055000000004</v>
      </c>
      <c r="X19" s="128"/>
    </row>
    <row r="20" spans="1:39" s="80" customFormat="1" ht="15" customHeight="1">
      <c r="A20" s="266">
        <v>15</v>
      </c>
      <c r="B20" s="292" t="s">
        <v>78</v>
      </c>
      <c r="C20" s="268" t="s">
        <v>79</v>
      </c>
      <c r="D20" s="266" t="s">
        <v>25</v>
      </c>
      <c r="E20" s="266" t="s">
        <v>80</v>
      </c>
      <c r="F20" s="266" t="s">
        <v>73</v>
      </c>
      <c r="G20" s="266">
        <v>1</v>
      </c>
      <c r="H20" s="266" t="s">
        <v>56</v>
      </c>
      <c r="I20" s="266" t="s">
        <v>56</v>
      </c>
      <c r="J20" s="293">
        <v>2</v>
      </c>
      <c r="K20" s="270">
        <v>17697</v>
      </c>
      <c r="L20" s="270"/>
      <c r="M20" s="270">
        <v>0.5</v>
      </c>
      <c r="N20" s="294"/>
      <c r="O20" s="270">
        <v>4.43</v>
      </c>
      <c r="P20" s="282">
        <f t="shared" si="1"/>
        <v>39198.854999999996</v>
      </c>
      <c r="Q20" s="270"/>
      <c r="R20" s="271"/>
      <c r="S20" s="270">
        <v>0.1</v>
      </c>
      <c r="T20" s="282">
        <f t="shared" si="2"/>
        <v>3919.89</v>
      </c>
      <c r="U20" s="270"/>
      <c r="V20" s="273"/>
      <c r="W20" s="274">
        <f t="shared" si="0"/>
        <v>43118.744999999995</v>
      </c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</row>
    <row r="21" spans="1:39" s="78" customFormat="1" ht="15.75" customHeight="1">
      <c r="A21" s="266">
        <v>16</v>
      </c>
      <c r="B21" s="295" t="s">
        <v>81</v>
      </c>
      <c r="C21" s="268" t="s">
        <v>82</v>
      </c>
      <c r="D21" s="296" t="s">
        <v>64</v>
      </c>
      <c r="E21" s="297" t="s">
        <v>83</v>
      </c>
      <c r="F21" s="296" t="s">
        <v>84</v>
      </c>
      <c r="G21" s="289">
        <v>1</v>
      </c>
      <c r="H21" s="288" t="s">
        <v>56</v>
      </c>
      <c r="I21" s="266" t="s">
        <v>56</v>
      </c>
      <c r="J21" s="288">
        <v>3</v>
      </c>
      <c r="K21" s="270">
        <v>17697</v>
      </c>
      <c r="L21" s="270"/>
      <c r="M21" s="270">
        <v>1</v>
      </c>
      <c r="N21" s="270"/>
      <c r="O21" s="270">
        <v>3.5</v>
      </c>
      <c r="P21" s="282">
        <f t="shared" si="1"/>
        <v>61939.5</v>
      </c>
      <c r="Q21" s="270"/>
      <c r="R21" s="271"/>
      <c r="S21" s="270">
        <v>0.1</v>
      </c>
      <c r="T21" s="282">
        <f t="shared" si="2"/>
        <v>6193.95</v>
      </c>
      <c r="U21" s="270"/>
      <c r="V21" s="273"/>
      <c r="W21" s="274">
        <f t="shared" si="0"/>
        <v>68133.45</v>
      </c>
      <c r="Y21" s="136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</row>
    <row r="22" spans="1:39" s="80" customFormat="1" ht="18" customHeight="1">
      <c r="A22" s="266">
        <v>17</v>
      </c>
      <c r="B22" s="292" t="s">
        <v>85</v>
      </c>
      <c r="C22" s="268" t="s">
        <v>86</v>
      </c>
      <c r="D22" s="266" t="s">
        <v>25</v>
      </c>
      <c r="E22" s="270" t="s">
        <v>87</v>
      </c>
      <c r="F22" s="266" t="s">
        <v>88</v>
      </c>
      <c r="G22" s="266">
        <v>1</v>
      </c>
      <c r="H22" s="266" t="s">
        <v>56</v>
      </c>
      <c r="I22" s="266" t="s">
        <v>56</v>
      </c>
      <c r="J22" s="269" t="s">
        <v>57</v>
      </c>
      <c r="K22" s="270">
        <v>17697</v>
      </c>
      <c r="L22" s="270"/>
      <c r="M22" s="270">
        <v>1</v>
      </c>
      <c r="N22" s="270"/>
      <c r="O22" s="270">
        <v>4.2699999999999996</v>
      </c>
      <c r="P22" s="282">
        <f t="shared" si="1"/>
        <v>75566.189999999988</v>
      </c>
      <c r="Q22" s="271"/>
      <c r="R22" s="298"/>
      <c r="S22" s="270">
        <v>0.1</v>
      </c>
      <c r="T22" s="282">
        <f t="shared" si="2"/>
        <v>7556.62</v>
      </c>
      <c r="U22" s="299"/>
      <c r="V22" s="298"/>
      <c r="W22" s="274">
        <f>P22+R22+T22</f>
        <v>83122.809999999983</v>
      </c>
      <c r="X22" s="137"/>
    </row>
    <row r="23" spans="1:39" s="80" customFormat="1" ht="17.25" customHeight="1">
      <c r="A23" s="266">
        <v>18</v>
      </c>
      <c r="B23" s="292" t="s">
        <v>89</v>
      </c>
      <c r="C23" s="268" t="s">
        <v>86</v>
      </c>
      <c r="D23" s="266" t="s">
        <v>25</v>
      </c>
      <c r="E23" s="270" t="s">
        <v>90</v>
      </c>
      <c r="F23" s="266" t="s">
        <v>73</v>
      </c>
      <c r="G23" s="308">
        <v>1</v>
      </c>
      <c r="H23" s="266" t="s">
        <v>56</v>
      </c>
      <c r="I23" s="266" t="s">
        <v>56</v>
      </c>
      <c r="J23" s="269" t="s">
        <v>57</v>
      </c>
      <c r="K23" s="270">
        <v>17697</v>
      </c>
      <c r="L23" s="270"/>
      <c r="M23" s="274">
        <v>0.5</v>
      </c>
      <c r="N23" s="270"/>
      <c r="O23" s="270">
        <v>4.43</v>
      </c>
      <c r="P23" s="282">
        <f>O23*K23*M23</f>
        <v>39198.854999999996</v>
      </c>
      <c r="Q23" s="271"/>
      <c r="R23" s="270"/>
      <c r="S23" s="270">
        <v>0.1</v>
      </c>
      <c r="T23" s="282">
        <f>ROUND(P23*S23,2)</f>
        <v>3919.89</v>
      </c>
      <c r="U23" s="273"/>
      <c r="V23" s="270"/>
      <c r="W23" s="274">
        <f>P23+R23+T23</f>
        <v>43118.744999999995</v>
      </c>
      <c r="X23" s="113"/>
    </row>
    <row r="24" spans="1:39" s="80" customFormat="1" ht="17.25" customHeight="1">
      <c r="A24" s="266">
        <v>19</v>
      </c>
      <c r="B24" s="300" t="s">
        <v>91</v>
      </c>
      <c r="C24" s="268" t="s">
        <v>86</v>
      </c>
      <c r="D24" s="288" t="s">
        <v>25</v>
      </c>
      <c r="E24" s="301" t="s">
        <v>92</v>
      </c>
      <c r="F24" s="301" t="s">
        <v>93</v>
      </c>
      <c r="G24" s="302">
        <v>1</v>
      </c>
      <c r="H24" s="266" t="s">
        <v>56</v>
      </c>
      <c r="I24" s="266" t="s">
        <v>56</v>
      </c>
      <c r="J24" s="269" t="s">
        <v>57</v>
      </c>
      <c r="K24" s="270">
        <v>17697</v>
      </c>
      <c r="L24" s="303"/>
      <c r="M24" s="304">
        <v>0.5</v>
      </c>
      <c r="N24" s="303"/>
      <c r="O24" s="303">
        <v>4.6100000000000003</v>
      </c>
      <c r="P24" s="305">
        <f>O24*K24*M24</f>
        <v>40791.585000000006</v>
      </c>
      <c r="Q24" s="306"/>
      <c r="R24" s="303"/>
      <c r="S24" s="303">
        <v>0.1</v>
      </c>
      <c r="T24" s="305">
        <f>ROUND(P24*S24,2)</f>
        <v>4079.16</v>
      </c>
      <c r="U24" s="307"/>
      <c r="V24" s="303"/>
      <c r="W24" s="304">
        <f>P24+R24+T24</f>
        <v>44870.74500000001</v>
      </c>
      <c r="X24" s="113"/>
    </row>
    <row r="25" spans="1:39" s="24" customFormat="1" ht="17.25" customHeight="1">
      <c r="A25" s="5">
        <v>20</v>
      </c>
      <c r="B25" s="32" t="s">
        <v>94</v>
      </c>
      <c r="C25" s="39" t="s">
        <v>95</v>
      </c>
      <c r="D25" s="40" t="s">
        <v>25</v>
      </c>
      <c r="E25" s="34" t="s">
        <v>96</v>
      </c>
      <c r="F25" s="40" t="s">
        <v>97</v>
      </c>
      <c r="G25" s="40">
        <v>1</v>
      </c>
      <c r="H25" s="40" t="s">
        <v>56</v>
      </c>
      <c r="I25" s="40" t="s">
        <v>56</v>
      </c>
      <c r="J25" s="41" t="s">
        <v>57</v>
      </c>
      <c r="K25" s="34">
        <v>17697</v>
      </c>
      <c r="L25" s="34"/>
      <c r="M25" s="34">
        <v>0</v>
      </c>
      <c r="N25" s="34"/>
      <c r="O25" s="34">
        <v>3.31</v>
      </c>
      <c r="P25" s="36">
        <f>O25*K25*M25</f>
        <v>0</v>
      </c>
      <c r="Q25" s="37"/>
      <c r="R25" s="34"/>
      <c r="S25" s="34">
        <v>0.1</v>
      </c>
      <c r="T25" s="36">
        <f t="shared" si="2"/>
        <v>0</v>
      </c>
      <c r="U25" s="38"/>
      <c r="V25" s="34"/>
      <c r="W25" s="35">
        <f t="shared" si="0"/>
        <v>0</v>
      </c>
      <c r="X25" s="25"/>
    </row>
    <row r="26" spans="1:39" s="80" customFormat="1" ht="17.25" customHeight="1">
      <c r="A26" s="266">
        <v>21</v>
      </c>
      <c r="B26" s="300" t="s">
        <v>373</v>
      </c>
      <c r="C26" s="309" t="s">
        <v>95</v>
      </c>
      <c r="D26" s="310" t="s">
        <v>25</v>
      </c>
      <c r="E26" s="303" t="s">
        <v>67</v>
      </c>
      <c r="F26" s="310" t="s">
        <v>376</v>
      </c>
      <c r="G26" s="310"/>
      <c r="H26" s="310" t="s">
        <v>56</v>
      </c>
      <c r="I26" s="310" t="s">
        <v>56</v>
      </c>
      <c r="J26" s="311" t="s">
        <v>57</v>
      </c>
      <c r="K26" s="303">
        <v>17697</v>
      </c>
      <c r="L26" s="303"/>
      <c r="M26" s="303">
        <v>0.5</v>
      </c>
      <c r="N26" s="303"/>
      <c r="O26" s="303">
        <v>4.1900000000000004</v>
      </c>
      <c r="P26" s="305">
        <f>O26*K26*M26</f>
        <v>37075.215000000004</v>
      </c>
      <c r="Q26" s="306"/>
      <c r="R26" s="303"/>
      <c r="S26" s="303">
        <v>0.1</v>
      </c>
      <c r="T26" s="305">
        <f t="shared" si="2"/>
        <v>3707.52</v>
      </c>
      <c r="U26" s="307"/>
      <c r="V26" s="303"/>
      <c r="W26" s="304">
        <f t="shared" si="0"/>
        <v>40782.735000000001</v>
      </c>
      <c r="X26" s="135"/>
    </row>
    <row r="27" spans="1:39" s="80" customFormat="1" ht="17.25" customHeight="1">
      <c r="A27" s="266">
        <v>22</v>
      </c>
      <c r="B27" s="300" t="s">
        <v>374</v>
      </c>
      <c r="C27" s="309" t="s">
        <v>95</v>
      </c>
      <c r="D27" s="310" t="s">
        <v>25</v>
      </c>
      <c r="E27" s="303" t="s">
        <v>375</v>
      </c>
      <c r="F27" s="310" t="s">
        <v>159</v>
      </c>
      <c r="G27" s="310"/>
      <c r="H27" s="310" t="s">
        <v>56</v>
      </c>
      <c r="I27" s="310" t="s">
        <v>56</v>
      </c>
      <c r="J27" s="311" t="s">
        <v>57</v>
      </c>
      <c r="K27" s="303">
        <v>17697</v>
      </c>
      <c r="L27" s="303"/>
      <c r="M27" s="303">
        <v>0.5</v>
      </c>
      <c r="N27" s="303"/>
      <c r="O27" s="303">
        <v>4.0999999999999996</v>
      </c>
      <c r="P27" s="305">
        <f>O27*K27*M27</f>
        <v>36278.85</v>
      </c>
      <c r="Q27" s="306"/>
      <c r="R27" s="303"/>
      <c r="S27" s="303">
        <v>0.1</v>
      </c>
      <c r="T27" s="305">
        <f t="shared" si="2"/>
        <v>3627.89</v>
      </c>
      <c r="U27" s="307"/>
      <c r="V27" s="303"/>
      <c r="W27" s="304">
        <f t="shared" si="0"/>
        <v>39906.74</v>
      </c>
      <c r="X27" s="135"/>
    </row>
    <row r="28" spans="1:39" s="24" customFormat="1" ht="17.25" customHeight="1">
      <c r="A28" s="95"/>
      <c r="B28" s="105"/>
      <c r="C28" s="106"/>
      <c r="D28" s="95"/>
      <c r="E28" s="97"/>
      <c r="F28" s="95"/>
      <c r="G28" s="95"/>
      <c r="H28" s="95"/>
      <c r="I28" s="95"/>
      <c r="J28" s="123"/>
      <c r="K28" s="97"/>
      <c r="L28" s="97"/>
      <c r="M28" s="97"/>
      <c r="N28" s="97"/>
      <c r="O28" s="97"/>
      <c r="P28" s="101"/>
      <c r="Q28" s="102"/>
      <c r="R28" s="97"/>
      <c r="S28" s="97"/>
      <c r="T28" s="101"/>
      <c r="U28" s="103"/>
      <c r="V28" s="97"/>
      <c r="W28" s="104"/>
      <c r="X28" s="25"/>
    </row>
    <row r="29" spans="1:39" s="225" customFormat="1" ht="17.25" customHeight="1">
      <c r="A29" s="211">
        <v>23</v>
      </c>
      <c r="B29" s="212" t="s">
        <v>98</v>
      </c>
      <c r="C29" s="213" t="s">
        <v>99</v>
      </c>
      <c r="D29" s="211" t="s">
        <v>25</v>
      </c>
      <c r="E29" s="214" t="s">
        <v>100</v>
      </c>
      <c r="F29" s="214" t="s">
        <v>101</v>
      </c>
      <c r="G29" s="211">
        <v>1</v>
      </c>
      <c r="H29" s="211" t="s">
        <v>102</v>
      </c>
      <c r="I29" s="211" t="s">
        <v>103</v>
      </c>
      <c r="J29" s="215">
        <v>1</v>
      </c>
      <c r="K29" s="216">
        <v>17697</v>
      </c>
      <c r="L29" s="217">
        <v>36</v>
      </c>
      <c r="M29" s="216">
        <f>L29/18</f>
        <v>2</v>
      </c>
      <c r="N29" s="218" t="s">
        <v>104</v>
      </c>
      <c r="O29" s="219">
        <v>4.55</v>
      </c>
      <c r="P29" s="220">
        <f>O29*K29/18*L29</f>
        <v>161042.69999999998</v>
      </c>
      <c r="Q29" s="221"/>
      <c r="R29" s="216"/>
      <c r="S29" s="216">
        <v>0.1</v>
      </c>
      <c r="T29" s="220">
        <f>S29*P29</f>
        <v>16104.269999999999</v>
      </c>
      <c r="U29" s="222"/>
      <c r="V29" s="216"/>
      <c r="W29" s="223">
        <f>T29+P29</f>
        <v>177146.96999999997</v>
      </c>
      <c r="X29" s="224"/>
    </row>
    <row r="30" spans="1:39" s="225" customFormat="1" ht="17.25" customHeight="1">
      <c r="A30" s="226">
        <v>24</v>
      </c>
      <c r="B30" s="227" t="s">
        <v>41</v>
      </c>
      <c r="C30" s="228" t="s">
        <v>99</v>
      </c>
      <c r="D30" s="226" t="s">
        <v>25</v>
      </c>
      <c r="E30" s="229" t="s">
        <v>105</v>
      </c>
      <c r="F30" s="229" t="s">
        <v>34</v>
      </c>
      <c r="G30" s="226">
        <v>1</v>
      </c>
      <c r="H30" s="230" t="s">
        <v>102</v>
      </c>
      <c r="I30" s="230" t="s">
        <v>103</v>
      </c>
      <c r="J30" s="231">
        <v>2</v>
      </c>
      <c r="K30" s="232">
        <v>17697</v>
      </c>
      <c r="L30" s="233">
        <v>9</v>
      </c>
      <c r="M30" s="232">
        <f t="shared" ref="M30:M74" si="3">L30/18</f>
        <v>0.5</v>
      </c>
      <c r="N30" s="234" t="s">
        <v>104</v>
      </c>
      <c r="O30" s="234">
        <v>4.51</v>
      </c>
      <c r="P30" s="235">
        <f t="shared" ref="P30:P94" si="4">O30*K30/18*L30</f>
        <v>39906.735000000001</v>
      </c>
      <c r="Q30" s="236"/>
      <c r="R30" s="232"/>
      <c r="S30" s="232">
        <v>0.1</v>
      </c>
      <c r="T30" s="235">
        <f t="shared" ref="T30:T75" si="5">S30*P30</f>
        <v>3990.6735000000003</v>
      </c>
      <c r="U30" s="237"/>
      <c r="V30" s="232"/>
      <c r="W30" s="238">
        <f t="shared" ref="W30:W71" si="6">T30+P30</f>
        <v>43897.408499999998</v>
      </c>
      <c r="X30" s="224"/>
    </row>
    <row r="31" spans="1:39" s="225" customFormat="1" ht="17.25" customHeight="1">
      <c r="A31" s="211">
        <v>25</v>
      </c>
      <c r="B31" s="227" t="s">
        <v>106</v>
      </c>
      <c r="C31" s="228" t="s">
        <v>99</v>
      </c>
      <c r="D31" s="226" t="s">
        <v>25</v>
      </c>
      <c r="E31" s="229" t="s">
        <v>107</v>
      </c>
      <c r="F31" s="229" t="s">
        <v>108</v>
      </c>
      <c r="G31" s="226">
        <v>1</v>
      </c>
      <c r="H31" s="230" t="s">
        <v>102</v>
      </c>
      <c r="I31" s="230" t="s">
        <v>103</v>
      </c>
      <c r="J31" s="231">
        <v>3</v>
      </c>
      <c r="K31" s="232">
        <v>17697</v>
      </c>
      <c r="L31" s="233">
        <v>18</v>
      </c>
      <c r="M31" s="232">
        <f t="shared" si="3"/>
        <v>1</v>
      </c>
      <c r="N31" s="234" t="s">
        <v>109</v>
      </c>
      <c r="O31" s="239">
        <v>4</v>
      </c>
      <c r="P31" s="235">
        <f>O31*K31/18*L31</f>
        <v>70788</v>
      </c>
      <c r="Q31" s="236"/>
      <c r="R31" s="232"/>
      <c r="S31" s="232">
        <v>0.1</v>
      </c>
      <c r="T31" s="235">
        <f t="shared" si="5"/>
        <v>7078.8</v>
      </c>
      <c r="U31" s="237"/>
      <c r="V31" s="232"/>
      <c r="W31" s="238">
        <f>T31+P31</f>
        <v>77866.8</v>
      </c>
      <c r="X31" s="224"/>
    </row>
    <row r="32" spans="1:39" s="225" customFormat="1" ht="15">
      <c r="A32" s="226">
        <v>26</v>
      </c>
      <c r="B32" s="240" t="s">
        <v>110</v>
      </c>
      <c r="C32" s="228" t="s">
        <v>99</v>
      </c>
      <c r="D32" s="226" t="s">
        <v>25</v>
      </c>
      <c r="E32" s="229" t="s">
        <v>111</v>
      </c>
      <c r="F32" s="229" t="s">
        <v>51</v>
      </c>
      <c r="G32" s="226">
        <v>1</v>
      </c>
      <c r="H32" s="230" t="s">
        <v>102</v>
      </c>
      <c r="I32" s="230" t="s">
        <v>103</v>
      </c>
      <c r="J32" s="241">
        <v>4</v>
      </c>
      <c r="K32" s="232">
        <v>17697</v>
      </c>
      <c r="L32" s="233">
        <v>27</v>
      </c>
      <c r="M32" s="232">
        <f t="shared" si="3"/>
        <v>1.5</v>
      </c>
      <c r="N32" s="234" t="s">
        <v>112</v>
      </c>
      <c r="O32" s="234">
        <v>3.71</v>
      </c>
      <c r="P32" s="235">
        <f t="shared" si="4"/>
        <v>98483.804999999993</v>
      </c>
      <c r="Q32" s="236"/>
      <c r="R32" s="232"/>
      <c r="S32" s="232">
        <v>0.1</v>
      </c>
      <c r="T32" s="235">
        <f t="shared" si="5"/>
        <v>9848.3804999999993</v>
      </c>
      <c r="U32" s="237"/>
      <c r="V32" s="232"/>
      <c r="W32" s="238">
        <f>T32+P32</f>
        <v>108332.18549999999</v>
      </c>
      <c r="X32" s="224"/>
    </row>
    <row r="33" spans="1:24" s="225" customFormat="1" ht="17.25" customHeight="1">
      <c r="A33" s="211">
        <v>27</v>
      </c>
      <c r="B33" s="227" t="s">
        <v>23</v>
      </c>
      <c r="C33" s="228" t="s">
        <v>99</v>
      </c>
      <c r="D33" s="226" t="s">
        <v>25</v>
      </c>
      <c r="E33" s="229" t="s">
        <v>113</v>
      </c>
      <c r="F33" s="229" t="s">
        <v>114</v>
      </c>
      <c r="G33" s="226">
        <v>1</v>
      </c>
      <c r="H33" s="230" t="s">
        <v>102</v>
      </c>
      <c r="I33" s="230" t="s">
        <v>103</v>
      </c>
      <c r="J33" s="241">
        <v>1</v>
      </c>
      <c r="K33" s="232">
        <v>17697</v>
      </c>
      <c r="L33" s="233">
        <v>9</v>
      </c>
      <c r="M33" s="232">
        <f t="shared" si="3"/>
        <v>0.5</v>
      </c>
      <c r="N33" s="234" t="s">
        <v>115</v>
      </c>
      <c r="O33" s="218">
        <v>4.75</v>
      </c>
      <c r="P33" s="235">
        <f t="shared" si="4"/>
        <v>42030.375</v>
      </c>
      <c r="Q33" s="236"/>
      <c r="R33" s="232"/>
      <c r="S33" s="232">
        <v>0.1</v>
      </c>
      <c r="T33" s="235">
        <f t="shared" si="5"/>
        <v>4203.0375000000004</v>
      </c>
      <c r="U33" s="237"/>
      <c r="V33" s="232"/>
      <c r="W33" s="238">
        <f t="shared" si="6"/>
        <v>46233.412499999999</v>
      </c>
      <c r="X33" s="224"/>
    </row>
    <row r="34" spans="1:24" s="225" customFormat="1" ht="17.25" customHeight="1">
      <c r="A34" s="226">
        <v>28</v>
      </c>
      <c r="B34" s="227" t="s">
        <v>116</v>
      </c>
      <c r="C34" s="228" t="s">
        <v>99</v>
      </c>
      <c r="D34" s="226" t="s">
        <v>64</v>
      </c>
      <c r="E34" s="229" t="s">
        <v>117</v>
      </c>
      <c r="F34" s="229" t="s">
        <v>114</v>
      </c>
      <c r="G34" s="226">
        <v>1</v>
      </c>
      <c r="H34" s="230" t="s">
        <v>102</v>
      </c>
      <c r="I34" s="230" t="s">
        <v>118</v>
      </c>
      <c r="J34" s="231">
        <v>1</v>
      </c>
      <c r="K34" s="232">
        <v>17697</v>
      </c>
      <c r="L34" s="233">
        <v>36</v>
      </c>
      <c r="M34" s="232">
        <f t="shared" si="3"/>
        <v>2</v>
      </c>
      <c r="N34" s="234" t="s">
        <v>115</v>
      </c>
      <c r="O34" s="234">
        <v>4.5199999999999996</v>
      </c>
      <c r="P34" s="235">
        <f t="shared" si="4"/>
        <v>159980.87999999998</v>
      </c>
      <c r="Q34" s="236"/>
      <c r="R34" s="232"/>
      <c r="S34" s="232">
        <v>0.1</v>
      </c>
      <c r="T34" s="235">
        <f t="shared" si="5"/>
        <v>15998.087999999998</v>
      </c>
      <c r="U34" s="237"/>
      <c r="V34" s="232"/>
      <c r="W34" s="238">
        <f t="shared" si="6"/>
        <v>175978.96799999996</v>
      </c>
      <c r="X34" s="224"/>
    </row>
    <row r="35" spans="1:24" s="225" customFormat="1" ht="17.25" customHeight="1">
      <c r="A35" s="211">
        <v>29</v>
      </c>
      <c r="B35" s="227" t="s">
        <v>119</v>
      </c>
      <c r="C35" s="228" t="s">
        <v>120</v>
      </c>
      <c r="D35" s="226" t="s">
        <v>64</v>
      </c>
      <c r="E35" s="214" t="s">
        <v>121</v>
      </c>
      <c r="F35" s="229" t="s">
        <v>122</v>
      </c>
      <c r="G35" s="226">
        <v>1</v>
      </c>
      <c r="H35" s="230" t="s">
        <v>102</v>
      </c>
      <c r="I35" s="230" t="s">
        <v>118</v>
      </c>
      <c r="J35" s="241">
        <v>4</v>
      </c>
      <c r="K35" s="232">
        <v>17697</v>
      </c>
      <c r="L35" s="233">
        <v>10</v>
      </c>
      <c r="M35" s="232">
        <f t="shared" si="3"/>
        <v>0.55555555555555558</v>
      </c>
      <c r="N35" s="234" t="s">
        <v>123</v>
      </c>
      <c r="O35" s="234">
        <v>3.36</v>
      </c>
      <c r="P35" s="235">
        <f t="shared" si="4"/>
        <v>33034.400000000001</v>
      </c>
      <c r="Q35" s="236"/>
      <c r="R35" s="232"/>
      <c r="S35" s="232">
        <v>0.1</v>
      </c>
      <c r="T35" s="235">
        <f>S35*P35</f>
        <v>3303.4400000000005</v>
      </c>
      <c r="U35" s="237"/>
      <c r="V35" s="232"/>
      <c r="W35" s="238">
        <f>T35+P35</f>
        <v>36337.840000000004</v>
      </c>
      <c r="X35" s="224"/>
    </row>
    <row r="36" spans="1:24" s="225" customFormat="1" ht="17.25" customHeight="1">
      <c r="A36" s="226">
        <v>30</v>
      </c>
      <c r="B36" s="227" t="s">
        <v>124</v>
      </c>
      <c r="C36" s="228" t="s">
        <v>125</v>
      </c>
      <c r="D36" s="226" t="s">
        <v>75</v>
      </c>
      <c r="E36" s="214" t="s">
        <v>126</v>
      </c>
      <c r="F36" s="229" t="s">
        <v>108</v>
      </c>
      <c r="G36" s="226">
        <v>1</v>
      </c>
      <c r="H36" s="230" t="s">
        <v>102</v>
      </c>
      <c r="I36" s="230" t="s">
        <v>118</v>
      </c>
      <c r="J36" s="241">
        <v>4</v>
      </c>
      <c r="K36" s="232">
        <v>17697</v>
      </c>
      <c r="L36" s="233">
        <v>28.5</v>
      </c>
      <c r="M36" s="232">
        <f t="shared" si="3"/>
        <v>1.5833333333333333</v>
      </c>
      <c r="N36" s="218" t="s">
        <v>112</v>
      </c>
      <c r="O36" s="234">
        <v>3.41</v>
      </c>
      <c r="P36" s="235">
        <f>O36*K36/18*L36</f>
        <v>95549.052500000005</v>
      </c>
      <c r="Q36" s="236"/>
      <c r="R36" s="232"/>
      <c r="S36" s="232">
        <v>0.1</v>
      </c>
      <c r="T36" s="235">
        <f>S36*P36</f>
        <v>9554.9052500000016</v>
      </c>
      <c r="U36" s="237"/>
      <c r="V36" s="232"/>
      <c r="W36" s="238">
        <f>T36+P36</f>
        <v>105103.95775</v>
      </c>
      <c r="X36" s="224"/>
    </row>
    <row r="37" spans="1:24" s="225" customFormat="1" ht="17.25" customHeight="1">
      <c r="A37" s="211">
        <v>31</v>
      </c>
      <c r="B37" s="227" t="s">
        <v>127</v>
      </c>
      <c r="C37" s="228" t="s">
        <v>99</v>
      </c>
      <c r="D37" s="226" t="s">
        <v>25</v>
      </c>
      <c r="E37" s="229" t="s">
        <v>128</v>
      </c>
      <c r="F37" s="229" t="s">
        <v>34</v>
      </c>
      <c r="G37" s="226">
        <v>1</v>
      </c>
      <c r="H37" s="230" t="s">
        <v>102</v>
      </c>
      <c r="I37" s="230" t="s">
        <v>103</v>
      </c>
      <c r="J37" s="231">
        <v>1</v>
      </c>
      <c r="K37" s="232">
        <v>17697</v>
      </c>
      <c r="L37" s="233">
        <v>22</v>
      </c>
      <c r="M37" s="232">
        <f t="shared" si="3"/>
        <v>1.2222222222222223</v>
      </c>
      <c r="N37" s="218" t="s">
        <v>129</v>
      </c>
      <c r="O37" s="234">
        <v>4.75</v>
      </c>
      <c r="P37" s="235">
        <f t="shared" si="4"/>
        <v>102740.91666666667</v>
      </c>
      <c r="Q37" s="236"/>
      <c r="R37" s="232"/>
      <c r="S37" s="232">
        <v>0.1</v>
      </c>
      <c r="T37" s="235">
        <f t="shared" si="5"/>
        <v>10274.091666666667</v>
      </c>
      <c r="U37" s="237"/>
      <c r="V37" s="232"/>
      <c r="W37" s="238">
        <f t="shared" si="6"/>
        <v>113015.00833333333</v>
      </c>
      <c r="X37" s="224"/>
    </row>
    <row r="38" spans="1:24" s="225" customFormat="1" ht="17.25" customHeight="1">
      <c r="A38" s="226">
        <v>32</v>
      </c>
      <c r="B38" s="227" t="s">
        <v>130</v>
      </c>
      <c r="C38" s="228" t="s">
        <v>99</v>
      </c>
      <c r="D38" s="226" t="s">
        <v>25</v>
      </c>
      <c r="E38" s="242" t="s">
        <v>131</v>
      </c>
      <c r="F38" s="242" t="s">
        <v>34</v>
      </c>
      <c r="G38" s="226">
        <v>1</v>
      </c>
      <c r="H38" s="230" t="s">
        <v>102</v>
      </c>
      <c r="I38" s="230" t="s">
        <v>103</v>
      </c>
      <c r="J38" s="241">
        <v>1</v>
      </c>
      <c r="K38" s="232">
        <v>17697</v>
      </c>
      <c r="L38" s="233">
        <v>9</v>
      </c>
      <c r="M38" s="232">
        <f t="shared" si="3"/>
        <v>0.5</v>
      </c>
      <c r="N38" s="234" t="s">
        <v>115</v>
      </c>
      <c r="O38" s="234">
        <v>4.75</v>
      </c>
      <c r="P38" s="235">
        <f t="shared" si="4"/>
        <v>42030.375</v>
      </c>
      <c r="Q38" s="236"/>
      <c r="R38" s="232"/>
      <c r="S38" s="232">
        <v>0.1</v>
      </c>
      <c r="T38" s="235">
        <f t="shared" si="5"/>
        <v>4203.0375000000004</v>
      </c>
      <c r="U38" s="237"/>
      <c r="V38" s="232"/>
      <c r="W38" s="238">
        <f t="shared" si="6"/>
        <v>46233.412499999999</v>
      </c>
      <c r="X38" s="224"/>
    </row>
    <row r="39" spans="1:24" s="80" customFormat="1" ht="17.25" customHeight="1">
      <c r="A39" s="42">
        <v>11</v>
      </c>
      <c r="B39" s="26" t="s">
        <v>384</v>
      </c>
      <c r="C39" s="6" t="s">
        <v>99</v>
      </c>
      <c r="D39" s="5" t="s">
        <v>25</v>
      </c>
      <c r="E39" s="51" t="s">
        <v>132</v>
      </c>
      <c r="F39" s="33" t="s">
        <v>55</v>
      </c>
      <c r="G39" s="5">
        <v>1</v>
      </c>
      <c r="H39" s="20" t="s">
        <v>102</v>
      </c>
      <c r="I39" s="20" t="s">
        <v>103</v>
      </c>
      <c r="J39" s="49">
        <v>4</v>
      </c>
      <c r="K39" s="7">
        <v>17697</v>
      </c>
      <c r="L39" s="47">
        <v>12</v>
      </c>
      <c r="M39" s="7">
        <f t="shared" si="3"/>
        <v>0.66666666666666663</v>
      </c>
      <c r="N39" s="45" t="s">
        <v>385</v>
      </c>
      <c r="O39" s="45">
        <v>4.0599999999999996</v>
      </c>
      <c r="P39" s="18">
        <f>O39*K39/18*L39</f>
        <v>47899.88</v>
      </c>
      <c r="Q39" s="8"/>
      <c r="R39" s="7"/>
      <c r="S39" s="7">
        <v>0.1</v>
      </c>
      <c r="T39" s="18">
        <f t="shared" si="5"/>
        <v>4789.9880000000003</v>
      </c>
      <c r="U39" s="9"/>
      <c r="V39" s="7"/>
      <c r="W39" s="10">
        <f t="shared" si="6"/>
        <v>52689.867999999995</v>
      </c>
      <c r="X39" s="113"/>
    </row>
    <row r="40" spans="1:24" s="80" customFormat="1" ht="17.25" customHeight="1">
      <c r="A40" s="5">
        <v>12</v>
      </c>
      <c r="B40" s="26" t="s">
        <v>133</v>
      </c>
      <c r="C40" s="6" t="s">
        <v>99</v>
      </c>
      <c r="D40" s="20" t="s">
        <v>25</v>
      </c>
      <c r="E40" s="33" t="s">
        <v>134</v>
      </c>
      <c r="F40" s="33" t="s">
        <v>34</v>
      </c>
      <c r="G40" s="5">
        <v>1</v>
      </c>
      <c r="H40" s="20" t="s">
        <v>102</v>
      </c>
      <c r="I40" s="20" t="s">
        <v>103</v>
      </c>
      <c r="J40" s="49">
        <v>1</v>
      </c>
      <c r="K40" s="7">
        <v>17697</v>
      </c>
      <c r="L40" s="47">
        <v>15</v>
      </c>
      <c r="M40" s="7">
        <f t="shared" si="3"/>
        <v>0.83333333333333337</v>
      </c>
      <c r="N40" s="45" t="s">
        <v>115</v>
      </c>
      <c r="O40" s="45">
        <v>4.75</v>
      </c>
      <c r="P40" s="18">
        <f t="shared" si="4"/>
        <v>70050.625</v>
      </c>
      <c r="Q40" s="8"/>
      <c r="R40" s="7"/>
      <c r="S40" s="7">
        <v>0.1</v>
      </c>
      <c r="T40" s="18">
        <f t="shared" si="5"/>
        <v>7005.0625</v>
      </c>
      <c r="U40" s="9"/>
      <c r="V40" s="7"/>
      <c r="W40" s="10">
        <f t="shared" si="6"/>
        <v>77055.6875</v>
      </c>
      <c r="X40" s="113"/>
    </row>
    <row r="41" spans="1:24" s="80" customFormat="1" ht="17.25" customHeight="1">
      <c r="A41" s="42">
        <v>13</v>
      </c>
      <c r="B41" s="52" t="s">
        <v>135</v>
      </c>
      <c r="C41" s="52" t="s">
        <v>136</v>
      </c>
      <c r="D41" s="20" t="s">
        <v>25</v>
      </c>
      <c r="E41" s="33" t="s">
        <v>137</v>
      </c>
      <c r="F41" s="53" t="s">
        <v>34</v>
      </c>
      <c r="G41" s="5">
        <v>1</v>
      </c>
      <c r="H41" s="20" t="s">
        <v>102</v>
      </c>
      <c r="I41" s="20" t="s">
        <v>103</v>
      </c>
      <c r="J41" s="49">
        <v>1</v>
      </c>
      <c r="K41" s="7">
        <v>17697</v>
      </c>
      <c r="L41" s="47">
        <v>17</v>
      </c>
      <c r="M41" s="7">
        <f t="shared" si="3"/>
        <v>0.94444444444444442</v>
      </c>
      <c r="N41" s="45" t="s">
        <v>115</v>
      </c>
      <c r="O41" s="45">
        <v>4.75</v>
      </c>
      <c r="P41" s="18">
        <f t="shared" si="4"/>
        <v>79390.708333333343</v>
      </c>
      <c r="Q41" s="8"/>
      <c r="R41" s="7"/>
      <c r="S41" s="7">
        <v>0.1</v>
      </c>
      <c r="T41" s="18">
        <f t="shared" si="5"/>
        <v>7939.070833333335</v>
      </c>
      <c r="U41" s="9"/>
      <c r="V41" s="7"/>
      <c r="W41" s="10">
        <f t="shared" si="6"/>
        <v>87329.779166666674</v>
      </c>
      <c r="X41" s="113"/>
    </row>
    <row r="42" spans="1:24" s="80" customFormat="1" ht="17.25" customHeight="1">
      <c r="A42" s="5">
        <v>14</v>
      </c>
      <c r="B42" s="26" t="s">
        <v>138</v>
      </c>
      <c r="C42" s="6" t="s">
        <v>99</v>
      </c>
      <c r="D42" s="20" t="s">
        <v>64</v>
      </c>
      <c r="E42" s="33" t="s">
        <v>139</v>
      </c>
      <c r="F42" s="33" t="s">
        <v>140</v>
      </c>
      <c r="G42" s="5">
        <v>1</v>
      </c>
      <c r="H42" s="20" t="s">
        <v>102</v>
      </c>
      <c r="I42" s="20" t="s">
        <v>103</v>
      </c>
      <c r="J42" s="27">
        <v>4</v>
      </c>
      <c r="K42" s="7">
        <v>17697</v>
      </c>
      <c r="L42" s="47">
        <v>25</v>
      </c>
      <c r="M42" s="7">
        <f t="shared" si="3"/>
        <v>1.3888888888888888</v>
      </c>
      <c r="N42" s="45" t="s">
        <v>141</v>
      </c>
      <c r="O42" s="45">
        <v>3.78</v>
      </c>
      <c r="P42" s="18">
        <f t="shared" si="4"/>
        <v>92909.250000000015</v>
      </c>
      <c r="Q42" s="8"/>
      <c r="R42" s="7"/>
      <c r="S42" s="7">
        <v>0.1</v>
      </c>
      <c r="T42" s="18">
        <f t="shared" si="5"/>
        <v>9290.9250000000011</v>
      </c>
      <c r="U42" s="9"/>
      <c r="V42" s="7"/>
      <c r="W42" s="10">
        <f t="shared" si="6"/>
        <v>102200.17500000002</v>
      </c>
      <c r="X42" s="113"/>
    </row>
    <row r="43" spans="1:24" s="80" customFormat="1" ht="17.25" customHeight="1">
      <c r="A43" s="42">
        <v>15</v>
      </c>
      <c r="B43" s="26" t="s">
        <v>58</v>
      </c>
      <c r="C43" s="6" t="s">
        <v>99</v>
      </c>
      <c r="D43" s="20" t="s">
        <v>25</v>
      </c>
      <c r="E43" s="33" t="s">
        <v>142</v>
      </c>
      <c r="F43" s="33" t="s">
        <v>93</v>
      </c>
      <c r="G43" s="5">
        <v>1</v>
      </c>
      <c r="H43" s="20" t="s">
        <v>102</v>
      </c>
      <c r="I43" s="20" t="s">
        <v>103</v>
      </c>
      <c r="J43" s="49">
        <v>3</v>
      </c>
      <c r="K43" s="7">
        <v>17697</v>
      </c>
      <c r="L43" s="47">
        <v>10</v>
      </c>
      <c r="M43" s="7">
        <f t="shared" si="3"/>
        <v>0.55555555555555558</v>
      </c>
      <c r="N43" s="45" t="s">
        <v>109</v>
      </c>
      <c r="O43" s="45">
        <v>4.43</v>
      </c>
      <c r="P43" s="18">
        <f t="shared" si="4"/>
        <v>43554.283333333333</v>
      </c>
      <c r="Q43" s="8"/>
      <c r="R43" s="7"/>
      <c r="S43" s="7">
        <v>0.1</v>
      </c>
      <c r="T43" s="18">
        <f t="shared" si="5"/>
        <v>4355.4283333333333</v>
      </c>
      <c r="U43" s="9"/>
      <c r="V43" s="7"/>
      <c r="W43" s="10">
        <f t="shared" si="6"/>
        <v>47909.71166666667</v>
      </c>
      <c r="X43" s="113"/>
    </row>
    <row r="44" spans="1:24" s="80" customFormat="1" ht="17.25" customHeight="1">
      <c r="A44" s="5">
        <v>16</v>
      </c>
      <c r="B44" s="26" t="s">
        <v>143</v>
      </c>
      <c r="C44" s="6" t="s">
        <v>99</v>
      </c>
      <c r="D44" s="20" t="s">
        <v>25</v>
      </c>
      <c r="E44" s="33" t="s">
        <v>144</v>
      </c>
      <c r="F44" s="33" t="s">
        <v>73</v>
      </c>
      <c r="G44" s="5">
        <v>1</v>
      </c>
      <c r="H44" s="20" t="s">
        <v>102</v>
      </c>
      <c r="I44" s="20" t="s">
        <v>103</v>
      </c>
      <c r="J44" s="49">
        <v>3</v>
      </c>
      <c r="K44" s="7">
        <v>17697</v>
      </c>
      <c r="L44" s="47">
        <v>33</v>
      </c>
      <c r="M44" s="7">
        <f t="shared" si="3"/>
        <v>1.8333333333333333</v>
      </c>
      <c r="N44" s="45" t="s">
        <v>109</v>
      </c>
      <c r="O44" s="45">
        <v>4.1399999999999997</v>
      </c>
      <c r="P44" s="18">
        <f t="shared" si="4"/>
        <v>134320.22999999998</v>
      </c>
      <c r="Q44" s="8"/>
      <c r="R44" s="7"/>
      <c r="S44" s="7">
        <v>0.1</v>
      </c>
      <c r="T44" s="18">
        <f t="shared" si="5"/>
        <v>13432.022999999999</v>
      </c>
      <c r="U44" s="9"/>
      <c r="V44" s="7"/>
      <c r="W44" s="10">
        <f t="shared" si="6"/>
        <v>147752.25299999997</v>
      </c>
      <c r="X44" s="113"/>
    </row>
    <row r="45" spans="1:24" s="80" customFormat="1" ht="17.25" customHeight="1">
      <c r="A45" s="42">
        <v>17</v>
      </c>
      <c r="B45" s="26" t="s">
        <v>145</v>
      </c>
      <c r="C45" s="6" t="s">
        <v>99</v>
      </c>
      <c r="D45" s="20" t="s">
        <v>25</v>
      </c>
      <c r="E45" s="33" t="s">
        <v>146</v>
      </c>
      <c r="F45" s="33" t="s">
        <v>140</v>
      </c>
      <c r="G45" s="5">
        <v>1</v>
      </c>
      <c r="H45" s="20" t="s">
        <v>102</v>
      </c>
      <c r="I45" s="20" t="s">
        <v>103</v>
      </c>
      <c r="J45" s="49">
        <v>4</v>
      </c>
      <c r="K45" s="7">
        <v>17697</v>
      </c>
      <c r="L45" s="47">
        <v>29</v>
      </c>
      <c r="M45" s="7">
        <f t="shared" si="3"/>
        <v>1.6111111111111112</v>
      </c>
      <c r="N45" s="45" t="s">
        <v>109</v>
      </c>
      <c r="O45" s="45">
        <v>3.78</v>
      </c>
      <c r="P45" s="18">
        <f t="shared" si="4"/>
        <v>107774.73000000001</v>
      </c>
      <c r="Q45" s="8"/>
      <c r="R45" s="7"/>
      <c r="S45" s="7">
        <v>0.1</v>
      </c>
      <c r="T45" s="18">
        <f t="shared" si="5"/>
        <v>10777.473000000002</v>
      </c>
      <c r="U45" s="9"/>
      <c r="V45" s="7"/>
      <c r="W45" s="10">
        <f t="shared" si="6"/>
        <v>118552.20300000001</v>
      </c>
      <c r="X45" s="113"/>
    </row>
    <row r="46" spans="1:24" s="80" customFormat="1" ht="17.25" customHeight="1">
      <c r="A46" s="5">
        <v>18</v>
      </c>
      <c r="B46" s="26" t="s">
        <v>147</v>
      </c>
      <c r="C46" s="6" t="s">
        <v>148</v>
      </c>
      <c r="D46" s="20" t="s">
        <v>25</v>
      </c>
      <c r="E46" s="33" t="s">
        <v>149</v>
      </c>
      <c r="F46" s="33" t="s">
        <v>51</v>
      </c>
      <c r="G46" s="5">
        <v>1</v>
      </c>
      <c r="H46" s="20" t="s">
        <v>102</v>
      </c>
      <c r="I46" s="20" t="s">
        <v>103</v>
      </c>
      <c r="J46" s="46">
        <v>3</v>
      </c>
      <c r="K46" s="7">
        <v>17697</v>
      </c>
      <c r="L46" s="47">
        <v>36</v>
      </c>
      <c r="M46" s="7">
        <f t="shared" si="3"/>
        <v>2</v>
      </c>
      <c r="N46" s="45" t="s">
        <v>109</v>
      </c>
      <c r="O46" s="45">
        <v>4.43</v>
      </c>
      <c r="P46" s="18">
        <f t="shared" si="4"/>
        <v>156795.41999999998</v>
      </c>
      <c r="Q46" s="8"/>
      <c r="R46" s="7"/>
      <c r="S46" s="7">
        <v>0.1</v>
      </c>
      <c r="T46" s="18">
        <f t="shared" si="5"/>
        <v>15679.541999999999</v>
      </c>
      <c r="U46" s="9"/>
      <c r="V46" s="7"/>
      <c r="W46" s="10">
        <f t="shared" si="6"/>
        <v>172474.96199999997</v>
      </c>
      <c r="X46" s="113"/>
    </row>
    <row r="47" spans="1:24" s="80" customFormat="1" ht="17.25" customHeight="1">
      <c r="A47" s="42">
        <v>19</v>
      </c>
      <c r="B47" s="26" t="s">
        <v>91</v>
      </c>
      <c r="C47" s="6" t="s">
        <v>99</v>
      </c>
      <c r="D47" s="20" t="s">
        <v>25</v>
      </c>
      <c r="E47" s="33" t="s">
        <v>92</v>
      </c>
      <c r="F47" s="33" t="s">
        <v>93</v>
      </c>
      <c r="G47" s="5">
        <v>1</v>
      </c>
      <c r="H47" s="20" t="s">
        <v>102</v>
      </c>
      <c r="I47" s="20" t="s">
        <v>103</v>
      </c>
      <c r="J47" s="49">
        <v>1</v>
      </c>
      <c r="K47" s="7">
        <v>17697</v>
      </c>
      <c r="L47" s="47">
        <v>36</v>
      </c>
      <c r="M47" s="7">
        <f t="shared" si="3"/>
        <v>2</v>
      </c>
      <c r="N47" s="50" t="s">
        <v>129</v>
      </c>
      <c r="O47" s="45">
        <v>4.62</v>
      </c>
      <c r="P47" s="18">
        <f t="shared" si="4"/>
        <v>163520.27999999997</v>
      </c>
      <c r="Q47" s="8"/>
      <c r="R47" s="7"/>
      <c r="S47" s="7">
        <v>0.1</v>
      </c>
      <c r="T47" s="18">
        <f t="shared" si="5"/>
        <v>16352.027999999998</v>
      </c>
      <c r="U47" s="9"/>
      <c r="V47" s="7"/>
      <c r="W47" s="10">
        <f t="shared" si="6"/>
        <v>179872.30799999996</v>
      </c>
      <c r="X47" s="113"/>
    </row>
    <row r="48" spans="1:24" s="80" customFormat="1" ht="17.25" customHeight="1">
      <c r="A48" s="5">
        <v>20</v>
      </c>
      <c r="B48" s="26" t="s">
        <v>150</v>
      </c>
      <c r="C48" s="6" t="s">
        <v>99</v>
      </c>
      <c r="D48" s="20" t="s">
        <v>25</v>
      </c>
      <c r="E48" s="33" t="s">
        <v>151</v>
      </c>
      <c r="F48" s="33" t="s">
        <v>34</v>
      </c>
      <c r="G48" s="5">
        <v>1</v>
      </c>
      <c r="H48" s="20" t="s">
        <v>102</v>
      </c>
      <c r="I48" s="20" t="s">
        <v>103</v>
      </c>
      <c r="J48" s="49">
        <v>1</v>
      </c>
      <c r="K48" s="7">
        <v>17697</v>
      </c>
      <c r="L48" s="47">
        <v>36</v>
      </c>
      <c r="M48" s="7">
        <f t="shared" si="3"/>
        <v>2</v>
      </c>
      <c r="N48" s="45" t="s">
        <v>152</v>
      </c>
      <c r="O48" s="45">
        <v>4.75</v>
      </c>
      <c r="P48" s="18">
        <f t="shared" si="4"/>
        <v>168121.5</v>
      </c>
      <c r="Q48" s="8"/>
      <c r="R48" s="7"/>
      <c r="S48" s="7">
        <v>0.1</v>
      </c>
      <c r="T48" s="18">
        <f t="shared" si="5"/>
        <v>16812.150000000001</v>
      </c>
      <c r="U48" s="9"/>
      <c r="V48" s="7"/>
      <c r="W48" s="10">
        <f t="shared" si="6"/>
        <v>184933.65</v>
      </c>
      <c r="X48" s="113"/>
    </row>
    <row r="49" spans="1:24" s="80" customFormat="1" ht="17.25" customHeight="1">
      <c r="A49" s="42">
        <v>21</v>
      </c>
      <c r="B49" s="52" t="s">
        <v>153</v>
      </c>
      <c r="C49" s="52" t="s">
        <v>154</v>
      </c>
      <c r="D49" s="210" t="s">
        <v>25</v>
      </c>
      <c r="E49" s="33" t="s">
        <v>155</v>
      </c>
      <c r="F49" s="33" t="s">
        <v>51</v>
      </c>
      <c r="G49" s="54" t="s">
        <v>156</v>
      </c>
      <c r="H49" s="20" t="s">
        <v>102</v>
      </c>
      <c r="I49" s="20" t="s">
        <v>103</v>
      </c>
      <c r="J49" s="49">
        <v>1</v>
      </c>
      <c r="K49" s="7">
        <v>17697</v>
      </c>
      <c r="L49" s="47">
        <v>10</v>
      </c>
      <c r="M49" s="7">
        <f t="shared" si="3"/>
        <v>0.55555555555555558</v>
      </c>
      <c r="N49" s="45" t="s">
        <v>152</v>
      </c>
      <c r="O49" s="45">
        <v>4.6900000000000004</v>
      </c>
      <c r="P49" s="18">
        <f t="shared" si="4"/>
        <v>46110.51666666667</v>
      </c>
      <c r="Q49" s="8"/>
      <c r="R49" s="7"/>
      <c r="S49" s="7">
        <v>0.1</v>
      </c>
      <c r="T49" s="18">
        <f t="shared" si="5"/>
        <v>4611.0516666666672</v>
      </c>
      <c r="U49" s="9"/>
      <c r="V49" s="7"/>
      <c r="W49" s="10">
        <f t="shared" si="6"/>
        <v>50721.568333333336</v>
      </c>
      <c r="X49" s="113"/>
    </row>
    <row r="50" spans="1:24" s="80" customFormat="1" ht="17.25" customHeight="1">
      <c r="A50" s="5">
        <v>22</v>
      </c>
      <c r="B50" s="26" t="s">
        <v>157</v>
      </c>
      <c r="C50" s="6" t="s">
        <v>99</v>
      </c>
      <c r="D50" s="20" t="s">
        <v>25</v>
      </c>
      <c r="E50" s="33" t="s">
        <v>158</v>
      </c>
      <c r="F50" s="33" t="s">
        <v>159</v>
      </c>
      <c r="G50" s="5">
        <v>1</v>
      </c>
      <c r="H50" s="20" t="s">
        <v>102</v>
      </c>
      <c r="I50" s="20" t="s">
        <v>118</v>
      </c>
      <c r="J50" s="49">
        <v>4</v>
      </c>
      <c r="K50" s="7">
        <v>17697</v>
      </c>
      <c r="L50" s="47">
        <v>20</v>
      </c>
      <c r="M50" s="7">
        <f t="shared" si="3"/>
        <v>1.1111111111111112</v>
      </c>
      <c r="N50" s="55" t="s">
        <v>112</v>
      </c>
      <c r="O50" s="45">
        <v>3.32</v>
      </c>
      <c r="P50" s="18">
        <f t="shared" si="4"/>
        <v>65282.266666666656</v>
      </c>
      <c r="Q50" s="8"/>
      <c r="R50" s="7"/>
      <c r="S50" s="7">
        <v>0.1</v>
      </c>
      <c r="T50" s="18">
        <f t="shared" si="5"/>
        <v>6528.2266666666656</v>
      </c>
      <c r="U50" s="9"/>
      <c r="V50" s="7"/>
      <c r="W50" s="10">
        <f t="shared" si="6"/>
        <v>71810.493333333317</v>
      </c>
      <c r="X50" s="113"/>
    </row>
    <row r="51" spans="1:24" s="80" customFormat="1" ht="17.25" customHeight="1">
      <c r="A51" s="42">
        <v>23</v>
      </c>
      <c r="B51" s="26" t="s">
        <v>160</v>
      </c>
      <c r="C51" s="6" t="s">
        <v>148</v>
      </c>
      <c r="D51" s="20" t="s">
        <v>25</v>
      </c>
      <c r="E51" s="33" t="s">
        <v>161</v>
      </c>
      <c r="F51" s="33" t="s">
        <v>34</v>
      </c>
      <c r="G51" s="5">
        <v>1</v>
      </c>
      <c r="H51" s="20" t="s">
        <v>102</v>
      </c>
      <c r="I51" s="20" t="s">
        <v>103</v>
      </c>
      <c r="J51" s="46">
        <v>3</v>
      </c>
      <c r="K51" s="7">
        <v>17697</v>
      </c>
      <c r="L51" s="47">
        <v>31</v>
      </c>
      <c r="M51" s="7">
        <f t="shared" si="3"/>
        <v>1.7222222222222223</v>
      </c>
      <c r="N51" s="45" t="s">
        <v>109</v>
      </c>
      <c r="O51" s="45">
        <v>4.5</v>
      </c>
      <c r="P51" s="18">
        <f t="shared" si="4"/>
        <v>137151.75</v>
      </c>
      <c r="Q51" s="8"/>
      <c r="R51" s="7"/>
      <c r="S51" s="7">
        <v>0.1</v>
      </c>
      <c r="T51" s="18">
        <f t="shared" si="5"/>
        <v>13715.175000000001</v>
      </c>
      <c r="U51" s="9"/>
      <c r="V51" s="7"/>
      <c r="W51" s="10">
        <f t="shared" si="6"/>
        <v>150866.92499999999</v>
      </c>
      <c r="X51" s="113"/>
    </row>
    <row r="52" spans="1:24" s="80" customFormat="1" ht="17.25" customHeight="1">
      <c r="A52" s="5">
        <v>24</v>
      </c>
      <c r="B52" s="26" t="s">
        <v>162</v>
      </c>
      <c r="C52" s="6" t="s">
        <v>99</v>
      </c>
      <c r="D52" s="20" t="s">
        <v>64</v>
      </c>
      <c r="E52" s="33" t="s">
        <v>163</v>
      </c>
      <c r="F52" s="33" t="s">
        <v>164</v>
      </c>
      <c r="G52" s="5">
        <v>1</v>
      </c>
      <c r="H52" s="20" t="s">
        <v>102</v>
      </c>
      <c r="I52" s="20" t="s">
        <v>118</v>
      </c>
      <c r="J52" s="49">
        <v>4</v>
      </c>
      <c r="K52" s="7">
        <v>17697</v>
      </c>
      <c r="L52" s="47">
        <v>30</v>
      </c>
      <c r="M52" s="7">
        <f t="shared" si="3"/>
        <v>1.6666666666666667</v>
      </c>
      <c r="N52" s="56" t="s">
        <v>165</v>
      </c>
      <c r="O52" s="45">
        <v>3.41</v>
      </c>
      <c r="P52" s="18">
        <f t="shared" si="4"/>
        <v>100577.95</v>
      </c>
      <c r="Q52" s="8"/>
      <c r="R52" s="7"/>
      <c r="S52" s="7">
        <v>0.1</v>
      </c>
      <c r="T52" s="18">
        <f t="shared" si="5"/>
        <v>10057.795</v>
      </c>
      <c r="U52" s="9"/>
      <c r="V52" s="7"/>
      <c r="W52" s="10">
        <f t="shared" si="6"/>
        <v>110635.745</v>
      </c>
      <c r="X52" s="113"/>
    </row>
    <row r="53" spans="1:24" s="80" customFormat="1" ht="17.25" customHeight="1">
      <c r="A53" s="42">
        <v>25</v>
      </c>
      <c r="B53" s="26" t="s">
        <v>166</v>
      </c>
      <c r="C53" s="6" t="s">
        <v>99</v>
      </c>
      <c r="D53" s="20" t="s">
        <v>25</v>
      </c>
      <c r="E53" s="33" t="s">
        <v>167</v>
      </c>
      <c r="F53" s="33" t="s">
        <v>73</v>
      </c>
      <c r="G53" s="5">
        <v>1</v>
      </c>
      <c r="H53" s="20" t="s">
        <v>102</v>
      </c>
      <c r="I53" s="20" t="s">
        <v>103</v>
      </c>
      <c r="J53" s="49">
        <v>3</v>
      </c>
      <c r="K53" s="7">
        <v>17697</v>
      </c>
      <c r="L53" s="47">
        <v>34</v>
      </c>
      <c r="M53" s="7">
        <f t="shared" si="3"/>
        <v>1.8888888888888888</v>
      </c>
      <c r="N53" s="50" t="s">
        <v>109</v>
      </c>
      <c r="O53" s="45">
        <v>4.1399999999999997</v>
      </c>
      <c r="P53" s="18">
        <f t="shared" si="4"/>
        <v>138390.53999999998</v>
      </c>
      <c r="Q53" s="8"/>
      <c r="R53" s="7"/>
      <c r="S53" s="7">
        <v>0.1</v>
      </c>
      <c r="T53" s="18">
        <f t="shared" si="5"/>
        <v>13839.053999999998</v>
      </c>
      <c r="U53" s="9"/>
      <c r="V53" s="7"/>
      <c r="W53" s="10">
        <f t="shared" si="6"/>
        <v>152229.59399999998</v>
      </c>
      <c r="X53" s="113"/>
    </row>
    <row r="54" spans="1:24" s="80" customFormat="1" ht="17.25" customHeight="1">
      <c r="A54" s="5">
        <v>26</v>
      </c>
      <c r="B54" s="26" t="s">
        <v>168</v>
      </c>
      <c r="C54" s="6" t="s">
        <v>99</v>
      </c>
      <c r="D54" s="20" t="s">
        <v>25</v>
      </c>
      <c r="E54" s="33" t="s">
        <v>169</v>
      </c>
      <c r="F54" s="33" t="s">
        <v>73</v>
      </c>
      <c r="G54" s="5">
        <v>1</v>
      </c>
      <c r="H54" s="20" t="s">
        <v>102</v>
      </c>
      <c r="I54" s="20" t="s">
        <v>103</v>
      </c>
      <c r="J54" s="49">
        <v>3</v>
      </c>
      <c r="K54" s="7">
        <v>17697</v>
      </c>
      <c r="L54" s="47">
        <v>27</v>
      </c>
      <c r="M54" s="7">
        <f t="shared" si="3"/>
        <v>1.5</v>
      </c>
      <c r="N54" s="45" t="s">
        <v>109</v>
      </c>
      <c r="O54" s="45">
        <v>4.1399999999999997</v>
      </c>
      <c r="P54" s="18">
        <f t="shared" si="4"/>
        <v>109898.36999999998</v>
      </c>
      <c r="Q54" s="8"/>
      <c r="R54" s="7"/>
      <c r="S54" s="7">
        <v>0.1</v>
      </c>
      <c r="T54" s="18">
        <f>S54*P54</f>
        <v>10989.837</v>
      </c>
      <c r="U54" s="9"/>
      <c r="V54" s="7"/>
      <c r="W54" s="10">
        <f t="shared" si="6"/>
        <v>120888.20699999998</v>
      </c>
      <c r="X54" s="113"/>
    </row>
    <row r="55" spans="1:24" s="80" customFormat="1" ht="17.25" customHeight="1">
      <c r="A55" s="42">
        <v>27</v>
      </c>
      <c r="B55" s="26" t="s">
        <v>89</v>
      </c>
      <c r="C55" s="6" t="s">
        <v>170</v>
      </c>
      <c r="D55" s="20" t="s">
        <v>25</v>
      </c>
      <c r="E55" s="33"/>
      <c r="F55" s="33"/>
      <c r="G55" s="5">
        <v>1</v>
      </c>
      <c r="H55" s="20" t="s">
        <v>102</v>
      </c>
      <c r="I55" s="20" t="s">
        <v>103</v>
      </c>
      <c r="J55" s="49">
        <v>3</v>
      </c>
      <c r="K55" s="7">
        <v>17697</v>
      </c>
      <c r="L55" s="47">
        <v>22</v>
      </c>
      <c r="M55" s="7">
        <f t="shared" si="3"/>
        <v>1.2222222222222223</v>
      </c>
      <c r="N55" s="50" t="s">
        <v>109</v>
      </c>
      <c r="O55" s="45">
        <v>4.1399999999999997</v>
      </c>
      <c r="P55" s="18">
        <f t="shared" si="4"/>
        <v>89546.819999999992</v>
      </c>
      <c r="Q55" s="8"/>
      <c r="R55" s="7"/>
      <c r="S55" s="7">
        <v>0.1</v>
      </c>
      <c r="T55" s="18">
        <f t="shared" si="5"/>
        <v>8954.6819999999989</v>
      </c>
      <c r="U55" s="9"/>
      <c r="V55" s="7"/>
      <c r="W55" s="10">
        <f>T55+P55</f>
        <v>98501.501999999993</v>
      </c>
      <c r="X55" s="113"/>
    </row>
    <row r="56" spans="1:24" s="80" customFormat="1" ht="17.25" customHeight="1">
      <c r="A56" s="5">
        <v>28</v>
      </c>
      <c r="B56" s="26" t="s">
        <v>171</v>
      </c>
      <c r="C56" s="6" t="s">
        <v>99</v>
      </c>
      <c r="D56" s="20" t="s">
        <v>25</v>
      </c>
      <c r="E56" s="33" t="s">
        <v>172</v>
      </c>
      <c r="F56" s="33" t="s">
        <v>34</v>
      </c>
      <c r="G56" s="5">
        <v>1</v>
      </c>
      <c r="H56" s="20" t="s">
        <v>102</v>
      </c>
      <c r="I56" s="20" t="s">
        <v>103</v>
      </c>
      <c r="J56" s="49">
        <v>1</v>
      </c>
      <c r="K56" s="7">
        <v>17697</v>
      </c>
      <c r="L56" s="47">
        <v>36</v>
      </c>
      <c r="M56" s="7">
        <f t="shared" si="3"/>
        <v>2</v>
      </c>
      <c r="N56" s="50" t="s">
        <v>129</v>
      </c>
      <c r="O56" s="45">
        <v>4.75</v>
      </c>
      <c r="P56" s="18">
        <f t="shared" si="4"/>
        <v>168121.5</v>
      </c>
      <c r="Q56" s="8"/>
      <c r="R56" s="7"/>
      <c r="S56" s="7">
        <v>0.1</v>
      </c>
      <c r="T56" s="18">
        <f t="shared" si="5"/>
        <v>16812.150000000001</v>
      </c>
      <c r="U56" s="9"/>
      <c r="V56" s="7"/>
      <c r="W56" s="10">
        <f t="shared" si="6"/>
        <v>184933.65</v>
      </c>
      <c r="X56" s="113"/>
    </row>
    <row r="57" spans="1:24" s="80" customFormat="1" ht="17.25" customHeight="1">
      <c r="A57" s="42">
        <v>29</v>
      </c>
      <c r="B57" s="26" t="s">
        <v>173</v>
      </c>
      <c r="C57" s="6" t="s">
        <v>99</v>
      </c>
      <c r="D57" s="20" t="s">
        <v>25</v>
      </c>
      <c r="E57" s="33" t="s">
        <v>174</v>
      </c>
      <c r="F57" s="33" t="s">
        <v>101</v>
      </c>
      <c r="G57" s="5">
        <v>1</v>
      </c>
      <c r="H57" s="20" t="s">
        <v>102</v>
      </c>
      <c r="I57" s="20" t="s">
        <v>103</v>
      </c>
      <c r="J57" s="49">
        <v>1</v>
      </c>
      <c r="K57" s="7">
        <v>17697</v>
      </c>
      <c r="L57" s="47">
        <v>32.5</v>
      </c>
      <c r="M57" s="7">
        <f t="shared" si="3"/>
        <v>1.8055555555555556</v>
      </c>
      <c r="N57" s="45" t="s">
        <v>152</v>
      </c>
      <c r="O57" s="142">
        <v>4.55</v>
      </c>
      <c r="P57" s="18">
        <f t="shared" si="4"/>
        <v>145385.77083333331</v>
      </c>
      <c r="Q57" s="8"/>
      <c r="R57" s="7"/>
      <c r="S57" s="7">
        <v>0.1</v>
      </c>
      <c r="T57" s="18">
        <f t="shared" si="5"/>
        <v>14538.577083333332</v>
      </c>
      <c r="U57" s="9"/>
      <c r="V57" s="7"/>
      <c r="W57" s="10">
        <f t="shared" si="6"/>
        <v>159924.34791666665</v>
      </c>
      <c r="X57" s="113"/>
    </row>
    <row r="58" spans="1:24" s="80" customFormat="1" ht="17.25" customHeight="1">
      <c r="A58" s="5">
        <v>30</v>
      </c>
      <c r="B58" s="26" t="s">
        <v>175</v>
      </c>
      <c r="C58" s="6" t="s">
        <v>99</v>
      </c>
      <c r="D58" s="20" t="s">
        <v>25</v>
      </c>
      <c r="E58" s="33" t="s">
        <v>176</v>
      </c>
      <c r="F58" s="33" t="s">
        <v>114</v>
      </c>
      <c r="G58" s="5">
        <v>1</v>
      </c>
      <c r="H58" s="20" t="s">
        <v>102</v>
      </c>
      <c r="I58" s="20" t="s">
        <v>103</v>
      </c>
      <c r="J58" s="49">
        <v>1</v>
      </c>
      <c r="K58" s="7">
        <v>17697</v>
      </c>
      <c r="L58" s="47">
        <v>18</v>
      </c>
      <c r="M58" s="7">
        <f t="shared" si="3"/>
        <v>1</v>
      </c>
      <c r="N58" s="45" t="s">
        <v>152</v>
      </c>
      <c r="O58" s="45">
        <v>4.75</v>
      </c>
      <c r="P58" s="18">
        <f t="shared" si="4"/>
        <v>84060.75</v>
      </c>
      <c r="Q58" s="8"/>
      <c r="R58" s="7"/>
      <c r="S58" s="7">
        <v>0.1</v>
      </c>
      <c r="T58" s="18">
        <f t="shared" si="5"/>
        <v>8406.0750000000007</v>
      </c>
      <c r="U58" s="9"/>
      <c r="V58" s="7"/>
      <c r="W58" s="10">
        <f t="shared" si="6"/>
        <v>92466.824999999997</v>
      </c>
      <c r="X58" s="113"/>
    </row>
    <row r="59" spans="1:24" s="80" customFormat="1" ht="17.25" customHeight="1">
      <c r="A59" s="42">
        <v>31</v>
      </c>
      <c r="B59" s="26" t="s">
        <v>177</v>
      </c>
      <c r="C59" s="6" t="s">
        <v>99</v>
      </c>
      <c r="D59" s="20" t="s">
        <v>178</v>
      </c>
      <c r="E59" s="33" t="s">
        <v>179</v>
      </c>
      <c r="F59" s="33" t="s">
        <v>93</v>
      </c>
      <c r="G59" s="5">
        <v>1</v>
      </c>
      <c r="H59" s="20" t="s">
        <v>102</v>
      </c>
      <c r="I59" s="20" t="s">
        <v>103</v>
      </c>
      <c r="J59" s="49">
        <v>2</v>
      </c>
      <c r="K59" s="7">
        <v>17697</v>
      </c>
      <c r="L59" s="47">
        <v>22</v>
      </c>
      <c r="M59" s="7">
        <f t="shared" si="3"/>
        <v>1.2222222222222223</v>
      </c>
      <c r="N59" s="45" t="s">
        <v>109</v>
      </c>
      <c r="O59" s="45">
        <v>4.4400000000000004</v>
      </c>
      <c r="P59" s="18">
        <f t="shared" si="4"/>
        <v>96035.72</v>
      </c>
      <c r="Q59" s="8"/>
      <c r="R59" s="7"/>
      <c r="S59" s="7">
        <v>0.1</v>
      </c>
      <c r="T59" s="18">
        <f t="shared" si="5"/>
        <v>9603.5720000000001</v>
      </c>
      <c r="U59" s="9"/>
      <c r="V59" s="7"/>
      <c r="W59" s="10">
        <f t="shared" si="6"/>
        <v>105639.292</v>
      </c>
      <c r="X59" s="113"/>
    </row>
    <row r="60" spans="1:24" s="80" customFormat="1" ht="17.25" customHeight="1">
      <c r="A60" s="5">
        <v>32</v>
      </c>
      <c r="B60" s="26" t="s">
        <v>180</v>
      </c>
      <c r="C60" s="6" t="s">
        <v>148</v>
      </c>
      <c r="D60" s="20" t="s">
        <v>25</v>
      </c>
      <c r="E60" s="33" t="s">
        <v>181</v>
      </c>
      <c r="F60" s="33" t="s">
        <v>27</v>
      </c>
      <c r="G60" s="5">
        <v>1</v>
      </c>
      <c r="H60" s="20" t="s">
        <v>102</v>
      </c>
      <c r="I60" s="20" t="s">
        <v>103</v>
      </c>
      <c r="J60" s="49">
        <v>3</v>
      </c>
      <c r="K60" s="7">
        <v>17697</v>
      </c>
      <c r="L60" s="47">
        <v>18</v>
      </c>
      <c r="M60" s="7">
        <f t="shared" si="3"/>
        <v>1</v>
      </c>
      <c r="N60" s="45" t="s">
        <v>109</v>
      </c>
      <c r="O60" s="57">
        <v>4.5</v>
      </c>
      <c r="P60" s="18">
        <f t="shared" si="4"/>
        <v>79636.5</v>
      </c>
      <c r="Q60" s="8"/>
      <c r="R60" s="7"/>
      <c r="S60" s="7">
        <v>0.1</v>
      </c>
      <c r="T60" s="18">
        <f t="shared" si="5"/>
        <v>7963.6500000000005</v>
      </c>
      <c r="U60" s="9"/>
      <c r="V60" s="7"/>
      <c r="W60" s="10">
        <f t="shared" si="6"/>
        <v>87600.15</v>
      </c>
      <c r="X60" s="113"/>
    </row>
    <row r="61" spans="1:24" s="80" customFormat="1" ht="17.25" customHeight="1">
      <c r="A61" s="42">
        <v>33</v>
      </c>
      <c r="B61" s="26" t="s">
        <v>182</v>
      </c>
      <c r="C61" s="6" t="s">
        <v>99</v>
      </c>
      <c r="D61" s="20" t="s">
        <v>25</v>
      </c>
      <c r="E61" s="33" t="s">
        <v>183</v>
      </c>
      <c r="F61" s="33" t="s">
        <v>93</v>
      </c>
      <c r="G61" s="5">
        <v>1</v>
      </c>
      <c r="H61" s="20" t="s">
        <v>102</v>
      </c>
      <c r="I61" s="20" t="s">
        <v>103</v>
      </c>
      <c r="J61" s="49">
        <v>1</v>
      </c>
      <c r="K61" s="7">
        <v>17697</v>
      </c>
      <c r="L61" s="47">
        <v>26</v>
      </c>
      <c r="M61" s="7">
        <f t="shared" si="3"/>
        <v>1.4444444444444444</v>
      </c>
      <c r="N61" s="45" t="s">
        <v>152</v>
      </c>
      <c r="O61" s="45">
        <v>4.6900000000000004</v>
      </c>
      <c r="P61" s="18">
        <f t="shared" si="4"/>
        <v>119887.34333333335</v>
      </c>
      <c r="Q61" s="8"/>
      <c r="R61" s="7"/>
      <c r="S61" s="7">
        <v>0.1</v>
      </c>
      <c r="T61" s="18">
        <f t="shared" si="5"/>
        <v>11988.734333333336</v>
      </c>
      <c r="U61" s="9"/>
      <c r="V61" s="7"/>
      <c r="W61" s="10">
        <f t="shared" si="6"/>
        <v>131876.07766666668</v>
      </c>
      <c r="X61" s="113"/>
    </row>
    <row r="62" spans="1:24" s="80" customFormat="1" ht="17.25" customHeight="1">
      <c r="A62" s="5">
        <v>34</v>
      </c>
      <c r="B62" s="26" t="s">
        <v>184</v>
      </c>
      <c r="C62" s="6" t="s">
        <v>99</v>
      </c>
      <c r="D62" s="20" t="s">
        <v>25</v>
      </c>
      <c r="E62" s="33" t="s">
        <v>185</v>
      </c>
      <c r="F62" s="33" t="s">
        <v>27</v>
      </c>
      <c r="G62" s="5">
        <v>1</v>
      </c>
      <c r="H62" s="20" t="s">
        <v>102</v>
      </c>
      <c r="I62" s="20" t="s">
        <v>103</v>
      </c>
      <c r="J62" s="49">
        <v>1</v>
      </c>
      <c r="K62" s="7">
        <v>17697</v>
      </c>
      <c r="L62" s="47">
        <v>29</v>
      </c>
      <c r="M62" s="7">
        <f t="shared" si="3"/>
        <v>1.6111111111111112</v>
      </c>
      <c r="N62" s="50" t="s">
        <v>129</v>
      </c>
      <c r="O62" s="45">
        <v>4.75</v>
      </c>
      <c r="P62" s="18">
        <f t="shared" si="4"/>
        <v>135431.20833333334</v>
      </c>
      <c r="Q62" s="8"/>
      <c r="R62" s="7"/>
      <c r="S62" s="7">
        <v>0.1</v>
      </c>
      <c r="T62" s="18">
        <f t="shared" si="5"/>
        <v>13543.120833333334</v>
      </c>
      <c r="U62" s="9"/>
      <c r="V62" s="7"/>
      <c r="W62" s="10">
        <f t="shared" si="6"/>
        <v>148974.32916666666</v>
      </c>
      <c r="X62" s="113"/>
    </row>
    <row r="63" spans="1:24" s="80" customFormat="1" ht="17.25" customHeight="1">
      <c r="A63" s="42">
        <v>35</v>
      </c>
      <c r="B63" s="26" t="s">
        <v>186</v>
      </c>
      <c r="C63" s="6" t="s">
        <v>99</v>
      </c>
      <c r="D63" s="20" t="s">
        <v>25</v>
      </c>
      <c r="E63" s="33" t="s">
        <v>187</v>
      </c>
      <c r="F63" s="33" t="s">
        <v>27</v>
      </c>
      <c r="G63" s="5">
        <v>1</v>
      </c>
      <c r="H63" s="20" t="s">
        <v>102</v>
      </c>
      <c r="I63" s="20" t="s">
        <v>103</v>
      </c>
      <c r="J63" s="49">
        <v>1</v>
      </c>
      <c r="K63" s="7">
        <v>17697</v>
      </c>
      <c r="L63" s="47">
        <v>28</v>
      </c>
      <c r="M63" s="7">
        <f t="shared" si="3"/>
        <v>1.5555555555555556</v>
      </c>
      <c r="N63" s="50" t="s">
        <v>129</v>
      </c>
      <c r="O63" s="45">
        <v>4.75</v>
      </c>
      <c r="P63" s="18">
        <f t="shared" si="4"/>
        <v>130761.16666666667</v>
      </c>
      <c r="Q63" s="8"/>
      <c r="R63" s="7"/>
      <c r="S63" s="7">
        <v>0.1</v>
      </c>
      <c r="T63" s="18">
        <f t="shared" si="5"/>
        <v>13076.116666666669</v>
      </c>
      <c r="U63" s="9"/>
      <c r="V63" s="7"/>
      <c r="W63" s="10">
        <f t="shared" si="6"/>
        <v>143837.28333333333</v>
      </c>
      <c r="X63" s="113"/>
    </row>
    <row r="64" spans="1:24" s="125" customFormat="1" ht="17.25" customHeight="1">
      <c r="A64" s="30">
        <v>36</v>
      </c>
      <c r="B64" s="29" t="s">
        <v>188</v>
      </c>
      <c r="C64" s="143" t="s">
        <v>99</v>
      </c>
      <c r="D64" s="31" t="s">
        <v>189</v>
      </c>
      <c r="E64" s="144" t="s">
        <v>190</v>
      </c>
      <c r="F64" s="145" t="s">
        <v>51</v>
      </c>
      <c r="G64" s="30">
        <v>1</v>
      </c>
      <c r="H64" s="31" t="s">
        <v>102</v>
      </c>
      <c r="I64" s="31" t="s">
        <v>103</v>
      </c>
      <c r="J64" s="49">
        <v>2</v>
      </c>
      <c r="K64" s="146">
        <v>17697</v>
      </c>
      <c r="L64" s="147">
        <v>36</v>
      </c>
      <c r="M64" s="146">
        <f t="shared" si="3"/>
        <v>2</v>
      </c>
      <c r="N64" s="148" t="s">
        <v>109</v>
      </c>
      <c r="O64" s="148">
        <v>4.4400000000000004</v>
      </c>
      <c r="P64" s="149">
        <f t="shared" si="4"/>
        <v>157149.36000000002</v>
      </c>
      <c r="Q64" s="150"/>
      <c r="R64" s="146"/>
      <c r="S64" s="146">
        <v>0.1</v>
      </c>
      <c r="T64" s="149">
        <f t="shared" si="5"/>
        <v>15714.936000000002</v>
      </c>
      <c r="U64" s="151"/>
      <c r="V64" s="146"/>
      <c r="W64" s="152">
        <f t="shared" si="6"/>
        <v>172864.29600000003</v>
      </c>
      <c r="X64" s="124"/>
    </row>
    <row r="65" spans="1:24" s="80" customFormat="1" ht="17.25" customHeight="1">
      <c r="A65" s="42">
        <v>37</v>
      </c>
      <c r="B65" s="26" t="s">
        <v>191</v>
      </c>
      <c r="C65" s="6" t="s">
        <v>99</v>
      </c>
      <c r="D65" s="20" t="s">
        <v>25</v>
      </c>
      <c r="E65" s="58" t="s">
        <v>192</v>
      </c>
      <c r="F65" s="33" t="s">
        <v>73</v>
      </c>
      <c r="G65" s="5">
        <v>1</v>
      </c>
      <c r="H65" s="20" t="s">
        <v>102</v>
      </c>
      <c r="I65" s="20" t="s">
        <v>103</v>
      </c>
      <c r="J65" s="49">
        <v>2</v>
      </c>
      <c r="K65" s="7">
        <v>17697</v>
      </c>
      <c r="L65" s="47">
        <v>23</v>
      </c>
      <c r="M65" s="7">
        <f t="shared" si="3"/>
        <v>1.2777777777777777</v>
      </c>
      <c r="N65" s="45" t="s">
        <v>104</v>
      </c>
      <c r="O65" s="45">
        <v>4.16</v>
      </c>
      <c r="P65" s="18">
        <f t="shared" si="4"/>
        <v>94069.386666666673</v>
      </c>
      <c r="Q65" s="8"/>
      <c r="R65" s="7"/>
      <c r="S65" s="7">
        <v>0.1</v>
      </c>
      <c r="T65" s="18">
        <f t="shared" si="5"/>
        <v>9406.9386666666669</v>
      </c>
      <c r="U65" s="9"/>
      <c r="V65" s="7"/>
      <c r="W65" s="10">
        <f t="shared" si="6"/>
        <v>103476.32533333334</v>
      </c>
      <c r="X65" s="113"/>
    </row>
    <row r="66" spans="1:24" s="80" customFormat="1" ht="17.25" customHeight="1">
      <c r="A66" s="5">
        <v>38</v>
      </c>
      <c r="B66" s="26" t="s">
        <v>193</v>
      </c>
      <c r="C66" s="6" t="s">
        <v>99</v>
      </c>
      <c r="D66" s="20" t="s">
        <v>64</v>
      </c>
      <c r="E66" s="58" t="s">
        <v>194</v>
      </c>
      <c r="F66" s="33" t="s">
        <v>140</v>
      </c>
      <c r="G66" s="5">
        <v>1</v>
      </c>
      <c r="H66" s="20" t="s">
        <v>102</v>
      </c>
      <c r="I66" s="20" t="s">
        <v>118</v>
      </c>
      <c r="J66" s="49">
        <v>3</v>
      </c>
      <c r="K66" s="7">
        <v>17697</v>
      </c>
      <c r="L66" s="47">
        <v>28</v>
      </c>
      <c r="M66" s="7">
        <f t="shared" si="3"/>
        <v>1.5555555555555556</v>
      </c>
      <c r="N66" s="45" t="s">
        <v>109</v>
      </c>
      <c r="O66" s="45">
        <v>3.91</v>
      </c>
      <c r="P66" s="18">
        <f t="shared" si="4"/>
        <v>107637.08666666667</v>
      </c>
      <c r="Q66" s="8"/>
      <c r="R66" s="7"/>
      <c r="S66" s="7">
        <v>0.1</v>
      </c>
      <c r="T66" s="18">
        <f t="shared" si="5"/>
        <v>10763.708666666667</v>
      </c>
      <c r="U66" s="9"/>
      <c r="V66" s="7"/>
      <c r="W66" s="10">
        <f t="shared" si="6"/>
        <v>118400.79533333334</v>
      </c>
      <c r="X66" s="113"/>
    </row>
    <row r="67" spans="1:24" s="80" customFormat="1" ht="17.25" customHeight="1">
      <c r="A67" s="42">
        <v>39</v>
      </c>
      <c r="B67" s="26" t="s">
        <v>195</v>
      </c>
      <c r="C67" s="6" t="s">
        <v>99</v>
      </c>
      <c r="D67" s="20" t="s">
        <v>64</v>
      </c>
      <c r="E67" s="59" t="s">
        <v>196</v>
      </c>
      <c r="F67" s="33" t="s">
        <v>34</v>
      </c>
      <c r="G67" s="5">
        <v>1</v>
      </c>
      <c r="H67" s="20" t="s">
        <v>102</v>
      </c>
      <c r="I67" s="20" t="s">
        <v>118</v>
      </c>
      <c r="J67" s="49">
        <v>1</v>
      </c>
      <c r="K67" s="7">
        <v>17697</v>
      </c>
      <c r="L67" s="47">
        <v>18</v>
      </c>
      <c r="M67" s="7">
        <f t="shared" si="3"/>
        <v>1</v>
      </c>
      <c r="N67" s="45" t="s">
        <v>152</v>
      </c>
      <c r="O67" s="45">
        <v>4.5199999999999996</v>
      </c>
      <c r="P67" s="18">
        <f t="shared" si="4"/>
        <v>79990.439999999988</v>
      </c>
      <c r="Q67" s="8"/>
      <c r="R67" s="7"/>
      <c r="S67" s="7">
        <v>0.1</v>
      </c>
      <c r="T67" s="18">
        <f t="shared" si="5"/>
        <v>7999.043999999999</v>
      </c>
      <c r="U67" s="9"/>
      <c r="V67" s="7"/>
      <c r="W67" s="10">
        <f t="shared" si="6"/>
        <v>87989.483999999982</v>
      </c>
      <c r="X67" s="113"/>
    </row>
    <row r="68" spans="1:24" s="80" customFormat="1" ht="17.25" customHeight="1">
      <c r="A68" s="5">
        <v>40</v>
      </c>
      <c r="B68" s="26" t="s">
        <v>197</v>
      </c>
      <c r="C68" s="6" t="s">
        <v>99</v>
      </c>
      <c r="D68" s="20" t="s">
        <v>25</v>
      </c>
      <c r="E68" s="58" t="s">
        <v>198</v>
      </c>
      <c r="F68" s="33" t="s">
        <v>34</v>
      </c>
      <c r="G68" s="5">
        <v>1</v>
      </c>
      <c r="H68" s="20" t="s">
        <v>102</v>
      </c>
      <c r="I68" s="20" t="s">
        <v>103</v>
      </c>
      <c r="J68" s="49">
        <v>1</v>
      </c>
      <c r="K68" s="7">
        <v>17697</v>
      </c>
      <c r="L68" s="47">
        <v>31</v>
      </c>
      <c r="M68" s="7">
        <f t="shared" si="3"/>
        <v>1.7222222222222223</v>
      </c>
      <c r="N68" s="50" t="s">
        <v>129</v>
      </c>
      <c r="O68" s="45">
        <v>4.75</v>
      </c>
      <c r="P68" s="18">
        <f t="shared" si="4"/>
        <v>144771.29166666669</v>
      </c>
      <c r="Q68" s="8"/>
      <c r="R68" s="7"/>
      <c r="S68" s="7">
        <v>0.1</v>
      </c>
      <c r="T68" s="18">
        <f t="shared" si="5"/>
        <v>14477.129166666669</v>
      </c>
      <c r="U68" s="9"/>
      <c r="V68" s="7"/>
      <c r="W68" s="10">
        <f t="shared" si="6"/>
        <v>159248.42083333337</v>
      </c>
      <c r="X68" s="113"/>
    </row>
    <row r="69" spans="1:24" s="80" customFormat="1" ht="17.25" customHeight="1">
      <c r="A69" s="42">
        <v>41</v>
      </c>
      <c r="B69" s="26" t="s">
        <v>199</v>
      </c>
      <c r="C69" s="6" t="s">
        <v>99</v>
      </c>
      <c r="D69" s="20" t="s">
        <v>25</v>
      </c>
      <c r="E69" s="58" t="s">
        <v>158</v>
      </c>
      <c r="F69" s="33" t="s">
        <v>159</v>
      </c>
      <c r="G69" s="5">
        <v>1</v>
      </c>
      <c r="H69" s="20" t="s">
        <v>102</v>
      </c>
      <c r="I69" s="20" t="s">
        <v>118</v>
      </c>
      <c r="J69" s="49">
        <v>4</v>
      </c>
      <c r="K69" s="7">
        <v>17697</v>
      </c>
      <c r="L69" s="47">
        <v>21</v>
      </c>
      <c r="M69" s="7">
        <f t="shared" si="3"/>
        <v>1.1666666666666667</v>
      </c>
      <c r="N69" s="55" t="s">
        <v>112</v>
      </c>
      <c r="O69" s="45">
        <v>3.32</v>
      </c>
      <c r="P69" s="18">
        <f t="shared" si="4"/>
        <v>68546.37999999999</v>
      </c>
      <c r="Q69" s="8"/>
      <c r="R69" s="7"/>
      <c r="S69" s="7">
        <v>0.1</v>
      </c>
      <c r="T69" s="18">
        <f t="shared" si="5"/>
        <v>6854.637999999999</v>
      </c>
      <c r="U69" s="9"/>
      <c r="V69" s="7"/>
      <c r="W69" s="10">
        <f t="shared" si="6"/>
        <v>75401.017999999982</v>
      </c>
      <c r="X69" s="113"/>
    </row>
    <row r="70" spans="1:24" s="80" customFormat="1" ht="17.25" customHeight="1">
      <c r="A70" s="5">
        <v>42</v>
      </c>
      <c r="B70" s="26" t="s">
        <v>200</v>
      </c>
      <c r="C70" s="6" t="s">
        <v>99</v>
      </c>
      <c r="D70" s="20" t="s">
        <v>25</v>
      </c>
      <c r="E70" s="58" t="s">
        <v>201</v>
      </c>
      <c r="F70" s="33" t="s">
        <v>34</v>
      </c>
      <c r="G70" s="5">
        <v>1</v>
      </c>
      <c r="H70" s="20" t="s">
        <v>102</v>
      </c>
      <c r="I70" s="20" t="s">
        <v>103</v>
      </c>
      <c r="J70" s="49">
        <v>2</v>
      </c>
      <c r="K70" s="7">
        <v>17697</v>
      </c>
      <c r="L70" s="47">
        <v>24</v>
      </c>
      <c r="M70" s="7">
        <f t="shared" si="3"/>
        <v>1.3333333333333333</v>
      </c>
      <c r="N70" s="45" t="s">
        <v>104</v>
      </c>
      <c r="O70" s="45">
        <v>4.51</v>
      </c>
      <c r="P70" s="18">
        <f t="shared" si="4"/>
        <v>106417.96</v>
      </c>
      <c r="Q70" s="8"/>
      <c r="R70" s="7"/>
      <c r="S70" s="7">
        <v>0.1</v>
      </c>
      <c r="T70" s="18">
        <f t="shared" si="5"/>
        <v>10641.796000000002</v>
      </c>
      <c r="U70" s="9"/>
      <c r="V70" s="7"/>
      <c r="W70" s="10">
        <f t="shared" si="6"/>
        <v>117059.75600000001</v>
      </c>
      <c r="X70" s="113"/>
    </row>
    <row r="71" spans="1:24" s="80" customFormat="1" ht="17.25" customHeight="1">
      <c r="A71" s="42">
        <v>43</v>
      </c>
      <c r="B71" s="32" t="s">
        <v>202</v>
      </c>
      <c r="C71" s="39" t="s">
        <v>99</v>
      </c>
      <c r="D71" s="60" t="s">
        <v>75</v>
      </c>
      <c r="E71" s="61" t="s">
        <v>203</v>
      </c>
      <c r="F71" s="62" t="s">
        <v>66</v>
      </c>
      <c r="G71" s="40">
        <v>1</v>
      </c>
      <c r="H71" s="60" t="s">
        <v>102</v>
      </c>
      <c r="I71" s="60" t="s">
        <v>103</v>
      </c>
      <c r="J71" s="63">
        <v>3</v>
      </c>
      <c r="K71" s="34">
        <v>17697</v>
      </c>
      <c r="L71" s="64">
        <v>30</v>
      </c>
      <c r="M71" s="34">
        <f t="shared" si="3"/>
        <v>1.6666666666666667</v>
      </c>
      <c r="N71" s="48" t="s">
        <v>109</v>
      </c>
      <c r="O71" s="48">
        <v>4.28</v>
      </c>
      <c r="P71" s="36">
        <f t="shared" si="4"/>
        <v>126238.60000000002</v>
      </c>
      <c r="Q71" s="37"/>
      <c r="R71" s="34"/>
      <c r="S71" s="34">
        <v>0.1</v>
      </c>
      <c r="T71" s="36">
        <f t="shared" si="5"/>
        <v>12623.860000000002</v>
      </c>
      <c r="U71" s="38"/>
      <c r="V71" s="34"/>
      <c r="W71" s="35">
        <f t="shared" si="6"/>
        <v>138862.46000000002</v>
      </c>
      <c r="X71" s="113"/>
    </row>
    <row r="72" spans="1:24" s="80" customFormat="1" ht="17.25" customHeight="1">
      <c r="A72" s="5">
        <v>44</v>
      </c>
      <c r="B72" s="32" t="s">
        <v>204</v>
      </c>
      <c r="C72" s="39" t="s">
        <v>99</v>
      </c>
      <c r="D72" s="20" t="s">
        <v>25</v>
      </c>
      <c r="E72" s="33" t="s">
        <v>205</v>
      </c>
      <c r="F72" s="33" t="s">
        <v>206</v>
      </c>
      <c r="G72" s="40">
        <v>1</v>
      </c>
      <c r="H72" s="60" t="s">
        <v>102</v>
      </c>
      <c r="I72" s="60" t="s">
        <v>103</v>
      </c>
      <c r="J72" s="63">
        <v>3</v>
      </c>
      <c r="K72" s="34">
        <v>17697</v>
      </c>
      <c r="L72" s="64">
        <v>8</v>
      </c>
      <c r="M72" s="34">
        <f t="shared" si="3"/>
        <v>0.44444444444444442</v>
      </c>
      <c r="N72" s="48" t="s">
        <v>109</v>
      </c>
      <c r="O72" s="48">
        <v>4</v>
      </c>
      <c r="P72" s="36">
        <f t="shared" si="4"/>
        <v>31461.333333333332</v>
      </c>
      <c r="Q72" s="37"/>
      <c r="R72" s="34"/>
      <c r="S72" s="34">
        <v>0.1</v>
      </c>
      <c r="T72" s="36">
        <f t="shared" si="5"/>
        <v>3146.1333333333332</v>
      </c>
      <c r="U72" s="38"/>
      <c r="V72" s="34"/>
      <c r="W72" s="35">
        <f>T72+P72</f>
        <v>34607.466666666667</v>
      </c>
      <c r="X72" s="113"/>
    </row>
    <row r="73" spans="1:24" s="80" customFormat="1" ht="17.25" customHeight="1">
      <c r="A73" s="42">
        <v>45</v>
      </c>
      <c r="B73" s="32" t="s">
        <v>207</v>
      </c>
      <c r="C73" s="39" t="s">
        <v>99</v>
      </c>
      <c r="D73" s="20" t="s">
        <v>25</v>
      </c>
      <c r="E73" s="33" t="s">
        <v>208</v>
      </c>
      <c r="F73" s="33" t="s">
        <v>209</v>
      </c>
      <c r="G73" s="40">
        <v>1</v>
      </c>
      <c r="H73" s="20" t="s">
        <v>102</v>
      </c>
      <c r="I73" s="20" t="s">
        <v>103</v>
      </c>
      <c r="J73" s="49">
        <v>2</v>
      </c>
      <c r="K73" s="34">
        <v>17697</v>
      </c>
      <c r="L73" s="64">
        <v>7</v>
      </c>
      <c r="M73" s="34">
        <f t="shared" si="3"/>
        <v>0.3888888888888889</v>
      </c>
      <c r="N73" s="48" t="s">
        <v>109</v>
      </c>
      <c r="O73" s="48">
        <v>4.2300000000000004</v>
      </c>
      <c r="P73" s="36">
        <f t="shared" si="4"/>
        <v>29111.565000000006</v>
      </c>
      <c r="Q73" s="37"/>
      <c r="R73" s="34"/>
      <c r="S73" s="34">
        <v>0.1</v>
      </c>
      <c r="T73" s="36">
        <f t="shared" si="5"/>
        <v>2911.156500000001</v>
      </c>
      <c r="U73" s="38"/>
      <c r="V73" s="34"/>
      <c r="W73" s="35">
        <f>T73+P73</f>
        <v>32022.721500000007</v>
      </c>
      <c r="X73" s="113"/>
    </row>
    <row r="74" spans="1:24" s="80" customFormat="1" ht="17.25" customHeight="1">
      <c r="A74" s="5">
        <v>46</v>
      </c>
      <c r="B74" s="26" t="s">
        <v>210</v>
      </c>
      <c r="C74" s="6" t="s">
        <v>99</v>
      </c>
      <c r="D74" s="20" t="s">
        <v>25</v>
      </c>
      <c r="E74" s="33" t="s">
        <v>211</v>
      </c>
      <c r="F74" s="33" t="s">
        <v>77</v>
      </c>
      <c r="G74" s="5">
        <v>1</v>
      </c>
      <c r="H74" s="20" t="s">
        <v>102</v>
      </c>
      <c r="I74" s="20" t="s">
        <v>103</v>
      </c>
      <c r="J74" s="27">
        <v>3</v>
      </c>
      <c r="K74" s="7">
        <v>17697</v>
      </c>
      <c r="L74" s="47">
        <v>13</v>
      </c>
      <c r="M74" s="7">
        <f t="shared" si="3"/>
        <v>0.72222222222222221</v>
      </c>
      <c r="N74" s="45" t="s">
        <v>212</v>
      </c>
      <c r="O74" s="45">
        <v>4</v>
      </c>
      <c r="P74" s="18">
        <f t="shared" si="4"/>
        <v>51124.666666666664</v>
      </c>
      <c r="Q74" s="8"/>
      <c r="R74" s="7"/>
      <c r="S74" s="7">
        <v>0.1</v>
      </c>
      <c r="T74" s="18">
        <f t="shared" si="5"/>
        <v>5112.4666666666672</v>
      </c>
      <c r="U74" s="9"/>
      <c r="V74" s="7"/>
      <c r="W74" s="10">
        <f>T74+P74</f>
        <v>56237.133333333331</v>
      </c>
      <c r="X74" s="113"/>
    </row>
    <row r="75" spans="1:24" s="80" customFormat="1" ht="17.25" customHeight="1">
      <c r="A75" s="42">
        <v>47</v>
      </c>
      <c r="B75" s="26" t="s">
        <v>213</v>
      </c>
      <c r="C75" s="6" t="s">
        <v>99</v>
      </c>
      <c r="D75" s="20" t="s">
        <v>25</v>
      </c>
      <c r="E75" s="33" t="s">
        <v>214</v>
      </c>
      <c r="F75" s="33" t="s">
        <v>34</v>
      </c>
      <c r="G75" s="5">
        <v>1</v>
      </c>
      <c r="H75" s="20" t="s">
        <v>102</v>
      </c>
      <c r="I75" s="20" t="s">
        <v>103</v>
      </c>
      <c r="J75" s="49">
        <v>1</v>
      </c>
      <c r="K75" s="7">
        <v>17697</v>
      </c>
      <c r="L75" s="47">
        <v>12</v>
      </c>
      <c r="M75" s="7">
        <f>L75/18</f>
        <v>0.66666666666666663</v>
      </c>
      <c r="N75" s="45" t="s">
        <v>129</v>
      </c>
      <c r="O75" s="45">
        <v>4.75</v>
      </c>
      <c r="P75" s="18">
        <f t="shared" si="4"/>
        <v>56040.5</v>
      </c>
      <c r="Q75" s="8"/>
      <c r="R75" s="7"/>
      <c r="S75" s="7">
        <v>0.1</v>
      </c>
      <c r="T75" s="18">
        <f t="shared" si="5"/>
        <v>5604.05</v>
      </c>
      <c r="U75" s="9"/>
      <c r="V75" s="7"/>
      <c r="W75" s="10">
        <f>T75+P75</f>
        <v>61644.55</v>
      </c>
      <c r="X75" s="113"/>
    </row>
    <row r="76" spans="1:24" s="112" customFormat="1" ht="17.25" customHeight="1">
      <c r="A76" s="91"/>
      <c r="B76" s="105"/>
      <c r="C76" s="106"/>
      <c r="D76" s="93"/>
      <c r="E76" s="107"/>
      <c r="F76" s="107"/>
      <c r="G76" s="95"/>
      <c r="H76" s="93"/>
      <c r="I76" s="93"/>
      <c r="J76" s="108"/>
      <c r="K76" s="97"/>
      <c r="L76" s="109">
        <f>SUM(L29:L75)</f>
        <v>1088</v>
      </c>
      <c r="M76" s="97"/>
      <c r="N76" s="110"/>
      <c r="O76" s="110"/>
      <c r="P76" s="101"/>
      <c r="Q76" s="102"/>
      <c r="R76" s="97"/>
      <c r="S76" s="97"/>
      <c r="T76" s="101"/>
      <c r="U76" s="103"/>
      <c r="V76" s="97"/>
      <c r="W76" s="104"/>
      <c r="X76" s="111"/>
    </row>
    <row r="77" spans="1:24" s="80" customFormat="1" ht="17.25" customHeight="1">
      <c r="A77" s="5">
        <v>1</v>
      </c>
      <c r="B77" s="153" t="s">
        <v>215</v>
      </c>
      <c r="C77" s="6" t="s">
        <v>99</v>
      </c>
      <c r="D77" s="20" t="s">
        <v>25</v>
      </c>
      <c r="E77" s="154" t="s">
        <v>216</v>
      </c>
      <c r="F77" s="154" t="s">
        <v>217</v>
      </c>
      <c r="G77" s="155">
        <v>1</v>
      </c>
      <c r="H77" s="156" t="s">
        <v>102</v>
      </c>
      <c r="I77" s="156" t="s">
        <v>103</v>
      </c>
      <c r="J77" s="55">
        <v>1</v>
      </c>
      <c r="K77" s="7">
        <v>17697</v>
      </c>
      <c r="L77" s="157">
        <v>19</v>
      </c>
      <c r="M77" s="7">
        <f t="shared" ref="M77:M96" si="7">L77/18</f>
        <v>1.0555555555555556</v>
      </c>
      <c r="N77" s="55" t="s">
        <v>218</v>
      </c>
      <c r="O77" s="11">
        <v>4.6900000000000004</v>
      </c>
      <c r="P77" s="18">
        <f t="shared" si="4"/>
        <v>87609.981666666674</v>
      </c>
      <c r="Q77" s="8"/>
      <c r="R77" s="7"/>
      <c r="S77" s="7">
        <v>0.1</v>
      </c>
      <c r="T77" s="18">
        <f t="shared" ref="T77:T116" si="8">P77*S77</f>
        <v>8760.9981666666681</v>
      </c>
      <c r="U77" s="9"/>
      <c r="V77" s="7"/>
      <c r="W77" s="10">
        <f>T77+P77</f>
        <v>96370.979833333346</v>
      </c>
      <c r="X77" s="113"/>
    </row>
    <row r="78" spans="1:24" s="80" customFormat="1" ht="17.25" customHeight="1">
      <c r="A78" s="42">
        <v>2</v>
      </c>
      <c r="B78" s="153" t="s">
        <v>219</v>
      </c>
      <c r="C78" s="6" t="s">
        <v>99</v>
      </c>
      <c r="D78" s="5" t="s">
        <v>25</v>
      </c>
      <c r="E78" s="12" t="s">
        <v>220</v>
      </c>
      <c r="F78" s="12" t="s">
        <v>221</v>
      </c>
      <c r="G78" s="12">
        <v>1</v>
      </c>
      <c r="H78" s="12" t="s">
        <v>102</v>
      </c>
      <c r="I78" s="156" t="s">
        <v>103</v>
      </c>
      <c r="J78" s="55">
        <v>1</v>
      </c>
      <c r="K78" s="7">
        <v>17697</v>
      </c>
      <c r="L78" s="157">
        <v>12</v>
      </c>
      <c r="M78" s="7">
        <f t="shared" si="7"/>
        <v>0.66666666666666663</v>
      </c>
      <c r="N78" s="55" t="s">
        <v>218</v>
      </c>
      <c r="O78" s="12">
        <v>4.62</v>
      </c>
      <c r="P78" s="18">
        <f t="shared" si="4"/>
        <v>54506.759999999995</v>
      </c>
      <c r="Q78" s="8"/>
      <c r="R78" s="7"/>
      <c r="S78" s="7">
        <v>0.1</v>
      </c>
      <c r="T78" s="18">
        <f t="shared" si="8"/>
        <v>5450.6759999999995</v>
      </c>
      <c r="U78" s="9"/>
      <c r="V78" s="7"/>
      <c r="W78" s="10">
        <f>T78+P78</f>
        <v>59957.435999999994</v>
      </c>
      <c r="X78" s="113"/>
    </row>
    <row r="79" spans="1:24" s="80" customFormat="1" ht="17.25" customHeight="1">
      <c r="A79" s="5">
        <v>3</v>
      </c>
      <c r="B79" s="153" t="s">
        <v>222</v>
      </c>
      <c r="C79" s="6" t="s">
        <v>148</v>
      </c>
      <c r="D79" s="20" t="s">
        <v>25</v>
      </c>
      <c r="E79" s="154" t="s">
        <v>223</v>
      </c>
      <c r="F79" s="158" t="s">
        <v>224</v>
      </c>
      <c r="G79" s="155">
        <v>1</v>
      </c>
      <c r="H79" s="156" t="s">
        <v>102</v>
      </c>
      <c r="I79" s="156" t="s">
        <v>103</v>
      </c>
      <c r="J79" s="55">
        <v>3</v>
      </c>
      <c r="K79" s="7">
        <v>17697</v>
      </c>
      <c r="L79" s="157">
        <v>31</v>
      </c>
      <c r="M79" s="7">
        <f t="shared" si="7"/>
        <v>1.7222222222222223</v>
      </c>
      <c r="N79" s="55">
        <v>2</v>
      </c>
      <c r="O79" s="11">
        <v>4.1399999999999997</v>
      </c>
      <c r="P79" s="18">
        <f t="shared" si="4"/>
        <v>126179.60999999999</v>
      </c>
      <c r="Q79" s="8"/>
      <c r="R79" s="7"/>
      <c r="S79" s="7">
        <v>0.1</v>
      </c>
      <c r="T79" s="18">
        <f t="shared" si="8"/>
        <v>12617.960999999999</v>
      </c>
      <c r="U79" s="9"/>
      <c r="V79" s="7"/>
      <c r="W79" s="10">
        <f t="shared" ref="W79:W115" si="9">T79+P79</f>
        <v>138797.571</v>
      </c>
      <c r="X79" s="113"/>
    </row>
    <row r="80" spans="1:24" s="80" customFormat="1" ht="17.25" customHeight="1">
      <c r="A80" s="42">
        <v>4</v>
      </c>
      <c r="B80" s="153" t="s">
        <v>225</v>
      </c>
      <c r="C80" s="6" t="s">
        <v>99</v>
      </c>
      <c r="D80" s="5" t="s">
        <v>25</v>
      </c>
      <c r="E80" s="154" t="s">
        <v>226</v>
      </c>
      <c r="F80" s="154" t="s">
        <v>40</v>
      </c>
      <c r="G80" s="155">
        <v>1</v>
      </c>
      <c r="H80" s="12" t="s">
        <v>102</v>
      </c>
      <c r="I80" s="12" t="s">
        <v>103</v>
      </c>
      <c r="J80" s="55">
        <v>1</v>
      </c>
      <c r="K80" s="7">
        <v>17697</v>
      </c>
      <c r="L80" s="157">
        <v>30.5</v>
      </c>
      <c r="M80" s="7">
        <f t="shared" si="7"/>
        <v>1.6944444444444444</v>
      </c>
      <c r="N80" s="55" t="s">
        <v>218</v>
      </c>
      <c r="O80" s="11">
        <v>4.75</v>
      </c>
      <c r="P80" s="18">
        <f t="shared" si="4"/>
        <v>142436.27083333334</v>
      </c>
      <c r="Q80" s="8"/>
      <c r="R80" s="7"/>
      <c r="S80" s="7">
        <v>0.1</v>
      </c>
      <c r="T80" s="18">
        <f t="shared" si="8"/>
        <v>14243.627083333335</v>
      </c>
      <c r="U80" s="9"/>
      <c r="V80" s="7"/>
      <c r="W80" s="10">
        <f t="shared" si="9"/>
        <v>156679.89791666667</v>
      </c>
      <c r="X80" s="113"/>
    </row>
    <row r="81" spans="1:24" s="80" customFormat="1" ht="17.25" customHeight="1">
      <c r="A81" s="5">
        <v>5</v>
      </c>
      <c r="B81" s="26" t="s">
        <v>127</v>
      </c>
      <c r="C81" s="6" t="s">
        <v>99</v>
      </c>
      <c r="D81" s="5" t="s">
        <v>25</v>
      </c>
      <c r="E81" s="33" t="s">
        <v>128</v>
      </c>
      <c r="F81" s="33" t="s">
        <v>34</v>
      </c>
      <c r="G81" s="5">
        <v>1</v>
      </c>
      <c r="H81" s="20" t="s">
        <v>102</v>
      </c>
      <c r="I81" s="20" t="s">
        <v>103</v>
      </c>
      <c r="J81" s="46">
        <v>1</v>
      </c>
      <c r="K81" s="7">
        <v>17697</v>
      </c>
      <c r="L81" s="47">
        <v>6</v>
      </c>
      <c r="M81" s="7">
        <f t="shared" si="7"/>
        <v>0.33333333333333331</v>
      </c>
      <c r="N81" s="50" t="s">
        <v>129</v>
      </c>
      <c r="O81" s="45">
        <v>4.75</v>
      </c>
      <c r="P81" s="18">
        <f t="shared" si="4"/>
        <v>28020.25</v>
      </c>
      <c r="Q81" s="8"/>
      <c r="R81" s="7"/>
      <c r="S81" s="7">
        <v>0.1</v>
      </c>
      <c r="T81" s="18">
        <f>S81*P81</f>
        <v>2802.0250000000001</v>
      </c>
      <c r="U81" s="9"/>
      <c r="V81" s="7"/>
      <c r="W81" s="10">
        <f t="shared" si="9"/>
        <v>30822.275000000001</v>
      </c>
      <c r="X81" s="113"/>
    </row>
    <row r="82" spans="1:24" s="80" customFormat="1" ht="17.25" customHeight="1">
      <c r="A82" s="42">
        <v>6</v>
      </c>
      <c r="B82" s="153" t="s">
        <v>227</v>
      </c>
      <c r="C82" s="6" t="s">
        <v>99</v>
      </c>
      <c r="D82" s="5" t="s">
        <v>25</v>
      </c>
      <c r="E82" s="154" t="s">
        <v>228</v>
      </c>
      <c r="F82" s="154" t="s">
        <v>229</v>
      </c>
      <c r="G82" s="155">
        <v>1</v>
      </c>
      <c r="H82" s="156" t="s">
        <v>102</v>
      </c>
      <c r="I82" s="156" t="s">
        <v>103</v>
      </c>
      <c r="J82" s="55">
        <v>3</v>
      </c>
      <c r="K82" s="7">
        <v>17697</v>
      </c>
      <c r="L82" s="157">
        <v>25</v>
      </c>
      <c r="M82" s="7">
        <f t="shared" si="7"/>
        <v>1.3888888888888888</v>
      </c>
      <c r="N82" s="55">
        <v>2</v>
      </c>
      <c r="O82" s="11">
        <v>4</v>
      </c>
      <c r="P82" s="18">
        <f t="shared" si="4"/>
        <v>98316.666666666657</v>
      </c>
      <c r="Q82" s="8"/>
      <c r="R82" s="7"/>
      <c r="S82" s="7">
        <v>0.1</v>
      </c>
      <c r="T82" s="18">
        <f t="shared" si="8"/>
        <v>9831.6666666666661</v>
      </c>
      <c r="U82" s="9"/>
      <c r="V82" s="7"/>
      <c r="W82" s="10">
        <f t="shared" si="9"/>
        <v>108148.33333333333</v>
      </c>
      <c r="X82" s="113"/>
    </row>
    <row r="83" spans="1:24" s="80" customFormat="1" ht="17.25" customHeight="1">
      <c r="A83" s="5">
        <v>7</v>
      </c>
      <c r="B83" s="153" t="s">
        <v>230</v>
      </c>
      <c r="C83" s="6" t="s">
        <v>99</v>
      </c>
      <c r="D83" s="5" t="s">
        <v>25</v>
      </c>
      <c r="E83" s="12" t="s">
        <v>231</v>
      </c>
      <c r="F83" s="12" t="s">
        <v>40</v>
      </c>
      <c r="G83" s="12">
        <v>1</v>
      </c>
      <c r="H83" s="156" t="s">
        <v>232</v>
      </c>
      <c r="I83" s="156" t="s">
        <v>233</v>
      </c>
      <c r="J83" s="55">
        <v>1</v>
      </c>
      <c r="K83" s="7">
        <v>17697</v>
      </c>
      <c r="L83" s="157">
        <v>36</v>
      </c>
      <c r="M83" s="7">
        <f t="shared" si="7"/>
        <v>2</v>
      </c>
      <c r="N83" s="55" t="s">
        <v>218</v>
      </c>
      <c r="O83" s="45">
        <v>4.75</v>
      </c>
      <c r="P83" s="18">
        <f t="shared" si="4"/>
        <v>168121.5</v>
      </c>
      <c r="Q83" s="8"/>
      <c r="R83" s="7"/>
      <c r="S83" s="7">
        <v>0.1</v>
      </c>
      <c r="T83" s="18">
        <f t="shared" si="8"/>
        <v>16812.150000000001</v>
      </c>
      <c r="U83" s="9"/>
      <c r="V83" s="7"/>
      <c r="W83" s="10">
        <f t="shared" si="9"/>
        <v>184933.65</v>
      </c>
      <c r="X83" s="113"/>
    </row>
    <row r="84" spans="1:24" s="80" customFormat="1" ht="17.25" customHeight="1">
      <c r="A84" s="42">
        <v>8</v>
      </c>
      <c r="B84" s="153" t="s">
        <v>133</v>
      </c>
      <c r="C84" s="6" t="s">
        <v>99</v>
      </c>
      <c r="D84" s="5" t="s">
        <v>25</v>
      </c>
      <c r="E84" s="12">
        <v>40.04</v>
      </c>
      <c r="F84" s="12" t="s">
        <v>40</v>
      </c>
      <c r="G84" s="12">
        <v>1</v>
      </c>
      <c r="H84" s="156" t="s">
        <v>102</v>
      </c>
      <c r="I84" s="156" t="s">
        <v>103</v>
      </c>
      <c r="J84" s="55">
        <v>1</v>
      </c>
      <c r="K84" s="7">
        <v>17697</v>
      </c>
      <c r="L84" s="157">
        <v>12</v>
      </c>
      <c r="M84" s="7">
        <f t="shared" si="7"/>
        <v>0.66666666666666663</v>
      </c>
      <c r="N84" s="55" t="s">
        <v>218</v>
      </c>
      <c r="O84" s="45">
        <v>4.75</v>
      </c>
      <c r="P84" s="18">
        <f t="shared" si="4"/>
        <v>56040.5</v>
      </c>
      <c r="Q84" s="8"/>
      <c r="R84" s="7"/>
      <c r="S84" s="7">
        <v>0.1</v>
      </c>
      <c r="T84" s="18">
        <f t="shared" si="8"/>
        <v>5604.05</v>
      </c>
      <c r="U84" s="9"/>
      <c r="V84" s="7"/>
      <c r="W84" s="10">
        <f t="shared" si="9"/>
        <v>61644.55</v>
      </c>
      <c r="X84" s="113"/>
    </row>
    <row r="85" spans="1:24" s="80" customFormat="1" ht="17.25" customHeight="1">
      <c r="A85" s="5">
        <v>9</v>
      </c>
      <c r="B85" s="153" t="s">
        <v>360</v>
      </c>
      <c r="C85" s="6" t="s">
        <v>99</v>
      </c>
      <c r="D85" s="20" t="s">
        <v>25</v>
      </c>
      <c r="E85" s="154" t="s">
        <v>361</v>
      </c>
      <c r="F85" s="154" t="s">
        <v>362</v>
      </c>
      <c r="G85" s="155">
        <v>1</v>
      </c>
      <c r="H85" s="156" t="s">
        <v>102</v>
      </c>
      <c r="I85" s="156" t="s">
        <v>103</v>
      </c>
      <c r="J85" s="55">
        <v>3</v>
      </c>
      <c r="K85" s="7">
        <v>17697</v>
      </c>
      <c r="L85" s="157">
        <v>25</v>
      </c>
      <c r="M85" s="7">
        <f>L85/18</f>
        <v>1.3888888888888888</v>
      </c>
      <c r="N85" s="55">
        <v>2</v>
      </c>
      <c r="O85" s="11">
        <v>4.28</v>
      </c>
      <c r="P85" s="18">
        <f t="shared" si="4"/>
        <v>105198.83333333334</v>
      </c>
      <c r="Q85" s="8"/>
      <c r="R85" s="7"/>
      <c r="S85" s="7">
        <v>0.1</v>
      </c>
      <c r="T85" s="18">
        <f t="shared" si="8"/>
        <v>10519.883333333335</v>
      </c>
      <c r="U85" s="9"/>
      <c r="V85" s="7"/>
      <c r="W85" s="10">
        <f t="shared" si="9"/>
        <v>115718.71666666667</v>
      </c>
      <c r="X85" s="113"/>
    </row>
    <row r="86" spans="1:24" s="80" customFormat="1" ht="17.25" customHeight="1">
      <c r="A86" s="42">
        <v>10</v>
      </c>
      <c r="B86" s="153" t="s">
        <v>234</v>
      </c>
      <c r="C86" s="6" t="s">
        <v>99</v>
      </c>
      <c r="D86" s="5" t="s">
        <v>25</v>
      </c>
      <c r="E86" s="154" t="s">
        <v>235</v>
      </c>
      <c r="F86" s="158" t="s">
        <v>236</v>
      </c>
      <c r="G86" s="155">
        <v>1</v>
      </c>
      <c r="H86" s="156" t="s">
        <v>102</v>
      </c>
      <c r="I86" s="156" t="s">
        <v>103</v>
      </c>
      <c r="J86" s="55">
        <v>4</v>
      </c>
      <c r="K86" s="7">
        <v>17697</v>
      </c>
      <c r="L86" s="157">
        <v>8</v>
      </c>
      <c r="M86" s="7">
        <f t="shared" si="7"/>
        <v>0.44444444444444442</v>
      </c>
      <c r="N86" s="55" t="s">
        <v>112</v>
      </c>
      <c r="O86" s="11">
        <v>3.78</v>
      </c>
      <c r="P86" s="18">
        <f t="shared" si="4"/>
        <v>29730.960000000003</v>
      </c>
      <c r="Q86" s="8"/>
      <c r="R86" s="7"/>
      <c r="S86" s="7">
        <v>0.1</v>
      </c>
      <c r="T86" s="18">
        <f t="shared" si="8"/>
        <v>2973.0960000000005</v>
      </c>
      <c r="U86" s="9"/>
      <c r="V86" s="7"/>
      <c r="W86" s="10">
        <f t="shared" si="9"/>
        <v>32704.056000000004</v>
      </c>
      <c r="X86" s="113"/>
    </row>
    <row r="87" spans="1:24" s="80" customFormat="1" ht="17.25" customHeight="1">
      <c r="A87" s="5">
        <v>11</v>
      </c>
      <c r="B87" s="26" t="s">
        <v>160</v>
      </c>
      <c r="C87" s="6" t="s">
        <v>148</v>
      </c>
      <c r="D87" s="20" t="s">
        <v>25</v>
      </c>
      <c r="E87" s="33" t="s">
        <v>161</v>
      </c>
      <c r="F87" s="33" t="s">
        <v>34</v>
      </c>
      <c r="G87" s="5">
        <v>1</v>
      </c>
      <c r="H87" s="20" t="s">
        <v>102</v>
      </c>
      <c r="I87" s="20" t="s">
        <v>103</v>
      </c>
      <c r="J87" s="46">
        <v>3</v>
      </c>
      <c r="K87" s="7">
        <v>17697</v>
      </c>
      <c r="L87" s="47">
        <v>5</v>
      </c>
      <c r="M87" s="7">
        <f t="shared" si="7"/>
        <v>0.27777777777777779</v>
      </c>
      <c r="N87" s="45" t="s">
        <v>109</v>
      </c>
      <c r="O87" s="45">
        <v>4.5</v>
      </c>
      <c r="P87" s="18">
        <f t="shared" si="4"/>
        <v>22121.25</v>
      </c>
      <c r="Q87" s="8"/>
      <c r="R87" s="7"/>
      <c r="S87" s="7">
        <v>0.1</v>
      </c>
      <c r="T87" s="18">
        <f>S87*P87</f>
        <v>2212.125</v>
      </c>
      <c r="U87" s="9"/>
      <c r="V87" s="7"/>
      <c r="W87" s="10">
        <f t="shared" si="9"/>
        <v>24333.375</v>
      </c>
      <c r="X87" s="113"/>
    </row>
    <row r="88" spans="1:24" s="80" customFormat="1" ht="17.25" customHeight="1">
      <c r="A88" s="42">
        <v>12</v>
      </c>
      <c r="B88" s="153" t="s">
        <v>237</v>
      </c>
      <c r="C88" s="6" t="s">
        <v>99</v>
      </c>
      <c r="D88" s="20" t="s">
        <v>25</v>
      </c>
      <c r="E88" s="154" t="s">
        <v>238</v>
      </c>
      <c r="F88" s="154" t="s">
        <v>239</v>
      </c>
      <c r="G88" s="155">
        <v>1</v>
      </c>
      <c r="H88" s="156" t="s">
        <v>102</v>
      </c>
      <c r="I88" s="156" t="s">
        <v>103</v>
      </c>
      <c r="J88" s="55">
        <v>2</v>
      </c>
      <c r="K88" s="7">
        <v>17697</v>
      </c>
      <c r="L88" s="157">
        <v>22</v>
      </c>
      <c r="M88" s="7">
        <f t="shared" si="7"/>
        <v>1.2222222222222223</v>
      </c>
      <c r="N88" s="55">
        <v>1</v>
      </c>
      <c r="O88" s="11">
        <v>4.2300000000000004</v>
      </c>
      <c r="P88" s="18">
        <f t="shared" si="4"/>
        <v>91493.49000000002</v>
      </c>
      <c r="Q88" s="8"/>
      <c r="R88" s="7"/>
      <c r="S88" s="7">
        <v>0.1</v>
      </c>
      <c r="T88" s="18">
        <f t="shared" si="8"/>
        <v>9149.349000000002</v>
      </c>
      <c r="U88" s="9"/>
      <c r="V88" s="7"/>
      <c r="W88" s="10">
        <f>T88+P88</f>
        <v>100642.83900000002</v>
      </c>
      <c r="X88" s="113"/>
    </row>
    <row r="89" spans="1:24" s="80" customFormat="1" ht="17.25" customHeight="1">
      <c r="A89" s="5">
        <v>13</v>
      </c>
      <c r="B89" s="153" t="s">
        <v>240</v>
      </c>
      <c r="C89" s="6" t="s">
        <v>99</v>
      </c>
      <c r="D89" s="20" t="s">
        <v>25</v>
      </c>
      <c r="E89" s="154" t="s">
        <v>241</v>
      </c>
      <c r="F89" s="154" t="s">
        <v>242</v>
      </c>
      <c r="G89" s="155">
        <v>1</v>
      </c>
      <c r="H89" s="156" t="s">
        <v>102</v>
      </c>
      <c r="I89" s="156" t="s">
        <v>103</v>
      </c>
      <c r="J89" s="55">
        <v>1</v>
      </c>
      <c r="K89" s="7">
        <v>17697</v>
      </c>
      <c r="L89" s="157">
        <v>32</v>
      </c>
      <c r="M89" s="7">
        <f t="shared" si="7"/>
        <v>1.7777777777777777</v>
      </c>
      <c r="N89" s="55" t="s">
        <v>218</v>
      </c>
      <c r="O89" s="45">
        <v>4.75</v>
      </c>
      <c r="P89" s="18">
        <f t="shared" si="4"/>
        <v>149441.33333333334</v>
      </c>
      <c r="Q89" s="8"/>
      <c r="R89" s="7"/>
      <c r="S89" s="7">
        <v>0.1</v>
      </c>
      <c r="T89" s="18">
        <f t="shared" si="8"/>
        <v>14944.133333333335</v>
      </c>
      <c r="U89" s="9"/>
      <c r="V89" s="7"/>
      <c r="W89" s="10">
        <f t="shared" si="9"/>
        <v>164385.46666666667</v>
      </c>
      <c r="X89" s="113"/>
    </row>
    <row r="90" spans="1:24" s="80" customFormat="1" ht="17.25" customHeight="1">
      <c r="A90" s="42">
        <v>14</v>
      </c>
      <c r="B90" s="153" t="s">
        <v>243</v>
      </c>
      <c r="C90" s="6" t="s">
        <v>99</v>
      </c>
      <c r="D90" s="20" t="s">
        <v>25</v>
      </c>
      <c r="E90" s="154" t="s">
        <v>244</v>
      </c>
      <c r="F90" s="154" t="s">
        <v>239</v>
      </c>
      <c r="G90" s="155">
        <v>1</v>
      </c>
      <c r="H90" s="156" t="s">
        <v>102</v>
      </c>
      <c r="I90" s="156" t="s">
        <v>103</v>
      </c>
      <c r="J90" s="55">
        <v>3</v>
      </c>
      <c r="K90" s="7">
        <v>17697</v>
      </c>
      <c r="L90" s="157">
        <v>32</v>
      </c>
      <c r="M90" s="7">
        <f t="shared" si="7"/>
        <v>1.7777777777777777</v>
      </c>
      <c r="N90" s="55">
        <v>2</v>
      </c>
      <c r="O90" s="11">
        <v>4.1399999999999997</v>
      </c>
      <c r="P90" s="18">
        <f t="shared" si="4"/>
        <v>130249.91999999998</v>
      </c>
      <c r="Q90" s="8"/>
      <c r="R90" s="7"/>
      <c r="S90" s="7">
        <v>0.1</v>
      </c>
      <c r="T90" s="18">
        <f t="shared" si="8"/>
        <v>13024.991999999998</v>
      </c>
      <c r="U90" s="9"/>
      <c r="V90" s="7"/>
      <c r="W90" s="10">
        <f t="shared" si="9"/>
        <v>143274.91199999998</v>
      </c>
      <c r="X90" s="113"/>
    </row>
    <row r="91" spans="1:24" s="80" customFormat="1" ht="17.25" customHeight="1">
      <c r="A91" s="5">
        <v>15</v>
      </c>
      <c r="B91" s="153" t="s">
        <v>245</v>
      </c>
      <c r="C91" s="6" t="s">
        <v>99</v>
      </c>
      <c r="D91" s="20" t="s">
        <v>25</v>
      </c>
      <c r="E91" s="154" t="s">
        <v>246</v>
      </c>
      <c r="F91" s="154" t="s">
        <v>40</v>
      </c>
      <c r="G91" s="155">
        <v>1</v>
      </c>
      <c r="H91" s="156" t="s">
        <v>102</v>
      </c>
      <c r="I91" s="156" t="s">
        <v>103</v>
      </c>
      <c r="J91" s="55">
        <v>1</v>
      </c>
      <c r="K91" s="7">
        <v>17697</v>
      </c>
      <c r="L91" s="157">
        <v>36</v>
      </c>
      <c r="M91" s="7">
        <f t="shared" si="7"/>
        <v>2</v>
      </c>
      <c r="N91" s="55" t="s">
        <v>218</v>
      </c>
      <c r="O91" s="11">
        <v>4.75</v>
      </c>
      <c r="P91" s="18">
        <f t="shared" si="4"/>
        <v>168121.5</v>
      </c>
      <c r="Q91" s="8"/>
      <c r="R91" s="7"/>
      <c r="S91" s="7">
        <v>0.1</v>
      </c>
      <c r="T91" s="18">
        <f t="shared" si="8"/>
        <v>16812.150000000001</v>
      </c>
      <c r="U91" s="9"/>
      <c r="V91" s="7"/>
      <c r="W91" s="10">
        <f t="shared" si="9"/>
        <v>184933.65</v>
      </c>
      <c r="X91" s="113"/>
    </row>
    <row r="92" spans="1:24" s="80" customFormat="1" ht="17.25" customHeight="1">
      <c r="A92" s="42">
        <v>16</v>
      </c>
      <c r="B92" s="153" t="s">
        <v>247</v>
      </c>
      <c r="C92" s="6" t="s">
        <v>148</v>
      </c>
      <c r="D92" s="20" t="s">
        <v>25</v>
      </c>
      <c r="E92" s="154" t="s">
        <v>248</v>
      </c>
      <c r="F92" s="154" t="s">
        <v>249</v>
      </c>
      <c r="G92" s="155">
        <v>1</v>
      </c>
      <c r="H92" s="156" t="s">
        <v>102</v>
      </c>
      <c r="I92" s="156" t="s">
        <v>103</v>
      </c>
      <c r="J92" s="55">
        <v>4</v>
      </c>
      <c r="K92" s="7">
        <v>17697</v>
      </c>
      <c r="L92" s="157">
        <v>29</v>
      </c>
      <c r="M92" s="7">
        <f t="shared" si="7"/>
        <v>1.6111111111111112</v>
      </c>
      <c r="N92" s="55" t="s">
        <v>112</v>
      </c>
      <c r="O92" s="11">
        <v>3.85</v>
      </c>
      <c r="P92" s="18">
        <f t="shared" si="4"/>
        <v>109770.55833333333</v>
      </c>
      <c r="Q92" s="8"/>
      <c r="R92" s="7"/>
      <c r="S92" s="7">
        <v>0.1</v>
      </c>
      <c r="T92" s="18">
        <f t="shared" si="8"/>
        <v>10977.055833333334</v>
      </c>
      <c r="U92" s="9"/>
      <c r="V92" s="7"/>
      <c r="W92" s="10">
        <f t="shared" si="9"/>
        <v>120747.61416666667</v>
      </c>
      <c r="X92" s="113"/>
    </row>
    <row r="93" spans="1:24" s="80" customFormat="1" ht="17.25" customHeight="1">
      <c r="A93" s="5">
        <v>17</v>
      </c>
      <c r="B93" s="153" t="s">
        <v>250</v>
      </c>
      <c r="C93" s="6" t="s">
        <v>99</v>
      </c>
      <c r="D93" s="20" t="s">
        <v>64</v>
      </c>
      <c r="E93" s="154" t="s">
        <v>251</v>
      </c>
      <c r="F93" s="154" t="s">
        <v>252</v>
      </c>
      <c r="G93" s="155">
        <v>1</v>
      </c>
      <c r="H93" s="156" t="s">
        <v>102</v>
      </c>
      <c r="I93" s="156" t="s">
        <v>118</v>
      </c>
      <c r="J93" s="55">
        <v>3</v>
      </c>
      <c r="K93" s="7">
        <v>17697</v>
      </c>
      <c r="L93" s="157">
        <v>16</v>
      </c>
      <c r="M93" s="7">
        <f t="shared" si="7"/>
        <v>0.88888888888888884</v>
      </c>
      <c r="N93" s="55">
        <v>2</v>
      </c>
      <c r="O93" s="11">
        <v>3.91</v>
      </c>
      <c r="P93" s="18">
        <f t="shared" si="4"/>
        <v>61506.906666666669</v>
      </c>
      <c r="Q93" s="8"/>
      <c r="R93" s="7"/>
      <c r="S93" s="7">
        <v>0.1</v>
      </c>
      <c r="T93" s="18">
        <f t="shared" si="8"/>
        <v>6150.6906666666673</v>
      </c>
      <c r="U93" s="9"/>
      <c r="V93" s="7"/>
      <c r="W93" s="10">
        <f t="shared" si="9"/>
        <v>67657.597333333339</v>
      </c>
      <c r="X93" s="113"/>
    </row>
    <row r="94" spans="1:24" s="80" customFormat="1" ht="17.25" customHeight="1">
      <c r="A94" s="42">
        <v>18</v>
      </c>
      <c r="B94" s="153" t="s">
        <v>253</v>
      </c>
      <c r="C94" s="6" t="s">
        <v>148</v>
      </c>
      <c r="D94" s="20" t="s">
        <v>25</v>
      </c>
      <c r="E94" s="154" t="s">
        <v>254</v>
      </c>
      <c r="F94" s="154" t="s">
        <v>242</v>
      </c>
      <c r="G94" s="155">
        <v>1</v>
      </c>
      <c r="H94" s="156" t="s">
        <v>102</v>
      </c>
      <c r="I94" s="156" t="s">
        <v>103</v>
      </c>
      <c r="J94" s="55">
        <v>2</v>
      </c>
      <c r="K94" s="7">
        <v>17697</v>
      </c>
      <c r="L94" s="157">
        <v>31.5</v>
      </c>
      <c r="M94" s="7">
        <f t="shared" si="7"/>
        <v>1.75</v>
      </c>
      <c r="N94" s="55">
        <v>1</v>
      </c>
      <c r="O94" s="11">
        <v>4.51</v>
      </c>
      <c r="P94" s="18">
        <f t="shared" si="4"/>
        <v>139673.57250000001</v>
      </c>
      <c r="Q94" s="8"/>
      <c r="R94" s="7"/>
      <c r="S94" s="7">
        <v>0.1</v>
      </c>
      <c r="T94" s="18">
        <f t="shared" si="8"/>
        <v>13967.357250000001</v>
      </c>
      <c r="U94" s="9"/>
      <c r="V94" s="7"/>
      <c r="W94" s="10">
        <f t="shared" si="9"/>
        <v>153640.92975000001</v>
      </c>
      <c r="X94" s="113"/>
    </row>
    <row r="95" spans="1:24" s="80" customFormat="1" ht="17.25" customHeight="1">
      <c r="A95" s="5">
        <v>19</v>
      </c>
      <c r="B95" s="159" t="s">
        <v>255</v>
      </c>
      <c r="C95" s="39" t="s">
        <v>99</v>
      </c>
      <c r="D95" s="60" t="s">
        <v>25</v>
      </c>
      <c r="E95" s="160" t="s">
        <v>256</v>
      </c>
      <c r="F95" s="160" t="s">
        <v>40</v>
      </c>
      <c r="G95" s="161">
        <v>1</v>
      </c>
      <c r="H95" s="162" t="s">
        <v>102</v>
      </c>
      <c r="I95" s="162" t="s">
        <v>103</v>
      </c>
      <c r="J95" s="163">
        <v>1</v>
      </c>
      <c r="K95" s="34">
        <v>17697</v>
      </c>
      <c r="L95" s="164">
        <v>34</v>
      </c>
      <c r="M95" s="34">
        <f t="shared" si="7"/>
        <v>1.8888888888888888</v>
      </c>
      <c r="N95" s="163" t="s">
        <v>218</v>
      </c>
      <c r="O95" s="48">
        <v>4.75</v>
      </c>
      <c r="P95" s="36">
        <f t="shared" ref="P95:P115" si="10">O95*K95/18*L95</f>
        <v>158781.41666666669</v>
      </c>
      <c r="Q95" s="37"/>
      <c r="R95" s="34"/>
      <c r="S95" s="34">
        <v>0.1</v>
      </c>
      <c r="T95" s="36">
        <f t="shared" si="8"/>
        <v>15878.14166666667</v>
      </c>
      <c r="U95" s="38"/>
      <c r="V95" s="34"/>
      <c r="W95" s="35">
        <f t="shared" si="9"/>
        <v>174659.55833333335</v>
      </c>
      <c r="X95" s="113"/>
    </row>
    <row r="96" spans="1:24" s="115" customFormat="1" ht="17.25" customHeight="1">
      <c r="A96" s="42">
        <v>20</v>
      </c>
      <c r="B96" s="153" t="s">
        <v>257</v>
      </c>
      <c r="C96" s="6" t="s">
        <v>99</v>
      </c>
      <c r="D96" s="20" t="s">
        <v>25</v>
      </c>
      <c r="E96" s="154" t="s">
        <v>258</v>
      </c>
      <c r="F96" s="154" t="s">
        <v>259</v>
      </c>
      <c r="G96" s="155">
        <v>1</v>
      </c>
      <c r="H96" s="156" t="s">
        <v>102</v>
      </c>
      <c r="I96" s="156" t="s">
        <v>103</v>
      </c>
      <c r="J96" s="55">
        <v>2</v>
      </c>
      <c r="K96" s="7">
        <v>17697</v>
      </c>
      <c r="L96" s="157">
        <v>34</v>
      </c>
      <c r="M96" s="7">
        <f t="shared" si="7"/>
        <v>1.8888888888888888</v>
      </c>
      <c r="N96" s="55">
        <v>1</v>
      </c>
      <c r="O96" s="11">
        <v>4.16</v>
      </c>
      <c r="P96" s="18">
        <f t="shared" si="10"/>
        <v>139059.09333333332</v>
      </c>
      <c r="Q96" s="8"/>
      <c r="R96" s="7"/>
      <c r="S96" s="7">
        <v>0.1</v>
      </c>
      <c r="T96" s="18">
        <f t="shared" si="8"/>
        <v>13905.909333333333</v>
      </c>
      <c r="U96" s="9"/>
      <c r="V96" s="7"/>
      <c r="W96" s="10">
        <f t="shared" si="9"/>
        <v>152965.00266666667</v>
      </c>
      <c r="X96" s="114"/>
    </row>
    <row r="97" spans="1:24" s="205" customFormat="1" ht="17.25" customHeight="1">
      <c r="A97" s="189"/>
      <c r="B97" s="190"/>
      <c r="C97" s="191"/>
      <c r="D97" s="192"/>
      <c r="E97" s="193"/>
      <c r="F97" s="193"/>
      <c r="G97" s="194"/>
      <c r="H97" s="195"/>
      <c r="I97" s="195"/>
      <c r="J97" s="196"/>
      <c r="K97" s="197"/>
      <c r="L97" s="198">
        <f>SUM(L77:L96)</f>
        <v>476</v>
      </c>
      <c r="M97" s="197"/>
      <c r="N97" s="196"/>
      <c r="O97" s="199"/>
      <c r="P97" s="200"/>
      <c r="Q97" s="201"/>
      <c r="R97" s="197"/>
      <c r="S97" s="197"/>
      <c r="T97" s="200"/>
      <c r="U97" s="202"/>
      <c r="V97" s="197"/>
      <c r="W97" s="203">
        <f>SUM(W77:W96)</f>
        <v>2273018.4106666674</v>
      </c>
      <c r="X97" s="204"/>
    </row>
    <row r="98" spans="1:24" s="80" customFormat="1" ht="17.25" customHeight="1">
      <c r="A98" s="42">
        <v>1</v>
      </c>
      <c r="B98" s="165" t="s">
        <v>36</v>
      </c>
      <c r="C98" s="166" t="s">
        <v>99</v>
      </c>
      <c r="D98" s="167" t="s">
        <v>25</v>
      </c>
      <c r="E98" s="167" t="s">
        <v>260</v>
      </c>
      <c r="F98" s="65" t="s">
        <v>40</v>
      </c>
      <c r="G98" s="42">
        <v>1</v>
      </c>
      <c r="H98" s="66" t="s">
        <v>102</v>
      </c>
      <c r="I98" s="66" t="s">
        <v>103</v>
      </c>
      <c r="J98" s="168">
        <v>1</v>
      </c>
      <c r="K98" s="44">
        <v>17697</v>
      </c>
      <c r="L98" s="169">
        <v>9</v>
      </c>
      <c r="M98" s="44">
        <f>L98/18</f>
        <v>0.5</v>
      </c>
      <c r="N98" s="170" t="s">
        <v>152</v>
      </c>
      <c r="O98" s="167">
        <v>4.75</v>
      </c>
      <c r="P98" s="67">
        <f t="shared" si="10"/>
        <v>42030.375</v>
      </c>
      <c r="Q98" s="68"/>
      <c r="R98" s="44"/>
      <c r="S98" s="44">
        <v>0.1</v>
      </c>
      <c r="T98" s="67">
        <f t="shared" si="8"/>
        <v>4203.0375000000004</v>
      </c>
      <c r="U98" s="69"/>
      <c r="V98" s="44"/>
      <c r="W98" s="70">
        <f t="shared" si="9"/>
        <v>46233.412499999999</v>
      </c>
      <c r="X98" s="113"/>
    </row>
    <row r="99" spans="1:24" s="80" customFormat="1" ht="17.25" customHeight="1">
      <c r="A99" s="42">
        <v>2</v>
      </c>
      <c r="B99" s="71" t="s">
        <v>261</v>
      </c>
      <c r="C99" s="13" t="s">
        <v>99</v>
      </c>
      <c r="D99" s="14" t="s">
        <v>25</v>
      </c>
      <c r="E99" s="14" t="s">
        <v>262</v>
      </c>
      <c r="F99" s="21" t="s">
        <v>259</v>
      </c>
      <c r="G99" s="5">
        <v>1</v>
      </c>
      <c r="H99" s="20" t="s">
        <v>102</v>
      </c>
      <c r="I99" s="20" t="s">
        <v>103</v>
      </c>
      <c r="J99" s="171">
        <v>2</v>
      </c>
      <c r="K99" s="7">
        <v>17697</v>
      </c>
      <c r="L99" s="172">
        <v>30</v>
      </c>
      <c r="M99" s="7">
        <f t="shared" ref="M99:M116" si="11">L99/18</f>
        <v>1.6666666666666667</v>
      </c>
      <c r="N99" s="56" t="s">
        <v>104</v>
      </c>
      <c r="O99" s="14">
        <v>4.2300000000000004</v>
      </c>
      <c r="P99" s="18">
        <f t="shared" si="10"/>
        <v>124763.85000000003</v>
      </c>
      <c r="Q99" s="8"/>
      <c r="R99" s="7"/>
      <c r="S99" s="7">
        <v>0.1</v>
      </c>
      <c r="T99" s="18">
        <f t="shared" si="8"/>
        <v>12476.385000000004</v>
      </c>
      <c r="U99" s="9"/>
      <c r="V99" s="7"/>
      <c r="W99" s="10">
        <f t="shared" si="9"/>
        <v>137240.23500000004</v>
      </c>
      <c r="X99" s="113"/>
    </row>
    <row r="100" spans="1:24" s="80" customFormat="1" ht="17.25" customHeight="1">
      <c r="A100" s="42">
        <v>3</v>
      </c>
      <c r="B100" s="71" t="s">
        <v>263</v>
      </c>
      <c r="C100" s="13" t="s">
        <v>99</v>
      </c>
      <c r="D100" s="14" t="s">
        <v>25</v>
      </c>
      <c r="E100" s="14"/>
      <c r="F100" s="21" t="s">
        <v>367</v>
      </c>
      <c r="G100" s="5">
        <v>1</v>
      </c>
      <c r="H100" s="20" t="s">
        <v>102</v>
      </c>
      <c r="I100" s="20" t="s">
        <v>103</v>
      </c>
      <c r="J100" s="171">
        <v>2</v>
      </c>
      <c r="K100" s="7">
        <v>17697</v>
      </c>
      <c r="L100" s="172">
        <v>0</v>
      </c>
      <c r="M100" s="7">
        <f t="shared" si="11"/>
        <v>0</v>
      </c>
      <c r="N100" s="56" t="s">
        <v>104</v>
      </c>
      <c r="O100" s="14">
        <v>4.37</v>
      </c>
      <c r="P100" s="18">
        <f t="shared" si="10"/>
        <v>0</v>
      </c>
      <c r="Q100" s="8"/>
      <c r="R100" s="7"/>
      <c r="S100" s="7">
        <v>0.1</v>
      </c>
      <c r="T100" s="18">
        <f t="shared" si="8"/>
        <v>0</v>
      </c>
      <c r="U100" s="9"/>
      <c r="V100" s="7"/>
      <c r="W100" s="10">
        <f>T100+P100</f>
        <v>0</v>
      </c>
      <c r="X100" s="113"/>
    </row>
    <row r="101" spans="1:24" s="80" customFormat="1" ht="16.5" customHeight="1">
      <c r="A101" s="42">
        <v>4</v>
      </c>
      <c r="B101" s="13" t="s">
        <v>264</v>
      </c>
      <c r="C101" s="13" t="s">
        <v>99</v>
      </c>
      <c r="D101" s="14" t="s">
        <v>25</v>
      </c>
      <c r="E101" s="14" t="s">
        <v>265</v>
      </c>
      <c r="F101" s="21" t="s">
        <v>40</v>
      </c>
      <c r="G101" s="5">
        <v>1</v>
      </c>
      <c r="H101" s="20" t="s">
        <v>102</v>
      </c>
      <c r="I101" s="20" t="s">
        <v>103</v>
      </c>
      <c r="J101" s="171">
        <v>1</v>
      </c>
      <c r="K101" s="7">
        <v>17697</v>
      </c>
      <c r="L101" s="172">
        <v>34</v>
      </c>
      <c r="M101" s="7">
        <f t="shared" si="11"/>
        <v>1.8888888888888888</v>
      </c>
      <c r="N101" s="173" t="s">
        <v>152</v>
      </c>
      <c r="O101" s="14">
        <v>4.75</v>
      </c>
      <c r="P101" s="18">
        <f t="shared" si="10"/>
        <v>158781.41666666669</v>
      </c>
      <c r="Q101" s="8"/>
      <c r="R101" s="7"/>
      <c r="S101" s="7">
        <v>0.1</v>
      </c>
      <c r="T101" s="18">
        <f t="shared" si="8"/>
        <v>15878.14166666667</v>
      </c>
      <c r="U101" s="9"/>
      <c r="V101" s="7"/>
      <c r="W101" s="10">
        <f t="shared" si="9"/>
        <v>174659.55833333335</v>
      </c>
      <c r="X101" s="113"/>
    </row>
    <row r="102" spans="1:24" s="80" customFormat="1" ht="17.25" customHeight="1">
      <c r="A102" s="42">
        <v>5</v>
      </c>
      <c r="B102" s="71" t="s">
        <v>363</v>
      </c>
      <c r="C102" s="13" t="s">
        <v>99</v>
      </c>
      <c r="D102" s="14" t="s">
        <v>25</v>
      </c>
      <c r="E102" s="14" t="s">
        <v>266</v>
      </c>
      <c r="F102" s="5" t="s">
        <v>267</v>
      </c>
      <c r="G102" s="5">
        <v>1</v>
      </c>
      <c r="H102" s="20" t="s">
        <v>102</v>
      </c>
      <c r="I102" s="20" t="s">
        <v>103</v>
      </c>
      <c r="J102" s="171">
        <v>3</v>
      </c>
      <c r="K102" s="7">
        <v>17697</v>
      </c>
      <c r="L102" s="172">
        <v>15</v>
      </c>
      <c r="M102" s="7">
        <f t="shared" si="11"/>
        <v>0.83333333333333337</v>
      </c>
      <c r="N102" s="56" t="s">
        <v>109</v>
      </c>
      <c r="O102" s="14">
        <v>4</v>
      </c>
      <c r="P102" s="18">
        <f t="shared" si="10"/>
        <v>58990</v>
      </c>
      <c r="Q102" s="8"/>
      <c r="R102" s="7"/>
      <c r="S102" s="7">
        <v>0.1</v>
      </c>
      <c r="T102" s="18">
        <f t="shared" si="8"/>
        <v>5899</v>
      </c>
      <c r="U102" s="9"/>
      <c r="V102" s="7"/>
      <c r="W102" s="10">
        <f t="shared" si="9"/>
        <v>64889</v>
      </c>
      <c r="X102" s="113"/>
    </row>
    <row r="103" spans="1:24" s="80" customFormat="1" ht="17.25" customHeight="1">
      <c r="A103" s="42">
        <v>6</v>
      </c>
      <c r="B103" s="13" t="s">
        <v>268</v>
      </c>
      <c r="C103" s="13" t="s">
        <v>99</v>
      </c>
      <c r="D103" s="14" t="s">
        <v>25</v>
      </c>
      <c r="E103" s="14" t="s">
        <v>260</v>
      </c>
      <c r="F103" s="21" t="s">
        <v>40</v>
      </c>
      <c r="G103" s="5">
        <v>1</v>
      </c>
      <c r="H103" s="20" t="s">
        <v>102</v>
      </c>
      <c r="I103" s="20" t="s">
        <v>103</v>
      </c>
      <c r="J103" s="171">
        <v>1</v>
      </c>
      <c r="K103" s="7">
        <v>17697</v>
      </c>
      <c r="L103" s="172">
        <v>36</v>
      </c>
      <c r="M103" s="7">
        <f t="shared" si="11"/>
        <v>2</v>
      </c>
      <c r="N103" s="173" t="s">
        <v>152</v>
      </c>
      <c r="O103" s="14">
        <v>4.75</v>
      </c>
      <c r="P103" s="18">
        <f t="shared" si="10"/>
        <v>168121.5</v>
      </c>
      <c r="Q103" s="8"/>
      <c r="R103" s="7"/>
      <c r="S103" s="7">
        <v>0.1</v>
      </c>
      <c r="T103" s="18">
        <f t="shared" si="8"/>
        <v>16812.150000000001</v>
      </c>
      <c r="U103" s="9"/>
      <c r="V103" s="7"/>
      <c r="W103" s="10">
        <f t="shared" si="9"/>
        <v>184933.65</v>
      </c>
      <c r="X103" s="113"/>
    </row>
    <row r="104" spans="1:24" s="80" customFormat="1" ht="17.25" customHeight="1">
      <c r="A104" s="42">
        <v>7</v>
      </c>
      <c r="B104" s="13" t="s">
        <v>269</v>
      </c>
      <c r="C104" s="13" t="s">
        <v>99</v>
      </c>
      <c r="D104" s="14" t="s">
        <v>25</v>
      </c>
      <c r="E104" s="14" t="s">
        <v>270</v>
      </c>
      <c r="F104" s="5" t="s">
        <v>271</v>
      </c>
      <c r="G104" s="5">
        <v>1</v>
      </c>
      <c r="H104" s="20" t="s">
        <v>102</v>
      </c>
      <c r="I104" s="20" t="s">
        <v>103</v>
      </c>
      <c r="J104" s="171">
        <v>2</v>
      </c>
      <c r="K104" s="7">
        <v>17697</v>
      </c>
      <c r="L104" s="172">
        <v>29</v>
      </c>
      <c r="M104" s="7">
        <f t="shared" si="11"/>
        <v>1.6111111111111112</v>
      </c>
      <c r="N104" s="56" t="s">
        <v>104</v>
      </c>
      <c r="O104" s="14">
        <v>4.37</v>
      </c>
      <c r="P104" s="18">
        <f t="shared" si="10"/>
        <v>124596.71166666667</v>
      </c>
      <c r="Q104" s="8"/>
      <c r="R104" s="7"/>
      <c r="S104" s="7">
        <v>0.1</v>
      </c>
      <c r="T104" s="18">
        <f t="shared" si="8"/>
        <v>12459.671166666667</v>
      </c>
      <c r="U104" s="9"/>
      <c r="V104" s="7"/>
      <c r="W104" s="10">
        <f t="shared" si="9"/>
        <v>137056.38283333334</v>
      </c>
      <c r="X104" s="113"/>
    </row>
    <row r="105" spans="1:24" s="80" customFormat="1" ht="17.25" customHeight="1">
      <c r="A105" s="42">
        <v>8</v>
      </c>
      <c r="B105" s="13" t="s">
        <v>272</v>
      </c>
      <c r="C105" s="13" t="s">
        <v>99</v>
      </c>
      <c r="D105" s="14" t="s">
        <v>25</v>
      </c>
      <c r="E105" s="14" t="s">
        <v>273</v>
      </c>
      <c r="F105" s="5" t="s">
        <v>271</v>
      </c>
      <c r="G105" s="5">
        <v>1</v>
      </c>
      <c r="H105" s="20" t="s">
        <v>102</v>
      </c>
      <c r="I105" s="20" t="s">
        <v>103</v>
      </c>
      <c r="J105" s="171">
        <v>1</v>
      </c>
      <c r="K105" s="7">
        <v>17697</v>
      </c>
      <c r="L105" s="172">
        <v>36</v>
      </c>
      <c r="M105" s="7">
        <f t="shared" si="11"/>
        <v>2</v>
      </c>
      <c r="N105" s="173" t="s">
        <v>152</v>
      </c>
      <c r="O105" s="14">
        <v>4.62</v>
      </c>
      <c r="P105" s="18">
        <f t="shared" si="10"/>
        <v>163520.27999999997</v>
      </c>
      <c r="Q105" s="8"/>
      <c r="R105" s="7"/>
      <c r="S105" s="7">
        <v>0.1</v>
      </c>
      <c r="T105" s="18">
        <f t="shared" si="8"/>
        <v>16352.027999999998</v>
      </c>
      <c r="U105" s="9"/>
      <c r="V105" s="7"/>
      <c r="W105" s="10">
        <f t="shared" si="9"/>
        <v>179872.30799999996</v>
      </c>
      <c r="X105" s="113"/>
    </row>
    <row r="106" spans="1:24" s="80" customFormat="1" ht="17.25" customHeight="1">
      <c r="A106" s="42">
        <v>9</v>
      </c>
      <c r="B106" s="71" t="s">
        <v>274</v>
      </c>
      <c r="C106" s="13" t="s">
        <v>99</v>
      </c>
      <c r="D106" s="14" t="s">
        <v>25</v>
      </c>
      <c r="E106" s="14" t="s">
        <v>275</v>
      </c>
      <c r="F106" s="5" t="s">
        <v>276</v>
      </c>
      <c r="G106" s="5">
        <v>1</v>
      </c>
      <c r="H106" s="20" t="s">
        <v>102</v>
      </c>
      <c r="I106" s="20" t="s">
        <v>103</v>
      </c>
      <c r="J106" s="171">
        <v>2</v>
      </c>
      <c r="K106" s="7">
        <v>17697</v>
      </c>
      <c r="L106" s="172">
        <v>36</v>
      </c>
      <c r="M106" s="7">
        <f t="shared" si="11"/>
        <v>2</v>
      </c>
      <c r="N106" s="56" t="s">
        <v>104</v>
      </c>
      <c r="O106" s="14">
        <v>4.16</v>
      </c>
      <c r="P106" s="18">
        <f t="shared" si="10"/>
        <v>147239.04000000001</v>
      </c>
      <c r="Q106" s="8"/>
      <c r="R106" s="7"/>
      <c r="S106" s="7">
        <v>0.1</v>
      </c>
      <c r="T106" s="18">
        <f t="shared" si="8"/>
        <v>14723.904000000002</v>
      </c>
      <c r="U106" s="9"/>
      <c r="V106" s="7"/>
      <c r="W106" s="10">
        <f>T106+P106</f>
        <v>161962.94400000002</v>
      </c>
      <c r="X106" s="113"/>
    </row>
    <row r="107" spans="1:24" s="80" customFormat="1" ht="17.25" customHeight="1">
      <c r="A107" s="42">
        <v>10</v>
      </c>
      <c r="B107" s="71" t="s">
        <v>277</v>
      </c>
      <c r="C107" s="13" t="s">
        <v>99</v>
      </c>
      <c r="D107" s="14" t="s">
        <v>25</v>
      </c>
      <c r="E107" s="14" t="s">
        <v>278</v>
      </c>
      <c r="F107" s="21" t="s">
        <v>40</v>
      </c>
      <c r="G107" s="5">
        <v>1</v>
      </c>
      <c r="H107" s="20" t="s">
        <v>102</v>
      </c>
      <c r="I107" s="20" t="s">
        <v>103</v>
      </c>
      <c r="J107" s="171">
        <v>1</v>
      </c>
      <c r="K107" s="7">
        <v>17697</v>
      </c>
      <c r="L107" s="172">
        <v>30</v>
      </c>
      <c r="M107" s="7">
        <f t="shared" si="11"/>
        <v>1.6666666666666667</v>
      </c>
      <c r="N107" s="56" t="s">
        <v>152</v>
      </c>
      <c r="O107" s="14">
        <v>4.75</v>
      </c>
      <c r="P107" s="18">
        <f t="shared" si="10"/>
        <v>140101.25</v>
      </c>
      <c r="Q107" s="8"/>
      <c r="R107" s="7"/>
      <c r="S107" s="7">
        <v>0.1</v>
      </c>
      <c r="T107" s="18">
        <f t="shared" si="8"/>
        <v>14010.125</v>
      </c>
      <c r="U107" s="9"/>
      <c r="V107" s="7"/>
      <c r="W107" s="10">
        <f t="shared" si="9"/>
        <v>154111.375</v>
      </c>
      <c r="X107" s="113"/>
    </row>
    <row r="108" spans="1:24" s="80" customFormat="1" ht="17.25" customHeight="1">
      <c r="A108" s="42">
        <v>11</v>
      </c>
      <c r="B108" s="71" t="s">
        <v>279</v>
      </c>
      <c r="C108" s="13" t="s">
        <v>99</v>
      </c>
      <c r="D108" s="14" t="s">
        <v>25</v>
      </c>
      <c r="E108" s="14" t="s">
        <v>280</v>
      </c>
      <c r="F108" s="5" t="s">
        <v>267</v>
      </c>
      <c r="G108" s="5">
        <v>1</v>
      </c>
      <c r="H108" s="20" t="s">
        <v>102</v>
      </c>
      <c r="I108" s="20" t="s">
        <v>103</v>
      </c>
      <c r="J108" s="171">
        <v>4</v>
      </c>
      <c r="K108" s="7">
        <v>17697</v>
      </c>
      <c r="L108" s="172">
        <v>14</v>
      </c>
      <c r="M108" s="7">
        <f t="shared" si="11"/>
        <v>0.77777777777777779</v>
      </c>
      <c r="N108" s="56" t="s">
        <v>165</v>
      </c>
      <c r="O108" s="14">
        <v>3.71</v>
      </c>
      <c r="P108" s="18">
        <f t="shared" si="10"/>
        <v>51065.676666666666</v>
      </c>
      <c r="Q108" s="8"/>
      <c r="R108" s="7"/>
      <c r="S108" s="7">
        <v>0.1</v>
      </c>
      <c r="T108" s="18">
        <f t="shared" si="8"/>
        <v>5106.5676666666668</v>
      </c>
      <c r="U108" s="9"/>
      <c r="V108" s="7"/>
      <c r="W108" s="10">
        <f t="shared" si="9"/>
        <v>56172.244333333336</v>
      </c>
      <c r="X108" s="113"/>
    </row>
    <row r="109" spans="1:24" s="80" customFormat="1" ht="17.25" customHeight="1">
      <c r="A109" s="42">
        <v>12</v>
      </c>
      <c r="B109" s="13" t="s">
        <v>281</v>
      </c>
      <c r="C109" s="13" t="s">
        <v>99</v>
      </c>
      <c r="D109" s="14" t="s">
        <v>25</v>
      </c>
      <c r="E109" s="14" t="s">
        <v>278</v>
      </c>
      <c r="F109" s="21" t="s">
        <v>40</v>
      </c>
      <c r="G109" s="5">
        <v>1</v>
      </c>
      <c r="H109" s="20" t="s">
        <v>102</v>
      </c>
      <c r="I109" s="20" t="s">
        <v>103</v>
      </c>
      <c r="J109" s="171">
        <v>1</v>
      </c>
      <c r="K109" s="7">
        <v>17697</v>
      </c>
      <c r="L109" s="172">
        <v>34</v>
      </c>
      <c r="M109" s="7">
        <f t="shared" si="11"/>
        <v>1.8888888888888888</v>
      </c>
      <c r="N109" s="173" t="s">
        <v>152</v>
      </c>
      <c r="O109" s="14">
        <v>4.75</v>
      </c>
      <c r="P109" s="18">
        <f t="shared" si="10"/>
        <v>158781.41666666669</v>
      </c>
      <c r="Q109" s="8"/>
      <c r="R109" s="7"/>
      <c r="S109" s="7">
        <v>0.1</v>
      </c>
      <c r="T109" s="18">
        <f t="shared" si="8"/>
        <v>15878.14166666667</v>
      </c>
      <c r="U109" s="9"/>
      <c r="V109" s="7"/>
      <c r="W109" s="10">
        <f t="shared" si="9"/>
        <v>174659.55833333335</v>
      </c>
      <c r="X109" s="113"/>
    </row>
    <row r="110" spans="1:24" s="80" customFormat="1" ht="17.25" customHeight="1">
      <c r="A110" s="42">
        <v>13</v>
      </c>
      <c r="B110" s="26" t="s">
        <v>177</v>
      </c>
      <c r="C110" s="6" t="s">
        <v>99</v>
      </c>
      <c r="D110" s="20" t="s">
        <v>178</v>
      </c>
      <c r="E110" s="33" t="s">
        <v>179</v>
      </c>
      <c r="F110" s="33" t="s">
        <v>93</v>
      </c>
      <c r="G110" s="5">
        <v>1</v>
      </c>
      <c r="H110" s="20" t="s">
        <v>102</v>
      </c>
      <c r="I110" s="20" t="s">
        <v>103</v>
      </c>
      <c r="J110" s="27">
        <v>2</v>
      </c>
      <c r="K110" s="7">
        <v>17697</v>
      </c>
      <c r="L110" s="172">
        <v>6</v>
      </c>
      <c r="M110" s="7">
        <f t="shared" si="11"/>
        <v>0.33333333333333331</v>
      </c>
      <c r="N110" s="173" t="s">
        <v>104</v>
      </c>
      <c r="O110" s="14">
        <v>4.37</v>
      </c>
      <c r="P110" s="18">
        <f t="shared" si="10"/>
        <v>25778.63</v>
      </c>
      <c r="Q110" s="8"/>
      <c r="R110" s="7"/>
      <c r="S110" s="7">
        <v>0.1</v>
      </c>
      <c r="T110" s="18">
        <f t="shared" si="8"/>
        <v>2577.8630000000003</v>
      </c>
      <c r="U110" s="9"/>
      <c r="V110" s="7"/>
      <c r="W110" s="10">
        <f>T110+P110</f>
        <v>28356.493000000002</v>
      </c>
      <c r="X110" s="113"/>
    </row>
    <row r="111" spans="1:24" s="80" customFormat="1" ht="17.25" customHeight="1">
      <c r="A111" s="42">
        <v>14</v>
      </c>
      <c r="B111" s="13" t="s">
        <v>282</v>
      </c>
      <c r="C111" s="13" t="s">
        <v>99</v>
      </c>
      <c r="D111" s="14" t="s">
        <v>25</v>
      </c>
      <c r="E111" s="14" t="s">
        <v>283</v>
      </c>
      <c r="F111" s="21" t="s">
        <v>40</v>
      </c>
      <c r="G111" s="5">
        <v>1</v>
      </c>
      <c r="H111" s="20" t="s">
        <v>102</v>
      </c>
      <c r="I111" s="20" t="s">
        <v>103</v>
      </c>
      <c r="J111" s="171">
        <v>1</v>
      </c>
      <c r="K111" s="7">
        <v>17697</v>
      </c>
      <c r="L111" s="172">
        <v>36</v>
      </c>
      <c r="M111" s="7">
        <f t="shared" si="11"/>
        <v>2</v>
      </c>
      <c r="N111" s="173" t="s">
        <v>152</v>
      </c>
      <c r="O111" s="14">
        <v>4.75</v>
      </c>
      <c r="P111" s="18">
        <f t="shared" si="10"/>
        <v>168121.5</v>
      </c>
      <c r="Q111" s="8"/>
      <c r="R111" s="7"/>
      <c r="S111" s="7">
        <v>0.1</v>
      </c>
      <c r="T111" s="18">
        <f t="shared" si="8"/>
        <v>16812.150000000001</v>
      </c>
      <c r="U111" s="9"/>
      <c r="V111" s="7"/>
      <c r="W111" s="10">
        <f t="shared" si="9"/>
        <v>184933.65</v>
      </c>
      <c r="X111" s="113"/>
    </row>
    <row r="112" spans="1:24" s="80" customFormat="1" ht="17.25" customHeight="1">
      <c r="A112" s="42">
        <v>15</v>
      </c>
      <c r="B112" s="13" t="s">
        <v>182</v>
      </c>
      <c r="C112" s="13" t="s">
        <v>284</v>
      </c>
      <c r="D112" s="14" t="s">
        <v>25</v>
      </c>
      <c r="E112" s="14" t="s">
        <v>285</v>
      </c>
      <c r="F112" s="21" t="s">
        <v>217</v>
      </c>
      <c r="G112" s="5">
        <v>1</v>
      </c>
      <c r="H112" s="20" t="s">
        <v>102</v>
      </c>
      <c r="I112" s="20" t="s">
        <v>103</v>
      </c>
      <c r="J112" s="171">
        <v>1</v>
      </c>
      <c r="K112" s="7">
        <v>17697</v>
      </c>
      <c r="L112" s="172">
        <v>10</v>
      </c>
      <c r="M112" s="7">
        <f t="shared" si="11"/>
        <v>0.55555555555555558</v>
      </c>
      <c r="N112" s="56" t="s">
        <v>152</v>
      </c>
      <c r="O112" s="14">
        <v>4.26</v>
      </c>
      <c r="P112" s="18">
        <f t="shared" si="10"/>
        <v>41882.9</v>
      </c>
      <c r="Q112" s="8"/>
      <c r="R112" s="7"/>
      <c r="S112" s="7">
        <v>0.1</v>
      </c>
      <c r="T112" s="18">
        <f t="shared" si="8"/>
        <v>4188.29</v>
      </c>
      <c r="U112" s="9"/>
      <c r="V112" s="7"/>
      <c r="W112" s="10">
        <f t="shared" si="9"/>
        <v>46071.19</v>
      </c>
      <c r="X112" s="113"/>
    </row>
    <row r="113" spans="1:24" s="80" customFormat="1" ht="17.25" customHeight="1">
      <c r="A113" s="42">
        <v>16</v>
      </c>
      <c r="B113" s="13" t="s">
        <v>184</v>
      </c>
      <c r="C113" s="13" t="s">
        <v>99</v>
      </c>
      <c r="D113" s="14" t="s">
        <v>25</v>
      </c>
      <c r="E113" s="14" t="s">
        <v>286</v>
      </c>
      <c r="F113" s="21" t="s">
        <v>40</v>
      </c>
      <c r="G113" s="5">
        <v>1</v>
      </c>
      <c r="H113" s="20" t="s">
        <v>102</v>
      </c>
      <c r="I113" s="20" t="s">
        <v>103</v>
      </c>
      <c r="J113" s="171">
        <v>1</v>
      </c>
      <c r="K113" s="7">
        <v>17697</v>
      </c>
      <c r="L113" s="172">
        <v>6</v>
      </c>
      <c r="M113" s="7">
        <f t="shared" si="11"/>
        <v>0.33333333333333331</v>
      </c>
      <c r="N113" s="56" t="s">
        <v>152</v>
      </c>
      <c r="O113" s="14">
        <v>4.75</v>
      </c>
      <c r="P113" s="18">
        <f t="shared" si="10"/>
        <v>28020.25</v>
      </c>
      <c r="Q113" s="8"/>
      <c r="R113" s="7"/>
      <c r="S113" s="7">
        <v>0.1</v>
      </c>
      <c r="T113" s="18">
        <f t="shared" si="8"/>
        <v>2802.0250000000001</v>
      </c>
      <c r="U113" s="9"/>
      <c r="V113" s="7"/>
      <c r="W113" s="10">
        <f t="shared" si="9"/>
        <v>30822.275000000001</v>
      </c>
      <c r="X113" s="113"/>
    </row>
    <row r="114" spans="1:24" s="80" customFormat="1" ht="17.25" customHeight="1">
      <c r="A114" s="42">
        <v>17</v>
      </c>
      <c r="B114" s="13" t="s">
        <v>364</v>
      </c>
      <c r="C114" s="13" t="s">
        <v>99</v>
      </c>
      <c r="D114" s="14" t="s">
        <v>25</v>
      </c>
      <c r="E114" s="14" t="s">
        <v>365</v>
      </c>
      <c r="F114" s="21" t="s">
        <v>366</v>
      </c>
      <c r="G114" s="5"/>
      <c r="H114" s="20" t="s">
        <v>102</v>
      </c>
      <c r="I114" s="20" t="s">
        <v>103</v>
      </c>
      <c r="J114" s="171">
        <v>1</v>
      </c>
      <c r="K114" s="7">
        <v>17697</v>
      </c>
      <c r="L114" s="172">
        <v>26.5</v>
      </c>
      <c r="M114" s="7">
        <f>L114/18</f>
        <v>1.4722222222222223</v>
      </c>
      <c r="N114" s="56" t="s">
        <v>152</v>
      </c>
      <c r="O114" s="14">
        <v>4.6900000000000004</v>
      </c>
      <c r="P114" s="18">
        <f t="shared" si="10"/>
        <v>122192.86916666669</v>
      </c>
      <c r="Q114" s="8"/>
      <c r="R114" s="7"/>
      <c r="S114" s="7">
        <v>0.1</v>
      </c>
      <c r="T114" s="18">
        <f t="shared" si="8"/>
        <v>12219.28691666667</v>
      </c>
      <c r="U114" s="9"/>
      <c r="V114" s="7"/>
      <c r="W114" s="10">
        <f t="shared" si="9"/>
        <v>134412.15608333336</v>
      </c>
      <c r="X114" s="113"/>
    </row>
    <row r="115" spans="1:24" s="80" customFormat="1" ht="17.25" customHeight="1">
      <c r="A115" s="42">
        <v>18</v>
      </c>
      <c r="B115" s="13" t="s">
        <v>287</v>
      </c>
      <c r="C115" s="13" t="s">
        <v>99</v>
      </c>
      <c r="D115" s="14" t="s">
        <v>25</v>
      </c>
      <c r="E115" s="14" t="s">
        <v>288</v>
      </c>
      <c r="F115" s="21" t="s">
        <v>40</v>
      </c>
      <c r="G115" s="5">
        <v>1</v>
      </c>
      <c r="H115" s="20" t="s">
        <v>102</v>
      </c>
      <c r="I115" s="20" t="s">
        <v>103</v>
      </c>
      <c r="J115" s="171">
        <v>1</v>
      </c>
      <c r="K115" s="7">
        <v>17697</v>
      </c>
      <c r="L115" s="172">
        <v>33</v>
      </c>
      <c r="M115" s="7">
        <f t="shared" si="11"/>
        <v>1.8333333333333333</v>
      </c>
      <c r="N115" s="173" t="s">
        <v>152</v>
      </c>
      <c r="O115" s="14">
        <v>4.75</v>
      </c>
      <c r="P115" s="18">
        <f t="shared" si="10"/>
        <v>154111.375</v>
      </c>
      <c r="Q115" s="8"/>
      <c r="R115" s="7"/>
      <c r="S115" s="7">
        <v>0.1</v>
      </c>
      <c r="T115" s="18">
        <f t="shared" si="8"/>
        <v>15411.137500000001</v>
      </c>
      <c r="U115" s="9"/>
      <c r="V115" s="7"/>
      <c r="W115" s="10">
        <f t="shared" si="9"/>
        <v>169522.51250000001</v>
      </c>
      <c r="X115" s="113"/>
    </row>
    <row r="116" spans="1:24" s="80" customFormat="1" ht="17.25" customHeight="1">
      <c r="A116" s="42">
        <v>19</v>
      </c>
      <c r="B116" s="13" t="s">
        <v>289</v>
      </c>
      <c r="C116" s="13" t="s">
        <v>99</v>
      </c>
      <c r="D116" s="20" t="s">
        <v>64</v>
      </c>
      <c r="E116" s="14" t="s">
        <v>290</v>
      </c>
      <c r="F116" s="5" t="s">
        <v>97</v>
      </c>
      <c r="G116" s="5">
        <v>1</v>
      </c>
      <c r="H116" s="20" t="s">
        <v>102</v>
      </c>
      <c r="I116" s="20" t="s">
        <v>118</v>
      </c>
      <c r="J116" s="171">
        <v>4</v>
      </c>
      <c r="K116" s="7">
        <v>17697</v>
      </c>
      <c r="L116" s="172">
        <v>36</v>
      </c>
      <c r="M116" s="7">
        <f t="shared" si="11"/>
        <v>2</v>
      </c>
      <c r="N116" s="173" t="s">
        <v>109</v>
      </c>
      <c r="O116" s="174">
        <v>3.36</v>
      </c>
      <c r="P116" s="18">
        <f>O116*K116/18*L116</f>
        <v>118923.84</v>
      </c>
      <c r="Q116" s="8"/>
      <c r="R116" s="7"/>
      <c r="S116" s="7">
        <v>0.1</v>
      </c>
      <c r="T116" s="18">
        <f t="shared" si="8"/>
        <v>11892.384</v>
      </c>
      <c r="U116" s="9"/>
      <c r="V116" s="7"/>
      <c r="W116" s="10">
        <f>T116+P116</f>
        <v>130816.224</v>
      </c>
      <c r="X116" s="113"/>
    </row>
    <row r="117" spans="1:24" s="24" customFormat="1" ht="17.25" customHeight="1">
      <c r="A117" s="91"/>
      <c r="B117" s="92"/>
      <c r="C117" s="92"/>
      <c r="D117" s="93"/>
      <c r="E117" s="94"/>
      <c r="F117" s="95"/>
      <c r="G117" s="95"/>
      <c r="H117" s="93"/>
      <c r="I117" s="93"/>
      <c r="J117" s="96"/>
      <c r="K117" s="97"/>
      <c r="L117" s="98">
        <f>SUM(L98:L116)</f>
        <v>456.5</v>
      </c>
      <c r="M117" s="97"/>
      <c r="N117" s="99"/>
      <c r="O117" s="100"/>
      <c r="P117" s="101"/>
      <c r="Q117" s="102"/>
      <c r="R117" s="97"/>
      <c r="S117" s="97"/>
      <c r="T117" s="101"/>
      <c r="U117" s="103"/>
      <c r="V117" s="97"/>
      <c r="W117" s="104">
        <f>SUM(W98:W116)</f>
        <v>2196725.1689166664</v>
      </c>
      <c r="X117" s="28"/>
    </row>
    <row r="118" spans="1:24" s="80" customFormat="1" ht="17.25" customHeight="1">
      <c r="A118" s="5">
        <v>126</v>
      </c>
      <c r="B118" s="175" t="s">
        <v>291</v>
      </c>
      <c r="C118" s="176" t="s">
        <v>292</v>
      </c>
      <c r="D118" s="16" t="s">
        <v>25</v>
      </c>
      <c r="E118" s="16" t="s">
        <v>293</v>
      </c>
      <c r="F118" s="16" t="s">
        <v>40</v>
      </c>
      <c r="G118" s="177">
        <v>1</v>
      </c>
      <c r="H118" s="177" t="s">
        <v>102</v>
      </c>
      <c r="I118" s="177" t="s">
        <v>103</v>
      </c>
      <c r="J118" s="178">
        <v>1</v>
      </c>
      <c r="K118" s="7">
        <v>17697</v>
      </c>
      <c r="L118" s="188">
        <f>1.5*18</f>
        <v>27</v>
      </c>
      <c r="M118" s="18">
        <v>1.5</v>
      </c>
      <c r="N118" s="179" t="s">
        <v>129</v>
      </c>
      <c r="O118" s="18">
        <v>4.75</v>
      </c>
      <c r="P118" s="18">
        <f>O118*K118/1*M118</f>
        <v>126091.125</v>
      </c>
      <c r="Q118" s="19">
        <v>0.25</v>
      </c>
      <c r="R118" s="7">
        <f>Q118*P118</f>
        <v>31522.78125</v>
      </c>
      <c r="S118" s="7">
        <v>0.1</v>
      </c>
      <c r="T118" s="18">
        <f>(P118+R118)*10%</f>
        <v>15761.390625</v>
      </c>
      <c r="U118" s="9"/>
      <c r="V118" s="7"/>
      <c r="W118" s="10">
        <f>T118+R118+P118</f>
        <v>173375.296875</v>
      </c>
      <c r="X118" s="122"/>
    </row>
    <row r="119" spans="1:24" s="80" customFormat="1" ht="17.25" customHeight="1">
      <c r="A119" s="5">
        <v>127</v>
      </c>
      <c r="B119" s="180" t="s">
        <v>294</v>
      </c>
      <c r="C119" s="180" t="s">
        <v>295</v>
      </c>
      <c r="D119" s="180" t="s">
        <v>25</v>
      </c>
      <c r="E119" s="180" t="s">
        <v>296</v>
      </c>
      <c r="F119" s="180" t="s">
        <v>242</v>
      </c>
      <c r="G119" s="177">
        <v>1</v>
      </c>
      <c r="H119" s="177" t="s">
        <v>102</v>
      </c>
      <c r="I119" s="177" t="s">
        <v>103</v>
      </c>
      <c r="J119" s="178">
        <v>1</v>
      </c>
      <c r="K119" s="7">
        <v>17697</v>
      </c>
      <c r="L119" s="188">
        <v>5</v>
      </c>
      <c r="M119" s="18">
        <v>0.5</v>
      </c>
      <c r="N119" s="179" t="s">
        <v>129</v>
      </c>
      <c r="O119" s="18">
        <v>4.6900000000000004</v>
      </c>
      <c r="P119" s="18">
        <f t="shared" ref="P119:P132" si="12">O119*K119/1*M119</f>
        <v>41499.465000000004</v>
      </c>
      <c r="Q119" s="19">
        <v>0.25</v>
      </c>
      <c r="R119" s="7">
        <f t="shared" ref="R119:R132" si="13">Q119*P119</f>
        <v>10374.866250000001</v>
      </c>
      <c r="S119" s="7">
        <v>0.1</v>
      </c>
      <c r="T119" s="18">
        <f>(P119+R119)*10%</f>
        <v>5187.4331250000005</v>
      </c>
      <c r="U119" s="9"/>
      <c r="V119" s="7"/>
      <c r="W119" s="10">
        <f t="shared" ref="W119:W132" si="14">T119+R119+P119</f>
        <v>57061.764375000006</v>
      </c>
      <c r="X119" s="113"/>
    </row>
    <row r="120" spans="1:24" s="80" customFormat="1" ht="17.25" customHeight="1">
      <c r="A120" s="5">
        <v>128</v>
      </c>
      <c r="B120" s="175" t="s">
        <v>297</v>
      </c>
      <c r="C120" s="176" t="s">
        <v>292</v>
      </c>
      <c r="D120" s="16" t="s">
        <v>25</v>
      </c>
      <c r="E120" s="16" t="s">
        <v>278</v>
      </c>
      <c r="F120" s="16" t="s">
        <v>40</v>
      </c>
      <c r="G120" s="177">
        <v>1</v>
      </c>
      <c r="H120" s="177" t="s">
        <v>102</v>
      </c>
      <c r="I120" s="177" t="s">
        <v>103</v>
      </c>
      <c r="J120" s="178">
        <v>1</v>
      </c>
      <c r="K120" s="7">
        <v>17697</v>
      </c>
      <c r="L120" s="188">
        <v>18</v>
      </c>
      <c r="M120" s="18">
        <v>1</v>
      </c>
      <c r="N120" s="179" t="s">
        <v>129</v>
      </c>
      <c r="O120" s="18">
        <v>4.75</v>
      </c>
      <c r="P120" s="18">
        <f t="shared" si="12"/>
        <v>84060.75</v>
      </c>
      <c r="Q120" s="19">
        <v>0.25</v>
      </c>
      <c r="R120" s="7">
        <f t="shared" si="13"/>
        <v>21015.1875</v>
      </c>
      <c r="S120" s="7">
        <v>0.1</v>
      </c>
      <c r="T120" s="18">
        <f t="shared" ref="T120:T131" si="15">(P120+R120)*10%</f>
        <v>10507.59375</v>
      </c>
      <c r="U120" s="9"/>
      <c r="V120" s="7"/>
      <c r="W120" s="10">
        <f t="shared" si="14"/>
        <v>115583.53125</v>
      </c>
      <c r="X120" s="113"/>
    </row>
    <row r="121" spans="1:24" s="80" customFormat="1" ht="16.5" customHeight="1">
      <c r="A121" s="5">
        <v>129</v>
      </c>
      <c r="B121" s="176" t="s">
        <v>298</v>
      </c>
      <c r="C121" s="176" t="s">
        <v>299</v>
      </c>
      <c r="D121" s="16" t="s">
        <v>300</v>
      </c>
      <c r="E121" s="16" t="s">
        <v>301</v>
      </c>
      <c r="F121" s="176" t="s">
        <v>40</v>
      </c>
      <c r="G121" s="177">
        <v>1</v>
      </c>
      <c r="H121" s="177" t="s">
        <v>102</v>
      </c>
      <c r="I121" s="177" t="s">
        <v>118</v>
      </c>
      <c r="J121" s="178">
        <v>2</v>
      </c>
      <c r="K121" s="7">
        <v>17697</v>
      </c>
      <c r="L121" s="188">
        <v>13</v>
      </c>
      <c r="M121" s="18">
        <v>0.72</v>
      </c>
      <c r="N121" s="173" t="s">
        <v>104</v>
      </c>
      <c r="O121" s="16">
        <v>4.3899999999999997</v>
      </c>
      <c r="P121" s="18">
        <f>K121*O121/18*13</f>
        <v>56109.321666666656</v>
      </c>
      <c r="Q121" s="19">
        <v>0.25</v>
      </c>
      <c r="R121" s="7">
        <f t="shared" si="13"/>
        <v>14027.330416666664</v>
      </c>
      <c r="S121" s="7">
        <v>0.1</v>
      </c>
      <c r="T121" s="18">
        <f t="shared" si="15"/>
        <v>7013.665208333332</v>
      </c>
      <c r="U121" s="9"/>
      <c r="V121" s="7"/>
      <c r="W121" s="10">
        <f t="shared" si="14"/>
        <v>77150.317291666652</v>
      </c>
      <c r="X121" s="113"/>
    </row>
    <row r="122" spans="1:24" s="80" customFormat="1" ht="17.25" customHeight="1">
      <c r="A122" s="5">
        <v>130</v>
      </c>
      <c r="B122" s="175" t="s">
        <v>302</v>
      </c>
      <c r="C122" s="176" t="s">
        <v>303</v>
      </c>
      <c r="D122" s="16" t="s">
        <v>25</v>
      </c>
      <c r="E122" s="16" t="s">
        <v>304</v>
      </c>
      <c r="F122" s="176" t="s">
        <v>40</v>
      </c>
      <c r="G122" s="177">
        <v>1</v>
      </c>
      <c r="H122" s="177" t="s">
        <v>102</v>
      </c>
      <c r="I122" s="177" t="s">
        <v>103</v>
      </c>
      <c r="J122" s="178">
        <v>1</v>
      </c>
      <c r="K122" s="7">
        <v>17697</v>
      </c>
      <c r="L122" s="188">
        <v>17</v>
      </c>
      <c r="M122" s="18">
        <v>0.5</v>
      </c>
      <c r="N122" s="179" t="s">
        <v>129</v>
      </c>
      <c r="O122" s="18">
        <v>4.75</v>
      </c>
      <c r="P122" s="18">
        <f t="shared" si="12"/>
        <v>42030.375</v>
      </c>
      <c r="Q122" s="19">
        <v>0.25</v>
      </c>
      <c r="R122" s="7">
        <f t="shared" si="13"/>
        <v>10507.59375</v>
      </c>
      <c r="S122" s="7">
        <v>0.1</v>
      </c>
      <c r="T122" s="18">
        <f t="shared" si="15"/>
        <v>5253.796875</v>
      </c>
      <c r="U122" s="9"/>
      <c r="V122" s="7"/>
      <c r="W122" s="10">
        <f t="shared" si="14"/>
        <v>57791.765625</v>
      </c>
      <c r="X122" s="113"/>
    </row>
    <row r="123" spans="1:24" s="80" customFormat="1" ht="17.25" customHeight="1">
      <c r="A123" s="5">
        <v>131</v>
      </c>
      <c r="B123" s="175" t="s">
        <v>38</v>
      </c>
      <c r="C123" s="176" t="s">
        <v>303</v>
      </c>
      <c r="D123" s="16" t="s">
        <v>25</v>
      </c>
      <c r="E123" s="16" t="s">
        <v>305</v>
      </c>
      <c r="F123" s="176" t="s">
        <v>40</v>
      </c>
      <c r="G123" s="177">
        <v>1</v>
      </c>
      <c r="H123" s="177" t="s">
        <v>102</v>
      </c>
      <c r="I123" s="177" t="s">
        <v>103</v>
      </c>
      <c r="J123" s="178">
        <v>1</v>
      </c>
      <c r="K123" s="7">
        <v>17697</v>
      </c>
      <c r="L123" s="188">
        <v>9</v>
      </c>
      <c r="M123" s="18">
        <v>0.5</v>
      </c>
      <c r="N123" s="179" t="s">
        <v>129</v>
      </c>
      <c r="O123" s="18">
        <v>4.75</v>
      </c>
      <c r="P123" s="18">
        <f t="shared" si="12"/>
        <v>42030.375</v>
      </c>
      <c r="Q123" s="19">
        <v>0.25</v>
      </c>
      <c r="R123" s="7">
        <f t="shared" si="13"/>
        <v>10507.59375</v>
      </c>
      <c r="S123" s="7">
        <v>0.1</v>
      </c>
      <c r="T123" s="18">
        <f t="shared" si="15"/>
        <v>5253.796875</v>
      </c>
      <c r="U123" s="9"/>
      <c r="V123" s="7"/>
      <c r="W123" s="10">
        <f t="shared" si="14"/>
        <v>57791.765625</v>
      </c>
      <c r="X123" s="113"/>
    </row>
    <row r="124" spans="1:24" s="80" customFormat="1" ht="17.25" customHeight="1">
      <c r="A124" s="5">
        <v>132</v>
      </c>
      <c r="B124" s="180" t="s">
        <v>306</v>
      </c>
      <c r="C124" s="176" t="s">
        <v>303</v>
      </c>
      <c r="D124" s="16" t="s">
        <v>25</v>
      </c>
      <c r="E124" s="181" t="s">
        <v>307</v>
      </c>
      <c r="F124" s="180" t="s">
        <v>308</v>
      </c>
      <c r="G124" s="182">
        <v>1</v>
      </c>
      <c r="H124" s="177" t="s">
        <v>102</v>
      </c>
      <c r="I124" s="177" t="s">
        <v>103</v>
      </c>
      <c r="J124" s="182">
        <v>4</v>
      </c>
      <c r="K124" s="7">
        <v>17697</v>
      </c>
      <c r="L124" s="188">
        <v>20</v>
      </c>
      <c r="M124" s="18">
        <v>1.22</v>
      </c>
      <c r="N124" s="173" t="s">
        <v>165</v>
      </c>
      <c r="O124" s="16">
        <v>3.52</v>
      </c>
      <c r="P124" s="18">
        <f t="shared" si="12"/>
        <v>75997.996800000008</v>
      </c>
      <c r="Q124" s="19">
        <v>0.25</v>
      </c>
      <c r="R124" s="7">
        <f t="shared" si="13"/>
        <v>18999.499200000002</v>
      </c>
      <c r="S124" s="7">
        <v>0.1</v>
      </c>
      <c r="T124" s="18">
        <f t="shared" si="15"/>
        <v>9499.749600000001</v>
      </c>
      <c r="U124" s="9"/>
      <c r="V124" s="7"/>
      <c r="W124" s="10">
        <f t="shared" si="14"/>
        <v>104497.24560000001</v>
      </c>
      <c r="X124" s="113"/>
    </row>
    <row r="125" spans="1:24" s="80" customFormat="1" ht="17.25" customHeight="1">
      <c r="A125" s="5">
        <v>133</v>
      </c>
      <c r="B125" s="175" t="s">
        <v>309</v>
      </c>
      <c r="C125" s="176" t="s">
        <v>310</v>
      </c>
      <c r="D125" s="16" t="s">
        <v>25</v>
      </c>
      <c r="E125" s="16" t="s">
        <v>311</v>
      </c>
      <c r="F125" s="176" t="s">
        <v>40</v>
      </c>
      <c r="G125" s="177">
        <v>1</v>
      </c>
      <c r="H125" s="177" t="s">
        <v>102</v>
      </c>
      <c r="I125" s="177" t="s">
        <v>103</v>
      </c>
      <c r="J125" s="178">
        <v>1</v>
      </c>
      <c r="K125" s="7">
        <v>17697</v>
      </c>
      <c r="L125" s="188">
        <v>18</v>
      </c>
      <c r="M125" s="18">
        <v>1</v>
      </c>
      <c r="N125" s="179" t="s">
        <v>129</v>
      </c>
      <c r="O125" s="18">
        <v>4.75</v>
      </c>
      <c r="P125" s="18">
        <f t="shared" si="12"/>
        <v>84060.75</v>
      </c>
      <c r="Q125" s="19">
        <v>0.25</v>
      </c>
      <c r="R125" s="7">
        <f t="shared" si="13"/>
        <v>21015.1875</v>
      </c>
      <c r="S125" s="7">
        <v>0.1</v>
      </c>
      <c r="T125" s="18">
        <f t="shared" si="15"/>
        <v>10507.59375</v>
      </c>
      <c r="U125" s="9"/>
      <c r="V125" s="7"/>
      <c r="W125" s="10">
        <f t="shared" si="14"/>
        <v>115583.53125</v>
      </c>
      <c r="X125" s="113"/>
    </row>
    <row r="126" spans="1:24" s="80" customFormat="1" ht="17.25" customHeight="1">
      <c r="A126" s="5">
        <v>134</v>
      </c>
      <c r="B126" s="176" t="s">
        <v>312</v>
      </c>
      <c r="C126" s="176" t="s">
        <v>313</v>
      </c>
      <c r="D126" s="16" t="s">
        <v>25</v>
      </c>
      <c r="E126" s="16" t="s">
        <v>314</v>
      </c>
      <c r="F126" s="176" t="s">
        <v>315</v>
      </c>
      <c r="G126" s="177">
        <v>1</v>
      </c>
      <c r="H126" s="177" t="s">
        <v>102</v>
      </c>
      <c r="I126" s="177" t="s">
        <v>103</v>
      </c>
      <c r="J126" s="178">
        <v>4</v>
      </c>
      <c r="K126" s="7">
        <v>17697</v>
      </c>
      <c r="L126" s="188">
        <v>10</v>
      </c>
      <c r="M126" s="18">
        <v>0.56000000000000005</v>
      </c>
      <c r="N126" s="173" t="s">
        <v>165</v>
      </c>
      <c r="O126" s="16">
        <v>3.64</v>
      </c>
      <c r="P126" s="18">
        <f t="shared" si="12"/>
        <v>36073.564800000007</v>
      </c>
      <c r="Q126" s="19">
        <v>0.25</v>
      </c>
      <c r="R126" s="7">
        <f t="shared" si="13"/>
        <v>9018.3912000000018</v>
      </c>
      <c r="S126" s="7">
        <v>0.1</v>
      </c>
      <c r="T126" s="18">
        <f t="shared" si="15"/>
        <v>4509.1956000000009</v>
      </c>
      <c r="U126" s="9"/>
      <c r="V126" s="7"/>
      <c r="W126" s="10">
        <f t="shared" si="14"/>
        <v>49601.151600000012</v>
      </c>
      <c r="X126" s="113"/>
    </row>
    <row r="127" spans="1:24" s="80" customFormat="1" ht="17.25" customHeight="1">
      <c r="A127" s="5">
        <v>135</v>
      </c>
      <c r="B127" s="176" t="s">
        <v>316</v>
      </c>
      <c r="C127" s="176" t="s">
        <v>295</v>
      </c>
      <c r="D127" s="16" t="s">
        <v>300</v>
      </c>
      <c r="E127" s="16" t="s">
        <v>317</v>
      </c>
      <c r="F127" s="176" t="s">
        <v>315</v>
      </c>
      <c r="G127" s="177">
        <v>1</v>
      </c>
      <c r="H127" s="177" t="s">
        <v>232</v>
      </c>
      <c r="I127" s="177" t="s">
        <v>318</v>
      </c>
      <c r="J127" s="178">
        <v>4</v>
      </c>
      <c r="K127" s="7">
        <v>17697</v>
      </c>
      <c r="L127" s="188">
        <v>25</v>
      </c>
      <c r="M127" s="18">
        <v>1.38</v>
      </c>
      <c r="N127" s="173" t="s">
        <v>165</v>
      </c>
      <c r="O127" s="16">
        <v>3.36</v>
      </c>
      <c r="P127" s="18">
        <f t="shared" si="12"/>
        <v>82057.449599999993</v>
      </c>
      <c r="Q127" s="19">
        <v>0.25</v>
      </c>
      <c r="R127" s="7">
        <f t="shared" si="13"/>
        <v>20514.362399999998</v>
      </c>
      <c r="S127" s="7">
        <v>0.1</v>
      </c>
      <c r="T127" s="18">
        <f t="shared" si="15"/>
        <v>10257.181199999999</v>
      </c>
      <c r="U127" s="9"/>
      <c r="V127" s="7"/>
      <c r="W127" s="10">
        <f t="shared" si="14"/>
        <v>112828.9932</v>
      </c>
      <c r="X127" s="113"/>
    </row>
    <row r="128" spans="1:24" s="80" customFormat="1" ht="17.25" customHeight="1">
      <c r="A128" s="5">
        <v>136</v>
      </c>
      <c r="B128" s="176" t="s">
        <v>319</v>
      </c>
      <c r="C128" s="176" t="s">
        <v>295</v>
      </c>
      <c r="D128" s="16" t="s">
        <v>25</v>
      </c>
      <c r="E128" s="16" t="s">
        <v>320</v>
      </c>
      <c r="F128" s="176" t="s">
        <v>249</v>
      </c>
      <c r="G128" s="177">
        <v>1</v>
      </c>
      <c r="H128" s="177" t="s">
        <v>232</v>
      </c>
      <c r="I128" s="177" t="s">
        <v>233</v>
      </c>
      <c r="J128" s="178">
        <v>3</v>
      </c>
      <c r="K128" s="7">
        <v>17697</v>
      </c>
      <c r="L128" s="188">
        <v>29</v>
      </c>
      <c r="M128" s="18">
        <v>1</v>
      </c>
      <c r="N128" s="173" t="s">
        <v>109</v>
      </c>
      <c r="O128" s="16">
        <v>4.1399999999999997</v>
      </c>
      <c r="P128" s="18">
        <f t="shared" si="12"/>
        <v>73265.579999999987</v>
      </c>
      <c r="Q128" s="19">
        <v>0.25</v>
      </c>
      <c r="R128" s="7">
        <f t="shared" si="13"/>
        <v>18316.394999999997</v>
      </c>
      <c r="S128" s="7">
        <v>0.1</v>
      </c>
      <c r="T128" s="18">
        <f>(P128+R128)*10%</f>
        <v>9158.1974999999984</v>
      </c>
      <c r="U128" s="9"/>
      <c r="V128" s="7"/>
      <c r="W128" s="10">
        <f t="shared" si="14"/>
        <v>100740.17249999999</v>
      </c>
      <c r="X128" s="113"/>
    </row>
    <row r="129" spans="1:39" s="80" customFormat="1" ht="17.25" customHeight="1">
      <c r="A129" s="5">
        <v>137</v>
      </c>
      <c r="B129" s="175" t="s">
        <v>321</v>
      </c>
      <c r="C129" s="176" t="s">
        <v>322</v>
      </c>
      <c r="D129" s="16" t="s">
        <v>25</v>
      </c>
      <c r="E129" s="16" t="s">
        <v>323</v>
      </c>
      <c r="F129" s="176" t="s">
        <v>242</v>
      </c>
      <c r="G129" s="177">
        <v>1</v>
      </c>
      <c r="H129" s="177" t="s">
        <v>102</v>
      </c>
      <c r="I129" s="177" t="s">
        <v>103</v>
      </c>
      <c r="J129" s="178">
        <v>1</v>
      </c>
      <c r="K129" s="7">
        <v>17697</v>
      </c>
      <c r="L129" s="188">
        <v>18</v>
      </c>
      <c r="M129" s="18">
        <v>1</v>
      </c>
      <c r="N129" s="179" t="s">
        <v>129</v>
      </c>
      <c r="O129" s="16">
        <v>4.6900000000000004</v>
      </c>
      <c r="P129" s="18">
        <f t="shared" si="12"/>
        <v>82998.930000000008</v>
      </c>
      <c r="Q129" s="19">
        <v>0.25</v>
      </c>
      <c r="R129" s="7">
        <f t="shared" si="13"/>
        <v>20749.732500000002</v>
      </c>
      <c r="S129" s="7">
        <v>0.1</v>
      </c>
      <c r="T129" s="18">
        <f t="shared" si="15"/>
        <v>10374.866250000001</v>
      </c>
      <c r="U129" s="9"/>
      <c r="V129" s="7"/>
      <c r="W129" s="10">
        <f t="shared" si="14"/>
        <v>114123.52875000001</v>
      </c>
      <c r="X129" s="113"/>
    </row>
    <row r="130" spans="1:39" s="80" customFormat="1" ht="17.25" customHeight="1">
      <c r="A130" s="5">
        <v>138</v>
      </c>
      <c r="B130" s="175" t="s">
        <v>324</v>
      </c>
      <c r="C130" s="176" t="s">
        <v>303</v>
      </c>
      <c r="D130" s="16" t="s">
        <v>25</v>
      </c>
      <c r="E130" s="16" t="s">
        <v>325</v>
      </c>
      <c r="F130" s="176" t="s">
        <v>40</v>
      </c>
      <c r="G130" s="177">
        <v>1</v>
      </c>
      <c r="H130" s="177" t="s">
        <v>102</v>
      </c>
      <c r="I130" s="177" t="s">
        <v>103</v>
      </c>
      <c r="J130" s="178">
        <v>1</v>
      </c>
      <c r="K130" s="7">
        <v>17697</v>
      </c>
      <c r="L130" s="188">
        <v>18</v>
      </c>
      <c r="M130" s="18">
        <v>0.67</v>
      </c>
      <c r="N130" s="179" t="s">
        <v>129</v>
      </c>
      <c r="O130" s="18">
        <v>4.75</v>
      </c>
      <c r="P130" s="18">
        <f t="shared" si="12"/>
        <v>56320.702500000007</v>
      </c>
      <c r="Q130" s="19">
        <v>0.25</v>
      </c>
      <c r="R130" s="7">
        <f t="shared" si="13"/>
        <v>14080.175625000002</v>
      </c>
      <c r="S130" s="7">
        <v>0.1</v>
      </c>
      <c r="T130" s="18">
        <f>(P130+R130)*10%</f>
        <v>7040.0878125000008</v>
      </c>
      <c r="U130" s="9"/>
      <c r="V130" s="7"/>
      <c r="W130" s="10">
        <f t="shared" si="14"/>
        <v>77440.965937500005</v>
      </c>
      <c r="X130" s="113"/>
    </row>
    <row r="131" spans="1:39" s="80" customFormat="1" ht="17.25" customHeight="1">
      <c r="A131" s="5">
        <v>139</v>
      </c>
      <c r="B131" s="176" t="s">
        <v>326</v>
      </c>
      <c r="C131" s="176" t="s">
        <v>327</v>
      </c>
      <c r="D131" s="16" t="s">
        <v>25</v>
      </c>
      <c r="E131" s="16" t="s">
        <v>328</v>
      </c>
      <c r="F131" s="176" t="s">
        <v>242</v>
      </c>
      <c r="G131" s="177">
        <v>1</v>
      </c>
      <c r="H131" s="177" t="s">
        <v>102</v>
      </c>
      <c r="I131" s="177" t="s">
        <v>103</v>
      </c>
      <c r="J131" s="178">
        <v>1</v>
      </c>
      <c r="K131" s="7">
        <v>17697</v>
      </c>
      <c r="L131" s="188">
        <v>13</v>
      </c>
      <c r="M131" s="18">
        <v>0.72</v>
      </c>
      <c r="N131" s="179" t="s">
        <v>129</v>
      </c>
      <c r="O131" s="16">
        <v>4.6900000000000004</v>
      </c>
      <c r="P131" s="18">
        <f t="shared" si="12"/>
        <v>59759.229600000006</v>
      </c>
      <c r="Q131" s="19">
        <v>0.25</v>
      </c>
      <c r="R131" s="7">
        <f t="shared" si="13"/>
        <v>14939.807400000002</v>
      </c>
      <c r="S131" s="7">
        <v>0.1</v>
      </c>
      <c r="T131" s="18">
        <f t="shared" si="15"/>
        <v>7469.9037000000017</v>
      </c>
      <c r="U131" s="9"/>
      <c r="V131" s="7"/>
      <c r="W131" s="10">
        <f t="shared" si="14"/>
        <v>82168.940700000006</v>
      </c>
      <c r="X131" s="113"/>
    </row>
    <row r="132" spans="1:39" s="80" customFormat="1" ht="17.25" customHeight="1">
      <c r="A132" s="5">
        <v>140</v>
      </c>
      <c r="B132" s="176" t="s">
        <v>329</v>
      </c>
      <c r="C132" s="176" t="s">
        <v>295</v>
      </c>
      <c r="D132" s="16" t="s">
        <v>300</v>
      </c>
      <c r="E132" s="16" t="s">
        <v>330</v>
      </c>
      <c r="F132" s="176" t="s">
        <v>249</v>
      </c>
      <c r="G132" s="177">
        <v>1</v>
      </c>
      <c r="H132" s="177" t="s">
        <v>232</v>
      </c>
      <c r="I132" s="177" t="s">
        <v>318</v>
      </c>
      <c r="J132" s="178">
        <v>3</v>
      </c>
      <c r="K132" s="7">
        <v>17697</v>
      </c>
      <c r="L132" s="188">
        <v>0</v>
      </c>
      <c r="M132" s="18">
        <v>1.39</v>
      </c>
      <c r="N132" s="173" t="s">
        <v>109</v>
      </c>
      <c r="O132" s="16">
        <v>3.06</v>
      </c>
      <c r="P132" s="18">
        <f t="shared" si="12"/>
        <v>75272.419799999989</v>
      </c>
      <c r="Q132" s="19">
        <v>0.25</v>
      </c>
      <c r="R132" s="7">
        <f t="shared" si="13"/>
        <v>18818.104949999997</v>
      </c>
      <c r="S132" s="7">
        <v>0.1</v>
      </c>
      <c r="T132" s="18">
        <f>(P132+R132)*10%</f>
        <v>9409.0524749999986</v>
      </c>
      <c r="U132" s="9"/>
      <c r="V132" s="7"/>
      <c r="W132" s="10">
        <f t="shared" si="14"/>
        <v>103499.57722499999</v>
      </c>
      <c r="X132" s="113"/>
      <c r="Y132" s="116"/>
    </row>
    <row r="133" spans="1:39" s="24" customFormat="1" ht="17.25" customHeight="1">
      <c r="A133" s="95"/>
      <c r="B133" s="117"/>
      <c r="C133" s="117"/>
      <c r="D133" s="118"/>
      <c r="E133" s="118"/>
      <c r="F133" s="117"/>
      <c r="G133" s="119"/>
      <c r="H133" s="119"/>
      <c r="I133" s="119"/>
      <c r="J133" s="120"/>
      <c r="K133" s="97"/>
      <c r="L133" s="209">
        <f>SUM(L118:L132)</f>
        <v>240</v>
      </c>
      <c r="M133" s="101"/>
      <c r="N133" s="99"/>
      <c r="O133" s="118"/>
      <c r="P133" s="101"/>
      <c r="Q133" s="121"/>
      <c r="R133" s="97"/>
      <c r="S133" s="97"/>
      <c r="T133" s="101"/>
      <c r="U133" s="103"/>
      <c r="V133" s="97"/>
      <c r="W133" s="104">
        <f>SUM(W118:W132)</f>
        <v>1399238.5478041666</v>
      </c>
      <c r="X133" s="28"/>
      <c r="Y133" s="22"/>
    </row>
    <row r="134" spans="1:39" s="78" customFormat="1" ht="15.75" customHeight="1">
      <c r="A134" s="320">
        <v>141</v>
      </c>
      <c r="B134" s="321" t="s">
        <v>368</v>
      </c>
      <c r="C134" s="322" t="s">
        <v>331</v>
      </c>
      <c r="D134" s="323" t="s">
        <v>64</v>
      </c>
      <c r="E134" s="324"/>
      <c r="F134" s="325"/>
      <c r="G134" s="326">
        <v>1</v>
      </c>
      <c r="H134" s="327"/>
      <c r="I134" s="322"/>
      <c r="J134" s="327">
        <v>2</v>
      </c>
      <c r="K134" s="317">
        <v>17697</v>
      </c>
      <c r="L134" s="317"/>
      <c r="M134" s="328">
        <v>1.5</v>
      </c>
      <c r="N134" s="317"/>
      <c r="O134" s="317">
        <v>2.81</v>
      </c>
      <c r="P134" s="329">
        <f>O134*K134*M134</f>
        <v>74592.854999999996</v>
      </c>
      <c r="Q134" s="317">
        <f t="shared" ref="Q134:Q160" si="16">K134*P135*N134</f>
        <v>0</v>
      </c>
      <c r="R134" s="330"/>
      <c r="S134" s="318">
        <v>0.1</v>
      </c>
      <c r="T134" s="317">
        <f t="shared" ref="T134:T160" si="17">S134*P134</f>
        <v>7459.2855</v>
      </c>
      <c r="U134" s="317"/>
      <c r="V134" s="331"/>
      <c r="W134" s="319">
        <f>P134+T134+V134</f>
        <v>82052.140499999994</v>
      </c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</row>
    <row r="135" spans="1:39" s="78" customFormat="1" ht="16.5" customHeight="1">
      <c r="A135" s="313">
        <v>142</v>
      </c>
      <c r="B135" s="292" t="s">
        <v>332</v>
      </c>
      <c r="C135" s="268" t="s">
        <v>331</v>
      </c>
      <c r="D135" s="266" t="s">
        <v>64</v>
      </c>
      <c r="E135" s="332"/>
      <c r="F135" s="336"/>
      <c r="G135" s="289">
        <v>1</v>
      </c>
      <c r="H135" s="288"/>
      <c r="I135" s="333"/>
      <c r="J135" s="288">
        <v>2</v>
      </c>
      <c r="K135" s="270">
        <v>17697</v>
      </c>
      <c r="L135" s="270"/>
      <c r="M135" s="317">
        <v>0.5</v>
      </c>
      <c r="N135" s="270"/>
      <c r="O135" s="317">
        <v>2.81</v>
      </c>
      <c r="P135" s="282">
        <f>O135*K135*M135</f>
        <v>24864.285</v>
      </c>
      <c r="Q135" s="317">
        <f t="shared" si="16"/>
        <v>0</v>
      </c>
      <c r="R135" s="271"/>
      <c r="S135" s="318">
        <v>0.1</v>
      </c>
      <c r="T135" s="317">
        <f t="shared" si="17"/>
        <v>2486.4285</v>
      </c>
      <c r="U135" s="270"/>
      <c r="V135" s="270"/>
      <c r="W135" s="319">
        <f>P135+T135+V135</f>
        <v>27350.713499999998</v>
      </c>
      <c r="X135" s="138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</row>
    <row r="136" spans="1:39" s="80" customFormat="1" ht="15">
      <c r="A136" s="320">
        <v>143</v>
      </c>
      <c r="B136" s="292" t="s">
        <v>333</v>
      </c>
      <c r="C136" s="268" t="s">
        <v>334</v>
      </c>
      <c r="D136" s="266" t="s">
        <v>64</v>
      </c>
      <c r="E136" s="332"/>
      <c r="F136" s="266"/>
      <c r="G136" s="289">
        <v>1</v>
      </c>
      <c r="H136" s="288"/>
      <c r="I136" s="333"/>
      <c r="J136" s="288">
        <v>4</v>
      </c>
      <c r="K136" s="270">
        <v>17697</v>
      </c>
      <c r="L136" s="270"/>
      <c r="M136" s="270">
        <v>0.5</v>
      </c>
      <c r="N136" s="270"/>
      <c r="O136" s="270">
        <v>2.89</v>
      </c>
      <c r="P136" s="282">
        <f t="shared" ref="P136:P160" si="18">O136*K136</f>
        <v>51144.33</v>
      </c>
      <c r="Q136" s="317">
        <f t="shared" si="16"/>
        <v>0</v>
      </c>
      <c r="R136" s="270"/>
      <c r="S136" s="318">
        <v>0.1</v>
      </c>
      <c r="T136" s="317">
        <f t="shared" si="17"/>
        <v>5114.4330000000009</v>
      </c>
      <c r="U136" s="270"/>
      <c r="V136" s="270"/>
      <c r="W136" s="319">
        <f t="shared" ref="W136:W160" si="19">P136+T136+V136</f>
        <v>56258.763000000006</v>
      </c>
    </row>
    <row r="137" spans="1:39" s="80" customFormat="1" ht="15" customHeight="1">
      <c r="A137" s="313">
        <v>144</v>
      </c>
      <c r="B137" s="292" t="s">
        <v>335</v>
      </c>
      <c r="C137" s="268" t="s">
        <v>336</v>
      </c>
      <c r="D137" s="266" t="s">
        <v>64</v>
      </c>
      <c r="E137" s="332"/>
      <c r="F137" s="266"/>
      <c r="G137" s="289">
        <v>1</v>
      </c>
      <c r="H137" s="288"/>
      <c r="I137" s="333"/>
      <c r="J137" s="288">
        <v>4</v>
      </c>
      <c r="K137" s="270">
        <v>17697</v>
      </c>
      <c r="L137" s="270"/>
      <c r="M137" s="270">
        <v>1.5</v>
      </c>
      <c r="N137" s="270"/>
      <c r="O137" s="270">
        <v>2.89</v>
      </c>
      <c r="P137" s="282">
        <f>O137*K137*M137</f>
        <v>76716.494999999995</v>
      </c>
      <c r="Q137" s="317">
        <f t="shared" si="16"/>
        <v>0</v>
      </c>
      <c r="R137" s="270"/>
      <c r="S137" s="318">
        <v>0.1</v>
      </c>
      <c r="T137" s="317">
        <f t="shared" si="17"/>
        <v>7671.6494999999995</v>
      </c>
      <c r="U137" s="270"/>
      <c r="V137" s="270"/>
      <c r="W137" s="319">
        <f t="shared" si="19"/>
        <v>84388.144499999995</v>
      </c>
      <c r="Y137" s="116"/>
    </row>
    <row r="138" spans="1:39" s="129" customFormat="1" ht="15.75">
      <c r="A138" s="320">
        <v>145</v>
      </c>
      <c r="B138" s="314" t="s">
        <v>337</v>
      </c>
      <c r="C138" s="285" t="s">
        <v>338</v>
      </c>
      <c r="D138" s="286" t="s">
        <v>64</v>
      </c>
      <c r="E138" s="334"/>
      <c r="F138" s="286"/>
      <c r="G138" s="286">
        <v>1</v>
      </c>
      <c r="H138" s="315"/>
      <c r="I138" s="287"/>
      <c r="J138" s="286">
        <v>2</v>
      </c>
      <c r="K138" s="287">
        <v>17697</v>
      </c>
      <c r="L138" s="287"/>
      <c r="M138" s="270">
        <v>0.5</v>
      </c>
      <c r="N138" s="270"/>
      <c r="O138" s="317">
        <v>2.81</v>
      </c>
      <c r="P138" s="282">
        <f>O138*K138*M138</f>
        <v>24864.285</v>
      </c>
      <c r="Q138" s="317">
        <f t="shared" si="16"/>
        <v>0</v>
      </c>
      <c r="R138" s="270"/>
      <c r="S138" s="318">
        <v>0.1</v>
      </c>
      <c r="T138" s="317">
        <f t="shared" si="17"/>
        <v>2486.4285</v>
      </c>
      <c r="U138" s="270"/>
      <c r="V138" s="270"/>
      <c r="W138" s="319">
        <f t="shared" si="19"/>
        <v>27350.713499999998</v>
      </c>
      <c r="Y138" s="131"/>
    </row>
    <row r="139" spans="1:39" s="129" customFormat="1" ht="15.75">
      <c r="A139" s="313">
        <v>146</v>
      </c>
      <c r="B139" s="314" t="s">
        <v>382</v>
      </c>
      <c r="C139" s="285" t="s">
        <v>338</v>
      </c>
      <c r="D139" s="266" t="s">
        <v>64</v>
      </c>
      <c r="E139" s="334"/>
      <c r="F139" s="314"/>
      <c r="G139" s="286">
        <v>1</v>
      </c>
      <c r="H139" s="315"/>
      <c r="I139" s="287"/>
      <c r="J139" s="286">
        <v>2</v>
      </c>
      <c r="K139" s="287">
        <v>17697</v>
      </c>
      <c r="L139" s="287"/>
      <c r="M139" s="270">
        <v>0.5</v>
      </c>
      <c r="N139" s="270"/>
      <c r="O139" s="317">
        <v>2.81</v>
      </c>
      <c r="P139" s="282">
        <f t="shared" si="18"/>
        <v>49728.57</v>
      </c>
      <c r="Q139" s="317">
        <f>K139*P141*N139</f>
        <v>0</v>
      </c>
      <c r="R139" s="270"/>
      <c r="S139" s="318">
        <v>0.1</v>
      </c>
      <c r="T139" s="317">
        <f t="shared" si="17"/>
        <v>4972.857</v>
      </c>
      <c r="U139" s="270"/>
      <c r="V139" s="270"/>
      <c r="W139" s="319">
        <f t="shared" si="19"/>
        <v>54701.426999999996</v>
      </c>
    </row>
    <row r="140" spans="1:39" s="129" customFormat="1" ht="15.75">
      <c r="A140" s="320">
        <v>147</v>
      </c>
      <c r="B140" s="314" t="s">
        <v>383</v>
      </c>
      <c r="C140" s="285" t="s">
        <v>338</v>
      </c>
      <c r="D140" s="266" t="s">
        <v>75</v>
      </c>
      <c r="E140" s="334"/>
      <c r="F140" s="335"/>
      <c r="G140" s="286">
        <v>1</v>
      </c>
      <c r="H140" s="315"/>
      <c r="I140" s="287"/>
      <c r="J140" s="286">
        <v>2</v>
      </c>
      <c r="K140" s="287">
        <v>17697</v>
      </c>
      <c r="L140" s="287"/>
      <c r="M140" s="270">
        <v>1</v>
      </c>
      <c r="N140" s="270"/>
      <c r="O140" s="317">
        <v>2.81</v>
      </c>
      <c r="P140" s="282">
        <f t="shared" si="18"/>
        <v>49728.57</v>
      </c>
      <c r="Q140" s="317">
        <f>K140*P142*N140</f>
        <v>0</v>
      </c>
      <c r="R140" s="270"/>
      <c r="S140" s="318">
        <v>0.1</v>
      </c>
      <c r="T140" s="317">
        <f t="shared" si="17"/>
        <v>4972.857</v>
      </c>
      <c r="U140" s="270"/>
      <c r="V140" s="270"/>
      <c r="W140" s="319">
        <f>P140+T140+V140</f>
        <v>54701.426999999996</v>
      </c>
    </row>
    <row r="141" spans="1:39" s="78" customFormat="1" ht="13.5" customHeight="1">
      <c r="A141" s="320">
        <v>148</v>
      </c>
      <c r="B141" s="292" t="s">
        <v>339</v>
      </c>
      <c r="C141" s="285" t="s">
        <v>340</v>
      </c>
      <c r="D141" s="266" t="s">
        <v>64</v>
      </c>
      <c r="E141" s="288"/>
      <c r="F141" s="336"/>
      <c r="G141" s="289">
        <v>1</v>
      </c>
      <c r="H141" s="288"/>
      <c r="I141" s="333"/>
      <c r="J141" s="288">
        <v>2</v>
      </c>
      <c r="K141" s="270">
        <v>17697</v>
      </c>
      <c r="L141" s="270"/>
      <c r="M141" s="270">
        <v>1</v>
      </c>
      <c r="N141" s="270"/>
      <c r="O141" s="317">
        <v>2.81</v>
      </c>
      <c r="P141" s="282">
        <f t="shared" si="18"/>
        <v>49728.57</v>
      </c>
      <c r="Q141" s="317">
        <f t="shared" si="16"/>
        <v>0</v>
      </c>
      <c r="R141" s="271"/>
      <c r="S141" s="318">
        <v>0.1</v>
      </c>
      <c r="T141" s="317">
        <f t="shared" si="17"/>
        <v>4972.857</v>
      </c>
      <c r="U141" s="273">
        <v>0.3</v>
      </c>
      <c r="V141" s="270">
        <f t="shared" ref="V141:V147" si="20">U141*K141</f>
        <v>5309.0999999999995</v>
      </c>
      <c r="W141" s="319">
        <f t="shared" si="19"/>
        <v>60010.526999999995</v>
      </c>
      <c r="X141" s="138"/>
      <c r="Y141" s="79"/>
      <c r="Z141" s="79"/>
      <c r="AA141" s="79"/>
      <c r="AB141" s="79"/>
      <c r="AC141" s="79"/>
      <c r="AD141" s="79"/>
      <c r="AE141" s="79"/>
      <c r="AF141" s="79"/>
      <c r="AG141" s="79"/>
      <c r="AH141" s="79"/>
      <c r="AI141" s="79"/>
      <c r="AJ141" s="79"/>
      <c r="AK141" s="79"/>
      <c r="AL141" s="79"/>
      <c r="AM141" s="79"/>
    </row>
    <row r="142" spans="1:39" s="78" customFormat="1" ht="13.5" customHeight="1">
      <c r="A142" s="313">
        <v>149</v>
      </c>
      <c r="B142" s="292" t="s">
        <v>341</v>
      </c>
      <c r="C142" s="285" t="s">
        <v>340</v>
      </c>
      <c r="D142" s="266" t="s">
        <v>64</v>
      </c>
      <c r="E142" s="288"/>
      <c r="F142" s="336"/>
      <c r="G142" s="289">
        <v>1</v>
      </c>
      <c r="H142" s="288"/>
      <c r="I142" s="333"/>
      <c r="J142" s="288">
        <v>2</v>
      </c>
      <c r="K142" s="270">
        <v>17697</v>
      </c>
      <c r="L142" s="270"/>
      <c r="M142" s="270">
        <v>1</v>
      </c>
      <c r="N142" s="270"/>
      <c r="O142" s="317">
        <v>2.81</v>
      </c>
      <c r="P142" s="282">
        <f t="shared" si="18"/>
        <v>49728.57</v>
      </c>
      <c r="Q142" s="317">
        <f t="shared" si="16"/>
        <v>0</v>
      </c>
      <c r="R142" s="271"/>
      <c r="S142" s="318">
        <v>0.1</v>
      </c>
      <c r="T142" s="317">
        <f t="shared" si="17"/>
        <v>4972.857</v>
      </c>
      <c r="U142" s="273">
        <v>0.3</v>
      </c>
      <c r="V142" s="270">
        <f t="shared" si="20"/>
        <v>5309.0999999999995</v>
      </c>
      <c r="W142" s="319">
        <f t="shared" si="19"/>
        <v>60010.526999999995</v>
      </c>
      <c r="X142" s="138"/>
      <c r="Y142" s="79"/>
      <c r="Z142" s="79"/>
      <c r="AA142" s="79"/>
      <c r="AB142" s="79"/>
      <c r="AC142" s="79"/>
      <c r="AD142" s="79"/>
      <c r="AE142" s="79"/>
      <c r="AF142" s="79"/>
      <c r="AG142" s="79"/>
      <c r="AH142" s="79"/>
      <c r="AI142" s="79"/>
      <c r="AJ142" s="79"/>
      <c r="AK142" s="79"/>
      <c r="AL142" s="79"/>
      <c r="AM142" s="79"/>
    </row>
    <row r="143" spans="1:39" s="78" customFormat="1" ht="13.5" customHeight="1">
      <c r="A143" s="320">
        <v>150</v>
      </c>
      <c r="B143" s="292" t="s">
        <v>342</v>
      </c>
      <c r="C143" s="285" t="s">
        <v>340</v>
      </c>
      <c r="D143" s="266" t="s">
        <v>64</v>
      </c>
      <c r="E143" s="288"/>
      <c r="F143" s="336"/>
      <c r="G143" s="289">
        <v>1</v>
      </c>
      <c r="H143" s="288"/>
      <c r="I143" s="333"/>
      <c r="J143" s="288">
        <v>2</v>
      </c>
      <c r="K143" s="270">
        <v>17697</v>
      </c>
      <c r="L143" s="270"/>
      <c r="M143" s="270">
        <v>1</v>
      </c>
      <c r="N143" s="270"/>
      <c r="O143" s="317">
        <v>2.81</v>
      </c>
      <c r="P143" s="282">
        <f t="shared" si="18"/>
        <v>49728.57</v>
      </c>
      <c r="Q143" s="317">
        <f t="shared" si="16"/>
        <v>0</v>
      </c>
      <c r="R143" s="271"/>
      <c r="S143" s="318">
        <v>0.1</v>
      </c>
      <c r="T143" s="317">
        <f t="shared" si="17"/>
        <v>4972.857</v>
      </c>
      <c r="U143" s="273">
        <v>0.3</v>
      </c>
      <c r="V143" s="270">
        <f t="shared" si="20"/>
        <v>5309.0999999999995</v>
      </c>
      <c r="W143" s="319">
        <f t="shared" si="19"/>
        <v>60010.526999999995</v>
      </c>
      <c r="Y143" s="79"/>
      <c r="Z143" s="79"/>
      <c r="AA143" s="79"/>
      <c r="AB143" s="79"/>
      <c r="AC143" s="79"/>
      <c r="AD143" s="79"/>
      <c r="AE143" s="79"/>
      <c r="AF143" s="79"/>
      <c r="AG143" s="79"/>
      <c r="AH143" s="79"/>
      <c r="AI143" s="79"/>
      <c r="AJ143" s="79"/>
      <c r="AK143" s="79"/>
      <c r="AL143" s="79"/>
      <c r="AM143" s="79"/>
    </row>
    <row r="144" spans="1:39" s="78" customFormat="1" ht="13.5" customHeight="1">
      <c r="A144" s="313">
        <v>151</v>
      </c>
      <c r="B144" s="292" t="s">
        <v>343</v>
      </c>
      <c r="C144" s="285" t="s">
        <v>340</v>
      </c>
      <c r="D144" s="266" t="s">
        <v>64</v>
      </c>
      <c r="E144" s="288"/>
      <c r="F144" s="336"/>
      <c r="G144" s="289">
        <v>1</v>
      </c>
      <c r="H144" s="288"/>
      <c r="I144" s="333"/>
      <c r="J144" s="288">
        <v>2</v>
      </c>
      <c r="K144" s="270">
        <v>17697</v>
      </c>
      <c r="L144" s="270"/>
      <c r="M144" s="270">
        <v>1</v>
      </c>
      <c r="N144" s="270"/>
      <c r="O144" s="317">
        <v>2.81</v>
      </c>
      <c r="P144" s="282">
        <f t="shared" si="18"/>
        <v>49728.57</v>
      </c>
      <c r="Q144" s="317">
        <f t="shared" si="16"/>
        <v>0</v>
      </c>
      <c r="R144" s="271"/>
      <c r="S144" s="318">
        <v>0.1</v>
      </c>
      <c r="T144" s="317">
        <f t="shared" si="17"/>
        <v>4972.857</v>
      </c>
      <c r="U144" s="273">
        <v>0.3</v>
      </c>
      <c r="V144" s="270">
        <f t="shared" si="20"/>
        <v>5309.0999999999995</v>
      </c>
      <c r="W144" s="319">
        <f t="shared" si="19"/>
        <v>60010.526999999995</v>
      </c>
      <c r="Y144" s="79"/>
      <c r="Z144" s="79"/>
      <c r="AA144" s="79"/>
      <c r="AB144" s="79"/>
      <c r="AC144" s="79"/>
      <c r="AD144" s="79"/>
      <c r="AE144" s="79"/>
      <c r="AF144" s="79"/>
      <c r="AG144" s="79"/>
      <c r="AH144" s="79"/>
      <c r="AI144" s="79"/>
      <c r="AJ144" s="79"/>
      <c r="AK144" s="79"/>
      <c r="AL144" s="79"/>
      <c r="AM144" s="79"/>
    </row>
    <row r="145" spans="1:39" s="80" customFormat="1" ht="18.75" customHeight="1">
      <c r="A145" s="320">
        <v>152</v>
      </c>
      <c r="B145" s="292" t="s">
        <v>344</v>
      </c>
      <c r="C145" s="285" t="s">
        <v>340</v>
      </c>
      <c r="D145" s="266" t="s">
        <v>64</v>
      </c>
      <c r="E145" s="288"/>
      <c r="F145" s="272"/>
      <c r="G145" s="289">
        <v>1</v>
      </c>
      <c r="H145" s="288"/>
      <c r="I145" s="333"/>
      <c r="J145" s="288">
        <v>2</v>
      </c>
      <c r="K145" s="270">
        <v>17697</v>
      </c>
      <c r="L145" s="270"/>
      <c r="M145" s="270">
        <v>1</v>
      </c>
      <c r="N145" s="270"/>
      <c r="O145" s="317">
        <v>2.81</v>
      </c>
      <c r="P145" s="282">
        <f t="shared" si="18"/>
        <v>49728.57</v>
      </c>
      <c r="Q145" s="317">
        <f t="shared" si="16"/>
        <v>0</v>
      </c>
      <c r="R145" s="270"/>
      <c r="S145" s="318">
        <v>0.1</v>
      </c>
      <c r="T145" s="317">
        <f t="shared" si="17"/>
        <v>4972.857</v>
      </c>
      <c r="U145" s="273">
        <v>0.3</v>
      </c>
      <c r="V145" s="270">
        <f t="shared" si="20"/>
        <v>5309.0999999999995</v>
      </c>
      <c r="W145" s="319">
        <f t="shared" si="19"/>
        <v>60010.526999999995</v>
      </c>
    </row>
    <row r="146" spans="1:39" s="80" customFormat="1" ht="15">
      <c r="A146" s="313">
        <v>153</v>
      </c>
      <c r="B146" s="292" t="s">
        <v>398</v>
      </c>
      <c r="C146" s="285" t="s">
        <v>340</v>
      </c>
      <c r="D146" s="266" t="s">
        <v>64</v>
      </c>
      <c r="E146" s="288"/>
      <c r="F146" s="336"/>
      <c r="G146" s="289">
        <v>1</v>
      </c>
      <c r="H146" s="288"/>
      <c r="I146" s="333"/>
      <c r="J146" s="288">
        <v>2</v>
      </c>
      <c r="K146" s="270">
        <v>17697</v>
      </c>
      <c r="L146" s="270"/>
      <c r="M146" s="270">
        <v>1</v>
      </c>
      <c r="N146" s="270"/>
      <c r="O146" s="317">
        <v>2.81</v>
      </c>
      <c r="P146" s="282">
        <f t="shared" si="18"/>
        <v>49728.57</v>
      </c>
      <c r="Q146" s="317">
        <f t="shared" si="16"/>
        <v>0</v>
      </c>
      <c r="R146" s="270"/>
      <c r="S146" s="318">
        <v>0.1</v>
      </c>
      <c r="T146" s="317">
        <f t="shared" si="17"/>
        <v>4972.857</v>
      </c>
      <c r="U146" s="273">
        <v>0.3</v>
      </c>
      <c r="V146" s="270">
        <f t="shared" si="20"/>
        <v>5309.0999999999995</v>
      </c>
      <c r="W146" s="319">
        <f t="shared" si="19"/>
        <v>60010.526999999995</v>
      </c>
    </row>
    <row r="147" spans="1:39" s="80" customFormat="1" ht="15">
      <c r="A147" s="320">
        <v>154</v>
      </c>
      <c r="B147" s="292" t="s">
        <v>380</v>
      </c>
      <c r="C147" s="285" t="s">
        <v>340</v>
      </c>
      <c r="D147" s="266" t="s">
        <v>64</v>
      </c>
      <c r="E147" s="288"/>
      <c r="F147" s="336"/>
      <c r="G147" s="289">
        <v>1</v>
      </c>
      <c r="H147" s="288"/>
      <c r="I147" s="333"/>
      <c r="J147" s="288">
        <v>2</v>
      </c>
      <c r="K147" s="270">
        <v>17697</v>
      </c>
      <c r="L147" s="270"/>
      <c r="M147" s="270">
        <v>1</v>
      </c>
      <c r="N147" s="270"/>
      <c r="O147" s="317">
        <v>2.81</v>
      </c>
      <c r="P147" s="282">
        <f t="shared" si="18"/>
        <v>49728.57</v>
      </c>
      <c r="Q147" s="317">
        <f t="shared" si="16"/>
        <v>0</v>
      </c>
      <c r="R147" s="270"/>
      <c r="S147" s="318">
        <v>0.1</v>
      </c>
      <c r="T147" s="317">
        <f t="shared" si="17"/>
        <v>4972.857</v>
      </c>
      <c r="U147" s="273">
        <v>0.3</v>
      </c>
      <c r="V147" s="270">
        <f t="shared" si="20"/>
        <v>5309.0999999999995</v>
      </c>
      <c r="W147" s="319">
        <f t="shared" si="19"/>
        <v>60010.526999999995</v>
      </c>
      <c r="Y147" s="116"/>
    </row>
    <row r="148" spans="1:39" s="129" customFormat="1" ht="15.75">
      <c r="A148" s="313">
        <v>155</v>
      </c>
      <c r="B148" s="314" t="s">
        <v>381</v>
      </c>
      <c r="C148" s="285" t="s">
        <v>340</v>
      </c>
      <c r="D148" s="266" t="s">
        <v>64</v>
      </c>
      <c r="E148" s="334"/>
      <c r="F148" s="286"/>
      <c r="G148" s="289">
        <v>1</v>
      </c>
      <c r="H148" s="315"/>
      <c r="I148" s="287"/>
      <c r="J148" s="288">
        <v>2</v>
      </c>
      <c r="K148" s="287">
        <v>17697</v>
      </c>
      <c r="L148" s="287"/>
      <c r="M148" s="270">
        <v>1.3</v>
      </c>
      <c r="N148" s="270"/>
      <c r="O148" s="317">
        <v>2.81</v>
      </c>
      <c r="P148" s="282">
        <f>O148*K148/1*1.3</f>
        <v>64647.141000000003</v>
      </c>
      <c r="Q148" s="317">
        <f t="shared" si="16"/>
        <v>0</v>
      </c>
      <c r="R148" s="270"/>
      <c r="S148" s="318">
        <v>0.1</v>
      </c>
      <c r="T148" s="317">
        <f t="shared" si="17"/>
        <v>6464.7141000000011</v>
      </c>
      <c r="U148" s="273">
        <v>0.3</v>
      </c>
      <c r="V148" s="270">
        <f>U148*K148/1*1.3</f>
        <v>6901.83</v>
      </c>
      <c r="W148" s="319">
        <f t="shared" si="19"/>
        <v>78013.685100000002</v>
      </c>
    </row>
    <row r="149" spans="1:39" s="80" customFormat="1" ht="17.25" customHeight="1">
      <c r="A149" s="320">
        <v>156</v>
      </c>
      <c r="B149" s="342" t="s">
        <v>378</v>
      </c>
      <c r="C149" s="343" t="s">
        <v>340</v>
      </c>
      <c r="D149" s="344" t="s">
        <v>75</v>
      </c>
      <c r="E149" s="344"/>
      <c r="F149" s="345"/>
      <c r="G149" s="344">
        <v>1</v>
      </c>
      <c r="H149" s="346"/>
      <c r="I149" s="346"/>
      <c r="J149" s="347">
        <v>2</v>
      </c>
      <c r="K149" s="348">
        <v>17697</v>
      </c>
      <c r="L149" s="348"/>
      <c r="M149" s="270">
        <v>1</v>
      </c>
      <c r="N149" s="348"/>
      <c r="O149" s="317">
        <v>2.81</v>
      </c>
      <c r="P149" s="282">
        <f t="shared" si="18"/>
        <v>49728.57</v>
      </c>
      <c r="Q149" s="317">
        <f t="shared" si="16"/>
        <v>0</v>
      </c>
      <c r="R149" s="348"/>
      <c r="S149" s="318">
        <v>0.1</v>
      </c>
      <c r="T149" s="317">
        <f>S149*P149</f>
        <v>4972.857</v>
      </c>
      <c r="U149" s="307">
        <v>0.3</v>
      </c>
      <c r="V149" s="303">
        <f>U149*K149</f>
        <v>5309.0999999999995</v>
      </c>
      <c r="W149" s="319">
        <f>P149+T149+V149</f>
        <v>60010.526999999995</v>
      </c>
      <c r="Y149" s="82"/>
      <c r="Z149" s="82"/>
      <c r="AA149" s="82"/>
      <c r="AB149" s="81"/>
      <c r="AC149" s="81"/>
      <c r="AD149" s="83"/>
      <c r="AE149" s="82"/>
      <c r="AF149" s="81"/>
    </row>
    <row r="150" spans="1:39" s="340" customFormat="1" ht="15">
      <c r="A150" s="74">
        <v>156</v>
      </c>
      <c r="B150" s="26" t="s">
        <v>345</v>
      </c>
      <c r="C150" s="6" t="s">
        <v>346</v>
      </c>
      <c r="D150" s="5" t="s">
        <v>64</v>
      </c>
      <c r="E150" s="20"/>
      <c r="F150" s="75"/>
      <c r="G150" s="21">
        <v>1</v>
      </c>
      <c r="H150" s="20"/>
      <c r="I150" s="76"/>
      <c r="J150" s="20">
        <v>1</v>
      </c>
      <c r="K150" s="7">
        <v>17697</v>
      </c>
      <c r="L150" s="7"/>
      <c r="M150" s="77">
        <v>1</v>
      </c>
      <c r="N150" s="7"/>
      <c r="O150" s="7">
        <v>2.77</v>
      </c>
      <c r="P150" s="18">
        <f t="shared" si="18"/>
        <v>49020.69</v>
      </c>
      <c r="Q150" s="44">
        <f t="shared" si="16"/>
        <v>0</v>
      </c>
      <c r="R150" s="8"/>
      <c r="S150" s="73">
        <v>0.1</v>
      </c>
      <c r="T150" s="44">
        <f t="shared" si="17"/>
        <v>4902.0690000000004</v>
      </c>
      <c r="U150" s="183">
        <v>0.5</v>
      </c>
      <c r="V150" s="7">
        <v>10822.5</v>
      </c>
      <c r="W150" s="70">
        <f>P150+T150+V150</f>
        <v>64745.259000000005</v>
      </c>
      <c r="Y150" s="341"/>
      <c r="Z150" s="341"/>
      <c r="AA150" s="341"/>
      <c r="AB150" s="341"/>
      <c r="AC150" s="341"/>
      <c r="AD150" s="341"/>
      <c r="AE150" s="341"/>
      <c r="AF150" s="341"/>
      <c r="AG150" s="341"/>
      <c r="AH150" s="341"/>
      <c r="AI150" s="341"/>
      <c r="AJ150" s="341"/>
      <c r="AK150" s="341"/>
      <c r="AL150" s="341"/>
      <c r="AM150" s="341"/>
    </row>
    <row r="151" spans="1:39" s="78" customFormat="1" ht="15">
      <c r="A151" s="72">
        <v>157</v>
      </c>
      <c r="B151" s="26" t="s">
        <v>347</v>
      </c>
      <c r="C151" s="6" t="s">
        <v>346</v>
      </c>
      <c r="D151" s="5" t="s">
        <v>25</v>
      </c>
      <c r="E151" s="20"/>
      <c r="F151" s="5"/>
      <c r="G151" s="21">
        <v>1</v>
      </c>
      <c r="H151" s="20"/>
      <c r="I151" s="76"/>
      <c r="J151" s="20">
        <v>1</v>
      </c>
      <c r="K151" s="7">
        <v>17697</v>
      </c>
      <c r="L151" s="7"/>
      <c r="M151" s="7">
        <v>1</v>
      </c>
      <c r="N151" s="7"/>
      <c r="O151" s="7">
        <v>2.77</v>
      </c>
      <c r="P151" s="18">
        <f t="shared" si="18"/>
        <v>49020.69</v>
      </c>
      <c r="Q151" s="44">
        <f t="shared" si="16"/>
        <v>0</v>
      </c>
      <c r="R151" s="8"/>
      <c r="S151" s="73">
        <v>0.1</v>
      </c>
      <c r="T151" s="44">
        <f t="shared" si="17"/>
        <v>4902.0690000000004</v>
      </c>
      <c r="U151" s="183">
        <v>0.5</v>
      </c>
      <c r="V151" s="146">
        <v>10822.5</v>
      </c>
      <c r="W151" s="70">
        <f t="shared" si="19"/>
        <v>64745.259000000005</v>
      </c>
      <c r="Y151" s="79"/>
      <c r="Z151" s="79"/>
      <c r="AA151" s="79"/>
      <c r="AB151" s="79"/>
      <c r="AC151" s="79"/>
      <c r="AD151" s="79"/>
      <c r="AE151" s="79"/>
      <c r="AF151" s="79"/>
      <c r="AG151" s="79"/>
      <c r="AH151" s="79"/>
      <c r="AI151" s="79"/>
      <c r="AJ151" s="79"/>
      <c r="AK151" s="79"/>
      <c r="AL151" s="79"/>
      <c r="AM151" s="79"/>
    </row>
    <row r="152" spans="1:39" s="78" customFormat="1" ht="15">
      <c r="A152" s="74">
        <v>158</v>
      </c>
      <c r="B152" s="26" t="s">
        <v>348</v>
      </c>
      <c r="C152" s="6" t="s">
        <v>346</v>
      </c>
      <c r="D152" s="5" t="s">
        <v>64</v>
      </c>
      <c r="E152" s="20"/>
      <c r="F152" s="5"/>
      <c r="G152" s="21">
        <v>1</v>
      </c>
      <c r="H152" s="20"/>
      <c r="I152" s="76"/>
      <c r="J152" s="20">
        <v>1</v>
      </c>
      <c r="K152" s="7">
        <v>17697</v>
      </c>
      <c r="L152" s="7"/>
      <c r="M152" s="7">
        <v>1</v>
      </c>
      <c r="N152" s="7"/>
      <c r="O152" s="7">
        <v>2.77</v>
      </c>
      <c r="P152" s="18">
        <f t="shared" si="18"/>
        <v>49020.69</v>
      </c>
      <c r="Q152" s="44">
        <f t="shared" si="16"/>
        <v>0</v>
      </c>
      <c r="R152" s="8"/>
      <c r="S152" s="73">
        <v>0.1</v>
      </c>
      <c r="T152" s="44">
        <f t="shared" si="17"/>
        <v>4902.0690000000004</v>
      </c>
      <c r="U152" s="183">
        <v>0.5</v>
      </c>
      <c r="V152" s="146">
        <v>10822.5</v>
      </c>
      <c r="W152" s="70">
        <f t="shared" si="19"/>
        <v>64745.259000000005</v>
      </c>
      <c r="Y152" s="79"/>
      <c r="Z152" s="79"/>
      <c r="AA152" s="79"/>
      <c r="AB152" s="79"/>
      <c r="AC152" s="79"/>
      <c r="AD152" s="79"/>
      <c r="AE152" s="79"/>
      <c r="AF152" s="79"/>
      <c r="AG152" s="79"/>
      <c r="AH152" s="79"/>
      <c r="AI152" s="79"/>
      <c r="AJ152" s="79"/>
      <c r="AK152" s="79"/>
      <c r="AL152" s="79"/>
      <c r="AM152" s="79"/>
    </row>
    <row r="153" spans="1:39" s="80" customFormat="1" ht="15" customHeight="1">
      <c r="A153" s="72">
        <v>159</v>
      </c>
      <c r="B153" s="26" t="s">
        <v>349</v>
      </c>
      <c r="C153" s="184" t="s">
        <v>346</v>
      </c>
      <c r="D153" s="5" t="s">
        <v>64</v>
      </c>
      <c r="E153" s="20"/>
      <c r="F153" s="5"/>
      <c r="G153" s="21">
        <v>1</v>
      </c>
      <c r="H153" s="20"/>
      <c r="I153" s="76"/>
      <c r="J153" s="20">
        <v>1</v>
      </c>
      <c r="K153" s="7">
        <v>17697</v>
      </c>
      <c r="L153" s="7"/>
      <c r="M153" s="7">
        <v>1</v>
      </c>
      <c r="N153" s="7"/>
      <c r="O153" s="7">
        <v>2.77</v>
      </c>
      <c r="P153" s="18">
        <f t="shared" si="18"/>
        <v>49020.69</v>
      </c>
      <c r="Q153" s="44">
        <f t="shared" si="16"/>
        <v>0</v>
      </c>
      <c r="R153" s="7"/>
      <c r="S153" s="73">
        <v>0.1</v>
      </c>
      <c r="T153" s="44">
        <f t="shared" si="17"/>
        <v>4902.0690000000004</v>
      </c>
      <c r="U153" s="183">
        <v>0.5</v>
      </c>
      <c r="V153" s="146">
        <v>10822.5</v>
      </c>
      <c r="W153" s="70">
        <f t="shared" si="19"/>
        <v>64745.259000000005</v>
      </c>
    </row>
    <row r="154" spans="1:39" s="80" customFormat="1" ht="14.25" customHeight="1">
      <c r="A154" s="74">
        <v>160</v>
      </c>
      <c r="B154" s="26" t="s">
        <v>333</v>
      </c>
      <c r="C154" s="184" t="s">
        <v>346</v>
      </c>
      <c r="D154" s="5" t="s">
        <v>64</v>
      </c>
      <c r="E154" s="20"/>
      <c r="F154" s="5"/>
      <c r="G154" s="21">
        <v>1</v>
      </c>
      <c r="H154" s="20"/>
      <c r="I154" s="76"/>
      <c r="J154" s="20">
        <v>1</v>
      </c>
      <c r="K154" s="7">
        <v>17697</v>
      </c>
      <c r="L154" s="7"/>
      <c r="M154" s="7">
        <v>1</v>
      </c>
      <c r="N154" s="7"/>
      <c r="O154" s="7">
        <v>2.77</v>
      </c>
      <c r="P154" s="18">
        <f t="shared" si="18"/>
        <v>49020.69</v>
      </c>
      <c r="Q154" s="44">
        <f t="shared" si="16"/>
        <v>0</v>
      </c>
      <c r="R154" s="7"/>
      <c r="S154" s="73">
        <v>0.1</v>
      </c>
      <c r="T154" s="44">
        <f t="shared" si="17"/>
        <v>4902.0690000000004</v>
      </c>
      <c r="U154" s="183">
        <v>0.5</v>
      </c>
      <c r="V154" s="146">
        <v>10822.5</v>
      </c>
      <c r="W154" s="70">
        <f t="shared" si="19"/>
        <v>64745.259000000005</v>
      </c>
    </row>
    <row r="155" spans="1:39" s="80" customFormat="1" ht="13.5" customHeight="1">
      <c r="A155" s="320">
        <v>161</v>
      </c>
      <c r="B155" s="292" t="s">
        <v>350</v>
      </c>
      <c r="C155" s="337" t="s">
        <v>346</v>
      </c>
      <c r="D155" s="266" t="s">
        <v>64</v>
      </c>
      <c r="E155" s="288"/>
      <c r="F155" s="266"/>
      <c r="G155" s="289">
        <v>1</v>
      </c>
      <c r="H155" s="288"/>
      <c r="I155" s="333"/>
      <c r="J155" s="288">
        <v>1</v>
      </c>
      <c r="K155" s="270">
        <v>17697</v>
      </c>
      <c r="L155" s="270"/>
      <c r="M155" s="270">
        <v>1</v>
      </c>
      <c r="N155" s="270"/>
      <c r="O155" s="270">
        <v>2.77</v>
      </c>
      <c r="P155" s="282">
        <f t="shared" si="18"/>
        <v>49020.69</v>
      </c>
      <c r="Q155" s="317">
        <f t="shared" si="16"/>
        <v>0</v>
      </c>
      <c r="R155" s="270"/>
      <c r="S155" s="318">
        <v>0.1</v>
      </c>
      <c r="T155" s="317">
        <f t="shared" si="17"/>
        <v>4902.0690000000004</v>
      </c>
      <c r="U155" s="338">
        <v>0.5</v>
      </c>
      <c r="V155" s="339">
        <v>10822.5</v>
      </c>
      <c r="W155" s="319">
        <f t="shared" si="19"/>
        <v>64745.259000000005</v>
      </c>
    </row>
    <row r="156" spans="1:39" s="80" customFormat="1" ht="17.25" customHeight="1">
      <c r="A156" s="74">
        <v>162</v>
      </c>
      <c r="B156" s="17" t="s">
        <v>351</v>
      </c>
      <c r="C156" s="176" t="s">
        <v>352</v>
      </c>
      <c r="D156" s="16" t="s">
        <v>75</v>
      </c>
      <c r="E156" s="16"/>
      <c r="F156" s="185"/>
      <c r="G156" s="16">
        <v>1</v>
      </c>
      <c r="H156" s="186"/>
      <c r="I156" s="186"/>
      <c r="J156" s="16">
        <v>1</v>
      </c>
      <c r="K156" s="18">
        <v>17697</v>
      </c>
      <c r="L156" s="18"/>
      <c r="M156" s="7">
        <v>1</v>
      </c>
      <c r="N156" s="18"/>
      <c r="O156" s="7">
        <v>2.77</v>
      </c>
      <c r="P156" s="18">
        <f t="shared" si="18"/>
        <v>49020.69</v>
      </c>
      <c r="Q156" s="44">
        <f t="shared" si="16"/>
        <v>0</v>
      </c>
      <c r="R156" s="18"/>
      <c r="S156" s="73">
        <v>0.1</v>
      </c>
      <c r="T156" s="44">
        <f t="shared" si="17"/>
        <v>4902.0690000000004</v>
      </c>
      <c r="U156" s="18">
        <v>0</v>
      </c>
      <c r="V156" s="146">
        <v>10822.5</v>
      </c>
      <c r="W156" s="70">
        <f t="shared" si="19"/>
        <v>64745.259000000005</v>
      </c>
      <c r="Y156" s="81"/>
      <c r="Z156" s="82"/>
      <c r="AA156" s="82"/>
      <c r="AB156" s="81"/>
      <c r="AC156" s="81"/>
      <c r="AD156" s="83"/>
      <c r="AE156" s="82"/>
      <c r="AF156" s="81"/>
    </row>
    <row r="157" spans="1:39" s="80" customFormat="1" ht="17.25" customHeight="1">
      <c r="A157" s="72">
        <v>163</v>
      </c>
      <c r="B157" s="17" t="s">
        <v>353</v>
      </c>
      <c r="C157" s="176" t="s">
        <v>352</v>
      </c>
      <c r="D157" s="16" t="s">
        <v>75</v>
      </c>
      <c r="E157" s="16"/>
      <c r="F157" s="185"/>
      <c r="G157" s="16">
        <v>1</v>
      </c>
      <c r="H157" s="186"/>
      <c r="I157" s="186"/>
      <c r="J157" s="16">
        <v>1</v>
      </c>
      <c r="K157" s="18">
        <v>17697</v>
      </c>
      <c r="L157" s="18"/>
      <c r="M157" s="7">
        <v>1</v>
      </c>
      <c r="N157" s="18"/>
      <c r="O157" s="7">
        <v>2.77</v>
      </c>
      <c r="P157" s="18">
        <f t="shared" si="18"/>
        <v>49020.69</v>
      </c>
      <c r="Q157" s="44">
        <f t="shared" si="16"/>
        <v>0</v>
      </c>
      <c r="R157" s="18"/>
      <c r="S157" s="73">
        <v>0.1</v>
      </c>
      <c r="T157" s="44">
        <f t="shared" si="17"/>
        <v>4902.0690000000004</v>
      </c>
      <c r="U157" s="18">
        <v>0</v>
      </c>
      <c r="V157" s="146">
        <v>10822.5</v>
      </c>
      <c r="W157" s="70">
        <f t="shared" si="19"/>
        <v>64745.259000000005</v>
      </c>
      <c r="Y157" s="81"/>
      <c r="Z157" s="82"/>
      <c r="AA157" s="82"/>
      <c r="AB157" s="81"/>
      <c r="AC157" s="81"/>
      <c r="AD157" s="83"/>
      <c r="AE157" s="82"/>
      <c r="AF157" s="81"/>
    </row>
    <row r="158" spans="1:39" s="80" customFormat="1" ht="17.25" customHeight="1">
      <c r="A158" s="74">
        <v>164</v>
      </c>
      <c r="B158" s="187" t="s">
        <v>354</v>
      </c>
      <c r="C158" s="176" t="s">
        <v>352</v>
      </c>
      <c r="D158" s="16" t="s">
        <v>75</v>
      </c>
      <c r="E158" s="16"/>
      <c r="F158" s="185"/>
      <c r="G158" s="16">
        <v>1</v>
      </c>
      <c r="H158" s="186"/>
      <c r="I158" s="186"/>
      <c r="J158" s="16">
        <v>1</v>
      </c>
      <c r="K158" s="18">
        <v>17697</v>
      </c>
      <c r="L158" s="18"/>
      <c r="M158" s="7">
        <v>1</v>
      </c>
      <c r="N158" s="18"/>
      <c r="O158" s="7">
        <v>2.77</v>
      </c>
      <c r="P158" s="18">
        <f t="shared" si="18"/>
        <v>49020.69</v>
      </c>
      <c r="Q158" s="44">
        <f t="shared" si="16"/>
        <v>0</v>
      </c>
      <c r="R158" s="18"/>
      <c r="S158" s="73">
        <v>0.1</v>
      </c>
      <c r="T158" s="44">
        <f t="shared" si="17"/>
        <v>4902.0690000000004</v>
      </c>
      <c r="U158" s="18">
        <v>0</v>
      </c>
      <c r="V158" s="146">
        <v>10822.5</v>
      </c>
      <c r="W158" s="70">
        <f t="shared" si="19"/>
        <v>64745.259000000005</v>
      </c>
      <c r="Y158" s="81"/>
      <c r="Z158" s="82"/>
      <c r="AA158" s="82"/>
      <c r="AB158" s="81"/>
      <c r="AC158" s="81"/>
      <c r="AD158" s="83"/>
      <c r="AE158" s="82"/>
      <c r="AF158" s="81"/>
    </row>
    <row r="159" spans="1:39" s="129" customFormat="1" ht="15.75">
      <c r="A159" s="320">
        <v>165</v>
      </c>
      <c r="B159" s="314" t="s">
        <v>355</v>
      </c>
      <c r="C159" s="285" t="s">
        <v>356</v>
      </c>
      <c r="D159" s="279" t="s">
        <v>75</v>
      </c>
      <c r="E159" s="314"/>
      <c r="F159" s="314"/>
      <c r="G159" s="286">
        <v>1</v>
      </c>
      <c r="H159" s="315"/>
      <c r="I159" s="287"/>
      <c r="J159" s="286">
        <v>1</v>
      </c>
      <c r="K159" s="287">
        <v>17697</v>
      </c>
      <c r="L159" s="287"/>
      <c r="M159" s="270">
        <v>1</v>
      </c>
      <c r="N159" s="270"/>
      <c r="O159" s="270">
        <v>2.77</v>
      </c>
      <c r="P159" s="282">
        <f t="shared" si="18"/>
        <v>49020.69</v>
      </c>
      <c r="Q159" s="317">
        <f t="shared" si="16"/>
        <v>0</v>
      </c>
      <c r="R159" s="270"/>
      <c r="S159" s="318">
        <v>0.1</v>
      </c>
      <c r="T159" s="317">
        <f t="shared" si="17"/>
        <v>4902.0690000000004</v>
      </c>
      <c r="U159" s="282">
        <v>0</v>
      </c>
      <c r="V159" s="282">
        <v>0</v>
      </c>
      <c r="W159" s="319">
        <f t="shared" si="19"/>
        <v>53922.759000000005</v>
      </c>
      <c r="X159" s="131"/>
    </row>
    <row r="160" spans="1:39" s="129" customFormat="1" ht="15.75">
      <c r="A160" s="313">
        <v>166</v>
      </c>
      <c r="B160" s="314" t="s">
        <v>357</v>
      </c>
      <c r="C160" s="268" t="s">
        <v>358</v>
      </c>
      <c r="D160" s="266" t="s">
        <v>64</v>
      </c>
      <c r="E160" s="314"/>
      <c r="F160" s="314"/>
      <c r="G160" s="286">
        <v>1</v>
      </c>
      <c r="H160" s="315"/>
      <c r="I160" s="287"/>
      <c r="J160" s="286">
        <v>1</v>
      </c>
      <c r="K160" s="287">
        <v>17697</v>
      </c>
      <c r="L160" s="287"/>
      <c r="M160" s="270">
        <v>1</v>
      </c>
      <c r="N160" s="270"/>
      <c r="O160" s="270">
        <v>2.77</v>
      </c>
      <c r="P160" s="316">
        <f t="shared" si="18"/>
        <v>49020.69</v>
      </c>
      <c r="Q160" s="317">
        <f t="shared" si="16"/>
        <v>0</v>
      </c>
      <c r="R160" s="270"/>
      <c r="S160" s="318">
        <v>0.1</v>
      </c>
      <c r="T160" s="317">
        <f t="shared" si="17"/>
        <v>4902.0690000000004</v>
      </c>
      <c r="U160" s="282">
        <v>0</v>
      </c>
      <c r="V160" s="282">
        <v>0</v>
      </c>
      <c r="W160" s="319">
        <f t="shared" si="19"/>
        <v>53922.759000000005</v>
      </c>
    </row>
    <row r="161" spans="1:23" s="84" customFormat="1" ht="22.5" customHeight="1">
      <c r="A161" s="2257" t="s">
        <v>359</v>
      </c>
      <c r="B161" s="2257"/>
      <c r="C161" s="2257"/>
      <c r="D161" s="2257"/>
      <c r="E161" s="139"/>
      <c r="F161" s="139"/>
      <c r="G161" s="140"/>
      <c r="H161" s="139"/>
      <c r="I161" s="139"/>
      <c r="J161" s="139"/>
      <c r="K161" s="139"/>
      <c r="L161" s="139"/>
      <c r="M161" s="141">
        <f>SUM(M6:M160)</f>
        <v>169.70999999999998</v>
      </c>
      <c r="N161" s="141"/>
      <c r="O161" s="141"/>
      <c r="P161" s="141">
        <f>SUM(P6:P160)</f>
        <v>12481900.958266662</v>
      </c>
      <c r="Q161" s="141"/>
      <c r="R161" s="141">
        <f>SUM(R6:R160)</f>
        <v>279934.93119166663</v>
      </c>
      <c r="S161" s="141"/>
      <c r="T161" s="141">
        <f>SUM(T6:T160)</f>
        <v>1270595.7906958333</v>
      </c>
      <c r="U161" s="141"/>
      <c r="V161" s="141">
        <f>SUM(V6:V160)</f>
        <v>150316.53</v>
      </c>
      <c r="W161" s="141">
        <f>SUM(W6:W160)</f>
        <v>20051730.337541651</v>
      </c>
    </row>
    <row r="162" spans="1:23">
      <c r="M162" s="85"/>
      <c r="N162" s="86"/>
      <c r="O162" s="23"/>
      <c r="P162" s="87"/>
      <c r="Q162" s="88"/>
    </row>
    <row r="163" spans="1:23">
      <c r="M163" s="24"/>
      <c r="N163" s="89"/>
      <c r="O163" s="24"/>
      <c r="P163" s="24"/>
      <c r="W163" s="3"/>
    </row>
    <row r="164" spans="1:23">
      <c r="M164" s="3"/>
      <c r="U164" s="3"/>
      <c r="V164" s="3"/>
      <c r="W164" s="3"/>
    </row>
    <row r="165" spans="1:23">
      <c r="K165" s="3"/>
      <c r="Q165" s="90"/>
      <c r="R165" s="90"/>
    </row>
    <row r="166" spans="1:23">
      <c r="K166" s="3"/>
    </row>
    <row r="167" spans="1:23">
      <c r="I167" s="3"/>
      <c r="K167" s="3"/>
    </row>
  </sheetData>
  <mergeCells count="23">
    <mergeCell ref="A2:W2"/>
    <mergeCell ref="A3:W3"/>
    <mergeCell ref="A4:A5"/>
    <mergeCell ref="B4:B5"/>
    <mergeCell ref="C4:C5"/>
    <mergeCell ref="D4:D5"/>
    <mergeCell ref="E4:E5"/>
    <mergeCell ref="F4:F5"/>
    <mergeCell ref="G4:G5"/>
    <mergeCell ref="H4:H5"/>
    <mergeCell ref="U4:V4"/>
    <mergeCell ref="W4:W5"/>
    <mergeCell ref="I4:I5"/>
    <mergeCell ref="J4:J5"/>
    <mergeCell ref="K4:K5"/>
    <mergeCell ref="L4:L5"/>
    <mergeCell ref="Q4:R4"/>
    <mergeCell ref="S4:T4"/>
    <mergeCell ref="M4:M5"/>
    <mergeCell ref="N4:N5"/>
    <mergeCell ref="A161:D161"/>
    <mergeCell ref="O4:O5"/>
    <mergeCell ref="P4:P5"/>
  </mergeCells>
  <pageMargins left="0" right="0" top="0" bottom="0" header="0.31496062992125984" footer="0.31496062992125984"/>
  <pageSetup paperSize="9" scale="5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view="pageBreakPreview" topLeftCell="A19" zoomScaleNormal="100" zoomScaleSheetLayoutView="100" workbookViewId="0">
      <selection activeCell="P48" sqref="P48"/>
    </sheetView>
  </sheetViews>
  <sheetFormatPr defaultRowHeight="12.75"/>
  <cols>
    <col min="1" max="1" width="5" style="745" customWidth="1"/>
    <col min="2" max="2" width="29.85546875" style="749" customWidth="1"/>
    <col min="3" max="3" width="6" style="749" customWidth="1"/>
    <col min="4" max="4" width="5.7109375" style="749" customWidth="1"/>
    <col min="5" max="5" width="5.85546875" style="745" customWidth="1"/>
    <col min="6" max="6" width="12.42578125" style="807" customWidth="1"/>
    <col min="7" max="7" width="6.140625" style="807" customWidth="1"/>
    <col min="8" max="8" width="9.42578125" style="807" customWidth="1"/>
    <col min="9" max="9" width="13.85546875" style="807" customWidth="1"/>
    <col min="10" max="10" width="9.140625" style="807" customWidth="1"/>
    <col min="11" max="11" width="13.7109375" style="807" customWidth="1"/>
    <col min="12" max="12" width="6.85546875" style="807" customWidth="1"/>
    <col min="13" max="13" width="12.140625" style="807" customWidth="1"/>
    <col min="14" max="14" width="7.85546875" style="807" customWidth="1"/>
    <col min="15" max="15" width="13.7109375" style="807" customWidth="1"/>
    <col min="16" max="16" width="15.42578125" style="807" customWidth="1"/>
    <col min="17" max="17" width="16.28515625" style="745" customWidth="1"/>
    <col min="18" max="18" width="16.42578125" style="745" customWidth="1"/>
    <col min="19" max="19" width="15" style="745" customWidth="1"/>
    <col min="20" max="20" width="25.28515625" style="745" customWidth="1"/>
    <col min="21" max="21" width="25.7109375" style="745" customWidth="1"/>
    <col min="22" max="256" width="9.140625" style="745"/>
    <col min="257" max="257" width="5" style="745" customWidth="1"/>
    <col min="258" max="258" width="29.85546875" style="745" customWidth="1"/>
    <col min="259" max="259" width="6" style="745" customWidth="1"/>
    <col min="260" max="260" width="5.7109375" style="745" customWidth="1"/>
    <col min="261" max="261" width="5.85546875" style="745" customWidth="1"/>
    <col min="262" max="262" width="12.42578125" style="745" customWidth="1"/>
    <col min="263" max="263" width="6.140625" style="745" customWidth="1"/>
    <col min="264" max="264" width="9.42578125" style="745" customWidth="1"/>
    <col min="265" max="265" width="12.5703125" style="745" customWidth="1"/>
    <col min="266" max="266" width="6.28515625" style="745" customWidth="1"/>
    <col min="267" max="267" width="11.42578125" style="745" customWidth="1"/>
    <col min="268" max="268" width="6.85546875" style="745" customWidth="1"/>
    <col min="269" max="269" width="12.140625" style="745" customWidth="1"/>
    <col min="270" max="270" width="5.7109375" style="745" customWidth="1"/>
    <col min="271" max="271" width="11.140625" style="745" customWidth="1"/>
    <col min="272" max="272" width="15.42578125" style="745" customWidth="1"/>
    <col min="273" max="273" width="14.7109375" style="745" customWidth="1"/>
    <col min="274" max="274" width="13.42578125" style="745" customWidth="1"/>
    <col min="275" max="275" width="15" style="745" customWidth="1"/>
    <col min="276" max="276" width="25.28515625" style="745" customWidth="1"/>
    <col min="277" max="277" width="25.7109375" style="745" customWidth="1"/>
    <col min="278" max="512" width="9.140625" style="745"/>
    <col min="513" max="513" width="5" style="745" customWidth="1"/>
    <col min="514" max="514" width="29.85546875" style="745" customWidth="1"/>
    <col min="515" max="515" width="6" style="745" customWidth="1"/>
    <col min="516" max="516" width="5.7109375" style="745" customWidth="1"/>
    <col min="517" max="517" width="5.85546875" style="745" customWidth="1"/>
    <col min="518" max="518" width="12.42578125" style="745" customWidth="1"/>
    <col min="519" max="519" width="6.140625" style="745" customWidth="1"/>
    <col min="520" max="520" width="9.42578125" style="745" customWidth="1"/>
    <col min="521" max="521" width="12.5703125" style="745" customWidth="1"/>
    <col min="522" max="522" width="6.28515625" style="745" customWidth="1"/>
    <col min="523" max="523" width="11.42578125" style="745" customWidth="1"/>
    <col min="524" max="524" width="6.85546875" style="745" customWidth="1"/>
    <col min="525" max="525" width="12.140625" style="745" customWidth="1"/>
    <col min="526" max="526" width="5.7109375" style="745" customWidth="1"/>
    <col min="527" max="527" width="11.140625" style="745" customWidth="1"/>
    <col min="528" max="528" width="15.42578125" style="745" customWidth="1"/>
    <col min="529" max="529" width="14.7109375" style="745" customWidth="1"/>
    <col min="530" max="530" width="13.42578125" style="745" customWidth="1"/>
    <col min="531" max="531" width="15" style="745" customWidth="1"/>
    <col min="532" max="532" width="25.28515625" style="745" customWidth="1"/>
    <col min="533" max="533" width="25.7109375" style="745" customWidth="1"/>
    <col min="534" max="768" width="9.140625" style="745"/>
    <col min="769" max="769" width="5" style="745" customWidth="1"/>
    <col min="770" max="770" width="29.85546875" style="745" customWidth="1"/>
    <col min="771" max="771" width="6" style="745" customWidth="1"/>
    <col min="772" max="772" width="5.7109375" style="745" customWidth="1"/>
    <col min="773" max="773" width="5.85546875" style="745" customWidth="1"/>
    <col min="774" max="774" width="12.42578125" style="745" customWidth="1"/>
    <col min="775" max="775" width="6.140625" style="745" customWidth="1"/>
    <col min="776" max="776" width="9.42578125" style="745" customWidth="1"/>
    <col min="777" max="777" width="12.5703125" style="745" customWidth="1"/>
    <col min="778" max="778" width="6.28515625" style="745" customWidth="1"/>
    <col min="779" max="779" width="11.42578125" style="745" customWidth="1"/>
    <col min="780" max="780" width="6.85546875" style="745" customWidth="1"/>
    <col min="781" max="781" width="12.140625" style="745" customWidth="1"/>
    <col min="782" max="782" width="5.7109375" style="745" customWidth="1"/>
    <col min="783" max="783" width="11.140625" style="745" customWidth="1"/>
    <col min="784" max="784" width="15.42578125" style="745" customWidth="1"/>
    <col min="785" max="785" width="14.7109375" style="745" customWidth="1"/>
    <col min="786" max="786" width="13.42578125" style="745" customWidth="1"/>
    <col min="787" max="787" width="15" style="745" customWidth="1"/>
    <col min="788" max="788" width="25.28515625" style="745" customWidth="1"/>
    <col min="789" max="789" width="25.7109375" style="745" customWidth="1"/>
    <col min="790" max="1024" width="9.140625" style="745"/>
    <col min="1025" max="1025" width="5" style="745" customWidth="1"/>
    <col min="1026" max="1026" width="29.85546875" style="745" customWidth="1"/>
    <col min="1027" max="1027" width="6" style="745" customWidth="1"/>
    <col min="1028" max="1028" width="5.7109375" style="745" customWidth="1"/>
    <col min="1029" max="1029" width="5.85546875" style="745" customWidth="1"/>
    <col min="1030" max="1030" width="12.42578125" style="745" customWidth="1"/>
    <col min="1031" max="1031" width="6.140625" style="745" customWidth="1"/>
    <col min="1032" max="1032" width="9.42578125" style="745" customWidth="1"/>
    <col min="1033" max="1033" width="12.5703125" style="745" customWidth="1"/>
    <col min="1034" max="1034" width="6.28515625" style="745" customWidth="1"/>
    <col min="1035" max="1035" width="11.42578125" style="745" customWidth="1"/>
    <col min="1036" max="1036" width="6.85546875" style="745" customWidth="1"/>
    <col min="1037" max="1037" width="12.140625" style="745" customWidth="1"/>
    <col min="1038" max="1038" width="5.7109375" style="745" customWidth="1"/>
    <col min="1039" max="1039" width="11.140625" style="745" customWidth="1"/>
    <col min="1040" max="1040" width="15.42578125" style="745" customWidth="1"/>
    <col min="1041" max="1041" width="14.7109375" style="745" customWidth="1"/>
    <col min="1042" max="1042" width="13.42578125" style="745" customWidth="1"/>
    <col min="1043" max="1043" width="15" style="745" customWidth="1"/>
    <col min="1044" max="1044" width="25.28515625" style="745" customWidth="1"/>
    <col min="1045" max="1045" width="25.7109375" style="745" customWidth="1"/>
    <col min="1046" max="1280" width="9.140625" style="745"/>
    <col min="1281" max="1281" width="5" style="745" customWidth="1"/>
    <col min="1282" max="1282" width="29.85546875" style="745" customWidth="1"/>
    <col min="1283" max="1283" width="6" style="745" customWidth="1"/>
    <col min="1284" max="1284" width="5.7109375" style="745" customWidth="1"/>
    <col min="1285" max="1285" width="5.85546875" style="745" customWidth="1"/>
    <col min="1286" max="1286" width="12.42578125" style="745" customWidth="1"/>
    <col min="1287" max="1287" width="6.140625" style="745" customWidth="1"/>
    <col min="1288" max="1288" width="9.42578125" style="745" customWidth="1"/>
    <col min="1289" max="1289" width="12.5703125" style="745" customWidth="1"/>
    <col min="1290" max="1290" width="6.28515625" style="745" customWidth="1"/>
    <col min="1291" max="1291" width="11.42578125" style="745" customWidth="1"/>
    <col min="1292" max="1292" width="6.85546875" style="745" customWidth="1"/>
    <col min="1293" max="1293" width="12.140625" style="745" customWidth="1"/>
    <col min="1294" max="1294" width="5.7109375" style="745" customWidth="1"/>
    <col min="1295" max="1295" width="11.140625" style="745" customWidth="1"/>
    <col min="1296" max="1296" width="15.42578125" style="745" customWidth="1"/>
    <col min="1297" max="1297" width="14.7109375" style="745" customWidth="1"/>
    <col min="1298" max="1298" width="13.42578125" style="745" customWidth="1"/>
    <col min="1299" max="1299" width="15" style="745" customWidth="1"/>
    <col min="1300" max="1300" width="25.28515625" style="745" customWidth="1"/>
    <col min="1301" max="1301" width="25.7109375" style="745" customWidth="1"/>
    <col min="1302" max="1536" width="9.140625" style="745"/>
    <col min="1537" max="1537" width="5" style="745" customWidth="1"/>
    <col min="1538" max="1538" width="29.85546875" style="745" customWidth="1"/>
    <col min="1539" max="1539" width="6" style="745" customWidth="1"/>
    <col min="1540" max="1540" width="5.7109375" style="745" customWidth="1"/>
    <col min="1541" max="1541" width="5.85546875" style="745" customWidth="1"/>
    <col min="1542" max="1542" width="12.42578125" style="745" customWidth="1"/>
    <col min="1543" max="1543" width="6.140625" style="745" customWidth="1"/>
    <col min="1544" max="1544" width="9.42578125" style="745" customWidth="1"/>
    <col min="1545" max="1545" width="12.5703125" style="745" customWidth="1"/>
    <col min="1546" max="1546" width="6.28515625" style="745" customWidth="1"/>
    <col min="1547" max="1547" width="11.42578125" style="745" customWidth="1"/>
    <col min="1548" max="1548" width="6.85546875" style="745" customWidth="1"/>
    <col min="1549" max="1549" width="12.140625" style="745" customWidth="1"/>
    <col min="1550" max="1550" width="5.7109375" style="745" customWidth="1"/>
    <col min="1551" max="1551" width="11.140625" style="745" customWidth="1"/>
    <col min="1552" max="1552" width="15.42578125" style="745" customWidth="1"/>
    <col min="1553" max="1553" width="14.7109375" style="745" customWidth="1"/>
    <col min="1554" max="1554" width="13.42578125" style="745" customWidth="1"/>
    <col min="1555" max="1555" width="15" style="745" customWidth="1"/>
    <col min="1556" max="1556" width="25.28515625" style="745" customWidth="1"/>
    <col min="1557" max="1557" width="25.7109375" style="745" customWidth="1"/>
    <col min="1558" max="1792" width="9.140625" style="745"/>
    <col min="1793" max="1793" width="5" style="745" customWidth="1"/>
    <col min="1794" max="1794" width="29.85546875" style="745" customWidth="1"/>
    <col min="1795" max="1795" width="6" style="745" customWidth="1"/>
    <col min="1796" max="1796" width="5.7109375" style="745" customWidth="1"/>
    <col min="1797" max="1797" width="5.85546875" style="745" customWidth="1"/>
    <col min="1798" max="1798" width="12.42578125" style="745" customWidth="1"/>
    <col min="1799" max="1799" width="6.140625" style="745" customWidth="1"/>
    <col min="1800" max="1800" width="9.42578125" style="745" customWidth="1"/>
    <col min="1801" max="1801" width="12.5703125" style="745" customWidth="1"/>
    <col min="1802" max="1802" width="6.28515625" style="745" customWidth="1"/>
    <col min="1803" max="1803" width="11.42578125" style="745" customWidth="1"/>
    <col min="1804" max="1804" width="6.85546875" style="745" customWidth="1"/>
    <col min="1805" max="1805" width="12.140625" style="745" customWidth="1"/>
    <col min="1806" max="1806" width="5.7109375" style="745" customWidth="1"/>
    <col min="1807" max="1807" width="11.140625" style="745" customWidth="1"/>
    <col min="1808" max="1808" width="15.42578125" style="745" customWidth="1"/>
    <col min="1809" max="1809" width="14.7109375" style="745" customWidth="1"/>
    <col min="1810" max="1810" width="13.42578125" style="745" customWidth="1"/>
    <col min="1811" max="1811" width="15" style="745" customWidth="1"/>
    <col min="1812" max="1812" width="25.28515625" style="745" customWidth="1"/>
    <col min="1813" max="1813" width="25.7109375" style="745" customWidth="1"/>
    <col min="1814" max="2048" width="9.140625" style="745"/>
    <col min="2049" max="2049" width="5" style="745" customWidth="1"/>
    <col min="2050" max="2050" width="29.85546875" style="745" customWidth="1"/>
    <col min="2051" max="2051" width="6" style="745" customWidth="1"/>
    <col min="2052" max="2052" width="5.7109375" style="745" customWidth="1"/>
    <col min="2053" max="2053" width="5.85546875" style="745" customWidth="1"/>
    <col min="2054" max="2054" width="12.42578125" style="745" customWidth="1"/>
    <col min="2055" max="2055" width="6.140625" style="745" customWidth="1"/>
    <col min="2056" max="2056" width="9.42578125" style="745" customWidth="1"/>
    <col min="2057" max="2057" width="12.5703125" style="745" customWidth="1"/>
    <col min="2058" max="2058" width="6.28515625" style="745" customWidth="1"/>
    <col min="2059" max="2059" width="11.42578125" style="745" customWidth="1"/>
    <col min="2060" max="2060" width="6.85546875" style="745" customWidth="1"/>
    <col min="2061" max="2061" width="12.140625" style="745" customWidth="1"/>
    <col min="2062" max="2062" width="5.7109375" style="745" customWidth="1"/>
    <col min="2063" max="2063" width="11.140625" style="745" customWidth="1"/>
    <col min="2064" max="2064" width="15.42578125" style="745" customWidth="1"/>
    <col min="2065" max="2065" width="14.7109375" style="745" customWidth="1"/>
    <col min="2066" max="2066" width="13.42578125" style="745" customWidth="1"/>
    <col min="2067" max="2067" width="15" style="745" customWidth="1"/>
    <col min="2068" max="2068" width="25.28515625" style="745" customWidth="1"/>
    <col min="2069" max="2069" width="25.7109375" style="745" customWidth="1"/>
    <col min="2070" max="2304" width="9.140625" style="745"/>
    <col min="2305" max="2305" width="5" style="745" customWidth="1"/>
    <col min="2306" max="2306" width="29.85546875" style="745" customWidth="1"/>
    <col min="2307" max="2307" width="6" style="745" customWidth="1"/>
    <col min="2308" max="2308" width="5.7109375" style="745" customWidth="1"/>
    <col min="2309" max="2309" width="5.85546875" style="745" customWidth="1"/>
    <col min="2310" max="2310" width="12.42578125" style="745" customWidth="1"/>
    <col min="2311" max="2311" width="6.140625" style="745" customWidth="1"/>
    <col min="2312" max="2312" width="9.42578125" style="745" customWidth="1"/>
    <col min="2313" max="2313" width="12.5703125" style="745" customWidth="1"/>
    <col min="2314" max="2314" width="6.28515625" style="745" customWidth="1"/>
    <col min="2315" max="2315" width="11.42578125" style="745" customWidth="1"/>
    <col min="2316" max="2316" width="6.85546875" style="745" customWidth="1"/>
    <col min="2317" max="2317" width="12.140625" style="745" customWidth="1"/>
    <col min="2318" max="2318" width="5.7109375" style="745" customWidth="1"/>
    <col min="2319" max="2319" width="11.140625" style="745" customWidth="1"/>
    <col min="2320" max="2320" width="15.42578125" style="745" customWidth="1"/>
    <col min="2321" max="2321" width="14.7109375" style="745" customWidth="1"/>
    <col min="2322" max="2322" width="13.42578125" style="745" customWidth="1"/>
    <col min="2323" max="2323" width="15" style="745" customWidth="1"/>
    <col min="2324" max="2324" width="25.28515625" style="745" customWidth="1"/>
    <col min="2325" max="2325" width="25.7109375" style="745" customWidth="1"/>
    <col min="2326" max="2560" width="9.140625" style="745"/>
    <col min="2561" max="2561" width="5" style="745" customWidth="1"/>
    <col min="2562" max="2562" width="29.85546875" style="745" customWidth="1"/>
    <col min="2563" max="2563" width="6" style="745" customWidth="1"/>
    <col min="2564" max="2564" width="5.7109375" style="745" customWidth="1"/>
    <col min="2565" max="2565" width="5.85546875" style="745" customWidth="1"/>
    <col min="2566" max="2566" width="12.42578125" style="745" customWidth="1"/>
    <col min="2567" max="2567" width="6.140625" style="745" customWidth="1"/>
    <col min="2568" max="2568" width="9.42578125" style="745" customWidth="1"/>
    <col min="2569" max="2569" width="12.5703125" style="745" customWidth="1"/>
    <col min="2570" max="2570" width="6.28515625" style="745" customWidth="1"/>
    <col min="2571" max="2571" width="11.42578125" style="745" customWidth="1"/>
    <col min="2572" max="2572" width="6.85546875" style="745" customWidth="1"/>
    <col min="2573" max="2573" width="12.140625" style="745" customWidth="1"/>
    <col min="2574" max="2574" width="5.7109375" style="745" customWidth="1"/>
    <col min="2575" max="2575" width="11.140625" style="745" customWidth="1"/>
    <col min="2576" max="2576" width="15.42578125" style="745" customWidth="1"/>
    <col min="2577" max="2577" width="14.7109375" style="745" customWidth="1"/>
    <col min="2578" max="2578" width="13.42578125" style="745" customWidth="1"/>
    <col min="2579" max="2579" width="15" style="745" customWidth="1"/>
    <col min="2580" max="2580" width="25.28515625" style="745" customWidth="1"/>
    <col min="2581" max="2581" width="25.7109375" style="745" customWidth="1"/>
    <col min="2582" max="2816" width="9.140625" style="745"/>
    <col min="2817" max="2817" width="5" style="745" customWidth="1"/>
    <col min="2818" max="2818" width="29.85546875" style="745" customWidth="1"/>
    <col min="2819" max="2819" width="6" style="745" customWidth="1"/>
    <col min="2820" max="2820" width="5.7109375" style="745" customWidth="1"/>
    <col min="2821" max="2821" width="5.85546875" style="745" customWidth="1"/>
    <col min="2822" max="2822" width="12.42578125" style="745" customWidth="1"/>
    <col min="2823" max="2823" width="6.140625" style="745" customWidth="1"/>
    <col min="2824" max="2824" width="9.42578125" style="745" customWidth="1"/>
    <col min="2825" max="2825" width="12.5703125" style="745" customWidth="1"/>
    <col min="2826" max="2826" width="6.28515625" style="745" customWidth="1"/>
    <col min="2827" max="2827" width="11.42578125" style="745" customWidth="1"/>
    <col min="2828" max="2828" width="6.85546875" style="745" customWidth="1"/>
    <col min="2829" max="2829" width="12.140625" style="745" customWidth="1"/>
    <col min="2830" max="2830" width="5.7109375" style="745" customWidth="1"/>
    <col min="2831" max="2831" width="11.140625" style="745" customWidth="1"/>
    <col min="2832" max="2832" width="15.42578125" style="745" customWidth="1"/>
    <col min="2833" max="2833" width="14.7109375" style="745" customWidth="1"/>
    <col min="2834" max="2834" width="13.42578125" style="745" customWidth="1"/>
    <col min="2835" max="2835" width="15" style="745" customWidth="1"/>
    <col min="2836" max="2836" width="25.28515625" style="745" customWidth="1"/>
    <col min="2837" max="2837" width="25.7109375" style="745" customWidth="1"/>
    <col min="2838" max="3072" width="9.140625" style="745"/>
    <col min="3073" max="3073" width="5" style="745" customWidth="1"/>
    <col min="3074" max="3074" width="29.85546875" style="745" customWidth="1"/>
    <col min="3075" max="3075" width="6" style="745" customWidth="1"/>
    <col min="3076" max="3076" width="5.7109375" style="745" customWidth="1"/>
    <col min="3077" max="3077" width="5.85546875" style="745" customWidth="1"/>
    <col min="3078" max="3078" width="12.42578125" style="745" customWidth="1"/>
    <col min="3079" max="3079" width="6.140625" style="745" customWidth="1"/>
    <col min="3080" max="3080" width="9.42578125" style="745" customWidth="1"/>
    <col min="3081" max="3081" width="12.5703125" style="745" customWidth="1"/>
    <col min="3082" max="3082" width="6.28515625" style="745" customWidth="1"/>
    <col min="3083" max="3083" width="11.42578125" style="745" customWidth="1"/>
    <col min="3084" max="3084" width="6.85546875" style="745" customWidth="1"/>
    <col min="3085" max="3085" width="12.140625" style="745" customWidth="1"/>
    <col min="3086" max="3086" width="5.7109375" style="745" customWidth="1"/>
    <col min="3087" max="3087" width="11.140625" style="745" customWidth="1"/>
    <col min="3088" max="3088" width="15.42578125" style="745" customWidth="1"/>
    <col min="3089" max="3089" width="14.7109375" style="745" customWidth="1"/>
    <col min="3090" max="3090" width="13.42578125" style="745" customWidth="1"/>
    <col min="3091" max="3091" width="15" style="745" customWidth="1"/>
    <col min="3092" max="3092" width="25.28515625" style="745" customWidth="1"/>
    <col min="3093" max="3093" width="25.7109375" style="745" customWidth="1"/>
    <col min="3094" max="3328" width="9.140625" style="745"/>
    <col min="3329" max="3329" width="5" style="745" customWidth="1"/>
    <col min="3330" max="3330" width="29.85546875" style="745" customWidth="1"/>
    <col min="3331" max="3331" width="6" style="745" customWidth="1"/>
    <col min="3332" max="3332" width="5.7109375" style="745" customWidth="1"/>
    <col min="3333" max="3333" width="5.85546875" style="745" customWidth="1"/>
    <col min="3334" max="3334" width="12.42578125" style="745" customWidth="1"/>
    <col min="3335" max="3335" width="6.140625" style="745" customWidth="1"/>
    <col min="3336" max="3336" width="9.42578125" style="745" customWidth="1"/>
    <col min="3337" max="3337" width="12.5703125" style="745" customWidth="1"/>
    <col min="3338" max="3338" width="6.28515625" style="745" customWidth="1"/>
    <col min="3339" max="3339" width="11.42578125" style="745" customWidth="1"/>
    <col min="3340" max="3340" width="6.85546875" style="745" customWidth="1"/>
    <col min="3341" max="3341" width="12.140625" style="745" customWidth="1"/>
    <col min="3342" max="3342" width="5.7109375" style="745" customWidth="1"/>
    <col min="3343" max="3343" width="11.140625" style="745" customWidth="1"/>
    <col min="3344" max="3344" width="15.42578125" style="745" customWidth="1"/>
    <col min="3345" max="3345" width="14.7109375" style="745" customWidth="1"/>
    <col min="3346" max="3346" width="13.42578125" style="745" customWidth="1"/>
    <col min="3347" max="3347" width="15" style="745" customWidth="1"/>
    <col min="3348" max="3348" width="25.28515625" style="745" customWidth="1"/>
    <col min="3349" max="3349" width="25.7109375" style="745" customWidth="1"/>
    <col min="3350" max="3584" width="9.140625" style="745"/>
    <col min="3585" max="3585" width="5" style="745" customWidth="1"/>
    <col min="3586" max="3586" width="29.85546875" style="745" customWidth="1"/>
    <col min="3587" max="3587" width="6" style="745" customWidth="1"/>
    <col min="3588" max="3588" width="5.7109375" style="745" customWidth="1"/>
    <col min="3589" max="3589" width="5.85546875" style="745" customWidth="1"/>
    <col min="3590" max="3590" width="12.42578125" style="745" customWidth="1"/>
    <col min="3591" max="3591" width="6.140625" style="745" customWidth="1"/>
    <col min="3592" max="3592" width="9.42578125" style="745" customWidth="1"/>
    <col min="3593" max="3593" width="12.5703125" style="745" customWidth="1"/>
    <col min="3594" max="3594" width="6.28515625" style="745" customWidth="1"/>
    <col min="3595" max="3595" width="11.42578125" style="745" customWidth="1"/>
    <col min="3596" max="3596" width="6.85546875" style="745" customWidth="1"/>
    <col min="3597" max="3597" width="12.140625" style="745" customWidth="1"/>
    <col min="3598" max="3598" width="5.7109375" style="745" customWidth="1"/>
    <col min="3599" max="3599" width="11.140625" style="745" customWidth="1"/>
    <col min="3600" max="3600" width="15.42578125" style="745" customWidth="1"/>
    <col min="3601" max="3601" width="14.7109375" style="745" customWidth="1"/>
    <col min="3602" max="3602" width="13.42578125" style="745" customWidth="1"/>
    <col min="3603" max="3603" width="15" style="745" customWidth="1"/>
    <col min="3604" max="3604" width="25.28515625" style="745" customWidth="1"/>
    <col min="3605" max="3605" width="25.7109375" style="745" customWidth="1"/>
    <col min="3606" max="3840" width="9.140625" style="745"/>
    <col min="3841" max="3841" width="5" style="745" customWidth="1"/>
    <col min="3842" max="3842" width="29.85546875" style="745" customWidth="1"/>
    <col min="3843" max="3843" width="6" style="745" customWidth="1"/>
    <col min="3844" max="3844" width="5.7109375" style="745" customWidth="1"/>
    <col min="3845" max="3845" width="5.85546875" style="745" customWidth="1"/>
    <col min="3846" max="3846" width="12.42578125" style="745" customWidth="1"/>
    <col min="3847" max="3847" width="6.140625" style="745" customWidth="1"/>
    <col min="3848" max="3848" width="9.42578125" style="745" customWidth="1"/>
    <col min="3849" max="3849" width="12.5703125" style="745" customWidth="1"/>
    <col min="3850" max="3850" width="6.28515625" style="745" customWidth="1"/>
    <col min="3851" max="3851" width="11.42578125" style="745" customWidth="1"/>
    <col min="3852" max="3852" width="6.85546875" style="745" customWidth="1"/>
    <col min="3853" max="3853" width="12.140625" style="745" customWidth="1"/>
    <col min="3854" max="3854" width="5.7109375" style="745" customWidth="1"/>
    <col min="3855" max="3855" width="11.140625" style="745" customWidth="1"/>
    <col min="3856" max="3856" width="15.42578125" style="745" customWidth="1"/>
    <col min="3857" max="3857" width="14.7109375" style="745" customWidth="1"/>
    <col min="3858" max="3858" width="13.42578125" style="745" customWidth="1"/>
    <col min="3859" max="3859" width="15" style="745" customWidth="1"/>
    <col min="3860" max="3860" width="25.28515625" style="745" customWidth="1"/>
    <col min="3861" max="3861" width="25.7109375" style="745" customWidth="1"/>
    <col min="3862" max="4096" width="9.140625" style="745"/>
    <col min="4097" max="4097" width="5" style="745" customWidth="1"/>
    <col min="4098" max="4098" width="29.85546875" style="745" customWidth="1"/>
    <col min="4099" max="4099" width="6" style="745" customWidth="1"/>
    <col min="4100" max="4100" width="5.7109375" style="745" customWidth="1"/>
    <col min="4101" max="4101" width="5.85546875" style="745" customWidth="1"/>
    <col min="4102" max="4102" width="12.42578125" style="745" customWidth="1"/>
    <col min="4103" max="4103" width="6.140625" style="745" customWidth="1"/>
    <col min="4104" max="4104" width="9.42578125" style="745" customWidth="1"/>
    <col min="4105" max="4105" width="12.5703125" style="745" customWidth="1"/>
    <col min="4106" max="4106" width="6.28515625" style="745" customWidth="1"/>
    <col min="4107" max="4107" width="11.42578125" style="745" customWidth="1"/>
    <col min="4108" max="4108" width="6.85546875" style="745" customWidth="1"/>
    <col min="4109" max="4109" width="12.140625" style="745" customWidth="1"/>
    <col min="4110" max="4110" width="5.7109375" style="745" customWidth="1"/>
    <col min="4111" max="4111" width="11.140625" style="745" customWidth="1"/>
    <col min="4112" max="4112" width="15.42578125" style="745" customWidth="1"/>
    <col min="4113" max="4113" width="14.7109375" style="745" customWidth="1"/>
    <col min="4114" max="4114" width="13.42578125" style="745" customWidth="1"/>
    <col min="4115" max="4115" width="15" style="745" customWidth="1"/>
    <col min="4116" max="4116" width="25.28515625" style="745" customWidth="1"/>
    <col min="4117" max="4117" width="25.7109375" style="745" customWidth="1"/>
    <col min="4118" max="4352" width="9.140625" style="745"/>
    <col min="4353" max="4353" width="5" style="745" customWidth="1"/>
    <col min="4354" max="4354" width="29.85546875" style="745" customWidth="1"/>
    <col min="4355" max="4355" width="6" style="745" customWidth="1"/>
    <col min="4356" max="4356" width="5.7109375" style="745" customWidth="1"/>
    <col min="4357" max="4357" width="5.85546875" style="745" customWidth="1"/>
    <col min="4358" max="4358" width="12.42578125" style="745" customWidth="1"/>
    <col min="4359" max="4359" width="6.140625" style="745" customWidth="1"/>
    <col min="4360" max="4360" width="9.42578125" style="745" customWidth="1"/>
    <col min="4361" max="4361" width="12.5703125" style="745" customWidth="1"/>
    <col min="4362" max="4362" width="6.28515625" style="745" customWidth="1"/>
    <col min="4363" max="4363" width="11.42578125" style="745" customWidth="1"/>
    <col min="4364" max="4364" width="6.85546875" style="745" customWidth="1"/>
    <col min="4365" max="4365" width="12.140625" style="745" customWidth="1"/>
    <col min="4366" max="4366" width="5.7109375" style="745" customWidth="1"/>
    <col min="4367" max="4367" width="11.140625" style="745" customWidth="1"/>
    <col min="4368" max="4368" width="15.42578125" style="745" customWidth="1"/>
    <col min="4369" max="4369" width="14.7109375" style="745" customWidth="1"/>
    <col min="4370" max="4370" width="13.42578125" style="745" customWidth="1"/>
    <col min="4371" max="4371" width="15" style="745" customWidth="1"/>
    <col min="4372" max="4372" width="25.28515625" style="745" customWidth="1"/>
    <col min="4373" max="4373" width="25.7109375" style="745" customWidth="1"/>
    <col min="4374" max="4608" width="9.140625" style="745"/>
    <col min="4609" max="4609" width="5" style="745" customWidth="1"/>
    <col min="4610" max="4610" width="29.85546875" style="745" customWidth="1"/>
    <col min="4611" max="4611" width="6" style="745" customWidth="1"/>
    <col min="4612" max="4612" width="5.7109375" style="745" customWidth="1"/>
    <col min="4613" max="4613" width="5.85546875" style="745" customWidth="1"/>
    <col min="4614" max="4614" width="12.42578125" style="745" customWidth="1"/>
    <col min="4615" max="4615" width="6.140625" style="745" customWidth="1"/>
    <col min="4616" max="4616" width="9.42578125" style="745" customWidth="1"/>
    <col min="4617" max="4617" width="12.5703125" style="745" customWidth="1"/>
    <col min="4618" max="4618" width="6.28515625" style="745" customWidth="1"/>
    <col min="4619" max="4619" width="11.42578125" style="745" customWidth="1"/>
    <col min="4620" max="4620" width="6.85546875" style="745" customWidth="1"/>
    <col min="4621" max="4621" width="12.140625" style="745" customWidth="1"/>
    <col min="4622" max="4622" width="5.7109375" style="745" customWidth="1"/>
    <col min="4623" max="4623" width="11.140625" style="745" customWidth="1"/>
    <col min="4624" max="4624" width="15.42578125" style="745" customWidth="1"/>
    <col min="4625" max="4625" width="14.7109375" style="745" customWidth="1"/>
    <col min="4626" max="4626" width="13.42578125" style="745" customWidth="1"/>
    <col min="4627" max="4627" width="15" style="745" customWidth="1"/>
    <col min="4628" max="4628" width="25.28515625" style="745" customWidth="1"/>
    <col min="4629" max="4629" width="25.7109375" style="745" customWidth="1"/>
    <col min="4630" max="4864" width="9.140625" style="745"/>
    <col min="4865" max="4865" width="5" style="745" customWidth="1"/>
    <col min="4866" max="4866" width="29.85546875" style="745" customWidth="1"/>
    <col min="4867" max="4867" width="6" style="745" customWidth="1"/>
    <col min="4868" max="4868" width="5.7109375" style="745" customWidth="1"/>
    <col min="4869" max="4869" width="5.85546875" style="745" customWidth="1"/>
    <col min="4870" max="4870" width="12.42578125" style="745" customWidth="1"/>
    <col min="4871" max="4871" width="6.140625" style="745" customWidth="1"/>
    <col min="4872" max="4872" width="9.42578125" style="745" customWidth="1"/>
    <col min="4873" max="4873" width="12.5703125" style="745" customWidth="1"/>
    <col min="4874" max="4874" width="6.28515625" style="745" customWidth="1"/>
    <col min="4875" max="4875" width="11.42578125" style="745" customWidth="1"/>
    <col min="4876" max="4876" width="6.85546875" style="745" customWidth="1"/>
    <col min="4877" max="4877" width="12.140625" style="745" customWidth="1"/>
    <col min="4878" max="4878" width="5.7109375" style="745" customWidth="1"/>
    <col min="4879" max="4879" width="11.140625" style="745" customWidth="1"/>
    <col min="4880" max="4880" width="15.42578125" style="745" customWidth="1"/>
    <col min="4881" max="4881" width="14.7109375" style="745" customWidth="1"/>
    <col min="4882" max="4882" width="13.42578125" style="745" customWidth="1"/>
    <col min="4883" max="4883" width="15" style="745" customWidth="1"/>
    <col min="4884" max="4884" width="25.28515625" style="745" customWidth="1"/>
    <col min="4885" max="4885" width="25.7109375" style="745" customWidth="1"/>
    <col min="4886" max="5120" width="9.140625" style="745"/>
    <col min="5121" max="5121" width="5" style="745" customWidth="1"/>
    <col min="5122" max="5122" width="29.85546875" style="745" customWidth="1"/>
    <col min="5123" max="5123" width="6" style="745" customWidth="1"/>
    <col min="5124" max="5124" width="5.7109375" style="745" customWidth="1"/>
    <col min="5125" max="5125" width="5.85546875" style="745" customWidth="1"/>
    <col min="5126" max="5126" width="12.42578125" style="745" customWidth="1"/>
    <col min="5127" max="5127" width="6.140625" style="745" customWidth="1"/>
    <col min="5128" max="5128" width="9.42578125" style="745" customWidth="1"/>
    <col min="5129" max="5129" width="12.5703125" style="745" customWidth="1"/>
    <col min="5130" max="5130" width="6.28515625" style="745" customWidth="1"/>
    <col min="5131" max="5131" width="11.42578125" style="745" customWidth="1"/>
    <col min="5132" max="5132" width="6.85546875" style="745" customWidth="1"/>
    <col min="5133" max="5133" width="12.140625" style="745" customWidth="1"/>
    <col min="5134" max="5134" width="5.7109375" style="745" customWidth="1"/>
    <col min="5135" max="5135" width="11.140625" style="745" customWidth="1"/>
    <col min="5136" max="5136" width="15.42578125" style="745" customWidth="1"/>
    <col min="5137" max="5137" width="14.7109375" style="745" customWidth="1"/>
    <col min="5138" max="5138" width="13.42578125" style="745" customWidth="1"/>
    <col min="5139" max="5139" width="15" style="745" customWidth="1"/>
    <col min="5140" max="5140" width="25.28515625" style="745" customWidth="1"/>
    <col min="5141" max="5141" width="25.7109375" style="745" customWidth="1"/>
    <col min="5142" max="5376" width="9.140625" style="745"/>
    <col min="5377" max="5377" width="5" style="745" customWidth="1"/>
    <col min="5378" max="5378" width="29.85546875" style="745" customWidth="1"/>
    <col min="5379" max="5379" width="6" style="745" customWidth="1"/>
    <col min="5380" max="5380" width="5.7109375" style="745" customWidth="1"/>
    <col min="5381" max="5381" width="5.85546875" style="745" customWidth="1"/>
    <col min="5382" max="5382" width="12.42578125" style="745" customWidth="1"/>
    <col min="5383" max="5383" width="6.140625" style="745" customWidth="1"/>
    <col min="5384" max="5384" width="9.42578125" style="745" customWidth="1"/>
    <col min="5385" max="5385" width="12.5703125" style="745" customWidth="1"/>
    <col min="5386" max="5386" width="6.28515625" style="745" customWidth="1"/>
    <col min="5387" max="5387" width="11.42578125" style="745" customWidth="1"/>
    <col min="5388" max="5388" width="6.85546875" style="745" customWidth="1"/>
    <col min="5389" max="5389" width="12.140625" style="745" customWidth="1"/>
    <col min="5390" max="5390" width="5.7109375" style="745" customWidth="1"/>
    <col min="5391" max="5391" width="11.140625" style="745" customWidth="1"/>
    <col min="5392" max="5392" width="15.42578125" style="745" customWidth="1"/>
    <col min="5393" max="5393" width="14.7109375" style="745" customWidth="1"/>
    <col min="5394" max="5394" width="13.42578125" style="745" customWidth="1"/>
    <col min="5395" max="5395" width="15" style="745" customWidth="1"/>
    <col min="5396" max="5396" width="25.28515625" style="745" customWidth="1"/>
    <col min="5397" max="5397" width="25.7109375" style="745" customWidth="1"/>
    <col min="5398" max="5632" width="9.140625" style="745"/>
    <col min="5633" max="5633" width="5" style="745" customWidth="1"/>
    <col min="5634" max="5634" width="29.85546875" style="745" customWidth="1"/>
    <col min="5635" max="5635" width="6" style="745" customWidth="1"/>
    <col min="5636" max="5636" width="5.7109375" style="745" customWidth="1"/>
    <col min="5637" max="5637" width="5.85546875" style="745" customWidth="1"/>
    <col min="5638" max="5638" width="12.42578125" style="745" customWidth="1"/>
    <col min="5639" max="5639" width="6.140625" style="745" customWidth="1"/>
    <col min="5640" max="5640" width="9.42578125" style="745" customWidth="1"/>
    <col min="5641" max="5641" width="12.5703125" style="745" customWidth="1"/>
    <col min="5642" max="5642" width="6.28515625" style="745" customWidth="1"/>
    <col min="5643" max="5643" width="11.42578125" style="745" customWidth="1"/>
    <col min="5644" max="5644" width="6.85546875" style="745" customWidth="1"/>
    <col min="5645" max="5645" width="12.140625" style="745" customWidth="1"/>
    <col min="5646" max="5646" width="5.7109375" style="745" customWidth="1"/>
    <col min="5647" max="5647" width="11.140625" style="745" customWidth="1"/>
    <col min="5648" max="5648" width="15.42578125" style="745" customWidth="1"/>
    <col min="5649" max="5649" width="14.7109375" style="745" customWidth="1"/>
    <col min="5650" max="5650" width="13.42578125" style="745" customWidth="1"/>
    <col min="5651" max="5651" width="15" style="745" customWidth="1"/>
    <col min="5652" max="5652" width="25.28515625" style="745" customWidth="1"/>
    <col min="5653" max="5653" width="25.7109375" style="745" customWidth="1"/>
    <col min="5654" max="5888" width="9.140625" style="745"/>
    <col min="5889" max="5889" width="5" style="745" customWidth="1"/>
    <col min="5890" max="5890" width="29.85546875" style="745" customWidth="1"/>
    <col min="5891" max="5891" width="6" style="745" customWidth="1"/>
    <col min="5892" max="5892" width="5.7109375" style="745" customWidth="1"/>
    <col min="5893" max="5893" width="5.85546875" style="745" customWidth="1"/>
    <col min="5894" max="5894" width="12.42578125" style="745" customWidth="1"/>
    <col min="5895" max="5895" width="6.140625" style="745" customWidth="1"/>
    <col min="5896" max="5896" width="9.42578125" style="745" customWidth="1"/>
    <col min="5897" max="5897" width="12.5703125" style="745" customWidth="1"/>
    <col min="5898" max="5898" width="6.28515625" style="745" customWidth="1"/>
    <col min="5899" max="5899" width="11.42578125" style="745" customWidth="1"/>
    <col min="5900" max="5900" width="6.85546875" style="745" customWidth="1"/>
    <col min="5901" max="5901" width="12.140625" style="745" customWidth="1"/>
    <col min="5902" max="5902" width="5.7109375" style="745" customWidth="1"/>
    <col min="5903" max="5903" width="11.140625" style="745" customWidth="1"/>
    <col min="5904" max="5904" width="15.42578125" style="745" customWidth="1"/>
    <col min="5905" max="5905" width="14.7109375" style="745" customWidth="1"/>
    <col min="5906" max="5906" width="13.42578125" style="745" customWidth="1"/>
    <col min="5907" max="5907" width="15" style="745" customWidth="1"/>
    <col min="5908" max="5908" width="25.28515625" style="745" customWidth="1"/>
    <col min="5909" max="5909" width="25.7109375" style="745" customWidth="1"/>
    <col min="5910" max="6144" width="9.140625" style="745"/>
    <col min="6145" max="6145" width="5" style="745" customWidth="1"/>
    <col min="6146" max="6146" width="29.85546875" style="745" customWidth="1"/>
    <col min="6147" max="6147" width="6" style="745" customWidth="1"/>
    <col min="6148" max="6148" width="5.7109375" style="745" customWidth="1"/>
    <col min="6149" max="6149" width="5.85546875" style="745" customWidth="1"/>
    <col min="6150" max="6150" width="12.42578125" style="745" customWidth="1"/>
    <col min="6151" max="6151" width="6.140625" style="745" customWidth="1"/>
    <col min="6152" max="6152" width="9.42578125" style="745" customWidth="1"/>
    <col min="6153" max="6153" width="12.5703125" style="745" customWidth="1"/>
    <col min="6154" max="6154" width="6.28515625" style="745" customWidth="1"/>
    <col min="6155" max="6155" width="11.42578125" style="745" customWidth="1"/>
    <col min="6156" max="6156" width="6.85546875" style="745" customWidth="1"/>
    <col min="6157" max="6157" width="12.140625" style="745" customWidth="1"/>
    <col min="6158" max="6158" width="5.7109375" style="745" customWidth="1"/>
    <col min="6159" max="6159" width="11.140625" style="745" customWidth="1"/>
    <col min="6160" max="6160" width="15.42578125" style="745" customWidth="1"/>
    <col min="6161" max="6161" width="14.7109375" style="745" customWidth="1"/>
    <col min="6162" max="6162" width="13.42578125" style="745" customWidth="1"/>
    <col min="6163" max="6163" width="15" style="745" customWidth="1"/>
    <col min="6164" max="6164" width="25.28515625" style="745" customWidth="1"/>
    <col min="6165" max="6165" width="25.7109375" style="745" customWidth="1"/>
    <col min="6166" max="6400" width="9.140625" style="745"/>
    <col min="6401" max="6401" width="5" style="745" customWidth="1"/>
    <col min="6402" max="6402" width="29.85546875" style="745" customWidth="1"/>
    <col min="6403" max="6403" width="6" style="745" customWidth="1"/>
    <col min="6404" max="6404" width="5.7109375" style="745" customWidth="1"/>
    <col min="6405" max="6405" width="5.85546875" style="745" customWidth="1"/>
    <col min="6406" max="6406" width="12.42578125" style="745" customWidth="1"/>
    <col min="6407" max="6407" width="6.140625" style="745" customWidth="1"/>
    <col min="6408" max="6408" width="9.42578125" style="745" customWidth="1"/>
    <col min="6409" max="6409" width="12.5703125" style="745" customWidth="1"/>
    <col min="6410" max="6410" width="6.28515625" style="745" customWidth="1"/>
    <col min="6411" max="6411" width="11.42578125" style="745" customWidth="1"/>
    <col min="6412" max="6412" width="6.85546875" style="745" customWidth="1"/>
    <col min="6413" max="6413" width="12.140625" style="745" customWidth="1"/>
    <col min="6414" max="6414" width="5.7109375" style="745" customWidth="1"/>
    <col min="6415" max="6415" width="11.140625" style="745" customWidth="1"/>
    <col min="6416" max="6416" width="15.42578125" style="745" customWidth="1"/>
    <col min="6417" max="6417" width="14.7109375" style="745" customWidth="1"/>
    <col min="6418" max="6418" width="13.42578125" style="745" customWidth="1"/>
    <col min="6419" max="6419" width="15" style="745" customWidth="1"/>
    <col min="6420" max="6420" width="25.28515625" style="745" customWidth="1"/>
    <col min="6421" max="6421" width="25.7109375" style="745" customWidth="1"/>
    <col min="6422" max="6656" width="9.140625" style="745"/>
    <col min="6657" max="6657" width="5" style="745" customWidth="1"/>
    <col min="6658" max="6658" width="29.85546875" style="745" customWidth="1"/>
    <col min="6659" max="6659" width="6" style="745" customWidth="1"/>
    <col min="6660" max="6660" width="5.7109375" style="745" customWidth="1"/>
    <col min="6661" max="6661" width="5.85546875" style="745" customWidth="1"/>
    <col min="6662" max="6662" width="12.42578125" style="745" customWidth="1"/>
    <col min="6663" max="6663" width="6.140625" style="745" customWidth="1"/>
    <col min="6664" max="6664" width="9.42578125" style="745" customWidth="1"/>
    <col min="6665" max="6665" width="12.5703125" style="745" customWidth="1"/>
    <col min="6666" max="6666" width="6.28515625" style="745" customWidth="1"/>
    <col min="6667" max="6667" width="11.42578125" style="745" customWidth="1"/>
    <col min="6668" max="6668" width="6.85546875" style="745" customWidth="1"/>
    <col min="6669" max="6669" width="12.140625" style="745" customWidth="1"/>
    <col min="6670" max="6670" width="5.7109375" style="745" customWidth="1"/>
    <col min="6671" max="6671" width="11.140625" style="745" customWidth="1"/>
    <col min="6672" max="6672" width="15.42578125" style="745" customWidth="1"/>
    <col min="6673" max="6673" width="14.7109375" style="745" customWidth="1"/>
    <col min="6674" max="6674" width="13.42578125" style="745" customWidth="1"/>
    <col min="6675" max="6675" width="15" style="745" customWidth="1"/>
    <col min="6676" max="6676" width="25.28515625" style="745" customWidth="1"/>
    <col min="6677" max="6677" width="25.7109375" style="745" customWidth="1"/>
    <col min="6678" max="6912" width="9.140625" style="745"/>
    <col min="6913" max="6913" width="5" style="745" customWidth="1"/>
    <col min="6914" max="6914" width="29.85546875" style="745" customWidth="1"/>
    <col min="6915" max="6915" width="6" style="745" customWidth="1"/>
    <col min="6916" max="6916" width="5.7109375" style="745" customWidth="1"/>
    <col min="6917" max="6917" width="5.85546875" style="745" customWidth="1"/>
    <col min="6918" max="6918" width="12.42578125" style="745" customWidth="1"/>
    <col min="6919" max="6919" width="6.140625" style="745" customWidth="1"/>
    <col min="6920" max="6920" width="9.42578125" style="745" customWidth="1"/>
    <col min="6921" max="6921" width="12.5703125" style="745" customWidth="1"/>
    <col min="6922" max="6922" width="6.28515625" style="745" customWidth="1"/>
    <col min="6923" max="6923" width="11.42578125" style="745" customWidth="1"/>
    <col min="6924" max="6924" width="6.85546875" style="745" customWidth="1"/>
    <col min="6925" max="6925" width="12.140625" style="745" customWidth="1"/>
    <col min="6926" max="6926" width="5.7109375" style="745" customWidth="1"/>
    <col min="6927" max="6927" width="11.140625" style="745" customWidth="1"/>
    <col min="6928" max="6928" width="15.42578125" style="745" customWidth="1"/>
    <col min="6929" max="6929" width="14.7109375" style="745" customWidth="1"/>
    <col min="6930" max="6930" width="13.42578125" style="745" customWidth="1"/>
    <col min="6931" max="6931" width="15" style="745" customWidth="1"/>
    <col min="6932" max="6932" width="25.28515625" style="745" customWidth="1"/>
    <col min="6933" max="6933" width="25.7109375" style="745" customWidth="1"/>
    <col min="6934" max="7168" width="9.140625" style="745"/>
    <col min="7169" max="7169" width="5" style="745" customWidth="1"/>
    <col min="7170" max="7170" width="29.85546875" style="745" customWidth="1"/>
    <col min="7171" max="7171" width="6" style="745" customWidth="1"/>
    <col min="7172" max="7172" width="5.7109375" style="745" customWidth="1"/>
    <col min="7173" max="7173" width="5.85546875" style="745" customWidth="1"/>
    <col min="7174" max="7174" width="12.42578125" style="745" customWidth="1"/>
    <col min="7175" max="7175" width="6.140625" style="745" customWidth="1"/>
    <col min="7176" max="7176" width="9.42578125" style="745" customWidth="1"/>
    <col min="7177" max="7177" width="12.5703125" style="745" customWidth="1"/>
    <col min="7178" max="7178" width="6.28515625" style="745" customWidth="1"/>
    <col min="7179" max="7179" width="11.42578125" style="745" customWidth="1"/>
    <col min="7180" max="7180" width="6.85546875" style="745" customWidth="1"/>
    <col min="7181" max="7181" width="12.140625" style="745" customWidth="1"/>
    <col min="7182" max="7182" width="5.7109375" style="745" customWidth="1"/>
    <col min="7183" max="7183" width="11.140625" style="745" customWidth="1"/>
    <col min="7184" max="7184" width="15.42578125" style="745" customWidth="1"/>
    <col min="7185" max="7185" width="14.7109375" style="745" customWidth="1"/>
    <col min="7186" max="7186" width="13.42578125" style="745" customWidth="1"/>
    <col min="7187" max="7187" width="15" style="745" customWidth="1"/>
    <col min="7188" max="7188" width="25.28515625" style="745" customWidth="1"/>
    <col min="7189" max="7189" width="25.7109375" style="745" customWidth="1"/>
    <col min="7190" max="7424" width="9.140625" style="745"/>
    <col min="7425" max="7425" width="5" style="745" customWidth="1"/>
    <col min="7426" max="7426" width="29.85546875" style="745" customWidth="1"/>
    <col min="7427" max="7427" width="6" style="745" customWidth="1"/>
    <col min="7428" max="7428" width="5.7109375" style="745" customWidth="1"/>
    <col min="7429" max="7429" width="5.85546875" style="745" customWidth="1"/>
    <col min="7430" max="7430" width="12.42578125" style="745" customWidth="1"/>
    <col min="7431" max="7431" width="6.140625" style="745" customWidth="1"/>
    <col min="7432" max="7432" width="9.42578125" style="745" customWidth="1"/>
    <col min="7433" max="7433" width="12.5703125" style="745" customWidth="1"/>
    <col min="7434" max="7434" width="6.28515625" style="745" customWidth="1"/>
    <col min="7435" max="7435" width="11.42578125" style="745" customWidth="1"/>
    <col min="7436" max="7436" width="6.85546875" style="745" customWidth="1"/>
    <col min="7437" max="7437" width="12.140625" style="745" customWidth="1"/>
    <col min="7438" max="7438" width="5.7109375" style="745" customWidth="1"/>
    <col min="7439" max="7439" width="11.140625" style="745" customWidth="1"/>
    <col min="7440" max="7440" width="15.42578125" style="745" customWidth="1"/>
    <col min="7441" max="7441" width="14.7109375" style="745" customWidth="1"/>
    <col min="7442" max="7442" width="13.42578125" style="745" customWidth="1"/>
    <col min="7443" max="7443" width="15" style="745" customWidth="1"/>
    <col min="7444" max="7444" width="25.28515625" style="745" customWidth="1"/>
    <col min="7445" max="7445" width="25.7109375" style="745" customWidth="1"/>
    <col min="7446" max="7680" width="9.140625" style="745"/>
    <col min="7681" max="7681" width="5" style="745" customWidth="1"/>
    <col min="7682" max="7682" width="29.85546875" style="745" customWidth="1"/>
    <col min="7683" max="7683" width="6" style="745" customWidth="1"/>
    <col min="7684" max="7684" width="5.7109375" style="745" customWidth="1"/>
    <col min="7685" max="7685" width="5.85546875" style="745" customWidth="1"/>
    <col min="7686" max="7686" width="12.42578125" style="745" customWidth="1"/>
    <col min="7687" max="7687" width="6.140625" style="745" customWidth="1"/>
    <col min="7688" max="7688" width="9.42578125" style="745" customWidth="1"/>
    <col min="7689" max="7689" width="12.5703125" style="745" customWidth="1"/>
    <col min="7690" max="7690" width="6.28515625" style="745" customWidth="1"/>
    <col min="7691" max="7691" width="11.42578125" style="745" customWidth="1"/>
    <col min="7692" max="7692" width="6.85546875" style="745" customWidth="1"/>
    <col min="7693" max="7693" width="12.140625" style="745" customWidth="1"/>
    <col min="7694" max="7694" width="5.7109375" style="745" customWidth="1"/>
    <col min="7695" max="7695" width="11.140625" style="745" customWidth="1"/>
    <col min="7696" max="7696" width="15.42578125" style="745" customWidth="1"/>
    <col min="7697" max="7697" width="14.7109375" style="745" customWidth="1"/>
    <col min="7698" max="7698" width="13.42578125" style="745" customWidth="1"/>
    <col min="7699" max="7699" width="15" style="745" customWidth="1"/>
    <col min="7700" max="7700" width="25.28515625" style="745" customWidth="1"/>
    <col min="7701" max="7701" width="25.7109375" style="745" customWidth="1"/>
    <col min="7702" max="7936" width="9.140625" style="745"/>
    <col min="7937" max="7937" width="5" style="745" customWidth="1"/>
    <col min="7938" max="7938" width="29.85546875" style="745" customWidth="1"/>
    <col min="7939" max="7939" width="6" style="745" customWidth="1"/>
    <col min="7940" max="7940" width="5.7109375" style="745" customWidth="1"/>
    <col min="7941" max="7941" width="5.85546875" style="745" customWidth="1"/>
    <col min="7942" max="7942" width="12.42578125" style="745" customWidth="1"/>
    <col min="7943" max="7943" width="6.140625" style="745" customWidth="1"/>
    <col min="7944" max="7944" width="9.42578125" style="745" customWidth="1"/>
    <col min="7945" max="7945" width="12.5703125" style="745" customWidth="1"/>
    <col min="7946" max="7946" width="6.28515625" style="745" customWidth="1"/>
    <col min="7947" max="7947" width="11.42578125" style="745" customWidth="1"/>
    <col min="7948" max="7948" width="6.85546875" style="745" customWidth="1"/>
    <col min="7949" max="7949" width="12.140625" style="745" customWidth="1"/>
    <col min="7950" max="7950" width="5.7109375" style="745" customWidth="1"/>
    <col min="7951" max="7951" width="11.140625" style="745" customWidth="1"/>
    <col min="7952" max="7952" width="15.42578125" style="745" customWidth="1"/>
    <col min="7953" max="7953" width="14.7109375" style="745" customWidth="1"/>
    <col min="7954" max="7954" width="13.42578125" style="745" customWidth="1"/>
    <col min="7955" max="7955" width="15" style="745" customWidth="1"/>
    <col min="7956" max="7956" width="25.28515625" style="745" customWidth="1"/>
    <col min="7957" max="7957" width="25.7109375" style="745" customWidth="1"/>
    <col min="7958" max="8192" width="9.140625" style="745"/>
    <col min="8193" max="8193" width="5" style="745" customWidth="1"/>
    <col min="8194" max="8194" width="29.85546875" style="745" customWidth="1"/>
    <col min="8195" max="8195" width="6" style="745" customWidth="1"/>
    <col min="8196" max="8196" width="5.7109375" style="745" customWidth="1"/>
    <col min="8197" max="8197" width="5.85546875" style="745" customWidth="1"/>
    <col min="8198" max="8198" width="12.42578125" style="745" customWidth="1"/>
    <col min="8199" max="8199" width="6.140625" style="745" customWidth="1"/>
    <col min="8200" max="8200" width="9.42578125" style="745" customWidth="1"/>
    <col min="8201" max="8201" width="12.5703125" style="745" customWidth="1"/>
    <col min="8202" max="8202" width="6.28515625" style="745" customWidth="1"/>
    <col min="8203" max="8203" width="11.42578125" style="745" customWidth="1"/>
    <col min="8204" max="8204" width="6.85546875" style="745" customWidth="1"/>
    <col min="8205" max="8205" width="12.140625" style="745" customWidth="1"/>
    <col min="8206" max="8206" width="5.7109375" style="745" customWidth="1"/>
    <col min="8207" max="8207" width="11.140625" style="745" customWidth="1"/>
    <col min="8208" max="8208" width="15.42578125" style="745" customWidth="1"/>
    <col min="8209" max="8209" width="14.7109375" style="745" customWidth="1"/>
    <col min="8210" max="8210" width="13.42578125" style="745" customWidth="1"/>
    <col min="8211" max="8211" width="15" style="745" customWidth="1"/>
    <col min="8212" max="8212" width="25.28515625" style="745" customWidth="1"/>
    <col min="8213" max="8213" width="25.7109375" style="745" customWidth="1"/>
    <col min="8214" max="8448" width="9.140625" style="745"/>
    <col min="8449" max="8449" width="5" style="745" customWidth="1"/>
    <col min="8450" max="8450" width="29.85546875" style="745" customWidth="1"/>
    <col min="8451" max="8451" width="6" style="745" customWidth="1"/>
    <col min="8452" max="8452" width="5.7109375" style="745" customWidth="1"/>
    <col min="8453" max="8453" width="5.85546875" style="745" customWidth="1"/>
    <col min="8454" max="8454" width="12.42578125" style="745" customWidth="1"/>
    <col min="8455" max="8455" width="6.140625" style="745" customWidth="1"/>
    <col min="8456" max="8456" width="9.42578125" style="745" customWidth="1"/>
    <col min="8457" max="8457" width="12.5703125" style="745" customWidth="1"/>
    <col min="8458" max="8458" width="6.28515625" style="745" customWidth="1"/>
    <col min="8459" max="8459" width="11.42578125" style="745" customWidth="1"/>
    <col min="8460" max="8460" width="6.85546875" style="745" customWidth="1"/>
    <col min="8461" max="8461" width="12.140625" style="745" customWidth="1"/>
    <col min="8462" max="8462" width="5.7109375" style="745" customWidth="1"/>
    <col min="8463" max="8463" width="11.140625" style="745" customWidth="1"/>
    <col min="8464" max="8464" width="15.42578125" style="745" customWidth="1"/>
    <col min="8465" max="8465" width="14.7109375" style="745" customWidth="1"/>
    <col min="8466" max="8466" width="13.42578125" style="745" customWidth="1"/>
    <col min="8467" max="8467" width="15" style="745" customWidth="1"/>
    <col min="8468" max="8468" width="25.28515625" style="745" customWidth="1"/>
    <col min="8469" max="8469" width="25.7109375" style="745" customWidth="1"/>
    <col min="8470" max="8704" width="9.140625" style="745"/>
    <col min="8705" max="8705" width="5" style="745" customWidth="1"/>
    <col min="8706" max="8706" width="29.85546875" style="745" customWidth="1"/>
    <col min="8707" max="8707" width="6" style="745" customWidth="1"/>
    <col min="8708" max="8708" width="5.7109375" style="745" customWidth="1"/>
    <col min="8709" max="8709" width="5.85546875" style="745" customWidth="1"/>
    <col min="8710" max="8710" width="12.42578125" style="745" customWidth="1"/>
    <col min="8711" max="8711" width="6.140625" style="745" customWidth="1"/>
    <col min="8712" max="8712" width="9.42578125" style="745" customWidth="1"/>
    <col min="8713" max="8713" width="12.5703125" style="745" customWidth="1"/>
    <col min="8714" max="8714" width="6.28515625" style="745" customWidth="1"/>
    <col min="8715" max="8715" width="11.42578125" style="745" customWidth="1"/>
    <col min="8716" max="8716" width="6.85546875" style="745" customWidth="1"/>
    <col min="8717" max="8717" width="12.140625" style="745" customWidth="1"/>
    <col min="8718" max="8718" width="5.7109375" style="745" customWidth="1"/>
    <col min="8719" max="8719" width="11.140625" style="745" customWidth="1"/>
    <col min="8720" max="8720" width="15.42578125" style="745" customWidth="1"/>
    <col min="8721" max="8721" width="14.7109375" style="745" customWidth="1"/>
    <col min="8722" max="8722" width="13.42578125" style="745" customWidth="1"/>
    <col min="8723" max="8723" width="15" style="745" customWidth="1"/>
    <col min="8724" max="8724" width="25.28515625" style="745" customWidth="1"/>
    <col min="8725" max="8725" width="25.7109375" style="745" customWidth="1"/>
    <col min="8726" max="8960" width="9.140625" style="745"/>
    <col min="8961" max="8961" width="5" style="745" customWidth="1"/>
    <col min="8962" max="8962" width="29.85546875" style="745" customWidth="1"/>
    <col min="8963" max="8963" width="6" style="745" customWidth="1"/>
    <col min="8964" max="8964" width="5.7109375" style="745" customWidth="1"/>
    <col min="8965" max="8965" width="5.85546875" style="745" customWidth="1"/>
    <col min="8966" max="8966" width="12.42578125" style="745" customWidth="1"/>
    <col min="8967" max="8967" width="6.140625" style="745" customWidth="1"/>
    <col min="8968" max="8968" width="9.42578125" style="745" customWidth="1"/>
    <col min="8969" max="8969" width="12.5703125" style="745" customWidth="1"/>
    <col min="8970" max="8970" width="6.28515625" style="745" customWidth="1"/>
    <col min="8971" max="8971" width="11.42578125" style="745" customWidth="1"/>
    <col min="8972" max="8972" width="6.85546875" style="745" customWidth="1"/>
    <col min="8973" max="8973" width="12.140625" style="745" customWidth="1"/>
    <col min="8974" max="8974" width="5.7109375" style="745" customWidth="1"/>
    <col min="8975" max="8975" width="11.140625" style="745" customWidth="1"/>
    <col min="8976" max="8976" width="15.42578125" style="745" customWidth="1"/>
    <col min="8977" max="8977" width="14.7109375" style="745" customWidth="1"/>
    <col min="8978" max="8978" width="13.42578125" style="745" customWidth="1"/>
    <col min="8979" max="8979" width="15" style="745" customWidth="1"/>
    <col min="8980" max="8980" width="25.28515625" style="745" customWidth="1"/>
    <col min="8981" max="8981" width="25.7109375" style="745" customWidth="1"/>
    <col min="8982" max="9216" width="9.140625" style="745"/>
    <col min="9217" max="9217" width="5" style="745" customWidth="1"/>
    <col min="9218" max="9218" width="29.85546875" style="745" customWidth="1"/>
    <col min="9219" max="9219" width="6" style="745" customWidth="1"/>
    <col min="9220" max="9220" width="5.7109375" style="745" customWidth="1"/>
    <col min="9221" max="9221" width="5.85546875" style="745" customWidth="1"/>
    <col min="9222" max="9222" width="12.42578125" style="745" customWidth="1"/>
    <col min="9223" max="9223" width="6.140625" style="745" customWidth="1"/>
    <col min="9224" max="9224" width="9.42578125" style="745" customWidth="1"/>
    <col min="9225" max="9225" width="12.5703125" style="745" customWidth="1"/>
    <col min="9226" max="9226" width="6.28515625" style="745" customWidth="1"/>
    <col min="9227" max="9227" width="11.42578125" style="745" customWidth="1"/>
    <col min="9228" max="9228" width="6.85546875" style="745" customWidth="1"/>
    <col min="9229" max="9229" width="12.140625" style="745" customWidth="1"/>
    <col min="9230" max="9230" width="5.7109375" style="745" customWidth="1"/>
    <col min="9231" max="9231" width="11.140625" style="745" customWidth="1"/>
    <col min="9232" max="9232" width="15.42578125" style="745" customWidth="1"/>
    <col min="9233" max="9233" width="14.7109375" style="745" customWidth="1"/>
    <col min="9234" max="9234" width="13.42578125" style="745" customWidth="1"/>
    <col min="9235" max="9235" width="15" style="745" customWidth="1"/>
    <col min="9236" max="9236" width="25.28515625" style="745" customWidth="1"/>
    <col min="9237" max="9237" width="25.7109375" style="745" customWidth="1"/>
    <col min="9238" max="9472" width="9.140625" style="745"/>
    <col min="9473" max="9473" width="5" style="745" customWidth="1"/>
    <col min="9474" max="9474" width="29.85546875" style="745" customWidth="1"/>
    <col min="9475" max="9475" width="6" style="745" customWidth="1"/>
    <col min="9476" max="9476" width="5.7109375" style="745" customWidth="1"/>
    <col min="9477" max="9477" width="5.85546875" style="745" customWidth="1"/>
    <col min="9478" max="9478" width="12.42578125" style="745" customWidth="1"/>
    <col min="9479" max="9479" width="6.140625" style="745" customWidth="1"/>
    <col min="9480" max="9480" width="9.42578125" style="745" customWidth="1"/>
    <col min="9481" max="9481" width="12.5703125" style="745" customWidth="1"/>
    <col min="9482" max="9482" width="6.28515625" style="745" customWidth="1"/>
    <col min="9483" max="9483" width="11.42578125" style="745" customWidth="1"/>
    <col min="9484" max="9484" width="6.85546875" style="745" customWidth="1"/>
    <col min="9485" max="9485" width="12.140625" style="745" customWidth="1"/>
    <col min="9486" max="9486" width="5.7109375" style="745" customWidth="1"/>
    <col min="9487" max="9487" width="11.140625" style="745" customWidth="1"/>
    <col min="9488" max="9488" width="15.42578125" style="745" customWidth="1"/>
    <col min="9489" max="9489" width="14.7109375" style="745" customWidth="1"/>
    <col min="9490" max="9490" width="13.42578125" style="745" customWidth="1"/>
    <col min="9491" max="9491" width="15" style="745" customWidth="1"/>
    <col min="9492" max="9492" width="25.28515625" style="745" customWidth="1"/>
    <col min="9493" max="9493" width="25.7109375" style="745" customWidth="1"/>
    <col min="9494" max="9728" width="9.140625" style="745"/>
    <col min="9729" max="9729" width="5" style="745" customWidth="1"/>
    <col min="9730" max="9730" width="29.85546875" style="745" customWidth="1"/>
    <col min="9731" max="9731" width="6" style="745" customWidth="1"/>
    <col min="9732" max="9732" width="5.7109375" style="745" customWidth="1"/>
    <col min="9733" max="9733" width="5.85546875" style="745" customWidth="1"/>
    <col min="9734" max="9734" width="12.42578125" style="745" customWidth="1"/>
    <col min="9735" max="9735" width="6.140625" style="745" customWidth="1"/>
    <col min="9736" max="9736" width="9.42578125" style="745" customWidth="1"/>
    <col min="9737" max="9737" width="12.5703125" style="745" customWidth="1"/>
    <col min="9738" max="9738" width="6.28515625" style="745" customWidth="1"/>
    <col min="9739" max="9739" width="11.42578125" style="745" customWidth="1"/>
    <col min="9740" max="9740" width="6.85546875" style="745" customWidth="1"/>
    <col min="9741" max="9741" width="12.140625" style="745" customWidth="1"/>
    <col min="9742" max="9742" width="5.7109375" style="745" customWidth="1"/>
    <col min="9743" max="9743" width="11.140625" style="745" customWidth="1"/>
    <col min="9744" max="9744" width="15.42578125" style="745" customWidth="1"/>
    <col min="9745" max="9745" width="14.7109375" style="745" customWidth="1"/>
    <col min="9746" max="9746" width="13.42578125" style="745" customWidth="1"/>
    <col min="9747" max="9747" width="15" style="745" customWidth="1"/>
    <col min="9748" max="9748" width="25.28515625" style="745" customWidth="1"/>
    <col min="9749" max="9749" width="25.7109375" style="745" customWidth="1"/>
    <col min="9750" max="9984" width="9.140625" style="745"/>
    <col min="9985" max="9985" width="5" style="745" customWidth="1"/>
    <col min="9986" max="9986" width="29.85546875" style="745" customWidth="1"/>
    <col min="9987" max="9987" width="6" style="745" customWidth="1"/>
    <col min="9988" max="9988" width="5.7109375" style="745" customWidth="1"/>
    <col min="9989" max="9989" width="5.85546875" style="745" customWidth="1"/>
    <col min="9990" max="9990" width="12.42578125" style="745" customWidth="1"/>
    <col min="9991" max="9991" width="6.140625" style="745" customWidth="1"/>
    <col min="9992" max="9992" width="9.42578125" style="745" customWidth="1"/>
    <col min="9993" max="9993" width="12.5703125" style="745" customWidth="1"/>
    <col min="9994" max="9994" width="6.28515625" style="745" customWidth="1"/>
    <col min="9995" max="9995" width="11.42578125" style="745" customWidth="1"/>
    <col min="9996" max="9996" width="6.85546875" style="745" customWidth="1"/>
    <col min="9997" max="9997" width="12.140625" style="745" customWidth="1"/>
    <col min="9998" max="9998" width="5.7109375" style="745" customWidth="1"/>
    <col min="9999" max="9999" width="11.140625" style="745" customWidth="1"/>
    <col min="10000" max="10000" width="15.42578125" style="745" customWidth="1"/>
    <col min="10001" max="10001" width="14.7109375" style="745" customWidth="1"/>
    <col min="10002" max="10002" width="13.42578125" style="745" customWidth="1"/>
    <col min="10003" max="10003" width="15" style="745" customWidth="1"/>
    <col min="10004" max="10004" width="25.28515625" style="745" customWidth="1"/>
    <col min="10005" max="10005" width="25.7109375" style="745" customWidth="1"/>
    <col min="10006" max="10240" width="9.140625" style="745"/>
    <col min="10241" max="10241" width="5" style="745" customWidth="1"/>
    <col min="10242" max="10242" width="29.85546875" style="745" customWidth="1"/>
    <col min="10243" max="10243" width="6" style="745" customWidth="1"/>
    <col min="10244" max="10244" width="5.7109375" style="745" customWidth="1"/>
    <col min="10245" max="10245" width="5.85546875" style="745" customWidth="1"/>
    <col min="10246" max="10246" width="12.42578125" style="745" customWidth="1"/>
    <col min="10247" max="10247" width="6.140625" style="745" customWidth="1"/>
    <col min="10248" max="10248" width="9.42578125" style="745" customWidth="1"/>
    <col min="10249" max="10249" width="12.5703125" style="745" customWidth="1"/>
    <col min="10250" max="10250" width="6.28515625" style="745" customWidth="1"/>
    <col min="10251" max="10251" width="11.42578125" style="745" customWidth="1"/>
    <col min="10252" max="10252" width="6.85546875" style="745" customWidth="1"/>
    <col min="10253" max="10253" width="12.140625" style="745" customWidth="1"/>
    <col min="10254" max="10254" width="5.7109375" style="745" customWidth="1"/>
    <col min="10255" max="10255" width="11.140625" style="745" customWidth="1"/>
    <col min="10256" max="10256" width="15.42578125" style="745" customWidth="1"/>
    <col min="10257" max="10257" width="14.7109375" style="745" customWidth="1"/>
    <col min="10258" max="10258" width="13.42578125" style="745" customWidth="1"/>
    <col min="10259" max="10259" width="15" style="745" customWidth="1"/>
    <col min="10260" max="10260" width="25.28515625" style="745" customWidth="1"/>
    <col min="10261" max="10261" width="25.7109375" style="745" customWidth="1"/>
    <col min="10262" max="10496" width="9.140625" style="745"/>
    <col min="10497" max="10497" width="5" style="745" customWidth="1"/>
    <col min="10498" max="10498" width="29.85546875" style="745" customWidth="1"/>
    <col min="10499" max="10499" width="6" style="745" customWidth="1"/>
    <col min="10500" max="10500" width="5.7109375" style="745" customWidth="1"/>
    <col min="10501" max="10501" width="5.85546875" style="745" customWidth="1"/>
    <col min="10502" max="10502" width="12.42578125" style="745" customWidth="1"/>
    <col min="10503" max="10503" width="6.140625" style="745" customWidth="1"/>
    <col min="10504" max="10504" width="9.42578125" style="745" customWidth="1"/>
    <col min="10505" max="10505" width="12.5703125" style="745" customWidth="1"/>
    <col min="10506" max="10506" width="6.28515625" style="745" customWidth="1"/>
    <col min="10507" max="10507" width="11.42578125" style="745" customWidth="1"/>
    <col min="10508" max="10508" width="6.85546875" style="745" customWidth="1"/>
    <col min="10509" max="10509" width="12.140625" style="745" customWidth="1"/>
    <col min="10510" max="10510" width="5.7109375" style="745" customWidth="1"/>
    <col min="10511" max="10511" width="11.140625" style="745" customWidth="1"/>
    <col min="10512" max="10512" width="15.42578125" style="745" customWidth="1"/>
    <col min="10513" max="10513" width="14.7109375" style="745" customWidth="1"/>
    <col min="10514" max="10514" width="13.42578125" style="745" customWidth="1"/>
    <col min="10515" max="10515" width="15" style="745" customWidth="1"/>
    <col min="10516" max="10516" width="25.28515625" style="745" customWidth="1"/>
    <col min="10517" max="10517" width="25.7109375" style="745" customWidth="1"/>
    <col min="10518" max="10752" width="9.140625" style="745"/>
    <col min="10753" max="10753" width="5" style="745" customWidth="1"/>
    <col min="10754" max="10754" width="29.85546875" style="745" customWidth="1"/>
    <col min="10755" max="10755" width="6" style="745" customWidth="1"/>
    <col min="10756" max="10756" width="5.7109375" style="745" customWidth="1"/>
    <col min="10757" max="10757" width="5.85546875" style="745" customWidth="1"/>
    <col min="10758" max="10758" width="12.42578125" style="745" customWidth="1"/>
    <col min="10759" max="10759" width="6.140625" style="745" customWidth="1"/>
    <col min="10760" max="10760" width="9.42578125" style="745" customWidth="1"/>
    <col min="10761" max="10761" width="12.5703125" style="745" customWidth="1"/>
    <col min="10762" max="10762" width="6.28515625" style="745" customWidth="1"/>
    <col min="10763" max="10763" width="11.42578125" style="745" customWidth="1"/>
    <col min="10764" max="10764" width="6.85546875" style="745" customWidth="1"/>
    <col min="10765" max="10765" width="12.140625" style="745" customWidth="1"/>
    <col min="10766" max="10766" width="5.7109375" style="745" customWidth="1"/>
    <col min="10767" max="10767" width="11.140625" style="745" customWidth="1"/>
    <col min="10768" max="10768" width="15.42578125" style="745" customWidth="1"/>
    <col min="10769" max="10769" width="14.7109375" style="745" customWidth="1"/>
    <col min="10770" max="10770" width="13.42578125" style="745" customWidth="1"/>
    <col min="10771" max="10771" width="15" style="745" customWidth="1"/>
    <col min="10772" max="10772" width="25.28515625" style="745" customWidth="1"/>
    <col min="10773" max="10773" width="25.7109375" style="745" customWidth="1"/>
    <col min="10774" max="11008" width="9.140625" style="745"/>
    <col min="11009" max="11009" width="5" style="745" customWidth="1"/>
    <col min="11010" max="11010" width="29.85546875" style="745" customWidth="1"/>
    <col min="11011" max="11011" width="6" style="745" customWidth="1"/>
    <col min="11012" max="11012" width="5.7109375" style="745" customWidth="1"/>
    <col min="11013" max="11013" width="5.85546875" style="745" customWidth="1"/>
    <col min="11014" max="11014" width="12.42578125" style="745" customWidth="1"/>
    <col min="11015" max="11015" width="6.140625" style="745" customWidth="1"/>
    <col min="11016" max="11016" width="9.42578125" style="745" customWidth="1"/>
    <col min="11017" max="11017" width="12.5703125" style="745" customWidth="1"/>
    <col min="11018" max="11018" width="6.28515625" style="745" customWidth="1"/>
    <col min="11019" max="11019" width="11.42578125" style="745" customWidth="1"/>
    <col min="11020" max="11020" width="6.85546875" style="745" customWidth="1"/>
    <col min="11021" max="11021" width="12.140625" style="745" customWidth="1"/>
    <col min="11022" max="11022" width="5.7109375" style="745" customWidth="1"/>
    <col min="11023" max="11023" width="11.140625" style="745" customWidth="1"/>
    <col min="11024" max="11024" width="15.42578125" style="745" customWidth="1"/>
    <col min="11025" max="11025" width="14.7109375" style="745" customWidth="1"/>
    <col min="11026" max="11026" width="13.42578125" style="745" customWidth="1"/>
    <col min="11027" max="11027" width="15" style="745" customWidth="1"/>
    <col min="11028" max="11028" width="25.28515625" style="745" customWidth="1"/>
    <col min="11029" max="11029" width="25.7109375" style="745" customWidth="1"/>
    <col min="11030" max="11264" width="9.140625" style="745"/>
    <col min="11265" max="11265" width="5" style="745" customWidth="1"/>
    <col min="11266" max="11266" width="29.85546875" style="745" customWidth="1"/>
    <col min="11267" max="11267" width="6" style="745" customWidth="1"/>
    <col min="11268" max="11268" width="5.7109375" style="745" customWidth="1"/>
    <col min="11269" max="11269" width="5.85546875" style="745" customWidth="1"/>
    <col min="11270" max="11270" width="12.42578125" style="745" customWidth="1"/>
    <col min="11271" max="11271" width="6.140625" style="745" customWidth="1"/>
    <col min="11272" max="11272" width="9.42578125" style="745" customWidth="1"/>
    <col min="11273" max="11273" width="12.5703125" style="745" customWidth="1"/>
    <col min="11274" max="11274" width="6.28515625" style="745" customWidth="1"/>
    <col min="11275" max="11275" width="11.42578125" style="745" customWidth="1"/>
    <col min="11276" max="11276" width="6.85546875" style="745" customWidth="1"/>
    <col min="11277" max="11277" width="12.140625" style="745" customWidth="1"/>
    <col min="11278" max="11278" width="5.7109375" style="745" customWidth="1"/>
    <col min="11279" max="11279" width="11.140625" style="745" customWidth="1"/>
    <col min="11280" max="11280" width="15.42578125" style="745" customWidth="1"/>
    <col min="11281" max="11281" width="14.7109375" style="745" customWidth="1"/>
    <col min="11282" max="11282" width="13.42578125" style="745" customWidth="1"/>
    <col min="11283" max="11283" width="15" style="745" customWidth="1"/>
    <col min="11284" max="11284" width="25.28515625" style="745" customWidth="1"/>
    <col min="11285" max="11285" width="25.7109375" style="745" customWidth="1"/>
    <col min="11286" max="11520" width="9.140625" style="745"/>
    <col min="11521" max="11521" width="5" style="745" customWidth="1"/>
    <col min="11522" max="11522" width="29.85546875" style="745" customWidth="1"/>
    <col min="11523" max="11523" width="6" style="745" customWidth="1"/>
    <col min="11524" max="11524" width="5.7109375" style="745" customWidth="1"/>
    <col min="11525" max="11525" width="5.85546875" style="745" customWidth="1"/>
    <col min="11526" max="11526" width="12.42578125" style="745" customWidth="1"/>
    <col min="11527" max="11527" width="6.140625" style="745" customWidth="1"/>
    <col min="11528" max="11528" width="9.42578125" style="745" customWidth="1"/>
    <col min="11529" max="11529" width="12.5703125" style="745" customWidth="1"/>
    <col min="11530" max="11530" width="6.28515625" style="745" customWidth="1"/>
    <col min="11531" max="11531" width="11.42578125" style="745" customWidth="1"/>
    <col min="11532" max="11532" width="6.85546875" style="745" customWidth="1"/>
    <col min="11533" max="11533" width="12.140625" style="745" customWidth="1"/>
    <col min="11534" max="11534" width="5.7109375" style="745" customWidth="1"/>
    <col min="11535" max="11535" width="11.140625" style="745" customWidth="1"/>
    <col min="11536" max="11536" width="15.42578125" style="745" customWidth="1"/>
    <col min="11537" max="11537" width="14.7109375" style="745" customWidth="1"/>
    <col min="11538" max="11538" width="13.42578125" style="745" customWidth="1"/>
    <col min="11539" max="11539" width="15" style="745" customWidth="1"/>
    <col min="11540" max="11540" width="25.28515625" style="745" customWidth="1"/>
    <col min="11541" max="11541" width="25.7109375" style="745" customWidth="1"/>
    <col min="11542" max="11776" width="9.140625" style="745"/>
    <col min="11777" max="11777" width="5" style="745" customWidth="1"/>
    <col min="11778" max="11778" width="29.85546875" style="745" customWidth="1"/>
    <col min="11779" max="11779" width="6" style="745" customWidth="1"/>
    <col min="11780" max="11780" width="5.7109375" style="745" customWidth="1"/>
    <col min="11781" max="11781" width="5.85546875" style="745" customWidth="1"/>
    <col min="11782" max="11782" width="12.42578125" style="745" customWidth="1"/>
    <col min="11783" max="11783" width="6.140625" style="745" customWidth="1"/>
    <col min="11784" max="11784" width="9.42578125" style="745" customWidth="1"/>
    <col min="11785" max="11785" width="12.5703125" style="745" customWidth="1"/>
    <col min="11786" max="11786" width="6.28515625" style="745" customWidth="1"/>
    <col min="11787" max="11787" width="11.42578125" style="745" customWidth="1"/>
    <col min="11788" max="11788" width="6.85546875" style="745" customWidth="1"/>
    <col min="11789" max="11789" width="12.140625" style="745" customWidth="1"/>
    <col min="11790" max="11790" width="5.7109375" style="745" customWidth="1"/>
    <col min="11791" max="11791" width="11.140625" style="745" customWidth="1"/>
    <col min="11792" max="11792" width="15.42578125" style="745" customWidth="1"/>
    <col min="11793" max="11793" width="14.7109375" style="745" customWidth="1"/>
    <col min="11794" max="11794" width="13.42578125" style="745" customWidth="1"/>
    <col min="11795" max="11795" width="15" style="745" customWidth="1"/>
    <col min="11796" max="11796" width="25.28515625" style="745" customWidth="1"/>
    <col min="11797" max="11797" width="25.7109375" style="745" customWidth="1"/>
    <col min="11798" max="12032" width="9.140625" style="745"/>
    <col min="12033" max="12033" width="5" style="745" customWidth="1"/>
    <col min="12034" max="12034" width="29.85546875" style="745" customWidth="1"/>
    <col min="12035" max="12035" width="6" style="745" customWidth="1"/>
    <col min="12036" max="12036" width="5.7109375" style="745" customWidth="1"/>
    <col min="12037" max="12037" width="5.85546875" style="745" customWidth="1"/>
    <col min="12038" max="12038" width="12.42578125" style="745" customWidth="1"/>
    <col min="12039" max="12039" width="6.140625" style="745" customWidth="1"/>
    <col min="12040" max="12040" width="9.42578125" style="745" customWidth="1"/>
    <col min="12041" max="12041" width="12.5703125" style="745" customWidth="1"/>
    <col min="12042" max="12042" width="6.28515625" style="745" customWidth="1"/>
    <col min="12043" max="12043" width="11.42578125" style="745" customWidth="1"/>
    <col min="12044" max="12044" width="6.85546875" style="745" customWidth="1"/>
    <col min="12045" max="12045" width="12.140625" style="745" customWidth="1"/>
    <col min="12046" max="12046" width="5.7109375" style="745" customWidth="1"/>
    <col min="12047" max="12047" width="11.140625" style="745" customWidth="1"/>
    <col min="12048" max="12048" width="15.42578125" style="745" customWidth="1"/>
    <col min="12049" max="12049" width="14.7109375" style="745" customWidth="1"/>
    <col min="12050" max="12050" width="13.42578125" style="745" customWidth="1"/>
    <col min="12051" max="12051" width="15" style="745" customWidth="1"/>
    <col min="12052" max="12052" width="25.28515625" style="745" customWidth="1"/>
    <col min="12053" max="12053" width="25.7109375" style="745" customWidth="1"/>
    <col min="12054" max="12288" width="9.140625" style="745"/>
    <col min="12289" max="12289" width="5" style="745" customWidth="1"/>
    <col min="12290" max="12290" width="29.85546875" style="745" customWidth="1"/>
    <col min="12291" max="12291" width="6" style="745" customWidth="1"/>
    <col min="12292" max="12292" width="5.7109375" style="745" customWidth="1"/>
    <col min="12293" max="12293" width="5.85546875" style="745" customWidth="1"/>
    <col min="12294" max="12294" width="12.42578125" style="745" customWidth="1"/>
    <col min="12295" max="12295" width="6.140625" style="745" customWidth="1"/>
    <col min="12296" max="12296" width="9.42578125" style="745" customWidth="1"/>
    <col min="12297" max="12297" width="12.5703125" style="745" customWidth="1"/>
    <col min="12298" max="12298" width="6.28515625" style="745" customWidth="1"/>
    <col min="12299" max="12299" width="11.42578125" style="745" customWidth="1"/>
    <col min="12300" max="12300" width="6.85546875" style="745" customWidth="1"/>
    <col min="12301" max="12301" width="12.140625" style="745" customWidth="1"/>
    <col min="12302" max="12302" width="5.7109375" style="745" customWidth="1"/>
    <col min="12303" max="12303" width="11.140625" style="745" customWidth="1"/>
    <col min="12304" max="12304" width="15.42578125" style="745" customWidth="1"/>
    <col min="12305" max="12305" width="14.7109375" style="745" customWidth="1"/>
    <col min="12306" max="12306" width="13.42578125" style="745" customWidth="1"/>
    <col min="12307" max="12307" width="15" style="745" customWidth="1"/>
    <col min="12308" max="12308" width="25.28515625" style="745" customWidth="1"/>
    <col min="12309" max="12309" width="25.7109375" style="745" customWidth="1"/>
    <col min="12310" max="12544" width="9.140625" style="745"/>
    <col min="12545" max="12545" width="5" style="745" customWidth="1"/>
    <col min="12546" max="12546" width="29.85546875" style="745" customWidth="1"/>
    <col min="12547" max="12547" width="6" style="745" customWidth="1"/>
    <col min="12548" max="12548" width="5.7109375" style="745" customWidth="1"/>
    <col min="12549" max="12549" width="5.85546875" style="745" customWidth="1"/>
    <col min="12550" max="12550" width="12.42578125" style="745" customWidth="1"/>
    <col min="12551" max="12551" width="6.140625" style="745" customWidth="1"/>
    <col min="12552" max="12552" width="9.42578125" style="745" customWidth="1"/>
    <col min="12553" max="12553" width="12.5703125" style="745" customWidth="1"/>
    <col min="12554" max="12554" width="6.28515625" style="745" customWidth="1"/>
    <col min="12555" max="12555" width="11.42578125" style="745" customWidth="1"/>
    <col min="12556" max="12556" width="6.85546875" style="745" customWidth="1"/>
    <col min="12557" max="12557" width="12.140625" style="745" customWidth="1"/>
    <col min="12558" max="12558" width="5.7109375" style="745" customWidth="1"/>
    <col min="12559" max="12559" width="11.140625" style="745" customWidth="1"/>
    <col min="12560" max="12560" width="15.42578125" style="745" customWidth="1"/>
    <col min="12561" max="12561" width="14.7109375" style="745" customWidth="1"/>
    <col min="12562" max="12562" width="13.42578125" style="745" customWidth="1"/>
    <col min="12563" max="12563" width="15" style="745" customWidth="1"/>
    <col min="12564" max="12564" width="25.28515625" style="745" customWidth="1"/>
    <col min="12565" max="12565" width="25.7109375" style="745" customWidth="1"/>
    <col min="12566" max="12800" width="9.140625" style="745"/>
    <col min="12801" max="12801" width="5" style="745" customWidth="1"/>
    <col min="12802" max="12802" width="29.85546875" style="745" customWidth="1"/>
    <col min="12803" max="12803" width="6" style="745" customWidth="1"/>
    <col min="12804" max="12804" width="5.7109375" style="745" customWidth="1"/>
    <col min="12805" max="12805" width="5.85546875" style="745" customWidth="1"/>
    <col min="12806" max="12806" width="12.42578125" style="745" customWidth="1"/>
    <col min="12807" max="12807" width="6.140625" style="745" customWidth="1"/>
    <col min="12808" max="12808" width="9.42578125" style="745" customWidth="1"/>
    <col min="12809" max="12809" width="12.5703125" style="745" customWidth="1"/>
    <col min="12810" max="12810" width="6.28515625" style="745" customWidth="1"/>
    <col min="12811" max="12811" width="11.42578125" style="745" customWidth="1"/>
    <col min="12812" max="12812" width="6.85546875" style="745" customWidth="1"/>
    <col min="12813" max="12813" width="12.140625" style="745" customWidth="1"/>
    <col min="12814" max="12814" width="5.7109375" style="745" customWidth="1"/>
    <col min="12815" max="12815" width="11.140625" style="745" customWidth="1"/>
    <col min="12816" max="12816" width="15.42578125" style="745" customWidth="1"/>
    <col min="12817" max="12817" width="14.7109375" style="745" customWidth="1"/>
    <col min="12818" max="12818" width="13.42578125" style="745" customWidth="1"/>
    <col min="12819" max="12819" width="15" style="745" customWidth="1"/>
    <col min="12820" max="12820" width="25.28515625" style="745" customWidth="1"/>
    <col min="12821" max="12821" width="25.7109375" style="745" customWidth="1"/>
    <col min="12822" max="13056" width="9.140625" style="745"/>
    <col min="13057" max="13057" width="5" style="745" customWidth="1"/>
    <col min="13058" max="13058" width="29.85546875" style="745" customWidth="1"/>
    <col min="13059" max="13059" width="6" style="745" customWidth="1"/>
    <col min="13060" max="13060" width="5.7109375" style="745" customWidth="1"/>
    <col min="13061" max="13061" width="5.85546875" style="745" customWidth="1"/>
    <col min="13062" max="13062" width="12.42578125" style="745" customWidth="1"/>
    <col min="13063" max="13063" width="6.140625" style="745" customWidth="1"/>
    <col min="13064" max="13064" width="9.42578125" style="745" customWidth="1"/>
    <col min="13065" max="13065" width="12.5703125" style="745" customWidth="1"/>
    <col min="13066" max="13066" width="6.28515625" style="745" customWidth="1"/>
    <col min="13067" max="13067" width="11.42578125" style="745" customWidth="1"/>
    <col min="13068" max="13068" width="6.85546875" style="745" customWidth="1"/>
    <col min="13069" max="13069" width="12.140625" style="745" customWidth="1"/>
    <col min="13070" max="13070" width="5.7109375" style="745" customWidth="1"/>
    <col min="13071" max="13071" width="11.140625" style="745" customWidth="1"/>
    <col min="13072" max="13072" width="15.42578125" style="745" customWidth="1"/>
    <col min="13073" max="13073" width="14.7109375" style="745" customWidth="1"/>
    <col min="13074" max="13074" width="13.42578125" style="745" customWidth="1"/>
    <col min="13075" max="13075" width="15" style="745" customWidth="1"/>
    <col min="13076" max="13076" width="25.28515625" style="745" customWidth="1"/>
    <col min="13077" max="13077" width="25.7109375" style="745" customWidth="1"/>
    <col min="13078" max="13312" width="9.140625" style="745"/>
    <col min="13313" max="13313" width="5" style="745" customWidth="1"/>
    <col min="13314" max="13314" width="29.85546875" style="745" customWidth="1"/>
    <col min="13315" max="13315" width="6" style="745" customWidth="1"/>
    <col min="13316" max="13316" width="5.7109375" style="745" customWidth="1"/>
    <col min="13317" max="13317" width="5.85546875" style="745" customWidth="1"/>
    <col min="13318" max="13318" width="12.42578125" style="745" customWidth="1"/>
    <col min="13319" max="13319" width="6.140625" style="745" customWidth="1"/>
    <col min="13320" max="13320" width="9.42578125" style="745" customWidth="1"/>
    <col min="13321" max="13321" width="12.5703125" style="745" customWidth="1"/>
    <col min="13322" max="13322" width="6.28515625" style="745" customWidth="1"/>
    <col min="13323" max="13323" width="11.42578125" style="745" customWidth="1"/>
    <col min="13324" max="13324" width="6.85546875" style="745" customWidth="1"/>
    <col min="13325" max="13325" width="12.140625" style="745" customWidth="1"/>
    <col min="13326" max="13326" width="5.7109375" style="745" customWidth="1"/>
    <col min="13327" max="13327" width="11.140625" style="745" customWidth="1"/>
    <col min="13328" max="13328" width="15.42578125" style="745" customWidth="1"/>
    <col min="13329" max="13329" width="14.7109375" style="745" customWidth="1"/>
    <col min="13330" max="13330" width="13.42578125" style="745" customWidth="1"/>
    <col min="13331" max="13331" width="15" style="745" customWidth="1"/>
    <col min="13332" max="13332" width="25.28515625" style="745" customWidth="1"/>
    <col min="13333" max="13333" width="25.7109375" style="745" customWidth="1"/>
    <col min="13334" max="13568" width="9.140625" style="745"/>
    <col min="13569" max="13569" width="5" style="745" customWidth="1"/>
    <col min="13570" max="13570" width="29.85546875" style="745" customWidth="1"/>
    <col min="13571" max="13571" width="6" style="745" customWidth="1"/>
    <col min="13572" max="13572" width="5.7109375" style="745" customWidth="1"/>
    <col min="13573" max="13573" width="5.85546875" style="745" customWidth="1"/>
    <col min="13574" max="13574" width="12.42578125" style="745" customWidth="1"/>
    <col min="13575" max="13575" width="6.140625" style="745" customWidth="1"/>
    <col min="13576" max="13576" width="9.42578125" style="745" customWidth="1"/>
    <col min="13577" max="13577" width="12.5703125" style="745" customWidth="1"/>
    <col min="13578" max="13578" width="6.28515625" style="745" customWidth="1"/>
    <col min="13579" max="13579" width="11.42578125" style="745" customWidth="1"/>
    <col min="13580" max="13580" width="6.85546875" style="745" customWidth="1"/>
    <col min="13581" max="13581" width="12.140625" style="745" customWidth="1"/>
    <col min="13582" max="13582" width="5.7109375" style="745" customWidth="1"/>
    <col min="13583" max="13583" width="11.140625" style="745" customWidth="1"/>
    <col min="13584" max="13584" width="15.42578125" style="745" customWidth="1"/>
    <col min="13585" max="13585" width="14.7109375" style="745" customWidth="1"/>
    <col min="13586" max="13586" width="13.42578125" style="745" customWidth="1"/>
    <col min="13587" max="13587" width="15" style="745" customWidth="1"/>
    <col min="13588" max="13588" width="25.28515625" style="745" customWidth="1"/>
    <col min="13589" max="13589" width="25.7109375" style="745" customWidth="1"/>
    <col min="13590" max="13824" width="9.140625" style="745"/>
    <col min="13825" max="13825" width="5" style="745" customWidth="1"/>
    <col min="13826" max="13826" width="29.85546875" style="745" customWidth="1"/>
    <col min="13827" max="13827" width="6" style="745" customWidth="1"/>
    <col min="13828" max="13828" width="5.7109375" style="745" customWidth="1"/>
    <col min="13829" max="13829" width="5.85546875" style="745" customWidth="1"/>
    <col min="13830" max="13830" width="12.42578125" style="745" customWidth="1"/>
    <col min="13831" max="13831" width="6.140625" style="745" customWidth="1"/>
    <col min="13832" max="13832" width="9.42578125" style="745" customWidth="1"/>
    <col min="13833" max="13833" width="12.5703125" style="745" customWidth="1"/>
    <col min="13834" max="13834" width="6.28515625" style="745" customWidth="1"/>
    <col min="13835" max="13835" width="11.42578125" style="745" customWidth="1"/>
    <col min="13836" max="13836" width="6.85546875" style="745" customWidth="1"/>
    <col min="13837" max="13837" width="12.140625" style="745" customWidth="1"/>
    <col min="13838" max="13838" width="5.7109375" style="745" customWidth="1"/>
    <col min="13839" max="13839" width="11.140625" style="745" customWidth="1"/>
    <col min="13840" max="13840" width="15.42578125" style="745" customWidth="1"/>
    <col min="13841" max="13841" width="14.7109375" style="745" customWidth="1"/>
    <col min="13842" max="13842" width="13.42578125" style="745" customWidth="1"/>
    <col min="13843" max="13843" width="15" style="745" customWidth="1"/>
    <col min="13844" max="13844" width="25.28515625" style="745" customWidth="1"/>
    <col min="13845" max="13845" width="25.7109375" style="745" customWidth="1"/>
    <col min="13846" max="14080" width="9.140625" style="745"/>
    <col min="14081" max="14081" width="5" style="745" customWidth="1"/>
    <col min="14082" max="14082" width="29.85546875" style="745" customWidth="1"/>
    <col min="14083" max="14083" width="6" style="745" customWidth="1"/>
    <col min="14084" max="14084" width="5.7109375" style="745" customWidth="1"/>
    <col min="14085" max="14085" width="5.85546875" style="745" customWidth="1"/>
    <col min="14086" max="14086" width="12.42578125" style="745" customWidth="1"/>
    <col min="14087" max="14087" width="6.140625" style="745" customWidth="1"/>
    <col min="14088" max="14088" width="9.42578125" style="745" customWidth="1"/>
    <col min="14089" max="14089" width="12.5703125" style="745" customWidth="1"/>
    <col min="14090" max="14090" width="6.28515625" style="745" customWidth="1"/>
    <col min="14091" max="14091" width="11.42578125" style="745" customWidth="1"/>
    <col min="14092" max="14092" width="6.85546875" style="745" customWidth="1"/>
    <col min="14093" max="14093" width="12.140625" style="745" customWidth="1"/>
    <col min="14094" max="14094" width="5.7109375" style="745" customWidth="1"/>
    <col min="14095" max="14095" width="11.140625" style="745" customWidth="1"/>
    <col min="14096" max="14096" width="15.42578125" style="745" customWidth="1"/>
    <col min="14097" max="14097" width="14.7109375" style="745" customWidth="1"/>
    <col min="14098" max="14098" width="13.42578125" style="745" customWidth="1"/>
    <col min="14099" max="14099" width="15" style="745" customWidth="1"/>
    <col min="14100" max="14100" width="25.28515625" style="745" customWidth="1"/>
    <col min="14101" max="14101" width="25.7109375" style="745" customWidth="1"/>
    <col min="14102" max="14336" width="9.140625" style="745"/>
    <col min="14337" max="14337" width="5" style="745" customWidth="1"/>
    <col min="14338" max="14338" width="29.85546875" style="745" customWidth="1"/>
    <col min="14339" max="14339" width="6" style="745" customWidth="1"/>
    <col min="14340" max="14340" width="5.7109375" style="745" customWidth="1"/>
    <col min="14341" max="14341" width="5.85546875" style="745" customWidth="1"/>
    <col min="14342" max="14342" width="12.42578125" style="745" customWidth="1"/>
    <col min="14343" max="14343" width="6.140625" style="745" customWidth="1"/>
    <col min="14344" max="14344" width="9.42578125" style="745" customWidth="1"/>
    <col min="14345" max="14345" width="12.5703125" style="745" customWidth="1"/>
    <col min="14346" max="14346" width="6.28515625" style="745" customWidth="1"/>
    <col min="14347" max="14347" width="11.42578125" style="745" customWidth="1"/>
    <col min="14348" max="14348" width="6.85546875" style="745" customWidth="1"/>
    <col min="14349" max="14349" width="12.140625" style="745" customWidth="1"/>
    <col min="14350" max="14350" width="5.7109375" style="745" customWidth="1"/>
    <col min="14351" max="14351" width="11.140625" style="745" customWidth="1"/>
    <col min="14352" max="14352" width="15.42578125" style="745" customWidth="1"/>
    <col min="14353" max="14353" width="14.7109375" style="745" customWidth="1"/>
    <col min="14354" max="14354" width="13.42578125" style="745" customWidth="1"/>
    <col min="14355" max="14355" width="15" style="745" customWidth="1"/>
    <col min="14356" max="14356" width="25.28515625" style="745" customWidth="1"/>
    <col min="14357" max="14357" width="25.7109375" style="745" customWidth="1"/>
    <col min="14358" max="14592" width="9.140625" style="745"/>
    <col min="14593" max="14593" width="5" style="745" customWidth="1"/>
    <col min="14594" max="14594" width="29.85546875" style="745" customWidth="1"/>
    <col min="14595" max="14595" width="6" style="745" customWidth="1"/>
    <col min="14596" max="14596" width="5.7109375" style="745" customWidth="1"/>
    <col min="14597" max="14597" width="5.85546875" style="745" customWidth="1"/>
    <col min="14598" max="14598" width="12.42578125" style="745" customWidth="1"/>
    <col min="14599" max="14599" width="6.140625" style="745" customWidth="1"/>
    <col min="14600" max="14600" width="9.42578125" style="745" customWidth="1"/>
    <col min="14601" max="14601" width="12.5703125" style="745" customWidth="1"/>
    <col min="14602" max="14602" width="6.28515625" style="745" customWidth="1"/>
    <col min="14603" max="14603" width="11.42578125" style="745" customWidth="1"/>
    <col min="14604" max="14604" width="6.85546875" style="745" customWidth="1"/>
    <col min="14605" max="14605" width="12.140625" style="745" customWidth="1"/>
    <col min="14606" max="14606" width="5.7109375" style="745" customWidth="1"/>
    <col min="14607" max="14607" width="11.140625" style="745" customWidth="1"/>
    <col min="14608" max="14608" width="15.42578125" style="745" customWidth="1"/>
    <col min="14609" max="14609" width="14.7109375" style="745" customWidth="1"/>
    <col min="14610" max="14610" width="13.42578125" style="745" customWidth="1"/>
    <col min="14611" max="14611" width="15" style="745" customWidth="1"/>
    <col min="14612" max="14612" width="25.28515625" style="745" customWidth="1"/>
    <col min="14613" max="14613" width="25.7109375" style="745" customWidth="1"/>
    <col min="14614" max="14848" width="9.140625" style="745"/>
    <col min="14849" max="14849" width="5" style="745" customWidth="1"/>
    <col min="14850" max="14850" width="29.85546875" style="745" customWidth="1"/>
    <col min="14851" max="14851" width="6" style="745" customWidth="1"/>
    <col min="14852" max="14852" width="5.7109375" style="745" customWidth="1"/>
    <col min="14853" max="14853" width="5.85546875" style="745" customWidth="1"/>
    <col min="14854" max="14854" width="12.42578125" style="745" customWidth="1"/>
    <col min="14855" max="14855" width="6.140625" style="745" customWidth="1"/>
    <col min="14856" max="14856" width="9.42578125" style="745" customWidth="1"/>
    <col min="14857" max="14857" width="12.5703125" style="745" customWidth="1"/>
    <col min="14858" max="14858" width="6.28515625" style="745" customWidth="1"/>
    <col min="14859" max="14859" width="11.42578125" style="745" customWidth="1"/>
    <col min="14860" max="14860" width="6.85546875" style="745" customWidth="1"/>
    <col min="14861" max="14861" width="12.140625" style="745" customWidth="1"/>
    <col min="14862" max="14862" width="5.7109375" style="745" customWidth="1"/>
    <col min="14863" max="14863" width="11.140625" style="745" customWidth="1"/>
    <col min="14864" max="14864" width="15.42578125" style="745" customWidth="1"/>
    <col min="14865" max="14865" width="14.7109375" style="745" customWidth="1"/>
    <col min="14866" max="14866" width="13.42578125" style="745" customWidth="1"/>
    <col min="14867" max="14867" width="15" style="745" customWidth="1"/>
    <col min="14868" max="14868" width="25.28515625" style="745" customWidth="1"/>
    <col min="14869" max="14869" width="25.7109375" style="745" customWidth="1"/>
    <col min="14870" max="15104" width="9.140625" style="745"/>
    <col min="15105" max="15105" width="5" style="745" customWidth="1"/>
    <col min="15106" max="15106" width="29.85546875" style="745" customWidth="1"/>
    <col min="15107" max="15107" width="6" style="745" customWidth="1"/>
    <col min="15108" max="15108" width="5.7109375" style="745" customWidth="1"/>
    <col min="15109" max="15109" width="5.85546875" style="745" customWidth="1"/>
    <col min="15110" max="15110" width="12.42578125" style="745" customWidth="1"/>
    <col min="15111" max="15111" width="6.140625" style="745" customWidth="1"/>
    <col min="15112" max="15112" width="9.42578125" style="745" customWidth="1"/>
    <col min="15113" max="15113" width="12.5703125" style="745" customWidth="1"/>
    <col min="15114" max="15114" width="6.28515625" style="745" customWidth="1"/>
    <col min="15115" max="15115" width="11.42578125" style="745" customWidth="1"/>
    <col min="15116" max="15116" width="6.85546875" style="745" customWidth="1"/>
    <col min="15117" max="15117" width="12.140625" style="745" customWidth="1"/>
    <col min="15118" max="15118" width="5.7109375" style="745" customWidth="1"/>
    <col min="15119" max="15119" width="11.140625" style="745" customWidth="1"/>
    <col min="15120" max="15120" width="15.42578125" style="745" customWidth="1"/>
    <col min="15121" max="15121" width="14.7109375" style="745" customWidth="1"/>
    <col min="15122" max="15122" width="13.42578125" style="745" customWidth="1"/>
    <col min="15123" max="15123" width="15" style="745" customWidth="1"/>
    <col min="15124" max="15124" width="25.28515625" style="745" customWidth="1"/>
    <col min="15125" max="15125" width="25.7109375" style="745" customWidth="1"/>
    <col min="15126" max="15360" width="9.140625" style="745"/>
    <col min="15361" max="15361" width="5" style="745" customWidth="1"/>
    <col min="15362" max="15362" width="29.85546875" style="745" customWidth="1"/>
    <col min="15363" max="15363" width="6" style="745" customWidth="1"/>
    <col min="15364" max="15364" width="5.7109375" style="745" customWidth="1"/>
    <col min="15365" max="15365" width="5.85546875" style="745" customWidth="1"/>
    <col min="15366" max="15366" width="12.42578125" style="745" customWidth="1"/>
    <col min="15367" max="15367" width="6.140625" style="745" customWidth="1"/>
    <col min="15368" max="15368" width="9.42578125" style="745" customWidth="1"/>
    <col min="15369" max="15369" width="12.5703125" style="745" customWidth="1"/>
    <col min="15370" max="15370" width="6.28515625" style="745" customWidth="1"/>
    <col min="15371" max="15371" width="11.42578125" style="745" customWidth="1"/>
    <col min="15372" max="15372" width="6.85546875" style="745" customWidth="1"/>
    <col min="15373" max="15373" width="12.140625" style="745" customWidth="1"/>
    <col min="15374" max="15374" width="5.7109375" style="745" customWidth="1"/>
    <col min="15375" max="15375" width="11.140625" style="745" customWidth="1"/>
    <col min="15376" max="15376" width="15.42578125" style="745" customWidth="1"/>
    <col min="15377" max="15377" width="14.7109375" style="745" customWidth="1"/>
    <col min="15378" max="15378" width="13.42578125" style="745" customWidth="1"/>
    <col min="15379" max="15379" width="15" style="745" customWidth="1"/>
    <col min="15380" max="15380" width="25.28515625" style="745" customWidth="1"/>
    <col min="15381" max="15381" width="25.7109375" style="745" customWidth="1"/>
    <col min="15382" max="15616" width="9.140625" style="745"/>
    <col min="15617" max="15617" width="5" style="745" customWidth="1"/>
    <col min="15618" max="15618" width="29.85546875" style="745" customWidth="1"/>
    <col min="15619" max="15619" width="6" style="745" customWidth="1"/>
    <col min="15620" max="15620" width="5.7109375" style="745" customWidth="1"/>
    <col min="15621" max="15621" width="5.85546875" style="745" customWidth="1"/>
    <col min="15622" max="15622" width="12.42578125" style="745" customWidth="1"/>
    <col min="15623" max="15623" width="6.140625" style="745" customWidth="1"/>
    <col min="15624" max="15624" width="9.42578125" style="745" customWidth="1"/>
    <col min="15625" max="15625" width="12.5703125" style="745" customWidth="1"/>
    <col min="15626" max="15626" width="6.28515625" style="745" customWidth="1"/>
    <col min="15627" max="15627" width="11.42578125" style="745" customWidth="1"/>
    <col min="15628" max="15628" width="6.85546875" style="745" customWidth="1"/>
    <col min="15629" max="15629" width="12.140625" style="745" customWidth="1"/>
    <col min="15630" max="15630" width="5.7109375" style="745" customWidth="1"/>
    <col min="15631" max="15631" width="11.140625" style="745" customWidth="1"/>
    <col min="15632" max="15632" width="15.42578125" style="745" customWidth="1"/>
    <col min="15633" max="15633" width="14.7109375" style="745" customWidth="1"/>
    <col min="15634" max="15634" width="13.42578125" style="745" customWidth="1"/>
    <col min="15635" max="15635" width="15" style="745" customWidth="1"/>
    <col min="15636" max="15636" width="25.28515625" style="745" customWidth="1"/>
    <col min="15637" max="15637" width="25.7109375" style="745" customWidth="1"/>
    <col min="15638" max="15872" width="9.140625" style="745"/>
    <col min="15873" max="15873" width="5" style="745" customWidth="1"/>
    <col min="15874" max="15874" width="29.85546875" style="745" customWidth="1"/>
    <col min="15875" max="15875" width="6" style="745" customWidth="1"/>
    <col min="15876" max="15876" width="5.7109375" style="745" customWidth="1"/>
    <col min="15877" max="15877" width="5.85546875" style="745" customWidth="1"/>
    <col min="15878" max="15878" width="12.42578125" style="745" customWidth="1"/>
    <col min="15879" max="15879" width="6.140625" style="745" customWidth="1"/>
    <col min="15880" max="15880" width="9.42578125" style="745" customWidth="1"/>
    <col min="15881" max="15881" width="12.5703125" style="745" customWidth="1"/>
    <col min="15882" max="15882" width="6.28515625" style="745" customWidth="1"/>
    <col min="15883" max="15883" width="11.42578125" style="745" customWidth="1"/>
    <col min="15884" max="15884" width="6.85546875" style="745" customWidth="1"/>
    <col min="15885" max="15885" width="12.140625" style="745" customWidth="1"/>
    <col min="15886" max="15886" width="5.7109375" style="745" customWidth="1"/>
    <col min="15887" max="15887" width="11.140625" style="745" customWidth="1"/>
    <col min="15888" max="15888" width="15.42578125" style="745" customWidth="1"/>
    <col min="15889" max="15889" width="14.7109375" style="745" customWidth="1"/>
    <col min="15890" max="15890" width="13.42578125" style="745" customWidth="1"/>
    <col min="15891" max="15891" width="15" style="745" customWidth="1"/>
    <col min="15892" max="15892" width="25.28515625" style="745" customWidth="1"/>
    <col min="15893" max="15893" width="25.7109375" style="745" customWidth="1"/>
    <col min="15894" max="16128" width="9.140625" style="745"/>
    <col min="16129" max="16129" width="5" style="745" customWidth="1"/>
    <col min="16130" max="16130" width="29.85546875" style="745" customWidth="1"/>
    <col min="16131" max="16131" width="6" style="745" customWidth="1"/>
    <col min="16132" max="16132" width="5.7109375" style="745" customWidth="1"/>
    <col min="16133" max="16133" width="5.85546875" style="745" customWidth="1"/>
    <col min="16134" max="16134" width="12.42578125" style="745" customWidth="1"/>
    <col min="16135" max="16135" width="6.140625" style="745" customWidth="1"/>
    <col min="16136" max="16136" width="9.42578125" style="745" customWidth="1"/>
    <col min="16137" max="16137" width="12.5703125" style="745" customWidth="1"/>
    <col min="16138" max="16138" width="6.28515625" style="745" customWidth="1"/>
    <col min="16139" max="16139" width="11.42578125" style="745" customWidth="1"/>
    <col min="16140" max="16140" width="6.85546875" style="745" customWidth="1"/>
    <col min="16141" max="16141" width="12.140625" style="745" customWidth="1"/>
    <col min="16142" max="16142" width="5.7109375" style="745" customWidth="1"/>
    <col min="16143" max="16143" width="11.140625" style="745" customWidth="1"/>
    <col min="16144" max="16144" width="15.42578125" style="745" customWidth="1"/>
    <col min="16145" max="16145" width="14.7109375" style="745" customWidth="1"/>
    <col min="16146" max="16146" width="13.42578125" style="745" customWidth="1"/>
    <col min="16147" max="16147" width="15" style="745" customWidth="1"/>
    <col min="16148" max="16148" width="25.28515625" style="745" customWidth="1"/>
    <col min="16149" max="16149" width="25.7109375" style="745" customWidth="1"/>
    <col min="16150" max="16384" width="9.140625" style="745"/>
  </cols>
  <sheetData>
    <row r="1" spans="1:29" ht="14.25" customHeight="1">
      <c r="B1" s="2253"/>
      <c r="C1" s="2253"/>
      <c r="D1" s="2253"/>
      <c r="E1" s="747"/>
      <c r="F1" s="748"/>
      <c r="G1" s="2295" t="s">
        <v>529</v>
      </c>
      <c r="H1" s="2295"/>
      <c r="I1" s="2295"/>
      <c r="J1" s="2295"/>
      <c r="K1" s="2295"/>
      <c r="L1" s="2295"/>
      <c r="M1" s="2295"/>
      <c r="N1" s="2295"/>
      <c r="O1" s="2295"/>
      <c r="P1" s="2295"/>
      <c r="Q1" s="2295"/>
    </row>
    <row r="2" spans="1:29" ht="25.5" customHeight="1">
      <c r="B2" s="2296" t="s">
        <v>530</v>
      </c>
      <c r="C2" s="2296"/>
      <c r="D2" s="2296"/>
      <c r="E2" s="2296"/>
      <c r="F2" s="748"/>
      <c r="G2" s="2297" t="s">
        <v>945</v>
      </c>
      <c r="H2" s="2297"/>
      <c r="I2" s="2297"/>
      <c r="J2" s="2297"/>
      <c r="K2" s="2297"/>
      <c r="L2" s="2297"/>
      <c r="M2" s="2297"/>
      <c r="N2" s="2297"/>
      <c r="O2" s="2297"/>
      <c r="P2" s="2297"/>
      <c r="Q2" s="2297"/>
    </row>
    <row r="3" spans="1:29" ht="12" customHeight="1">
      <c r="E3" s="747"/>
      <c r="F3" s="748"/>
      <c r="G3" s="2264" t="s">
        <v>531</v>
      </c>
      <c r="H3" s="2264"/>
      <c r="I3" s="2264"/>
      <c r="J3" s="2264"/>
      <c r="K3" s="2264"/>
      <c r="L3" s="2264"/>
      <c r="M3" s="2264"/>
      <c r="N3" s="2264"/>
      <c r="O3" s="2265"/>
      <c r="P3" s="2265"/>
      <c r="Q3" s="750"/>
    </row>
    <row r="4" spans="1:29" ht="13.5" customHeight="1">
      <c r="E4" s="747"/>
      <c r="F4" s="748"/>
      <c r="G4" s="748"/>
      <c r="H4" s="748"/>
      <c r="I4" s="2298" t="s">
        <v>943</v>
      </c>
      <c r="J4" s="2298"/>
      <c r="K4" s="2298"/>
      <c r="L4" s="2298"/>
      <c r="M4" s="2298"/>
      <c r="N4" s="2299"/>
      <c r="O4" s="2299"/>
      <c r="P4" s="2299"/>
      <c r="Q4" s="2299"/>
    </row>
    <row r="5" spans="1:29" ht="13.5" customHeight="1">
      <c r="E5" s="747"/>
      <c r="F5" s="748"/>
      <c r="G5" s="2261" t="s">
        <v>532</v>
      </c>
      <c r="H5" s="2261"/>
      <c r="I5" s="2261"/>
      <c r="J5" s="2261"/>
      <c r="K5" s="2261"/>
      <c r="L5" s="2261"/>
      <c r="M5" s="2261"/>
      <c r="N5" s="2262"/>
      <c r="O5" s="2262"/>
      <c r="P5" s="2262"/>
      <c r="Q5" s="2262"/>
    </row>
    <row r="6" spans="1:29" ht="30" customHeight="1">
      <c r="E6" s="747"/>
      <c r="F6" s="2300" t="s">
        <v>946</v>
      </c>
      <c r="G6" s="2300"/>
      <c r="H6" s="2300"/>
      <c r="I6" s="2300"/>
      <c r="J6" s="2300"/>
      <c r="K6" s="2300"/>
      <c r="L6" s="2300"/>
      <c r="M6" s="2300"/>
      <c r="N6" s="2301"/>
      <c r="O6" s="2301"/>
      <c r="P6" s="2301"/>
      <c r="Q6" s="2301"/>
    </row>
    <row r="7" spans="1:29" s="751" customFormat="1" ht="11.25" customHeight="1">
      <c r="B7" s="752"/>
      <c r="C7" s="752"/>
      <c r="D7" s="752"/>
      <c r="E7" s="752"/>
      <c r="F7" s="753"/>
      <c r="G7" s="2269" t="s">
        <v>533</v>
      </c>
      <c r="H7" s="2269"/>
      <c r="I7" s="2269"/>
      <c r="J7" s="2269"/>
      <c r="K7" s="2269"/>
      <c r="L7" s="2269"/>
      <c r="M7" s="2269"/>
      <c r="N7" s="2268"/>
      <c r="O7" s="2268"/>
      <c r="P7" s="2268"/>
      <c r="Q7" s="2268"/>
    </row>
    <row r="8" spans="1:29" s="751" customFormat="1" ht="14.25" customHeight="1">
      <c r="B8" s="752"/>
      <c r="C8" s="752"/>
      <c r="D8" s="752"/>
      <c r="E8" s="752"/>
      <c r="F8" s="752"/>
      <c r="G8" s="2245"/>
      <c r="H8" s="2245"/>
      <c r="I8" s="2245"/>
      <c r="J8" s="2245"/>
      <c r="K8" s="2245"/>
      <c r="L8" s="2245"/>
      <c r="M8" s="2245"/>
    </row>
    <row r="9" spans="1:29" ht="12.75" customHeight="1">
      <c r="B9" s="2263"/>
      <c r="C9" s="2263"/>
      <c r="D9" s="2263"/>
      <c r="E9" s="2263"/>
      <c r="F9" s="2263"/>
      <c r="G9" s="2263"/>
      <c r="H9" s="2263"/>
      <c r="I9" s="2263"/>
      <c r="J9" s="2263"/>
      <c r="K9" s="2263"/>
      <c r="L9" s="2263"/>
      <c r="M9" s="2263"/>
      <c r="N9" s="2263"/>
      <c r="O9" s="2263"/>
      <c r="P9" s="2263"/>
      <c r="Q9" s="2263"/>
    </row>
    <row r="10" spans="1:29" ht="15" customHeight="1">
      <c r="A10" s="2302" t="s">
        <v>947</v>
      </c>
      <c r="B10" s="2302"/>
      <c r="C10" s="2302"/>
      <c r="D10" s="2302"/>
      <c r="E10" s="2302"/>
      <c r="F10" s="2302"/>
      <c r="G10" s="2302"/>
      <c r="H10" s="2302"/>
      <c r="I10" s="2302"/>
      <c r="J10" s="2302"/>
      <c r="K10" s="2302"/>
      <c r="L10" s="2302"/>
      <c r="M10" s="2302"/>
      <c r="N10" s="2302"/>
      <c r="O10" s="2302"/>
      <c r="P10" s="2302"/>
      <c r="Q10" s="2302"/>
      <c r="T10" s="755"/>
    </row>
    <row r="11" spans="1:29" ht="12.75" customHeight="1">
      <c r="A11" s="2270" t="s">
        <v>948</v>
      </c>
      <c r="B11" s="2271"/>
      <c r="C11" s="2271"/>
      <c r="D11" s="2271"/>
      <c r="E11" s="2271"/>
      <c r="F11" s="2271"/>
      <c r="G11" s="2271"/>
      <c r="H11" s="2271"/>
      <c r="I11" s="2271"/>
      <c r="J11" s="2271"/>
      <c r="K11" s="2271"/>
      <c r="L11" s="2271"/>
      <c r="M11" s="2271"/>
      <c r="N11" s="2271"/>
      <c r="O11" s="2271"/>
      <c r="P11" s="2271"/>
      <c r="Q11" s="2271"/>
    </row>
    <row r="12" spans="1:29" ht="15">
      <c r="A12" s="2297" t="s">
        <v>944</v>
      </c>
      <c r="B12" s="2297"/>
      <c r="C12" s="2297"/>
      <c r="D12" s="2297"/>
      <c r="E12" s="2297"/>
      <c r="F12" s="2297"/>
      <c r="G12" s="2297"/>
      <c r="H12" s="2297"/>
      <c r="I12" s="2297"/>
      <c r="J12" s="2297"/>
      <c r="K12" s="2297"/>
      <c r="L12" s="2297"/>
      <c r="M12" s="2297"/>
      <c r="N12" s="2297"/>
      <c r="O12" s="2297"/>
      <c r="P12" s="2297"/>
      <c r="Q12" s="2297"/>
      <c r="T12" s="748"/>
      <c r="U12" s="748"/>
      <c r="V12" s="748"/>
      <c r="W12" s="2263"/>
      <c r="X12" s="2263"/>
      <c r="Y12" s="2263"/>
      <c r="Z12" s="2263"/>
      <c r="AA12" s="2263"/>
      <c r="AB12" s="2263"/>
      <c r="AC12" s="2263"/>
    </row>
    <row r="13" spans="1:29" ht="13.5" thickBot="1">
      <c r="B13" s="2251"/>
      <c r="C13" s="2251"/>
      <c r="D13" s="2251"/>
      <c r="E13" s="2251"/>
      <c r="F13" s="2251"/>
      <c r="G13" s="2251"/>
      <c r="H13" s="2251"/>
      <c r="I13" s="2251"/>
      <c r="J13" s="2251"/>
      <c r="K13" s="2251"/>
      <c r="L13" s="2251"/>
      <c r="M13" s="2251"/>
      <c r="N13" s="2251"/>
      <c r="O13" s="2251"/>
      <c r="P13" s="2251"/>
      <c r="T13" s="748"/>
      <c r="U13" s="2264"/>
      <c r="V13" s="2264"/>
      <c r="W13" s="2272"/>
      <c r="X13" s="2272"/>
      <c r="Y13" s="2272"/>
      <c r="Z13" s="2272"/>
      <c r="AA13" s="2272"/>
      <c r="AB13" s="2272"/>
      <c r="AC13" s="2272"/>
    </row>
    <row r="14" spans="1:29" s="757" customFormat="1" ht="69.75" customHeight="1" thickBot="1">
      <c r="A14" s="2276"/>
      <c r="B14" s="2276" t="s">
        <v>536</v>
      </c>
      <c r="C14" s="2276" t="s">
        <v>8</v>
      </c>
      <c r="D14" s="2276" t="s">
        <v>9</v>
      </c>
      <c r="E14" s="2276" t="s">
        <v>10</v>
      </c>
      <c r="F14" s="2276" t="s">
        <v>537</v>
      </c>
      <c r="G14" s="2276" t="s">
        <v>538</v>
      </c>
      <c r="H14" s="2276" t="s">
        <v>539</v>
      </c>
      <c r="I14" s="2276" t="s">
        <v>540</v>
      </c>
      <c r="J14" s="2278" t="s">
        <v>17</v>
      </c>
      <c r="K14" s="2279"/>
      <c r="L14" s="2278" t="s">
        <v>18</v>
      </c>
      <c r="M14" s="2279"/>
      <c r="N14" s="2278" t="s">
        <v>541</v>
      </c>
      <c r="O14" s="2279"/>
      <c r="P14" s="2276" t="s">
        <v>542</v>
      </c>
      <c r="Q14" s="2273" t="s">
        <v>543</v>
      </c>
      <c r="T14" s="748"/>
      <c r="U14" s="748"/>
      <c r="V14" s="748"/>
      <c r="W14" s="2261"/>
      <c r="X14" s="2261"/>
      <c r="Y14" s="2261"/>
      <c r="Z14" s="2261"/>
      <c r="AA14" s="2261"/>
      <c r="AB14" s="2261"/>
      <c r="AC14" s="2261"/>
    </row>
    <row r="15" spans="1:29" s="757" customFormat="1" ht="58.5" customHeight="1" thickBot="1">
      <c r="A15" s="2277"/>
      <c r="B15" s="2277"/>
      <c r="C15" s="2277"/>
      <c r="D15" s="2277"/>
      <c r="E15" s="2277"/>
      <c r="F15" s="2277"/>
      <c r="G15" s="2277"/>
      <c r="H15" s="2277"/>
      <c r="I15" s="2277"/>
      <c r="J15" s="2250" t="s">
        <v>21</v>
      </c>
      <c r="K15" s="2250" t="s">
        <v>22</v>
      </c>
      <c r="L15" s="2250" t="s">
        <v>21</v>
      </c>
      <c r="M15" s="2250" t="s">
        <v>22</v>
      </c>
      <c r="N15" s="2250" t="s">
        <v>21</v>
      </c>
      <c r="O15" s="2250" t="s">
        <v>544</v>
      </c>
      <c r="P15" s="2277"/>
      <c r="Q15" s="2274"/>
      <c r="T15" s="748"/>
      <c r="U15" s="2275"/>
      <c r="V15" s="2275"/>
      <c r="W15" s="2275"/>
      <c r="X15" s="2275"/>
      <c r="Y15" s="2275"/>
      <c r="Z15" s="2275"/>
      <c r="AA15" s="2275"/>
      <c r="AB15" s="2275"/>
      <c r="AC15" s="2275"/>
    </row>
    <row r="16" spans="1:29" ht="35.25" customHeight="1">
      <c r="A16" s="796"/>
      <c r="B16" s="1807" t="s">
        <v>545</v>
      </c>
      <c r="C16" s="1807"/>
      <c r="D16" s="1807"/>
      <c r="E16" s="1808"/>
      <c r="F16" s="1809"/>
      <c r="G16" s="1809"/>
      <c r="H16" s="1809"/>
      <c r="I16" s="1810"/>
      <c r="J16" s="1810"/>
      <c r="K16" s="1810"/>
      <c r="L16" s="1810"/>
      <c r="M16" s="1810"/>
      <c r="N16" s="1810"/>
      <c r="O16" s="1810"/>
      <c r="P16" s="1811"/>
      <c r="Q16" s="1812"/>
      <c r="T16" s="2280"/>
      <c r="U16" s="2280"/>
      <c r="V16" s="2280"/>
      <c r="W16" s="2280"/>
      <c r="X16" s="2280"/>
      <c r="Y16" s="2280"/>
      <c r="Z16" s="2280"/>
      <c r="AA16" s="2280"/>
      <c r="AB16" s="2280"/>
      <c r="AC16" s="2280"/>
    </row>
    <row r="17" spans="1:29" s="2229" customFormat="1" ht="12.75" customHeight="1">
      <c r="A17" s="824">
        <v>1</v>
      </c>
      <c r="B17" s="760" t="s">
        <v>546</v>
      </c>
      <c r="C17" s="772" t="s">
        <v>28</v>
      </c>
      <c r="D17" s="772" t="s">
        <v>29</v>
      </c>
      <c r="E17" s="1813">
        <v>3</v>
      </c>
      <c r="F17" s="774">
        <v>1</v>
      </c>
      <c r="G17" s="1814">
        <v>6.22</v>
      </c>
      <c r="H17" s="775">
        <v>17697</v>
      </c>
      <c r="I17" s="775">
        <f>G17*H17</f>
        <v>110075.34</v>
      </c>
      <c r="J17" s="776">
        <v>0</v>
      </c>
      <c r="K17" s="777">
        <f>ROUND(I17*J17,2)+(M17*J17)</f>
        <v>0</v>
      </c>
      <c r="L17" s="776">
        <v>0.1</v>
      </c>
      <c r="M17" s="778">
        <f>(I17+O17)*L17</f>
        <v>16511.301000000003</v>
      </c>
      <c r="N17" s="776">
        <v>0.5</v>
      </c>
      <c r="O17" s="777">
        <f>(I17)*50%</f>
        <v>55037.67</v>
      </c>
      <c r="P17" s="775">
        <f>ROUND((I17*F17)+M17+K17+O17,2)</f>
        <v>181624.31</v>
      </c>
      <c r="Q17" s="779">
        <f>P17*12</f>
        <v>2179491.7199999997</v>
      </c>
      <c r="S17" s="2230"/>
      <c r="T17" s="2233"/>
      <c r="U17" s="2303"/>
      <c r="V17" s="2303"/>
      <c r="W17" s="2303"/>
      <c r="X17" s="2303"/>
      <c r="Y17" s="2303"/>
      <c r="Z17" s="2303"/>
      <c r="AA17" s="2303"/>
      <c r="AB17" s="2303"/>
      <c r="AC17" s="2303"/>
    </row>
    <row r="18" spans="1:29" s="2229" customFormat="1" ht="12.75" customHeight="1">
      <c r="A18" s="824">
        <v>2</v>
      </c>
      <c r="B18" s="771" t="s">
        <v>32</v>
      </c>
      <c r="C18" s="772" t="s">
        <v>28</v>
      </c>
      <c r="D18" s="772" t="s">
        <v>35</v>
      </c>
      <c r="E18" s="773" t="s">
        <v>30</v>
      </c>
      <c r="F18" s="774">
        <v>2</v>
      </c>
      <c r="G18" s="774">
        <v>5.77</v>
      </c>
      <c r="H18" s="775">
        <v>17697</v>
      </c>
      <c r="I18" s="775">
        <f>(G18*H18)*2</f>
        <v>204223.37999999998</v>
      </c>
      <c r="J18" s="776">
        <v>0</v>
      </c>
      <c r="K18" s="777">
        <f>ROUND(I18*J18,2)+(M18*J18)</f>
        <v>0</v>
      </c>
      <c r="L18" s="776">
        <v>0.1</v>
      </c>
      <c r="M18" s="778">
        <f>(I18+O18)*L18</f>
        <v>30633.506999999998</v>
      </c>
      <c r="N18" s="776">
        <v>0.5</v>
      </c>
      <c r="O18" s="777">
        <f>(I18)*50%</f>
        <v>102111.68999999999</v>
      </c>
      <c r="P18" s="775">
        <f>O18+M18+I18</f>
        <v>336968.57699999993</v>
      </c>
      <c r="Q18" s="779">
        <f t="shared" ref="Q18:Q34" si="0">P18*12</f>
        <v>4043622.9239999992</v>
      </c>
      <c r="R18" s="2232"/>
      <c r="S18" s="2230"/>
      <c r="T18" s="2233"/>
      <c r="U18" s="2252"/>
      <c r="V18" s="2252"/>
      <c r="W18" s="2252"/>
      <c r="X18" s="2252"/>
      <c r="Y18" s="2252"/>
      <c r="Z18" s="2252"/>
      <c r="AA18" s="2252"/>
      <c r="AB18" s="2252"/>
      <c r="AC18" s="2252"/>
    </row>
    <row r="19" spans="1:29" s="1570" customFormat="1" ht="12.75" customHeight="1">
      <c r="A19" s="824">
        <v>3</v>
      </c>
      <c r="B19" s="771" t="s">
        <v>32</v>
      </c>
      <c r="C19" s="772" t="s">
        <v>28</v>
      </c>
      <c r="D19" s="772" t="s">
        <v>35</v>
      </c>
      <c r="E19" s="773" t="s">
        <v>30</v>
      </c>
      <c r="F19" s="774">
        <v>1</v>
      </c>
      <c r="G19" s="774">
        <v>5.77</v>
      </c>
      <c r="H19" s="775">
        <v>17697</v>
      </c>
      <c r="I19" s="775">
        <f>G19*H19</f>
        <v>102111.68999999999</v>
      </c>
      <c r="J19" s="776">
        <v>0.25</v>
      </c>
      <c r="K19" s="777">
        <f>(I19+O19)*J19</f>
        <v>38291.883749999994</v>
      </c>
      <c r="L19" s="776">
        <v>0.1</v>
      </c>
      <c r="M19" s="778">
        <f t="shared" ref="M19" si="1">(I19+O19)*L19</f>
        <v>15316.753499999999</v>
      </c>
      <c r="N19" s="776">
        <v>0.5</v>
      </c>
      <c r="O19" s="777">
        <f>(I19)*50%</f>
        <v>51055.844999999994</v>
      </c>
      <c r="P19" s="775">
        <f>ROUND((I19*F19)+M19+K19+O19,2)</f>
        <v>206776.17</v>
      </c>
      <c r="Q19" s="779">
        <f>P19*12</f>
        <v>2481314.04</v>
      </c>
      <c r="R19" s="1573"/>
      <c r="S19" s="1571"/>
      <c r="T19" s="1574"/>
      <c r="U19" s="2254"/>
      <c r="V19" s="2254"/>
      <c r="W19" s="2254"/>
      <c r="X19" s="2254"/>
      <c r="Y19" s="2254"/>
      <c r="Z19" s="2254"/>
      <c r="AA19" s="2254"/>
      <c r="AB19" s="2254"/>
      <c r="AC19" s="2254"/>
    </row>
    <row r="20" spans="1:29" s="2229" customFormat="1" ht="12.75" customHeight="1">
      <c r="A20" s="824">
        <v>4</v>
      </c>
      <c r="B20" s="771" t="s">
        <v>42</v>
      </c>
      <c r="C20" s="772" t="s">
        <v>28</v>
      </c>
      <c r="D20" s="772" t="s">
        <v>29</v>
      </c>
      <c r="E20" s="773" t="s">
        <v>44</v>
      </c>
      <c r="F20" s="774">
        <v>1</v>
      </c>
      <c r="G20" s="774">
        <v>5.59</v>
      </c>
      <c r="H20" s="775">
        <v>17697</v>
      </c>
      <c r="I20" s="775">
        <f>G20*H20</f>
        <v>98926.23</v>
      </c>
      <c r="J20" s="776">
        <v>0</v>
      </c>
      <c r="K20" s="777">
        <f>ROUND(I20*J20,2)+(M20*J20)</f>
        <v>0</v>
      </c>
      <c r="L20" s="776">
        <v>0.1</v>
      </c>
      <c r="M20" s="778">
        <f>(I20+O20)*L20</f>
        <v>14838.934500000001</v>
      </c>
      <c r="N20" s="1815">
        <v>0.5</v>
      </c>
      <c r="O20" s="777">
        <f>I20*N20</f>
        <v>49463.114999999998</v>
      </c>
      <c r="P20" s="775">
        <f>ROUND((I20*F20)+M20+K20+O20,2)</f>
        <v>163228.28</v>
      </c>
      <c r="Q20" s="779">
        <f>P20*12</f>
        <v>1958739.3599999999</v>
      </c>
      <c r="R20" s="2232"/>
      <c r="S20" s="2230"/>
      <c r="T20" s="2231"/>
      <c r="U20" s="2230"/>
    </row>
    <row r="21" spans="1:29" s="2229" customFormat="1" ht="12.75" customHeight="1">
      <c r="A21" s="824">
        <v>5</v>
      </c>
      <c r="B21" s="771" t="s">
        <v>46</v>
      </c>
      <c r="C21" s="772" t="s">
        <v>28</v>
      </c>
      <c r="D21" s="772" t="s">
        <v>29</v>
      </c>
      <c r="E21" s="773" t="s">
        <v>44</v>
      </c>
      <c r="F21" s="774">
        <v>1</v>
      </c>
      <c r="G21" s="774">
        <v>5.91</v>
      </c>
      <c r="H21" s="775">
        <v>17697</v>
      </c>
      <c r="I21" s="775">
        <f t="shared" ref="I21:I34" si="2">G21*H21</f>
        <v>104589.27</v>
      </c>
      <c r="J21" s="1816">
        <v>0</v>
      </c>
      <c r="K21" s="799">
        <v>0</v>
      </c>
      <c r="L21" s="776">
        <v>0.1</v>
      </c>
      <c r="M21" s="778">
        <f>(I21+O21)*L21</f>
        <v>15688.390500000001</v>
      </c>
      <c r="N21" s="1815">
        <v>0.5</v>
      </c>
      <c r="O21" s="777">
        <f>I21*N21</f>
        <v>52294.635000000002</v>
      </c>
      <c r="P21" s="775">
        <f>ROUND((I21*F21)+M21+K21+O21,2)</f>
        <v>172572.3</v>
      </c>
      <c r="Q21" s="779">
        <f>P21*12</f>
        <v>2070867.5999999999</v>
      </c>
      <c r="R21" s="2232"/>
      <c r="S21" s="2230"/>
      <c r="T21" s="2231"/>
      <c r="U21" s="2230"/>
    </row>
    <row r="22" spans="1:29" s="2229" customFormat="1" ht="13.5" customHeight="1">
      <c r="A22" s="824">
        <v>6</v>
      </c>
      <c r="B22" s="760" t="s">
        <v>547</v>
      </c>
      <c r="C22" s="772" t="s">
        <v>28</v>
      </c>
      <c r="D22" s="772" t="s">
        <v>35</v>
      </c>
      <c r="E22" s="773" t="s">
        <v>30</v>
      </c>
      <c r="F22" s="774">
        <v>1</v>
      </c>
      <c r="G22" s="774">
        <v>5.61</v>
      </c>
      <c r="H22" s="775">
        <v>17697</v>
      </c>
      <c r="I22" s="775">
        <f t="shared" si="2"/>
        <v>99280.170000000013</v>
      </c>
      <c r="J22" s="776">
        <v>0</v>
      </c>
      <c r="K22" s="777">
        <f>ROUND(I22*J22,2)</f>
        <v>0</v>
      </c>
      <c r="L22" s="776">
        <v>0.1</v>
      </c>
      <c r="M22" s="778">
        <f t="shared" ref="M22:M34" si="3">ROUND(I22*L22*F22,2)</f>
        <v>9928.02</v>
      </c>
      <c r="N22" s="1815"/>
      <c r="O22" s="777">
        <f t="shared" ref="O22:O32" si="4">ROUND(H22*N22,2)</f>
        <v>0</v>
      </c>
      <c r="P22" s="775">
        <f t="shared" ref="P22:P34" si="5">ROUND((I22*F22)+M22+K22+O22,2)</f>
        <v>109208.19</v>
      </c>
      <c r="Q22" s="779">
        <f t="shared" si="0"/>
        <v>1310498.28</v>
      </c>
      <c r="S22" s="2230"/>
      <c r="T22" s="2231"/>
      <c r="U22" s="2230"/>
    </row>
    <row r="23" spans="1:29" s="2229" customFormat="1" ht="13.5" customHeight="1">
      <c r="A23" s="824">
        <v>7</v>
      </c>
      <c r="B23" s="760" t="s">
        <v>548</v>
      </c>
      <c r="C23" s="772" t="s">
        <v>56</v>
      </c>
      <c r="D23" s="1814" t="s">
        <v>56</v>
      </c>
      <c r="E23" s="773" t="s">
        <v>30</v>
      </c>
      <c r="F23" s="774">
        <v>1</v>
      </c>
      <c r="G23" s="774">
        <v>4.43</v>
      </c>
      <c r="H23" s="775">
        <v>17697</v>
      </c>
      <c r="I23" s="775">
        <f t="shared" si="2"/>
        <v>78397.709999999992</v>
      </c>
      <c r="J23" s="776">
        <v>0</v>
      </c>
      <c r="K23" s="777">
        <f>ROUND(I23*J23,2)</f>
        <v>0</v>
      </c>
      <c r="L23" s="776">
        <v>0.1</v>
      </c>
      <c r="M23" s="778">
        <f t="shared" si="3"/>
        <v>7839.77</v>
      </c>
      <c r="N23" s="1815"/>
      <c r="O23" s="777">
        <f t="shared" si="4"/>
        <v>0</v>
      </c>
      <c r="P23" s="775">
        <f t="shared" si="5"/>
        <v>86237.48</v>
      </c>
      <c r="Q23" s="779">
        <f t="shared" si="0"/>
        <v>1034849.76</v>
      </c>
      <c r="R23" s="2232"/>
      <c r="S23" s="2230"/>
      <c r="T23" s="2231"/>
      <c r="U23" s="2230"/>
    </row>
    <row r="24" spans="1:29" s="2229" customFormat="1" ht="13.5" customHeight="1">
      <c r="A24" s="824">
        <v>8</v>
      </c>
      <c r="B24" s="760" t="s">
        <v>59</v>
      </c>
      <c r="C24" s="772" t="s">
        <v>61</v>
      </c>
      <c r="D24" s="1814" t="s">
        <v>61</v>
      </c>
      <c r="E24" s="773" t="s">
        <v>156</v>
      </c>
      <c r="F24" s="774">
        <v>1</v>
      </c>
      <c r="G24" s="774">
        <v>3.04</v>
      </c>
      <c r="H24" s="775">
        <v>17697</v>
      </c>
      <c r="I24" s="775">
        <f t="shared" si="2"/>
        <v>53798.879999999997</v>
      </c>
      <c r="J24" s="776">
        <v>0</v>
      </c>
      <c r="K24" s="777">
        <f t="shared" ref="K24:K34" si="6">ROUND(I24*J24,2)</f>
        <v>0</v>
      </c>
      <c r="L24" s="776">
        <v>0.1</v>
      </c>
      <c r="M24" s="778">
        <f t="shared" si="3"/>
        <v>5379.89</v>
      </c>
      <c r="N24" s="1815"/>
      <c r="O24" s="777">
        <f t="shared" si="4"/>
        <v>0</v>
      </c>
      <c r="P24" s="775">
        <f t="shared" si="5"/>
        <v>59178.77</v>
      </c>
      <c r="Q24" s="779">
        <f t="shared" si="0"/>
        <v>710145.24</v>
      </c>
      <c r="S24" s="2230"/>
      <c r="T24" s="2231"/>
      <c r="U24" s="2230"/>
    </row>
    <row r="25" spans="1:29" s="2229" customFormat="1" ht="13.5" customHeight="1">
      <c r="A25" s="824">
        <v>9</v>
      </c>
      <c r="B25" s="760" t="s">
        <v>549</v>
      </c>
      <c r="C25" s="1817" t="s">
        <v>69</v>
      </c>
      <c r="D25" s="1817" t="s">
        <v>69</v>
      </c>
      <c r="E25" s="773" t="s">
        <v>30</v>
      </c>
      <c r="F25" s="774">
        <v>1</v>
      </c>
      <c r="G25" s="12">
        <v>3.61</v>
      </c>
      <c r="H25" s="775">
        <v>17697</v>
      </c>
      <c r="I25" s="775">
        <f t="shared" si="2"/>
        <v>63886.17</v>
      </c>
      <c r="J25" s="776">
        <v>0</v>
      </c>
      <c r="K25" s="777">
        <f t="shared" si="6"/>
        <v>0</v>
      </c>
      <c r="L25" s="776">
        <v>0.1</v>
      </c>
      <c r="M25" s="778">
        <f t="shared" si="3"/>
        <v>6388.62</v>
      </c>
      <c r="N25" s="1815"/>
      <c r="O25" s="777">
        <f t="shared" si="4"/>
        <v>0</v>
      </c>
      <c r="P25" s="775">
        <f t="shared" si="5"/>
        <v>70274.789999999994</v>
      </c>
      <c r="Q25" s="779">
        <f t="shared" si="0"/>
        <v>843297.48</v>
      </c>
      <c r="S25" s="2230"/>
      <c r="T25" s="2231"/>
      <c r="U25" s="2230"/>
    </row>
    <row r="26" spans="1:29" s="2229" customFormat="1" ht="13.5" customHeight="1">
      <c r="A26" s="824">
        <v>10</v>
      </c>
      <c r="B26" s="760" t="s">
        <v>549</v>
      </c>
      <c r="C26" s="1817" t="s">
        <v>69</v>
      </c>
      <c r="D26" s="1817" t="s">
        <v>69</v>
      </c>
      <c r="E26" s="773" t="s">
        <v>30</v>
      </c>
      <c r="F26" s="774">
        <v>1.5</v>
      </c>
      <c r="G26" s="12">
        <v>3.35</v>
      </c>
      <c r="H26" s="775">
        <v>17697</v>
      </c>
      <c r="I26" s="775">
        <f>G26*H26</f>
        <v>59284.950000000004</v>
      </c>
      <c r="J26" s="776">
        <v>0</v>
      </c>
      <c r="K26" s="777">
        <f t="shared" si="6"/>
        <v>0</v>
      </c>
      <c r="L26" s="776">
        <v>0.1</v>
      </c>
      <c r="M26" s="778">
        <f>ROUND(I26*L26*F26,2)</f>
        <v>8892.74</v>
      </c>
      <c r="N26" s="1815"/>
      <c r="O26" s="777">
        <f>ROUND(H26*N26,2)</f>
        <v>0</v>
      </c>
      <c r="P26" s="775">
        <f t="shared" si="5"/>
        <v>97820.17</v>
      </c>
      <c r="Q26" s="779">
        <f>P26*12</f>
        <v>1173842.04</v>
      </c>
      <c r="S26" s="2230"/>
      <c r="T26" s="2231"/>
      <c r="U26" s="2230"/>
    </row>
    <row r="27" spans="1:29" s="2229" customFormat="1" ht="13.5" customHeight="1">
      <c r="A27" s="824">
        <v>11</v>
      </c>
      <c r="B27" s="760" t="s">
        <v>549</v>
      </c>
      <c r="C27" s="1817" t="s">
        <v>69</v>
      </c>
      <c r="D27" s="1817" t="s">
        <v>69</v>
      </c>
      <c r="E27" s="773" t="s">
        <v>30</v>
      </c>
      <c r="F27" s="1818">
        <v>0.5</v>
      </c>
      <c r="G27" s="1819">
        <v>3.31</v>
      </c>
      <c r="H27" s="775">
        <v>17697</v>
      </c>
      <c r="I27" s="775">
        <f>G27*H27</f>
        <v>58577.07</v>
      </c>
      <c r="J27" s="1820"/>
      <c r="K27" s="777">
        <f t="shared" si="6"/>
        <v>0</v>
      </c>
      <c r="L27" s="776">
        <v>0.1</v>
      </c>
      <c r="M27" s="778">
        <f>ROUND(I27*L27*F27,2)</f>
        <v>2928.85</v>
      </c>
      <c r="N27" s="1821"/>
      <c r="O27" s="777">
        <f>ROUND(H27*N27,2)</f>
        <v>0</v>
      </c>
      <c r="P27" s="775">
        <f t="shared" si="5"/>
        <v>32217.39</v>
      </c>
      <c r="Q27" s="779">
        <f>P27*12</f>
        <v>386608.68</v>
      </c>
      <c r="S27" s="2230"/>
      <c r="T27" s="2231"/>
      <c r="U27" s="2230"/>
    </row>
    <row r="28" spans="1:29" s="2226" customFormat="1" ht="13.5" customHeight="1">
      <c r="A28" s="824">
        <v>12</v>
      </c>
      <c r="B28" s="760" t="s">
        <v>86</v>
      </c>
      <c r="C28" s="1814" t="s">
        <v>56</v>
      </c>
      <c r="D28" s="1814" t="s">
        <v>56</v>
      </c>
      <c r="E28" s="773" t="s">
        <v>30</v>
      </c>
      <c r="F28" s="774">
        <v>1</v>
      </c>
      <c r="G28" s="11">
        <v>3.5</v>
      </c>
      <c r="H28" s="775">
        <v>17697</v>
      </c>
      <c r="I28" s="775">
        <f>G28*H28</f>
        <v>61939.5</v>
      </c>
      <c r="J28" s="776">
        <v>0</v>
      </c>
      <c r="K28" s="777">
        <f t="shared" si="6"/>
        <v>0</v>
      </c>
      <c r="L28" s="776">
        <v>0.1</v>
      </c>
      <c r="M28" s="778">
        <f>ROUND(I28*L28*F28,2)</f>
        <v>6193.95</v>
      </c>
      <c r="N28" s="1815"/>
      <c r="O28" s="777">
        <f t="shared" si="4"/>
        <v>0</v>
      </c>
      <c r="P28" s="775">
        <f t="shared" si="5"/>
        <v>68133.45</v>
      </c>
      <c r="Q28" s="779">
        <f t="shared" si="0"/>
        <v>817601.39999999991</v>
      </c>
      <c r="S28" s="2227"/>
      <c r="T28" s="2228"/>
      <c r="U28" s="2227"/>
    </row>
    <row r="29" spans="1:29" s="2226" customFormat="1" ht="13.5" customHeight="1">
      <c r="A29" s="824">
        <v>13</v>
      </c>
      <c r="B29" s="760" t="s">
        <v>86</v>
      </c>
      <c r="C29" s="1814" t="s">
        <v>56</v>
      </c>
      <c r="D29" s="1814" t="s">
        <v>56</v>
      </c>
      <c r="E29" s="773" t="s">
        <v>57</v>
      </c>
      <c r="F29" s="774">
        <v>1</v>
      </c>
      <c r="G29" s="11">
        <v>4.46</v>
      </c>
      <c r="H29" s="775">
        <v>17697</v>
      </c>
      <c r="I29" s="775">
        <f>G29*H29</f>
        <v>78928.62</v>
      </c>
      <c r="J29" s="776">
        <v>0</v>
      </c>
      <c r="K29" s="777">
        <f t="shared" si="6"/>
        <v>0</v>
      </c>
      <c r="L29" s="776">
        <v>0.1</v>
      </c>
      <c r="M29" s="778">
        <f>ROUND(I29*L29*F29,2)</f>
        <v>7892.86</v>
      </c>
      <c r="N29" s="1815"/>
      <c r="O29" s="777">
        <f>ROUND(H29*N29,2)</f>
        <v>0</v>
      </c>
      <c r="P29" s="775">
        <f t="shared" si="5"/>
        <v>86821.48</v>
      </c>
      <c r="Q29" s="779">
        <f>P29*12</f>
        <v>1041857.76</v>
      </c>
      <c r="S29" s="2227"/>
      <c r="T29" s="2228"/>
      <c r="U29" s="2227"/>
    </row>
    <row r="30" spans="1:29" s="2226" customFormat="1" ht="13.5" customHeight="1">
      <c r="A30" s="824">
        <v>14</v>
      </c>
      <c r="B30" s="760" t="s">
        <v>86</v>
      </c>
      <c r="C30" s="1814" t="s">
        <v>56</v>
      </c>
      <c r="D30" s="1814" t="s">
        <v>56</v>
      </c>
      <c r="E30" s="773" t="s">
        <v>57</v>
      </c>
      <c r="F30" s="1818">
        <v>1</v>
      </c>
      <c r="G30" s="1822">
        <v>4.0999999999999996</v>
      </c>
      <c r="H30" s="775">
        <v>17697</v>
      </c>
      <c r="I30" s="775">
        <f>G30*H30</f>
        <v>72557.7</v>
      </c>
      <c r="J30" s="776">
        <v>0</v>
      </c>
      <c r="K30" s="777">
        <f>ROUND(I30*J30,2)</f>
        <v>0</v>
      </c>
      <c r="L30" s="776">
        <v>0.1</v>
      </c>
      <c r="M30" s="778">
        <f>ROUND(I30*L30*F30,2)</f>
        <v>7255.77</v>
      </c>
      <c r="N30" s="1815"/>
      <c r="O30" s="777">
        <f>ROUND(H30*N30,2)</f>
        <v>0</v>
      </c>
      <c r="P30" s="775">
        <f t="shared" si="5"/>
        <v>79813.47</v>
      </c>
      <c r="Q30" s="779">
        <f>P30*12</f>
        <v>957761.64</v>
      </c>
      <c r="S30" s="2227"/>
      <c r="T30" s="2228"/>
      <c r="U30" s="2227"/>
    </row>
    <row r="31" spans="1:29" s="1570" customFormat="1" ht="13.5" customHeight="1">
      <c r="A31" s="824">
        <v>15</v>
      </c>
      <c r="B31" s="760" t="s">
        <v>95</v>
      </c>
      <c r="C31" s="772" t="s">
        <v>56</v>
      </c>
      <c r="D31" s="1814" t="s">
        <v>56</v>
      </c>
      <c r="E31" s="773" t="s">
        <v>57</v>
      </c>
      <c r="F31" s="774">
        <v>1</v>
      </c>
      <c r="G31" s="11">
        <v>4.2300000000000004</v>
      </c>
      <c r="H31" s="775">
        <v>17697</v>
      </c>
      <c r="I31" s="775">
        <f t="shared" si="2"/>
        <v>74858.310000000012</v>
      </c>
      <c r="J31" s="776">
        <v>0</v>
      </c>
      <c r="K31" s="777">
        <f t="shared" si="6"/>
        <v>0</v>
      </c>
      <c r="L31" s="776">
        <v>0.1</v>
      </c>
      <c r="M31" s="778">
        <f t="shared" si="3"/>
        <v>7485.83</v>
      </c>
      <c r="N31" s="1815"/>
      <c r="O31" s="777">
        <f t="shared" si="4"/>
        <v>0</v>
      </c>
      <c r="P31" s="775">
        <f t="shared" si="5"/>
        <v>82344.14</v>
      </c>
      <c r="Q31" s="779">
        <f>P31*12</f>
        <v>988129.67999999993</v>
      </c>
      <c r="R31" s="1573"/>
      <c r="S31" s="1571"/>
      <c r="T31" s="1572"/>
      <c r="U31" s="1571"/>
    </row>
    <row r="32" spans="1:29" s="1570" customFormat="1" ht="13.5" customHeight="1">
      <c r="A32" s="824">
        <v>16</v>
      </c>
      <c r="B32" s="791" t="s">
        <v>79</v>
      </c>
      <c r="C32" s="772" t="s">
        <v>56</v>
      </c>
      <c r="D32" s="1814" t="s">
        <v>56</v>
      </c>
      <c r="E32" s="773" t="s">
        <v>57</v>
      </c>
      <c r="F32" s="11">
        <v>0.5</v>
      </c>
      <c r="G32" s="11">
        <v>3.57</v>
      </c>
      <c r="H32" s="775">
        <v>17697</v>
      </c>
      <c r="I32" s="775">
        <f t="shared" si="2"/>
        <v>63178.289999999994</v>
      </c>
      <c r="J32" s="776">
        <v>0</v>
      </c>
      <c r="K32" s="777">
        <f t="shared" si="6"/>
        <v>0</v>
      </c>
      <c r="L32" s="776">
        <v>0.1</v>
      </c>
      <c r="M32" s="778">
        <f t="shared" si="3"/>
        <v>3158.91</v>
      </c>
      <c r="N32" s="1815"/>
      <c r="O32" s="777">
        <f t="shared" si="4"/>
        <v>0</v>
      </c>
      <c r="P32" s="775">
        <f t="shared" si="5"/>
        <v>34748.06</v>
      </c>
      <c r="Q32" s="779">
        <f t="shared" si="0"/>
        <v>416976.72</v>
      </c>
      <c r="S32" s="1571"/>
      <c r="T32" s="1572"/>
      <c r="U32" s="1571"/>
    </row>
    <row r="33" spans="1:22" s="2229" customFormat="1" ht="13.5" customHeight="1">
      <c r="A33" s="824">
        <v>17</v>
      </c>
      <c r="B33" s="792" t="s">
        <v>71</v>
      </c>
      <c r="C33" s="772" t="s">
        <v>56</v>
      </c>
      <c r="D33" s="1814" t="s">
        <v>56</v>
      </c>
      <c r="E33" s="773" t="s">
        <v>57</v>
      </c>
      <c r="F33" s="11">
        <v>0.5</v>
      </c>
      <c r="G33" s="11">
        <v>4.0999999999999996</v>
      </c>
      <c r="H33" s="775">
        <v>17697</v>
      </c>
      <c r="I33" s="775">
        <f>G33*H33</f>
        <v>72557.7</v>
      </c>
      <c r="J33" s="776">
        <v>0</v>
      </c>
      <c r="K33" s="777">
        <f>ROUND(I33*J33,2)</f>
        <v>0</v>
      </c>
      <c r="L33" s="776">
        <v>0.1</v>
      </c>
      <c r="M33" s="778">
        <f>ROUND(I33*L33*F33,2)</f>
        <v>3627.89</v>
      </c>
      <c r="N33" s="1815">
        <v>0.2</v>
      </c>
      <c r="O33" s="777">
        <f>ROUND(H33*N33,2)/2</f>
        <v>1769.7</v>
      </c>
      <c r="P33" s="775">
        <f t="shared" si="5"/>
        <v>41676.44</v>
      </c>
      <c r="Q33" s="779">
        <f>P33*12</f>
        <v>500117.28</v>
      </c>
      <c r="R33" s="2232"/>
      <c r="S33" s="2230"/>
      <c r="T33" s="2231"/>
      <c r="U33" s="2230"/>
    </row>
    <row r="34" spans="1:22" s="2229" customFormat="1" ht="13.5" customHeight="1">
      <c r="A34" s="824">
        <v>18</v>
      </c>
      <c r="B34" s="792" t="s">
        <v>71</v>
      </c>
      <c r="C34" s="772" t="s">
        <v>56</v>
      </c>
      <c r="D34" s="1814" t="s">
        <v>56</v>
      </c>
      <c r="E34" s="773" t="s">
        <v>57</v>
      </c>
      <c r="F34" s="11">
        <v>0.5</v>
      </c>
      <c r="G34" s="11">
        <v>4.2699999999999996</v>
      </c>
      <c r="H34" s="775">
        <v>17697</v>
      </c>
      <c r="I34" s="775">
        <f t="shared" si="2"/>
        <v>75566.189999999988</v>
      </c>
      <c r="J34" s="776">
        <v>0</v>
      </c>
      <c r="K34" s="777">
        <f t="shared" si="6"/>
        <v>0</v>
      </c>
      <c r="L34" s="776">
        <v>0.1</v>
      </c>
      <c r="M34" s="778">
        <f t="shared" si="3"/>
        <v>3778.31</v>
      </c>
      <c r="N34" s="1815">
        <v>0.2</v>
      </c>
      <c r="O34" s="777">
        <f>ROUND(H34*N34,2)/2</f>
        <v>1769.7</v>
      </c>
      <c r="P34" s="775">
        <f t="shared" si="5"/>
        <v>43331.11</v>
      </c>
      <c r="Q34" s="779">
        <f t="shared" si="0"/>
        <v>519973.32</v>
      </c>
      <c r="S34" s="2230"/>
      <c r="T34" s="2231"/>
      <c r="U34" s="2230"/>
    </row>
    <row r="35" spans="1:22" s="793" customFormat="1" ht="14.25" customHeight="1">
      <c r="A35" s="2293" t="s">
        <v>550</v>
      </c>
      <c r="B35" s="2294"/>
      <c r="C35" s="2246"/>
      <c r="D35" s="2246"/>
      <c r="E35" s="849"/>
      <c r="F35" s="841">
        <f>SUM(F17:F34)</f>
        <v>17.5</v>
      </c>
      <c r="G35" s="850"/>
      <c r="H35" s="850"/>
      <c r="I35" s="841">
        <f>SUM(I17:I34)</f>
        <v>1532737.17</v>
      </c>
      <c r="J35" s="850"/>
      <c r="K35" s="841">
        <f>SUM(K17:K34)</f>
        <v>38291.883749999994</v>
      </c>
      <c r="L35" s="850"/>
      <c r="M35" s="841">
        <f>SUM(M17:M34)</f>
        <v>173740.2965</v>
      </c>
      <c r="N35" s="850"/>
      <c r="O35" s="841">
        <f>SUM(O17:O34)</f>
        <v>313502.35499999998</v>
      </c>
      <c r="P35" s="841">
        <f>ROUND(SUM(P17:P34),2)</f>
        <v>1952974.58</v>
      </c>
      <c r="Q35" s="851">
        <f>SUM(Q17:Q34)</f>
        <v>23435694.923999999</v>
      </c>
      <c r="S35" s="794"/>
      <c r="T35" s="795"/>
      <c r="U35" s="795"/>
    </row>
    <row r="36" spans="1:22" ht="21.75" customHeight="1">
      <c r="A36" s="856"/>
      <c r="B36" s="869" t="s">
        <v>551</v>
      </c>
      <c r="C36" s="870"/>
      <c r="D36" s="870"/>
      <c r="E36" s="859"/>
      <c r="F36" s="861"/>
      <c r="G36" s="861"/>
      <c r="H36" s="861"/>
      <c r="I36" s="861"/>
      <c r="J36" s="861"/>
      <c r="K36" s="861"/>
      <c r="L36" s="861"/>
      <c r="M36" s="861"/>
      <c r="N36" s="861"/>
      <c r="O36" s="861"/>
      <c r="P36" s="861"/>
      <c r="Q36" s="862"/>
      <c r="R36" s="780"/>
      <c r="S36" s="770"/>
      <c r="U36" s="770"/>
    </row>
    <row r="37" spans="1:22" s="821" customFormat="1" ht="14.25" customHeight="1">
      <c r="A37" s="796">
        <v>19</v>
      </c>
      <c r="B37" s="797" t="s">
        <v>552</v>
      </c>
      <c r="C37" s="156"/>
      <c r="D37" s="156"/>
      <c r="E37" s="55"/>
      <c r="F37" s="798">
        <v>133.44399999999999</v>
      </c>
      <c r="G37" s="11"/>
      <c r="H37" s="775">
        <v>17697</v>
      </c>
      <c r="I37" s="775">
        <f>15619445.94</f>
        <v>15619445.939999999</v>
      </c>
      <c r="J37" s="776">
        <v>0.25</v>
      </c>
      <c r="K37" s="799">
        <v>386620.46</v>
      </c>
      <c r="L37" s="776">
        <v>0.1</v>
      </c>
      <c r="M37" s="800">
        <v>1600606.64</v>
      </c>
      <c r="N37" s="776">
        <v>0.5</v>
      </c>
      <c r="O37" s="799">
        <v>702247.93</v>
      </c>
      <c r="P37" s="775">
        <f>I37+K37+M37+O37</f>
        <v>18308920.969999999</v>
      </c>
      <c r="Q37" s="779">
        <f>P37*12</f>
        <v>219707051.63999999</v>
      </c>
      <c r="R37" s="1034"/>
      <c r="S37" s="823"/>
      <c r="T37" s="822"/>
      <c r="U37" s="823"/>
    </row>
    <row r="38" spans="1:22" s="801" customFormat="1" ht="13.5" customHeight="1">
      <c r="A38" s="2285" t="s">
        <v>553</v>
      </c>
      <c r="B38" s="2286"/>
      <c r="C38" s="2246"/>
      <c r="D38" s="2246"/>
      <c r="E38" s="837"/>
      <c r="F38" s="838">
        <f>SUM(F37:F37)</f>
        <v>133.44399999999999</v>
      </c>
      <c r="G38" s="838"/>
      <c r="H38" s="838"/>
      <c r="I38" s="839">
        <f>SUM(I37:I37)</f>
        <v>15619445.939999999</v>
      </c>
      <c r="J38" s="839"/>
      <c r="K38" s="839">
        <f t="shared" ref="K38:Q38" si="7">SUM(K37:K37)</f>
        <v>386620.46</v>
      </c>
      <c r="L38" s="839"/>
      <c r="M38" s="839">
        <f t="shared" si="7"/>
        <v>1600606.64</v>
      </c>
      <c r="N38" s="839">
        <f t="shared" si="7"/>
        <v>0.5</v>
      </c>
      <c r="O38" s="839">
        <f t="shared" si="7"/>
        <v>702247.93</v>
      </c>
      <c r="P38" s="839">
        <f>SUM(P37:P37)</f>
        <v>18308920.969999999</v>
      </c>
      <c r="Q38" s="839">
        <f t="shared" si="7"/>
        <v>219707051.63999999</v>
      </c>
      <c r="S38" s="794"/>
      <c r="T38" s="795"/>
      <c r="U38" s="795"/>
      <c r="V38" s="794"/>
    </row>
    <row r="39" spans="1:22" ht="45.75" customHeight="1">
      <c r="A39" s="856"/>
      <c r="B39" s="857" t="s">
        <v>554</v>
      </c>
      <c r="C39" s="858"/>
      <c r="D39" s="858"/>
      <c r="E39" s="859"/>
      <c r="F39" s="860"/>
      <c r="G39" s="860"/>
      <c r="H39" s="860"/>
      <c r="I39" s="861"/>
      <c r="J39" s="861"/>
      <c r="K39" s="861"/>
      <c r="L39" s="861"/>
      <c r="M39" s="861"/>
      <c r="N39" s="861"/>
      <c r="O39" s="861"/>
      <c r="P39" s="861"/>
      <c r="Q39" s="862"/>
      <c r="R39" s="755"/>
      <c r="S39" s="784"/>
      <c r="T39" s="784"/>
      <c r="U39" s="784"/>
    </row>
    <row r="40" spans="1:22" s="1570" customFormat="1" ht="15.75" customHeight="1">
      <c r="A40" s="824">
        <v>20</v>
      </c>
      <c r="B40" s="791" t="s">
        <v>555</v>
      </c>
      <c r="C40" s="825"/>
      <c r="D40" s="825"/>
      <c r="E40" s="826">
        <v>2</v>
      </c>
      <c r="F40" s="827">
        <v>9.3000000000000007</v>
      </c>
      <c r="G40" s="827">
        <v>2.81</v>
      </c>
      <c r="H40" s="828">
        <v>17697</v>
      </c>
      <c r="I40" s="828">
        <f>H40*G40*F40</f>
        <v>462475.70100000006</v>
      </c>
      <c r="J40" s="829">
        <v>0</v>
      </c>
      <c r="K40" s="830">
        <f>ROUND(I40*J40,2)</f>
        <v>0</v>
      </c>
      <c r="L40" s="829">
        <v>0.1</v>
      </c>
      <c r="M40" s="831">
        <f>I40*10%</f>
        <v>46247.570100000012</v>
      </c>
      <c r="N40" s="829">
        <v>0.3</v>
      </c>
      <c r="O40" s="830">
        <f>17697*30%*F40</f>
        <v>49374.63</v>
      </c>
      <c r="P40" s="828">
        <f>O40+M40+I40</f>
        <v>558097.90110000013</v>
      </c>
      <c r="Q40" s="832">
        <f t="shared" ref="Q40:Q46" si="8">P40*12</f>
        <v>6697174.8132000016</v>
      </c>
      <c r="S40" s="1571"/>
      <c r="T40" s="1572"/>
      <c r="U40" s="1571"/>
    </row>
    <row r="41" spans="1:22" s="1570" customFormat="1" ht="30">
      <c r="A41" s="824">
        <v>21</v>
      </c>
      <c r="B41" s="771" t="s">
        <v>556</v>
      </c>
      <c r="C41" s="825"/>
      <c r="D41" s="825"/>
      <c r="E41" s="826">
        <v>4</v>
      </c>
      <c r="F41" s="827">
        <v>1.5</v>
      </c>
      <c r="G41" s="827">
        <v>2.89</v>
      </c>
      <c r="H41" s="828">
        <v>17697</v>
      </c>
      <c r="I41" s="828">
        <f>G41*H41*1.5</f>
        <v>76716.494999999995</v>
      </c>
      <c r="J41" s="829">
        <v>0</v>
      </c>
      <c r="K41" s="830">
        <f>ROUND(I41*J41,2)</f>
        <v>0</v>
      </c>
      <c r="L41" s="829">
        <v>0.1</v>
      </c>
      <c r="M41" s="831">
        <f>I41*10%</f>
        <v>7671.6494999999995</v>
      </c>
      <c r="N41" s="829"/>
      <c r="O41" s="830">
        <f>ROUND(H41*N41,2)</f>
        <v>0</v>
      </c>
      <c r="P41" s="828">
        <f t="shared" ref="P41:P46" si="9">O41+M41+I41</f>
        <v>84388.144499999995</v>
      </c>
      <c r="Q41" s="832">
        <f t="shared" si="8"/>
        <v>1012657.7339999999</v>
      </c>
      <c r="R41" s="1573"/>
      <c r="S41" s="1572"/>
      <c r="T41" s="1572"/>
      <c r="U41" s="1571"/>
    </row>
    <row r="42" spans="1:22" s="1570" customFormat="1" ht="12.75" customHeight="1">
      <c r="A42" s="824">
        <v>22</v>
      </c>
      <c r="B42" s="771" t="s">
        <v>556</v>
      </c>
      <c r="C42" s="825"/>
      <c r="D42" s="825"/>
      <c r="E42" s="826">
        <v>2</v>
      </c>
      <c r="F42" s="827">
        <v>3</v>
      </c>
      <c r="G42" s="827">
        <v>2.81</v>
      </c>
      <c r="H42" s="828">
        <v>17697</v>
      </c>
      <c r="I42" s="828">
        <f>G42*H42*3</f>
        <v>149185.71</v>
      </c>
      <c r="J42" s="829"/>
      <c r="K42" s="830"/>
      <c r="L42" s="829">
        <v>0.1</v>
      </c>
      <c r="M42" s="831">
        <f>I42*10%</f>
        <v>14918.571</v>
      </c>
      <c r="N42" s="829"/>
      <c r="O42" s="830">
        <f>ROUND(H42*N42,2)</f>
        <v>0</v>
      </c>
      <c r="P42" s="828">
        <f>O42+M42+I42</f>
        <v>164104.28099999999</v>
      </c>
      <c r="Q42" s="832">
        <f t="shared" si="8"/>
        <v>1969251.372</v>
      </c>
      <c r="S42" s="1572"/>
      <c r="T42" s="1572"/>
      <c r="U42" s="1571"/>
    </row>
    <row r="43" spans="1:22" s="1570" customFormat="1" ht="12.75" customHeight="1">
      <c r="A43" s="824"/>
      <c r="B43" s="771" t="s">
        <v>556</v>
      </c>
      <c r="C43" s="825"/>
      <c r="D43" s="825"/>
      <c r="E43" s="2235">
        <v>5</v>
      </c>
      <c r="F43" s="2236">
        <v>1.5</v>
      </c>
      <c r="G43" s="2236">
        <v>2.92</v>
      </c>
      <c r="H43" s="828">
        <v>17697</v>
      </c>
      <c r="I43" s="828">
        <f>G43*H43*1.5</f>
        <v>77512.86</v>
      </c>
      <c r="J43" s="2237"/>
      <c r="K43" s="2238"/>
      <c r="L43" s="2237">
        <v>0.1</v>
      </c>
      <c r="M43" s="831">
        <f>I43*10%</f>
        <v>7751.2860000000001</v>
      </c>
      <c r="N43" s="2237"/>
      <c r="O43" s="2238"/>
      <c r="P43" s="828">
        <f>O43+M43+I43</f>
        <v>85264.146000000008</v>
      </c>
      <c r="Q43" s="832">
        <f t="shared" si="8"/>
        <v>1023169.7520000001</v>
      </c>
      <c r="S43" s="1572"/>
      <c r="T43" s="1572"/>
      <c r="U43" s="1571"/>
    </row>
    <row r="44" spans="1:22" s="1570" customFormat="1" ht="11.25" customHeight="1">
      <c r="A44" s="824">
        <v>23</v>
      </c>
      <c r="B44" s="771" t="s">
        <v>358</v>
      </c>
      <c r="C44" s="825"/>
      <c r="D44" s="825"/>
      <c r="E44" s="826">
        <v>1</v>
      </c>
      <c r="F44" s="827">
        <v>1</v>
      </c>
      <c r="G44" s="827">
        <v>2.77</v>
      </c>
      <c r="H44" s="828">
        <v>17697</v>
      </c>
      <c r="I44" s="828">
        <f>G44*H44</f>
        <v>49020.69</v>
      </c>
      <c r="J44" s="829"/>
      <c r="K44" s="830"/>
      <c r="L44" s="829">
        <v>0.1</v>
      </c>
      <c r="M44" s="831">
        <f>ROUND(I44*L44*F44,2)</f>
        <v>4902.07</v>
      </c>
      <c r="N44" s="829"/>
      <c r="O44" s="830">
        <f>ROUND(H44*N44,2)</f>
        <v>0</v>
      </c>
      <c r="P44" s="828">
        <f t="shared" si="9"/>
        <v>53922.76</v>
      </c>
      <c r="Q44" s="832">
        <f t="shared" si="8"/>
        <v>647073.12</v>
      </c>
      <c r="S44" s="1572"/>
      <c r="T44" s="1572"/>
      <c r="U44" s="1571"/>
    </row>
    <row r="45" spans="1:22" s="1570" customFormat="1" ht="11.25" customHeight="1">
      <c r="A45" s="824">
        <v>24</v>
      </c>
      <c r="B45" s="802" t="s">
        <v>346</v>
      </c>
      <c r="C45" s="825"/>
      <c r="D45" s="825"/>
      <c r="E45" s="826">
        <v>1</v>
      </c>
      <c r="F45" s="827">
        <v>9</v>
      </c>
      <c r="G45" s="833">
        <v>2.77</v>
      </c>
      <c r="H45" s="828">
        <v>17697</v>
      </c>
      <c r="I45" s="828">
        <v>441186.21</v>
      </c>
      <c r="J45" s="829"/>
      <c r="K45" s="830"/>
      <c r="L45" s="829">
        <v>0.1</v>
      </c>
      <c r="M45" s="831">
        <v>44118.62</v>
      </c>
      <c r="N45" s="829">
        <v>0.5</v>
      </c>
      <c r="O45" s="830">
        <v>111954.06</v>
      </c>
      <c r="P45" s="828">
        <f t="shared" si="9"/>
        <v>597258.89</v>
      </c>
      <c r="Q45" s="832">
        <f t="shared" si="8"/>
        <v>7167106.6799999997</v>
      </c>
      <c r="S45" s="1572"/>
      <c r="T45" s="1572"/>
      <c r="U45" s="1571"/>
    </row>
    <row r="46" spans="1:22" s="1570" customFormat="1" ht="11.25" customHeight="1">
      <c r="A46" s="824">
        <v>25</v>
      </c>
      <c r="B46" s="803" t="s">
        <v>557</v>
      </c>
      <c r="C46" s="825"/>
      <c r="D46" s="825"/>
      <c r="E46" s="834">
        <v>1</v>
      </c>
      <c r="F46" s="835">
        <v>1</v>
      </c>
      <c r="G46" s="833">
        <v>2.77</v>
      </c>
      <c r="H46" s="828">
        <v>17697</v>
      </c>
      <c r="I46" s="828">
        <f>G46*H46</f>
        <v>49020.69</v>
      </c>
      <c r="J46" s="829"/>
      <c r="K46" s="830"/>
      <c r="L46" s="829">
        <v>0.1</v>
      </c>
      <c r="M46" s="831">
        <f>ROUND(I46*L46*F46,2)</f>
        <v>4902.07</v>
      </c>
      <c r="N46" s="829"/>
      <c r="O46" s="830">
        <f>ROUND(H46*N46,2)</f>
        <v>0</v>
      </c>
      <c r="P46" s="828">
        <f t="shared" si="9"/>
        <v>53922.76</v>
      </c>
      <c r="Q46" s="832">
        <f t="shared" si="8"/>
        <v>647073.12</v>
      </c>
      <c r="S46" s="1572"/>
      <c r="T46" s="1572"/>
      <c r="U46" s="1571"/>
    </row>
    <row r="47" spans="1:22" s="801" customFormat="1" ht="20.25" customHeight="1" thickBot="1">
      <c r="A47" s="2287" t="s">
        <v>359</v>
      </c>
      <c r="B47" s="2288"/>
      <c r="C47" s="843"/>
      <c r="D47" s="843"/>
      <c r="E47" s="844"/>
      <c r="F47" s="847">
        <f>SUM(F39:F46)</f>
        <v>26.3</v>
      </c>
      <c r="G47" s="846"/>
      <c r="H47" s="845"/>
      <c r="I47" s="845"/>
      <c r="J47" s="845"/>
      <c r="K47" s="845">
        <f>SUM(K39:K46)</f>
        <v>0</v>
      </c>
      <c r="L47" s="845"/>
      <c r="M47" s="847">
        <f>SUM(M39:M46)</f>
        <v>130511.83660000001</v>
      </c>
      <c r="N47" s="845"/>
      <c r="O47" s="847">
        <f>SUM(O39:O46)</f>
        <v>161328.69</v>
      </c>
      <c r="P47" s="847">
        <f>SUM(P39:P46)</f>
        <v>1596958.8825999999</v>
      </c>
      <c r="Q47" s="848">
        <f>SUM(Q39:Q46)</f>
        <v>19163506.591200002</v>
      </c>
      <c r="R47" s="1568"/>
      <c r="S47" s="804"/>
      <c r="T47" s="805"/>
      <c r="U47" s="795"/>
    </row>
    <row r="48" spans="1:22" s="801" customFormat="1" ht="19.5" customHeight="1" thickBot="1">
      <c r="A48" s="2289" t="s">
        <v>558</v>
      </c>
      <c r="B48" s="2290"/>
      <c r="C48" s="2247"/>
      <c r="D48" s="2247"/>
      <c r="E48" s="853"/>
      <c r="F48" s="855">
        <f>F35+F38+F47</f>
        <v>177.244</v>
      </c>
      <c r="G48" s="855"/>
      <c r="H48" s="855"/>
      <c r="I48" s="855"/>
      <c r="J48" s="855"/>
      <c r="K48" s="853">
        <f>K38+K35</f>
        <v>424912.34375</v>
      </c>
      <c r="L48" s="855"/>
      <c r="M48" s="853">
        <f>M35+M38+M47</f>
        <v>1904858.7730999999</v>
      </c>
      <c r="N48" s="855">
        <f>N35+N38+N47</f>
        <v>0.5</v>
      </c>
      <c r="O48" s="853">
        <f>O35+O38+O47</f>
        <v>1177078.9750000001</v>
      </c>
      <c r="P48" s="853">
        <f>P35+P38+P47</f>
        <v>21858854.432599995</v>
      </c>
      <c r="Q48" s="853">
        <f>Q47+Q38+Q35</f>
        <v>262306253.15519997</v>
      </c>
      <c r="R48" s="794"/>
      <c r="S48" s="945"/>
      <c r="T48" s="806"/>
      <c r="U48" s="806"/>
    </row>
    <row r="49" spans="1:21">
      <c r="R49" s="755"/>
      <c r="S49" s="2282"/>
      <c r="T49" s="808"/>
      <c r="U49" s="808"/>
    </row>
    <row r="50" spans="1:21" ht="15" customHeight="1">
      <c r="B50" s="2253" t="s">
        <v>53</v>
      </c>
      <c r="C50" s="2253"/>
      <c r="D50" s="2253"/>
      <c r="E50" s="2248"/>
      <c r="F50" s="2248"/>
      <c r="G50" s="2248"/>
      <c r="H50" s="810"/>
      <c r="I50" s="2291"/>
      <c r="J50" s="2291"/>
      <c r="K50" s="2291"/>
      <c r="L50" s="2291"/>
      <c r="M50" s="2291"/>
      <c r="N50" s="2291"/>
      <c r="O50" s="2291"/>
      <c r="P50" s="811"/>
      <c r="Q50" s="755"/>
      <c r="S50" s="2282"/>
      <c r="T50" s="812"/>
      <c r="U50" s="812"/>
    </row>
    <row r="51" spans="1:21">
      <c r="F51" s="2249" t="s">
        <v>559</v>
      </c>
      <c r="I51" s="2292" t="s">
        <v>560</v>
      </c>
      <c r="J51" s="2292"/>
      <c r="K51" s="2292"/>
      <c r="L51" s="2292"/>
      <c r="M51" s="2292"/>
      <c r="N51" s="2292"/>
      <c r="O51" s="2292"/>
      <c r="P51" s="811"/>
      <c r="Q51" s="755"/>
      <c r="S51" s="814"/>
      <c r="T51" s="815"/>
      <c r="U51" s="815"/>
    </row>
    <row r="52" spans="1:21">
      <c r="N52" s="816"/>
      <c r="P52" s="811"/>
      <c r="Q52" s="780"/>
      <c r="S52" s="784"/>
      <c r="T52" s="784"/>
      <c r="U52" s="784"/>
    </row>
    <row r="53" spans="1:21">
      <c r="A53" s="784"/>
      <c r="J53" s="2255">
        <f>I46+I45+I44+I43+I42+I41+I40</f>
        <v>1305118.3560000001</v>
      </c>
      <c r="K53" s="2255">
        <f>J53+I35</f>
        <v>2837855.5260000001</v>
      </c>
      <c r="P53" s="811"/>
      <c r="S53" s="2282"/>
      <c r="T53" s="808"/>
      <c r="U53" s="808"/>
    </row>
    <row r="54" spans="1:21">
      <c r="A54" s="784"/>
      <c r="N54" s="816"/>
      <c r="S54" s="2282"/>
      <c r="T54" s="812"/>
      <c r="U54" s="812"/>
    </row>
    <row r="55" spans="1:21" s="818" customFormat="1" ht="41.25" customHeight="1">
      <c r="A55" s="817"/>
      <c r="B55" s="2283"/>
      <c r="C55" s="2283"/>
      <c r="D55" s="2283"/>
      <c r="E55" s="2284"/>
      <c r="F55" s="2284"/>
      <c r="G55" s="2284"/>
      <c r="H55" s="2284"/>
      <c r="I55" s="2284"/>
      <c r="J55" s="2284"/>
      <c r="K55" s="2284"/>
      <c r="L55" s="2284"/>
      <c r="M55" s="2284"/>
      <c r="N55" s="2284"/>
      <c r="O55" s="2284"/>
      <c r="P55" s="2284"/>
      <c r="Q55" s="2284"/>
      <c r="S55" s="817"/>
      <c r="T55" s="817"/>
      <c r="U55" s="817"/>
    </row>
    <row r="56" spans="1:21">
      <c r="A56" s="784"/>
      <c r="S56" s="2282"/>
      <c r="T56" s="808"/>
      <c r="U56" s="808"/>
    </row>
    <row r="57" spans="1:21" s="818" customFormat="1">
      <c r="A57" s="817"/>
      <c r="B57" s="2283"/>
      <c r="C57" s="2283"/>
      <c r="D57" s="2283"/>
      <c r="E57" s="2284"/>
      <c r="F57" s="2284"/>
      <c r="G57" s="2284"/>
      <c r="H57" s="2284"/>
      <c r="I57" s="2284"/>
      <c r="J57" s="2284"/>
      <c r="K57" s="2284"/>
      <c r="L57" s="2284"/>
      <c r="M57" s="2284"/>
      <c r="N57" s="819"/>
      <c r="O57" s="819"/>
      <c r="P57" s="819"/>
      <c r="S57" s="2282"/>
      <c r="T57" s="820"/>
      <c r="U57" s="820"/>
    </row>
    <row r="58" spans="1:21">
      <c r="A58" s="784"/>
    </row>
    <row r="59" spans="1:21">
      <c r="M59" s="811"/>
    </row>
  </sheetData>
  <mergeCells count="44">
    <mergeCell ref="T16:AC16"/>
    <mergeCell ref="U17:AC17"/>
    <mergeCell ref="S53:S54"/>
    <mergeCell ref="B55:Q55"/>
    <mergeCell ref="S56:S57"/>
    <mergeCell ref="B57:M57"/>
    <mergeCell ref="A38:B38"/>
    <mergeCell ref="A47:B47"/>
    <mergeCell ref="A48:B48"/>
    <mergeCell ref="S49:S50"/>
    <mergeCell ref="I50:O50"/>
    <mergeCell ref="I51:O51"/>
    <mergeCell ref="A35:B35"/>
    <mergeCell ref="H14:H15"/>
    <mergeCell ref="I14:I15"/>
    <mergeCell ref="J14:K14"/>
    <mergeCell ref="L14:M14"/>
    <mergeCell ref="A14:A15"/>
    <mergeCell ref="B14:B15"/>
    <mergeCell ref="C14:C15"/>
    <mergeCell ref="D14:D15"/>
    <mergeCell ref="E14:E15"/>
    <mergeCell ref="F14:F15"/>
    <mergeCell ref="G14:G15"/>
    <mergeCell ref="N14:O14"/>
    <mergeCell ref="P14:P15"/>
    <mergeCell ref="W12:AC12"/>
    <mergeCell ref="U13:V13"/>
    <mergeCell ref="W13:AC13"/>
    <mergeCell ref="A12:Q12"/>
    <mergeCell ref="Q14:Q15"/>
    <mergeCell ref="W14:AC14"/>
    <mergeCell ref="U15:AC15"/>
    <mergeCell ref="F6:Q6"/>
    <mergeCell ref="G7:Q7"/>
    <mergeCell ref="B9:Q9"/>
    <mergeCell ref="A10:Q10"/>
    <mergeCell ref="A11:Q11"/>
    <mergeCell ref="G5:Q5"/>
    <mergeCell ref="G1:Q1"/>
    <mergeCell ref="B2:E2"/>
    <mergeCell ref="G2:Q2"/>
    <mergeCell ref="G3:P3"/>
    <mergeCell ref="I4:Q4"/>
  </mergeCells>
  <pageMargins left="0.98425196850393704" right="0.19685039370078741" top="0.24" bottom="0.23622047244094491" header="0.23622047244094491" footer="0.23622047244094491"/>
  <pageSetup paperSize="9" scale="64" orientation="landscape" r:id="rId1"/>
  <headerFooter alignWithMargins="0"/>
  <colBreaks count="1" manualBreakCount="1">
    <brk id="1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7030A0"/>
  </sheetPr>
  <dimension ref="A1:BQ175"/>
  <sheetViews>
    <sheetView topLeftCell="A126" zoomScale="70" zoomScaleNormal="70" zoomScaleSheetLayoutView="40" workbookViewId="0">
      <pane xSplit="2" topLeftCell="C1" activePane="topRight" state="frozen"/>
      <selection pane="topRight" activeCell="A163" sqref="A163"/>
    </sheetView>
  </sheetViews>
  <sheetFormatPr defaultRowHeight="12.75"/>
  <cols>
    <col min="1" max="1" width="22.7109375" style="1" customWidth="1"/>
    <col min="2" max="2" width="14.85546875" style="2131" customWidth="1"/>
    <col min="3" max="3" width="12.85546875" style="1" customWidth="1"/>
    <col min="4" max="4" width="17.140625" style="1" customWidth="1"/>
    <col min="5" max="5" width="15.140625" style="1" customWidth="1"/>
    <col min="6" max="6" width="8" style="1" customWidth="1"/>
    <col min="7" max="7" width="4.7109375" style="1" customWidth="1"/>
    <col min="8" max="8" width="8.5703125" style="1" customWidth="1"/>
    <col min="9" max="9" width="5.5703125" style="1" customWidth="1"/>
    <col min="10" max="10" width="11.5703125" style="1" customWidth="1"/>
    <col min="11" max="11" width="12.28515625" style="1" customWidth="1"/>
    <col min="12" max="12" width="12.85546875" style="1" customWidth="1"/>
    <col min="13" max="13" width="12" style="2131" customWidth="1"/>
    <col min="14" max="14" width="8.85546875" style="1" customWidth="1"/>
    <col min="15" max="15" width="16.28515625" style="1" customWidth="1"/>
    <col min="16" max="16" width="14.5703125" style="1" bestFit="1" customWidth="1"/>
    <col min="17" max="17" width="9" style="1" bestFit="1" customWidth="1"/>
    <col min="18" max="18" width="13" style="1" customWidth="1"/>
    <col min="19" max="19" width="9" style="1" customWidth="1"/>
    <col min="20" max="20" width="15.140625" style="1" customWidth="1"/>
    <col min="21" max="21" width="8.5703125" style="1" customWidth="1"/>
    <col min="22" max="22" width="12.28515625" style="1" customWidth="1"/>
    <col min="23" max="23" width="16.140625" style="1" customWidth="1"/>
    <col min="24" max="25" width="18.28515625" style="1" hidden="1" customWidth="1"/>
    <col min="26" max="26" width="13" style="24" hidden="1" customWidth="1"/>
    <col min="27" max="27" width="16" style="24" hidden="1" customWidth="1"/>
    <col min="28" max="28" width="13" style="24" hidden="1" customWidth="1"/>
    <col min="29" max="29" width="12" style="24" hidden="1" customWidth="1"/>
    <col min="30" max="32" width="0" style="24" hidden="1" customWidth="1"/>
    <col min="33" max="33" width="11.28515625" style="24" hidden="1" customWidth="1"/>
    <col min="34" max="34" width="1.5703125" style="24" hidden="1" customWidth="1"/>
    <col min="35" max="35" width="1" style="24" hidden="1" customWidth="1"/>
    <col min="36" max="36" width="18.140625" style="23" bestFit="1" customWidth="1"/>
    <col min="37" max="37" width="13" style="23" bestFit="1" customWidth="1"/>
    <col min="38" max="39" width="10.28515625" style="23" bestFit="1" customWidth="1"/>
    <col min="40" max="42" width="9.140625" style="23"/>
    <col min="43" max="68" width="9.140625" style="24"/>
    <col min="69" max="256" width="9.140625" style="1"/>
    <col min="257" max="257" width="6.42578125" style="1" customWidth="1"/>
    <col min="258" max="258" width="20.7109375" style="1" customWidth="1"/>
    <col min="259" max="259" width="24.7109375" style="1" customWidth="1"/>
    <col min="260" max="260" width="11.140625" style="1" customWidth="1"/>
    <col min="261" max="261" width="12.28515625" style="1" customWidth="1"/>
    <col min="262" max="262" width="11.140625" style="1" customWidth="1"/>
    <col min="263" max="263" width="10.42578125" style="1" customWidth="1"/>
    <col min="264" max="264" width="4.7109375" style="1" customWidth="1"/>
    <col min="265" max="265" width="8.5703125" style="1" customWidth="1"/>
    <col min="266" max="266" width="5.5703125" style="1" customWidth="1"/>
    <col min="267" max="268" width="11.5703125" style="1" customWidth="1"/>
    <col min="269" max="269" width="10.85546875" style="1" customWidth="1"/>
    <col min="270" max="270" width="7.7109375" style="1" customWidth="1"/>
    <col min="271" max="271" width="8" style="1" customWidth="1"/>
    <col min="272" max="272" width="16.28515625" style="1" customWidth="1"/>
    <col min="273" max="273" width="10.5703125" style="1" customWidth="1"/>
    <col min="274" max="274" width="14.140625" style="1" customWidth="1"/>
    <col min="275" max="275" width="10.140625" style="1" customWidth="1"/>
    <col min="276" max="276" width="15.140625" style="1" customWidth="1"/>
    <col min="277" max="277" width="8.5703125" style="1" customWidth="1"/>
    <col min="278" max="278" width="14.28515625" style="1" customWidth="1"/>
    <col min="279" max="279" width="18.28515625" style="1" customWidth="1"/>
    <col min="280" max="280" width="13" style="1" bestFit="1" customWidth="1"/>
    <col min="281" max="281" width="11.7109375" style="1" bestFit="1" customWidth="1"/>
    <col min="282" max="288" width="9.140625" style="1"/>
    <col min="289" max="289" width="11.28515625" style="1" bestFit="1" customWidth="1"/>
    <col min="290" max="290" width="10.7109375" style="1" bestFit="1" customWidth="1"/>
    <col min="291" max="512" width="9.140625" style="1"/>
    <col min="513" max="513" width="6.42578125" style="1" customWidth="1"/>
    <col min="514" max="514" width="20.7109375" style="1" customWidth="1"/>
    <col min="515" max="515" width="24.7109375" style="1" customWidth="1"/>
    <col min="516" max="516" width="11.140625" style="1" customWidth="1"/>
    <col min="517" max="517" width="12.28515625" style="1" customWidth="1"/>
    <col min="518" max="518" width="11.140625" style="1" customWidth="1"/>
    <col min="519" max="519" width="10.42578125" style="1" customWidth="1"/>
    <col min="520" max="520" width="4.7109375" style="1" customWidth="1"/>
    <col min="521" max="521" width="8.5703125" style="1" customWidth="1"/>
    <col min="522" max="522" width="5.5703125" style="1" customWidth="1"/>
    <col min="523" max="524" width="11.5703125" style="1" customWidth="1"/>
    <col min="525" max="525" width="10.85546875" style="1" customWidth="1"/>
    <col min="526" max="526" width="7.7109375" style="1" customWidth="1"/>
    <col min="527" max="527" width="8" style="1" customWidth="1"/>
    <col min="528" max="528" width="16.28515625" style="1" customWidth="1"/>
    <col min="529" max="529" width="10.5703125" style="1" customWidth="1"/>
    <col min="530" max="530" width="14.140625" style="1" customWidth="1"/>
    <col min="531" max="531" width="10.140625" style="1" customWidth="1"/>
    <col min="532" max="532" width="15.140625" style="1" customWidth="1"/>
    <col min="533" max="533" width="8.5703125" style="1" customWidth="1"/>
    <col min="534" max="534" width="14.28515625" style="1" customWidth="1"/>
    <col min="535" max="535" width="18.28515625" style="1" customWidth="1"/>
    <col min="536" max="536" width="13" style="1" bestFit="1" customWidth="1"/>
    <col min="537" max="537" width="11.7109375" style="1" bestFit="1" customWidth="1"/>
    <col min="538" max="544" width="9.140625" style="1"/>
    <col min="545" max="545" width="11.28515625" style="1" bestFit="1" customWidth="1"/>
    <col min="546" max="546" width="10.7109375" style="1" bestFit="1" customWidth="1"/>
    <col min="547" max="768" width="9.140625" style="1"/>
    <col min="769" max="769" width="6.42578125" style="1" customWidth="1"/>
    <col min="770" max="770" width="20.7109375" style="1" customWidth="1"/>
    <col min="771" max="771" width="24.7109375" style="1" customWidth="1"/>
    <col min="772" max="772" width="11.140625" style="1" customWidth="1"/>
    <col min="773" max="773" width="12.28515625" style="1" customWidth="1"/>
    <col min="774" max="774" width="11.140625" style="1" customWidth="1"/>
    <col min="775" max="775" width="10.42578125" style="1" customWidth="1"/>
    <col min="776" max="776" width="4.7109375" style="1" customWidth="1"/>
    <col min="777" max="777" width="8.5703125" style="1" customWidth="1"/>
    <col min="778" max="778" width="5.5703125" style="1" customWidth="1"/>
    <col min="779" max="780" width="11.5703125" style="1" customWidth="1"/>
    <col min="781" max="781" width="10.85546875" style="1" customWidth="1"/>
    <col min="782" max="782" width="7.7109375" style="1" customWidth="1"/>
    <col min="783" max="783" width="8" style="1" customWidth="1"/>
    <col min="784" max="784" width="16.28515625" style="1" customWidth="1"/>
    <col min="785" max="785" width="10.5703125" style="1" customWidth="1"/>
    <col min="786" max="786" width="14.140625" style="1" customWidth="1"/>
    <col min="787" max="787" width="10.140625" style="1" customWidth="1"/>
    <col min="788" max="788" width="15.140625" style="1" customWidth="1"/>
    <col min="789" max="789" width="8.5703125" style="1" customWidth="1"/>
    <col min="790" max="790" width="14.28515625" style="1" customWidth="1"/>
    <col min="791" max="791" width="18.28515625" style="1" customWidth="1"/>
    <col min="792" max="792" width="13" style="1" bestFit="1" customWidth="1"/>
    <col min="793" max="793" width="11.7109375" style="1" bestFit="1" customWidth="1"/>
    <col min="794" max="800" width="9.140625" style="1"/>
    <col min="801" max="801" width="11.28515625" style="1" bestFit="1" customWidth="1"/>
    <col min="802" max="802" width="10.7109375" style="1" bestFit="1" customWidth="1"/>
    <col min="803" max="1024" width="9.140625" style="1"/>
    <col min="1025" max="1025" width="6.42578125" style="1" customWidth="1"/>
    <col min="1026" max="1026" width="20.7109375" style="1" customWidth="1"/>
    <col min="1027" max="1027" width="24.7109375" style="1" customWidth="1"/>
    <col min="1028" max="1028" width="11.140625" style="1" customWidth="1"/>
    <col min="1029" max="1029" width="12.28515625" style="1" customWidth="1"/>
    <col min="1030" max="1030" width="11.140625" style="1" customWidth="1"/>
    <col min="1031" max="1031" width="10.42578125" style="1" customWidth="1"/>
    <col min="1032" max="1032" width="4.7109375" style="1" customWidth="1"/>
    <col min="1033" max="1033" width="8.5703125" style="1" customWidth="1"/>
    <col min="1034" max="1034" width="5.5703125" style="1" customWidth="1"/>
    <col min="1035" max="1036" width="11.5703125" style="1" customWidth="1"/>
    <col min="1037" max="1037" width="10.85546875" style="1" customWidth="1"/>
    <col min="1038" max="1038" width="7.7109375" style="1" customWidth="1"/>
    <col min="1039" max="1039" width="8" style="1" customWidth="1"/>
    <col min="1040" max="1040" width="16.28515625" style="1" customWidth="1"/>
    <col min="1041" max="1041" width="10.5703125" style="1" customWidth="1"/>
    <col min="1042" max="1042" width="14.140625" style="1" customWidth="1"/>
    <col min="1043" max="1043" width="10.140625" style="1" customWidth="1"/>
    <col min="1044" max="1044" width="15.140625" style="1" customWidth="1"/>
    <col min="1045" max="1045" width="8.5703125" style="1" customWidth="1"/>
    <col min="1046" max="1046" width="14.28515625" style="1" customWidth="1"/>
    <col min="1047" max="1047" width="18.28515625" style="1" customWidth="1"/>
    <col min="1048" max="1048" width="13" style="1" bestFit="1" customWidth="1"/>
    <col min="1049" max="1049" width="11.7109375" style="1" bestFit="1" customWidth="1"/>
    <col min="1050" max="1056" width="9.140625" style="1"/>
    <col min="1057" max="1057" width="11.28515625" style="1" bestFit="1" customWidth="1"/>
    <col min="1058" max="1058" width="10.7109375" style="1" bestFit="1" customWidth="1"/>
    <col min="1059" max="1280" width="9.140625" style="1"/>
    <col min="1281" max="1281" width="6.42578125" style="1" customWidth="1"/>
    <col min="1282" max="1282" width="20.7109375" style="1" customWidth="1"/>
    <col min="1283" max="1283" width="24.7109375" style="1" customWidth="1"/>
    <col min="1284" max="1284" width="11.140625" style="1" customWidth="1"/>
    <col min="1285" max="1285" width="12.28515625" style="1" customWidth="1"/>
    <col min="1286" max="1286" width="11.140625" style="1" customWidth="1"/>
    <col min="1287" max="1287" width="10.42578125" style="1" customWidth="1"/>
    <col min="1288" max="1288" width="4.7109375" style="1" customWidth="1"/>
    <col min="1289" max="1289" width="8.5703125" style="1" customWidth="1"/>
    <col min="1290" max="1290" width="5.5703125" style="1" customWidth="1"/>
    <col min="1291" max="1292" width="11.5703125" style="1" customWidth="1"/>
    <col min="1293" max="1293" width="10.85546875" style="1" customWidth="1"/>
    <col min="1294" max="1294" width="7.7109375" style="1" customWidth="1"/>
    <col min="1295" max="1295" width="8" style="1" customWidth="1"/>
    <col min="1296" max="1296" width="16.28515625" style="1" customWidth="1"/>
    <col min="1297" max="1297" width="10.5703125" style="1" customWidth="1"/>
    <col min="1298" max="1298" width="14.140625" style="1" customWidth="1"/>
    <col min="1299" max="1299" width="10.140625" style="1" customWidth="1"/>
    <col min="1300" max="1300" width="15.140625" style="1" customWidth="1"/>
    <col min="1301" max="1301" width="8.5703125" style="1" customWidth="1"/>
    <col min="1302" max="1302" width="14.28515625" style="1" customWidth="1"/>
    <col min="1303" max="1303" width="18.28515625" style="1" customWidth="1"/>
    <col min="1304" max="1304" width="13" style="1" bestFit="1" customWidth="1"/>
    <col min="1305" max="1305" width="11.7109375" style="1" bestFit="1" customWidth="1"/>
    <col min="1306" max="1312" width="9.140625" style="1"/>
    <col min="1313" max="1313" width="11.28515625" style="1" bestFit="1" customWidth="1"/>
    <col min="1314" max="1314" width="10.7109375" style="1" bestFit="1" customWidth="1"/>
    <col min="1315" max="1536" width="9.140625" style="1"/>
    <col min="1537" max="1537" width="6.42578125" style="1" customWidth="1"/>
    <col min="1538" max="1538" width="20.7109375" style="1" customWidth="1"/>
    <col min="1539" max="1539" width="24.7109375" style="1" customWidth="1"/>
    <col min="1540" max="1540" width="11.140625" style="1" customWidth="1"/>
    <col min="1541" max="1541" width="12.28515625" style="1" customWidth="1"/>
    <col min="1542" max="1542" width="11.140625" style="1" customWidth="1"/>
    <col min="1543" max="1543" width="10.42578125" style="1" customWidth="1"/>
    <col min="1544" max="1544" width="4.7109375" style="1" customWidth="1"/>
    <col min="1545" max="1545" width="8.5703125" style="1" customWidth="1"/>
    <col min="1546" max="1546" width="5.5703125" style="1" customWidth="1"/>
    <col min="1547" max="1548" width="11.5703125" style="1" customWidth="1"/>
    <col min="1549" max="1549" width="10.85546875" style="1" customWidth="1"/>
    <col min="1550" max="1550" width="7.7109375" style="1" customWidth="1"/>
    <col min="1551" max="1551" width="8" style="1" customWidth="1"/>
    <col min="1552" max="1552" width="16.28515625" style="1" customWidth="1"/>
    <col min="1553" max="1553" width="10.5703125" style="1" customWidth="1"/>
    <col min="1554" max="1554" width="14.140625" style="1" customWidth="1"/>
    <col min="1555" max="1555" width="10.140625" style="1" customWidth="1"/>
    <col min="1556" max="1556" width="15.140625" style="1" customWidth="1"/>
    <col min="1557" max="1557" width="8.5703125" style="1" customWidth="1"/>
    <col min="1558" max="1558" width="14.28515625" style="1" customWidth="1"/>
    <col min="1559" max="1559" width="18.28515625" style="1" customWidth="1"/>
    <col min="1560" max="1560" width="13" style="1" bestFit="1" customWidth="1"/>
    <col min="1561" max="1561" width="11.7109375" style="1" bestFit="1" customWidth="1"/>
    <col min="1562" max="1568" width="9.140625" style="1"/>
    <col min="1569" max="1569" width="11.28515625" style="1" bestFit="1" customWidth="1"/>
    <col min="1570" max="1570" width="10.7109375" style="1" bestFit="1" customWidth="1"/>
    <col min="1571" max="1792" width="9.140625" style="1"/>
    <col min="1793" max="1793" width="6.42578125" style="1" customWidth="1"/>
    <col min="1794" max="1794" width="20.7109375" style="1" customWidth="1"/>
    <col min="1795" max="1795" width="24.7109375" style="1" customWidth="1"/>
    <col min="1796" max="1796" width="11.140625" style="1" customWidth="1"/>
    <col min="1797" max="1797" width="12.28515625" style="1" customWidth="1"/>
    <col min="1798" max="1798" width="11.140625" style="1" customWidth="1"/>
    <col min="1799" max="1799" width="10.42578125" style="1" customWidth="1"/>
    <col min="1800" max="1800" width="4.7109375" style="1" customWidth="1"/>
    <col min="1801" max="1801" width="8.5703125" style="1" customWidth="1"/>
    <col min="1802" max="1802" width="5.5703125" style="1" customWidth="1"/>
    <col min="1803" max="1804" width="11.5703125" style="1" customWidth="1"/>
    <col min="1805" max="1805" width="10.85546875" style="1" customWidth="1"/>
    <col min="1806" max="1806" width="7.7109375" style="1" customWidth="1"/>
    <col min="1807" max="1807" width="8" style="1" customWidth="1"/>
    <col min="1808" max="1808" width="16.28515625" style="1" customWidth="1"/>
    <col min="1809" max="1809" width="10.5703125" style="1" customWidth="1"/>
    <col min="1810" max="1810" width="14.140625" style="1" customWidth="1"/>
    <col min="1811" max="1811" width="10.140625" style="1" customWidth="1"/>
    <col min="1812" max="1812" width="15.140625" style="1" customWidth="1"/>
    <col min="1813" max="1813" width="8.5703125" style="1" customWidth="1"/>
    <col min="1814" max="1814" width="14.28515625" style="1" customWidth="1"/>
    <col min="1815" max="1815" width="18.28515625" style="1" customWidth="1"/>
    <col min="1816" max="1816" width="13" style="1" bestFit="1" customWidth="1"/>
    <col min="1817" max="1817" width="11.7109375" style="1" bestFit="1" customWidth="1"/>
    <col min="1818" max="1824" width="9.140625" style="1"/>
    <col min="1825" max="1825" width="11.28515625" style="1" bestFit="1" customWidth="1"/>
    <col min="1826" max="1826" width="10.7109375" style="1" bestFit="1" customWidth="1"/>
    <col min="1827" max="2048" width="9.140625" style="1"/>
    <col min="2049" max="2049" width="6.42578125" style="1" customWidth="1"/>
    <col min="2050" max="2050" width="20.7109375" style="1" customWidth="1"/>
    <col min="2051" max="2051" width="24.7109375" style="1" customWidth="1"/>
    <col min="2052" max="2052" width="11.140625" style="1" customWidth="1"/>
    <col min="2053" max="2053" width="12.28515625" style="1" customWidth="1"/>
    <col min="2054" max="2054" width="11.140625" style="1" customWidth="1"/>
    <col min="2055" max="2055" width="10.42578125" style="1" customWidth="1"/>
    <col min="2056" max="2056" width="4.7109375" style="1" customWidth="1"/>
    <col min="2057" max="2057" width="8.5703125" style="1" customWidth="1"/>
    <col min="2058" max="2058" width="5.5703125" style="1" customWidth="1"/>
    <col min="2059" max="2060" width="11.5703125" style="1" customWidth="1"/>
    <col min="2061" max="2061" width="10.85546875" style="1" customWidth="1"/>
    <col min="2062" max="2062" width="7.7109375" style="1" customWidth="1"/>
    <col min="2063" max="2063" width="8" style="1" customWidth="1"/>
    <col min="2064" max="2064" width="16.28515625" style="1" customWidth="1"/>
    <col min="2065" max="2065" width="10.5703125" style="1" customWidth="1"/>
    <col min="2066" max="2066" width="14.140625" style="1" customWidth="1"/>
    <col min="2067" max="2067" width="10.140625" style="1" customWidth="1"/>
    <col min="2068" max="2068" width="15.140625" style="1" customWidth="1"/>
    <col min="2069" max="2069" width="8.5703125" style="1" customWidth="1"/>
    <col min="2070" max="2070" width="14.28515625" style="1" customWidth="1"/>
    <col min="2071" max="2071" width="18.28515625" style="1" customWidth="1"/>
    <col min="2072" max="2072" width="13" style="1" bestFit="1" customWidth="1"/>
    <col min="2073" max="2073" width="11.7109375" style="1" bestFit="1" customWidth="1"/>
    <col min="2074" max="2080" width="9.140625" style="1"/>
    <col min="2081" max="2081" width="11.28515625" style="1" bestFit="1" customWidth="1"/>
    <col min="2082" max="2082" width="10.7109375" style="1" bestFit="1" customWidth="1"/>
    <col min="2083" max="2304" width="9.140625" style="1"/>
    <col min="2305" max="2305" width="6.42578125" style="1" customWidth="1"/>
    <col min="2306" max="2306" width="20.7109375" style="1" customWidth="1"/>
    <col min="2307" max="2307" width="24.7109375" style="1" customWidth="1"/>
    <col min="2308" max="2308" width="11.140625" style="1" customWidth="1"/>
    <col min="2309" max="2309" width="12.28515625" style="1" customWidth="1"/>
    <col min="2310" max="2310" width="11.140625" style="1" customWidth="1"/>
    <col min="2311" max="2311" width="10.42578125" style="1" customWidth="1"/>
    <col min="2312" max="2312" width="4.7109375" style="1" customWidth="1"/>
    <col min="2313" max="2313" width="8.5703125" style="1" customWidth="1"/>
    <col min="2314" max="2314" width="5.5703125" style="1" customWidth="1"/>
    <col min="2315" max="2316" width="11.5703125" style="1" customWidth="1"/>
    <col min="2317" max="2317" width="10.85546875" style="1" customWidth="1"/>
    <col min="2318" max="2318" width="7.7109375" style="1" customWidth="1"/>
    <col min="2319" max="2319" width="8" style="1" customWidth="1"/>
    <col min="2320" max="2320" width="16.28515625" style="1" customWidth="1"/>
    <col min="2321" max="2321" width="10.5703125" style="1" customWidth="1"/>
    <col min="2322" max="2322" width="14.140625" style="1" customWidth="1"/>
    <col min="2323" max="2323" width="10.140625" style="1" customWidth="1"/>
    <col min="2324" max="2324" width="15.140625" style="1" customWidth="1"/>
    <col min="2325" max="2325" width="8.5703125" style="1" customWidth="1"/>
    <col min="2326" max="2326" width="14.28515625" style="1" customWidth="1"/>
    <col min="2327" max="2327" width="18.28515625" style="1" customWidth="1"/>
    <col min="2328" max="2328" width="13" style="1" bestFit="1" customWidth="1"/>
    <col min="2329" max="2329" width="11.7109375" style="1" bestFit="1" customWidth="1"/>
    <col min="2330" max="2336" width="9.140625" style="1"/>
    <col min="2337" max="2337" width="11.28515625" style="1" bestFit="1" customWidth="1"/>
    <col min="2338" max="2338" width="10.7109375" style="1" bestFit="1" customWidth="1"/>
    <col min="2339" max="2560" width="9.140625" style="1"/>
    <col min="2561" max="2561" width="6.42578125" style="1" customWidth="1"/>
    <col min="2562" max="2562" width="20.7109375" style="1" customWidth="1"/>
    <col min="2563" max="2563" width="24.7109375" style="1" customWidth="1"/>
    <col min="2564" max="2564" width="11.140625" style="1" customWidth="1"/>
    <col min="2565" max="2565" width="12.28515625" style="1" customWidth="1"/>
    <col min="2566" max="2566" width="11.140625" style="1" customWidth="1"/>
    <col min="2567" max="2567" width="10.42578125" style="1" customWidth="1"/>
    <col min="2568" max="2568" width="4.7109375" style="1" customWidth="1"/>
    <col min="2569" max="2569" width="8.5703125" style="1" customWidth="1"/>
    <col min="2570" max="2570" width="5.5703125" style="1" customWidth="1"/>
    <col min="2571" max="2572" width="11.5703125" style="1" customWidth="1"/>
    <col min="2573" max="2573" width="10.85546875" style="1" customWidth="1"/>
    <col min="2574" max="2574" width="7.7109375" style="1" customWidth="1"/>
    <col min="2575" max="2575" width="8" style="1" customWidth="1"/>
    <col min="2576" max="2576" width="16.28515625" style="1" customWidth="1"/>
    <col min="2577" max="2577" width="10.5703125" style="1" customWidth="1"/>
    <col min="2578" max="2578" width="14.140625" style="1" customWidth="1"/>
    <col min="2579" max="2579" width="10.140625" style="1" customWidth="1"/>
    <col min="2580" max="2580" width="15.140625" style="1" customWidth="1"/>
    <col min="2581" max="2581" width="8.5703125" style="1" customWidth="1"/>
    <col min="2582" max="2582" width="14.28515625" style="1" customWidth="1"/>
    <col min="2583" max="2583" width="18.28515625" style="1" customWidth="1"/>
    <col min="2584" max="2584" width="13" style="1" bestFit="1" customWidth="1"/>
    <col min="2585" max="2585" width="11.7109375" style="1" bestFit="1" customWidth="1"/>
    <col min="2586" max="2592" width="9.140625" style="1"/>
    <col min="2593" max="2593" width="11.28515625" style="1" bestFit="1" customWidth="1"/>
    <col min="2594" max="2594" width="10.7109375" style="1" bestFit="1" customWidth="1"/>
    <col min="2595" max="2816" width="9.140625" style="1"/>
    <col min="2817" max="2817" width="6.42578125" style="1" customWidth="1"/>
    <col min="2818" max="2818" width="20.7109375" style="1" customWidth="1"/>
    <col min="2819" max="2819" width="24.7109375" style="1" customWidth="1"/>
    <col min="2820" max="2820" width="11.140625" style="1" customWidth="1"/>
    <col min="2821" max="2821" width="12.28515625" style="1" customWidth="1"/>
    <col min="2822" max="2822" width="11.140625" style="1" customWidth="1"/>
    <col min="2823" max="2823" width="10.42578125" style="1" customWidth="1"/>
    <col min="2824" max="2824" width="4.7109375" style="1" customWidth="1"/>
    <col min="2825" max="2825" width="8.5703125" style="1" customWidth="1"/>
    <col min="2826" max="2826" width="5.5703125" style="1" customWidth="1"/>
    <col min="2827" max="2828" width="11.5703125" style="1" customWidth="1"/>
    <col min="2829" max="2829" width="10.85546875" style="1" customWidth="1"/>
    <col min="2830" max="2830" width="7.7109375" style="1" customWidth="1"/>
    <col min="2831" max="2831" width="8" style="1" customWidth="1"/>
    <col min="2832" max="2832" width="16.28515625" style="1" customWidth="1"/>
    <col min="2833" max="2833" width="10.5703125" style="1" customWidth="1"/>
    <col min="2834" max="2834" width="14.140625" style="1" customWidth="1"/>
    <col min="2835" max="2835" width="10.140625" style="1" customWidth="1"/>
    <col min="2836" max="2836" width="15.140625" style="1" customWidth="1"/>
    <col min="2837" max="2837" width="8.5703125" style="1" customWidth="1"/>
    <col min="2838" max="2838" width="14.28515625" style="1" customWidth="1"/>
    <col min="2839" max="2839" width="18.28515625" style="1" customWidth="1"/>
    <col min="2840" max="2840" width="13" style="1" bestFit="1" customWidth="1"/>
    <col min="2841" max="2841" width="11.7109375" style="1" bestFit="1" customWidth="1"/>
    <col min="2842" max="2848" width="9.140625" style="1"/>
    <col min="2849" max="2849" width="11.28515625" style="1" bestFit="1" customWidth="1"/>
    <col min="2850" max="2850" width="10.7109375" style="1" bestFit="1" customWidth="1"/>
    <col min="2851" max="3072" width="9.140625" style="1"/>
    <col min="3073" max="3073" width="6.42578125" style="1" customWidth="1"/>
    <col min="3074" max="3074" width="20.7109375" style="1" customWidth="1"/>
    <col min="3075" max="3075" width="24.7109375" style="1" customWidth="1"/>
    <col min="3076" max="3076" width="11.140625" style="1" customWidth="1"/>
    <col min="3077" max="3077" width="12.28515625" style="1" customWidth="1"/>
    <col min="3078" max="3078" width="11.140625" style="1" customWidth="1"/>
    <col min="3079" max="3079" width="10.42578125" style="1" customWidth="1"/>
    <col min="3080" max="3080" width="4.7109375" style="1" customWidth="1"/>
    <col min="3081" max="3081" width="8.5703125" style="1" customWidth="1"/>
    <col min="3082" max="3082" width="5.5703125" style="1" customWidth="1"/>
    <col min="3083" max="3084" width="11.5703125" style="1" customWidth="1"/>
    <col min="3085" max="3085" width="10.85546875" style="1" customWidth="1"/>
    <col min="3086" max="3086" width="7.7109375" style="1" customWidth="1"/>
    <col min="3087" max="3087" width="8" style="1" customWidth="1"/>
    <col min="3088" max="3088" width="16.28515625" style="1" customWidth="1"/>
    <col min="3089" max="3089" width="10.5703125" style="1" customWidth="1"/>
    <col min="3090" max="3090" width="14.140625" style="1" customWidth="1"/>
    <col min="3091" max="3091" width="10.140625" style="1" customWidth="1"/>
    <col min="3092" max="3092" width="15.140625" style="1" customWidth="1"/>
    <col min="3093" max="3093" width="8.5703125" style="1" customWidth="1"/>
    <col min="3094" max="3094" width="14.28515625" style="1" customWidth="1"/>
    <col min="3095" max="3095" width="18.28515625" style="1" customWidth="1"/>
    <col min="3096" max="3096" width="13" style="1" bestFit="1" customWidth="1"/>
    <col min="3097" max="3097" width="11.7109375" style="1" bestFit="1" customWidth="1"/>
    <col min="3098" max="3104" width="9.140625" style="1"/>
    <col min="3105" max="3105" width="11.28515625" style="1" bestFit="1" customWidth="1"/>
    <col min="3106" max="3106" width="10.7109375" style="1" bestFit="1" customWidth="1"/>
    <col min="3107" max="3328" width="9.140625" style="1"/>
    <col min="3329" max="3329" width="6.42578125" style="1" customWidth="1"/>
    <col min="3330" max="3330" width="20.7109375" style="1" customWidth="1"/>
    <col min="3331" max="3331" width="24.7109375" style="1" customWidth="1"/>
    <col min="3332" max="3332" width="11.140625" style="1" customWidth="1"/>
    <col min="3333" max="3333" width="12.28515625" style="1" customWidth="1"/>
    <col min="3334" max="3334" width="11.140625" style="1" customWidth="1"/>
    <col min="3335" max="3335" width="10.42578125" style="1" customWidth="1"/>
    <col min="3336" max="3336" width="4.7109375" style="1" customWidth="1"/>
    <col min="3337" max="3337" width="8.5703125" style="1" customWidth="1"/>
    <col min="3338" max="3338" width="5.5703125" style="1" customWidth="1"/>
    <col min="3339" max="3340" width="11.5703125" style="1" customWidth="1"/>
    <col min="3341" max="3341" width="10.85546875" style="1" customWidth="1"/>
    <col min="3342" max="3342" width="7.7109375" style="1" customWidth="1"/>
    <col min="3343" max="3343" width="8" style="1" customWidth="1"/>
    <col min="3344" max="3344" width="16.28515625" style="1" customWidth="1"/>
    <col min="3345" max="3345" width="10.5703125" style="1" customWidth="1"/>
    <col min="3346" max="3346" width="14.140625" style="1" customWidth="1"/>
    <col min="3347" max="3347" width="10.140625" style="1" customWidth="1"/>
    <col min="3348" max="3348" width="15.140625" style="1" customWidth="1"/>
    <col min="3349" max="3349" width="8.5703125" style="1" customWidth="1"/>
    <col min="3350" max="3350" width="14.28515625" style="1" customWidth="1"/>
    <col min="3351" max="3351" width="18.28515625" style="1" customWidth="1"/>
    <col min="3352" max="3352" width="13" style="1" bestFit="1" customWidth="1"/>
    <col min="3353" max="3353" width="11.7109375" style="1" bestFit="1" customWidth="1"/>
    <col min="3354" max="3360" width="9.140625" style="1"/>
    <col min="3361" max="3361" width="11.28515625" style="1" bestFit="1" customWidth="1"/>
    <col min="3362" max="3362" width="10.7109375" style="1" bestFit="1" customWidth="1"/>
    <col min="3363" max="3584" width="9.140625" style="1"/>
    <col min="3585" max="3585" width="6.42578125" style="1" customWidth="1"/>
    <col min="3586" max="3586" width="20.7109375" style="1" customWidth="1"/>
    <col min="3587" max="3587" width="24.7109375" style="1" customWidth="1"/>
    <col min="3588" max="3588" width="11.140625" style="1" customWidth="1"/>
    <col min="3589" max="3589" width="12.28515625" style="1" customWidth="1"/>
    <col min="3590" max="3590" width="11.140625" style="1" customWidth="1"/>
    <col min="3591" max="3591" width="10.42578125" style="1" customWidth="1"/>
    <col min="3592" max="3592" width="4.7109375" style="1" customWidth="1"/>
    <col min="3593" max="3593" width="8.5703125" style="1" customWidth="1"/>
    <col min="3594" max="3594" width="5.5703125" style="1" customWidth="1"/>
    <col min="3595" max="3596" width="11.5703125" style="1" customWidth="1"/>
    <col min="3597" max="3597" width="10.85546875" style="1" customWidth="1"/>
    <col min="3598" max="3598" width="7.7109375" style="1" customWidth="1"/>
    <col min="3599" max="3599" width="8" style="1" customWidth="1"/>
    <col min="3600" max="3600" width="16.28515625" style="1" customWidth="1"/>
    <col min="3601" max="3601" width="10.5703125" style="1" customWidth="1"/>
    <col min="3602" max="3602" width="14.140625" style="1" customWidth="1"/>
    <col min="3603" max="3603" width="10.140625" style="1" customWidth="1"/>
    <col min="3604" max="3604" width="15.140625" style="1" customWidth="1"/>
    <col min="3605" max="3605" width="8.5703125" style="1" customWidth="1"/>
    <col min="3606" max="3606" width="14.28515625" style="1" customWidth="1"/>
    <col min="3607" max="3607" width="18.28515625" style="1" customWidth="1"/>
    <col min="3608" max="3608" width="13" style="1" bestFit="1" customWidth="1"/>
    <col min="3609" max="3609" width="11.7109375" style="1" bestFit="1" customWidth="1"/>
    <col min="3610" max="3616" width="9.140625" style="1"/>
    <col min="3617" max="3617" width="11.28515625" style="1" bestFit="1" customWidth="1"/>
    <col min="3618" max="3618" width="10.7109375" style="1" bestFit="1" customWidth="1"/>
    <col min="3619" max="3840" width="9.140625" style="1"/>
    <col min="3841" max="3841" width="6.42578125" style="1" customWidth="1"/>
    <col min="3842" max="3842" width="20.7109375" style="1" customWidth="1"/>
    <col min="3843" max="3843" width="24.7109375" style="1" customWidth="1"/>
    <col min="3844" max="3844" width="11.140625" style="1" customWidth="1"/>
    <col min="3845" max="3845" width="12.28515625" style="1" customWidth="1"/>
    <col min="3846" max="3846" width="11.140625" style="1" customWidth="1"/>
    <col min="3847" max="3847" width="10.42578125" style="1" customWidth="1"/>
    <col min="3848" max="3848" width="4.7109375" style="1" customWidth="1"/>
    <col min="3849" max="3849" width="8.5703125" style="1" customWidth="1"/>
    <col min="3850" max="3850" width="5.5703125" style="1" customWidth="1"/>
    <col min="3851" max="3852" width="11.5703125" style="1" customWidth="1"/>
    <col min="3853" max="3853" width="10.85546875" style="1" customWidth="1"/>
    <col min="3854" max="3854" width="7.7109375" style="1" customWidth="1"/>
    <col min="3855" max="3855" width="8" style="1" customWidth="1"/>
    <col min="3856" max="3856" width="16.28515625" style="1" customWidth="1"/>
    <col min="3857" max="3857" width="10.5703125" style="1" customWidth="1"/>
    <col min="3858" max="3858" width="14.140625" style="1" customWidth="1"/>
    <col min="3859" max="3859" width="10.140625" style="1" customWidth="1"/>
    <col min="3860" max="3860" width="15.140625" style="1" customWidth="1"/>
    <col min="3861" max="3861" width="8.5703125" style="1" customWidth="1"/>
    <col min="3862" max="3862" width="14.28515625" style="1" customWidth="1"/>
    <col min="3863" max="3863" width="18.28515625" style="1" customWidth="1"/>
    <col min="3864" max="3864" width="13" style="1" bestFit="1" customWidth="1"/>
    <col min="3865" max="3865" width="11.7109375" style="1" bestFit="1" customWidth="1"/>
    <col min="3866" max="3872" width="9.140625" style="1"/>
    <col min="3873" max="3873" width="11.28515625" style="1" bestFit="1" customWidth="1"/>
    <col min="3874" max="3874" width="10.7109375" style="1" bestFit="1" customWidth="1"/>
    <col min="3875" max="4096" width="9.140625" style="1"/>
    <col min="4097" max="4097" width="6.42578125" style="1" customWidth="1"/>
    <col min="4098" max="4098" width="20.7109375" style="1" customWidth="1"/>
    <col min="4099" max="4099" width="24.7109375" style="1" customWidth="1"/>
    <col min="4100" max="4100" width="11.140625" style="1" customWidth="1"/>
    <col min="4101" max="4101" width="12.28515625" style="1" customWidth="1"/>
    <col min="4102" max="4102" width="11.140625" style="1" customWidth="1"/>
    <col min="4103" max="4103" width="10.42578125" style="1" customWidth="1"/>
    <col min="4104" max="4104" width="4.7109375" style="1" customWidth="1"/>
    <col min="4105" max="4105" width="8.5703125" style="1" customWidth="1"/>
    <col min="4106" max="4106" width="5.5703125" style="1" customWidth="1"/>
    <col min="4107" max="4108" width="11.5703125" style="1" customWidth="1"/>
    <col min="4109" max="4109" width="10.85546875" style="1" customWidth="1"/>
    <col min="4110" max="4110" width="7.7109375" style="1" customWidth="1"/>
    <col min="4111" max="4111" width="8" style="1" customWidth="1"/>
    <col min="4112" max="4112" width="16.28515625" style="1" customWidth="1"/>
    <col min="4113" max="4113" width="10.5703125" style="1" customWidth="1"/>
    <col min="4114" max="4114" width="14.140625" style="1" customWidth="1"/>
    <col min="4115" max="4115" width="10.140625" style="1" customWidth="1"/>
    <col min="4116" max="4116" width="15.140625" style="1" customWidth="1"/>
    <col min="4117" max="4117" width="8.5703125" style="1" customWidth="1"/>
    <col min="4118" max="4118" width="14.28515625" style="1" customWidth="1"/>
    <col min="4119" max="4119" width="18.28515625" style="1" customWidth="1"/>
    <col min="4120" max="4120" width="13" style="1" bestFit="1" customWidth="1"/>
    <col min="4121" max="4121" width="11.7109375" style="1" bestFit="1" customWidth="1"/>
    <col min="4122" max="4128" width="9.140625" style="1"/>
    <col min="4129" max="4129" width="11.28515625" style="1" bestFit="1" customWidth="1"/>
    <col min="4130" max="4130" width="10.7109375" style="1" bestFit="1" customWidth="1"/>
    <col min="4131" max="4352" width="9.140625" style="1"/>
    <col min="4353" max="4353" width="6.42578125" style="1" customWidth="1"/>
    <col min="4354" max="4354" width="20.7109375" style="1" customWidth="1"/>
    <col min="4355" max="4355" width="24.7109375" style="1" customWidth="1"/>
    <col min="4356" max="4356" width="11.140625" style="1" customWidth="1"/>
    <col min="4357" max="4357" width="12.28515625" style="1" customWidth="1"/>
    <col min="4358" max="4358" width="11.140625" style="1" customWidth="1"/>
    <col min="4359" max="4359" width="10.42578125" style="1" customWidth="1"/>
    <col min="4360" max="4360" width="4.7109375" style="1" customWidth="1"/>
    <col min="4361" max="4361" width="8.5703125" style="1" customWidth="1"/>
    <col min="4362" max="4362" width="5.5703125" style="1" customWidth="1"/>
    <col min="4363" max="4364" width="11.5703125" style="1" customWidth="1"/>
    <col min="4365" max="4365" width="10.85546875" style="1" customWidth="1"/>
    <col min="4366" max="4366" width="7.7109375" style="1" customWidth="1"/>
    <col min="4367" max="4367" width="8" style="1" customWidth="1"/>
    <col min="4368" max="4368" width="16.28515625" style="1" customWidth="1"/>
    <col min="4369" max="4369" width="10.5703125" style="1" customWidth="1"/>
    <col min="4370" max="4370" width="14.140625" style="1" customWidth="1"/>
    <col min="4371" max="4371" width="10.140625" style="1" customWidth="1"/>
    <col min="4372" max="4372" width="15.140625" style="1" customWidth="1"/>
    <col min="4373" max="4373" width="8.5703125" style="1" customWidth="1"/>
    <col min="4374" max="4374" width="14.28515625" style="1" customWidth="1"/>
    <col min="4375" max="4375" width="18.28515625" style="1" customWidth="1"/>
    <col min="4376" max="4376" width="13" style="1" bestFit="1" customWidth="1"/>
    <col min="4377" max="4377" width="11.7109375" style="1" bestFit="1" customWidth="1"/>
    <col min="4378" max="4384" width="9.140625" style="1"/>
    <col min="4385" max="4385" width="11.28515625" style="1" bestFit="1" customWidth="1"/>
    <col min="4386" max="4386" width="10.7109375" style="1" bestFit="1" customWidth="1"/>
    <col min="4387" max="4608" width="9.140625" style="1"/>
    <col min="4609" max="4609" width="6.42578125" style="1" customWidth="1"/>
    <col min="4610" max="4610" width="20.7109375" style="1" customWidth="1"/>
    <col min="4611" max="4611" width="24.7109375" style="1" customWidth="1"/>
    <col min="4612" max="4612" width="11.140625" style="1" customWidth="1"/>
    <col min="4613" max="4613" width="12.28515625" style="1" customWidth="1"/>
    <col min="4614" max="4614" width="11.140625" style="1" customWidth="1"/>
    <col min="4615" max="4615" width="10.42578125" style="1" customWidth="1"/>
    <col min="4616" max="4616" width="4.7109375" style="1" customWidth="1"/>
    <col min="4617" max="4617" width="8.5703125" style="1" customWidth="1"/>
    <col min="4618" max="4618" width="5.5703125" style="1" customWidth="1"/>
    <col min="4619" max="4620" width="11.5703125" style="1" customWidth="1"/>
    <col min="4621" max="4621" width="10.85546875" style="1" customWidth="1"/>
    <col min="4622" max="4622" width="7.7109375" style="1" customWidth="1"/>
    <col min="4623" max="4623" width="8" style="1" customWidth="1"/>
    <col min="4624" max="4624" width="16.28515625" style="1" customWidth="1"/>
    <col min="4625" max="4625" width="10.5703125" style="1" customWidth="1"/>
    <col min="4626" max="4626" width="14.140625" style="1" customWidth="1"/>
    <col min="4627" max="4627" width="10.140625" style="1" customWidth="1"/>
    <col min="4628" max="4628" width="15.140625" style="1" customWidth="1"/>
    <col min="4629" max="4629" width="8.5703125" style="1" customWidth="1"/>
    <col min="4630" max="4630" width="14.28515625" style="1" customWidth="1"/>
    <col min="4631" max="4631" width="18.28515625" style="1" customWidth="1"/>
    <col min="4632" max="4632" width="13" style="1" bestFit="1" customWidth="1"/>
    <col min="4633" max="4633" width="11.7109375" style="1" bestFit="1" customWidth="1"/>
    <col min="4634" max="4640" width="9.140625" style="1"/>
    <col min="4641" max="4641" width="11.28515625" style="1" bestFit="1" customWidth="1"/>
    <col min="4642" max="4642" width="10.7109375" style="1" bestFit="1" customWidth="1"/>
    <col min="4643" max="4864" width="9.140625" style="1"/>
    <col min="4865" max="4865" width="6.42578125" style="1" customWidth="1"/>
    <col min="4866" max="4866" width="20.7109375" style="1" customWidth="1"/>
    <col min="4867" max="4867" width="24.7109375" style="1" customWidth="1"/>
    <col min="4868" max="4868" width="11.140625" style="1" customWidth="1"/>
    <col min="4869" max="4869" width="12.28515625" style="1" customWidth="1"/>
    <col min="4870" max="4870" width="11.140625" style="1" customWidth="1"/>
    <col min="4871" max="4871" width="10.42578125" style="1" customWidth="1"/>
    <col min="4872" max="4872" width="4.7109375" style="1" customWidth="1"/>
    <col min="4873" max="4873" width="8.5703125" style="1" customWidth="1"/>
    <col min="4874" max="4874" width="5.5703125" style="1" customWidth="1"/>
    <col min="4875" max="4876" width="11.5703125" style="1" customWidth="1"/>
    <col min="4877" max="4877" width="10.85546875" style="1" customWidth="1"/>
    <col min="4878" max="4878" width="7.7109375" style="1" customWidth="1"/>
    <col min="4879" max="4879" width="8" style="1" customWidth="1"/>
    <col min="4880" max="4880" width="16.28515625" style="1" customWidth="1"/>
    <col min="4881" max="4881" width="10.5703125" style="1" customWidth="1"/>
    <col min="4882" max="4882" width="14.140625" style="1" customWidth="1"/>
    <col min="4883" max="4883" width="10.140625" style="1" customWidth="1"/>
    <col min="4884" max="4884" width="15.140625" style="1" customWidth="1"/>
    <col min="4885" max="4885" width="8.5703125" style="1" customWidth="1"/>
    <col min="4886" max="4886" width="14.28515625" style="1" customWidth="1"/>
    <col min="4887" max="4887" width="18.28515625" style="1" customWidth="1"/>
    <col min="4888" max="4888" width="13" style="1" bestFit="1" customWidth="1"/>
    <col min="4889" max="4889" width="11.7109375" style="1" bestFit="1" customWidth="1"/>
    <col min="4890" max="4896" width="9.140625" style="1"/>
    <col min="4897" max="4897" width="11.28515625" style="1" bestFit="1" customWidth="1"/>
    <col min="4898" max="4898" width="10.7109375" style="1" bestFit="1" customWidth="1"/>
    <col min="4899" max="5120" width="9.140625" style="1"/>
    <col min="5121" max="5121" width="6.42578125" style="1" customWidth="1"/>
    <col min="5122" max="5122" width="20.7109375" style="1" customWidth="1"/>
    <col min="5123" max="5123" width="24.7109375" style="1" customWidth="1"/>
    <col min="5124" max="5124" width="11.140625" style="1" customWidth="1"/>
    <col min="5125" max="5125" width="12.28515625" style="1" customWidth="1"/>
    <col min="5126" max="5126" width="11.140625" style="1" customWidth="1"/>
    <col min="5127" max="5127" width="10.42578125" style="1" customWidth="1"/>
    <col min="5128" max="5128" width="4.7109375" style="1" customWidth="1"/>
    <col min="5129" max="5129" width="8.5703125" style="1" customWidth="1"/>
    <col min="5130" max="5130" width="5.5703125" style="1" customWidth="1"/>
    <col min="5131" max="5132" width="11.5703125" style="1" customWidth="1"/>
    <col min="5133" max="5133" width="10.85546875" style="1" customWidth="1"/>
    <col min="5134" max="5134" width="7.7109375" style="1" customWidth="1"/>
    <col min="5135" max="5135" width="8" style="1" customWidth="1"/>
    <col min="5136" max="5136" width="16.28515625" style="1" customWidth="1"/>
    <col min="5137" max="5137" width="10.5703125" style="1" customWidth="1"/>
    <col min="5138" max="5138" width="14.140625" style="1" customWidth="1"/>
    <col min="5139" max="5139" width="10.140625" style="1" customWidth="1"/>
    <col min="5140" max="5140" width="15.140625" style="1" customWidth="1"/>
    <col min="5141" max="5141" width="8.5703125" style="1" customWidth="1"/>
    <col min="5142" max="5142" width="14.28515625" style="1" customWidth="1"/>
    <col min="5143" max="5143" width="18.28515625" style="1" customWidth="1"/>
    <col min="5144" max="5144" width="13" style="1" bestFit="1" customWidth="1"/>
    <col min="5145" max="5145" width="11.7109375" style="1" bestFit="1" customWidth="1"/>
    <col min="5146" max="5152" width="9.140625" style="1"/>
    <col min="5153" max="5153" width="11.28515625" style="1" bestFit="1" customWidth="1"/>
    <col min="5154" max="5154" width="10.7109375" style="1" bestFit="1" customWidth="1"/>
    <col min="5155" max="5376" width="9.140625" style="1"/>
    <col min="5377" max="5377" width="6.42578125" style="1" customWidth="1"/>
    <col min="5378" max="5378" width="20.7109375" style="1" customWidth="1"/>
    <col min="5379" max="5379" width="24.7109375" style="1" customWidth="1"/>
    <col min="5380" max="5380" width="11.140625" style="1" customWidth="1"/>
    <col min="5381" max="5381" width="12.28515625" style="1" customWidth="1"/>
    <col min="5382" max="5382" width="11.140625" style="1" customWidth="1"/>
    <col min="5383" max="5383" width="10.42578125" style="1" customWidth="1"/>
    <col min="5384" max="5384" width="4.7109375" style="1" customWidth="1"/>
    <col min="5385" max="5385" width="8.5703125" style="1" customWidth="1"/>
    <col min="5386" max="5386" width="5.5703125" style="1" customWidth="1"/>
    <col min="5387" max="5388" width="11.5703125" style="1" customWidth="1"/>
    <col min="5389" max="5389" width="10.85546875" style="1" customWidth="1"/>
    <col min="5390" max="5390" width="7.7109375" style="1" customWidth="1"/>
    <col min="5391" max="5391" width="8" style="1" customWidth="1"/>
    <col min="5392" max="5392" width="16.28515625" style="1" customWidth="1"/>
    <col min="5393" max="5393" width="10.5703125" style="1" customWidth="1"/>
    <col min="5394" max="5394" width="14.140625" style="1" customWidth="1"/>
    <col min="5395" max="5395" width="10.140625" style="1" customWidth="1"/>
    <col min="5396" max="5396" width="15.140625" style="1" customWidth="1"/>
    <col min="5397" max="5397" width="8.5703125" style="1" customWidth="1"/>
    <col min="5398" max="5398" width="14.28515625" style="1" customWidth="1"/>
    <col min="5399" max="5399" width="18.28515625" style="1" customWidth="1"/>
    <col min="5400" max="5400" width="13" style="1" bestFit="1" customWidth="1"/>
    <col min="5401" max="5401" width="11.7109375" style="1" bestFit="1" customWidth="1"/>
    <col min="5402" max="5408" width="9.140625" style="1"/>
    <col min="5409" max="5409" width="11.28515625" style="1" bestFit="1" customWidth="1"/>
    <col min="5410" max="5410" width="10.7109375" style="1" bestFit="1" customWidth="1"/>
    <col min="5411" max="5632" width="9.140625" style="1"/>
    <col min="5633" max="5633" width="6.42578125" style="1" customWidth="1"/>
    <col min="5634" max="5634" width="20.7109375" style="1" customWidth="1"/>
    <col min="5635" max="5635" width="24.7109375" style="1" customWidth="1"/>
    <col min="5636" max="5636" width="11.140625" style="1" customWidth="1"/>
    <col min="5637" max="5637" width="12.28515625" style="1" customWidth="1"/>
    <col min="5638" max="5638" width="11.140625" style="1" customWidth="1"/>
    <col min="5639" max="5639" width="10.42578125" style="1" customWidth="1"/>
    <col min="5640" max="5640" width="4.7109375" style="1" customWidth="1"/>
    <col min="5641" max="5641" width="8.5703125" style="1" customWidth="1"/>
    <col min="5642" max="5642" width="5.5703125" style="1" customWidth="1"/>
    <col min="5643" max="5644" width="11.5703125" style="1" customWidth="1"/>
    <col min="5645" max="5645" width="10.85546875" style="1" customWidth="1"/>
    <col min="5646" max="5646" width="7.7109375" style="1" customWidth="1"/>
    <col min="5647" max="5647" width="8" style="1" customWidth="1"/>
    <col min="5648" max="5648" width="16.28515625" style="1" customWidth="1"/>
    <col min="5649" max="5649" width="10.5703125" style="1" customWidth="1"/>
    <col min="5650" max="5650" width="14.140625" style="1" customWidth="1"/>
    <col min="5651" max="5651" width="10.140625" style="1" customWidth="1"/>
    <col min="5652" max="5652" width="15.140625" style="1" customWidth="1"/>
    <col min="5653" max="5653" width="8.5703125" style="1" customWidth="1"/>
    <col min="5654" max="5654" width="14.28515625" style="1" customWidth="1"/>
    <col min="5655" max="5655" width="18.28515625" style="1" customWidth="1"/>
    <col min="5656" max="5656" width="13" style="1" bestFit="1" customWidth="1"/>
    <col min="5657" max="5657" width="11.7109375" style="1" bestFit="1" customWidth="1"/>
    <col min="5658" max="5664" width="9.140625" style="1"/>
    <col min="5665" max="5665" width="11.28515625" style="1" bestFit="1" customWidth="1"/>
    <col min="5666" max="5666" width="10.7109375" style="1" bestFit="1" customWidth="1"/>
    <col min="5667" max="5888" width="9.140625" style="1"/>
    <col min="5889" max="5889" width="6.42578125" style="1" customWidth="1"/>
    <col min="5890" max="5890" width="20.7109375" style="1" customWidth="1"/>
    <col min="5891" max="5891" width="24.7109375" style="1" customWidth="1"/>
    <col min="5892" max="5892" width="11.140625" style="1" customWidth="1"/>
    <col min="5893" max="5893" width="12.28515625" style="1" customWidth="1"/>
    <col min="5894" max="5894" width="11.140625" style="1" customWidth="1"/>
    <col min="5895" max="5895" width="10.42578125" style="1" customWidth="1"/>
    <col min="5896" max="5896" width="4.7109375" style="1" customWidth="1"/>
    <col min="5897" max="5897" width="8.5703125" style="1" customWidth="1"/>
    <col min="5898" max="5898" width="5.5703125" style="1" customWidth="1"/>
    <col min="5899" max="5900" width="11.5703125" style="1" customWidth="1"/>
    <col min="5901" max="5901" width="10.85546875" style="1" customWidth="1"/>
    <col min="5902" max="5902" width="7.7109375" style="1" customWidth="1"/>
    <col min="5903" max="5903" width="8" style="1" customWidth="1"/>
    <col min="5904" max="5904" width="16.28515625" style="1" customWidth="1"/>
    <col min="5905" max="5905" width="10.5703125" style="1" customWidth="1"/>
    <col min="5906" max="5906" width="14.140625" style="1" customWidth="1"/>
    <col min="5907" max="5907" width="10.140625" style="1" customWidth="1"/>
    <col min="5908" max="5908" width="15.140625" style="1" customWidth="1"/>
    <col min="5909" max="5909" width="8.5703125" style="1" customWidth="1"/>
    <col min="5910" max="5910" width="14.28515625" style="1" customWidth="1"/>
    <col min="5911" max="5911" width="18.28515625" style="1" customWidth="1"/>
    <col min="5912" max="5912" width="13" style="1" bestFit="1" customWidth="1"/>
    <col min="5913" max="5913" width="11.7109375" style="1" bestFit="1" customWidth="1"/>
    <col min="5914" max="5920" width="9.140625" style="1"/>
    <col min="5921" max="5921" width="11.28515625" style="1" bestFit="1" customWidth="1"/>
    <col min="5922" max="5922" width="10.7109375" style="1" bestFit="1" customWidth="1"/>
    <col min="5923" max="6144" width="9.140625" style="1"/>
    <col min="6145" max="6145" width="6.42578125" style="1" customWidth="1"/>
    <col min="6146" max="6146" width="20.7109375" style="1" customWidth="1"/>
    <col min="6147" max="6147" width="24.7109375" style="1" customWidth="1"/>
    <col min="6148" max="6148" width="11.140625" style="1" customWidth="1"/>
    <col min="6149" max="6149" width="12.28515625" style="1" customWidth="1"/>
    <col min="6150" max="6150" width="11.140625" style="1" customWidth="1"/>
    <col min="6151" max="6151" width="10.42578125" style="1" customWidth="1"/>
    <col min="6152" max="6152" width="4.7109375" style="1" customWidth="1"/>
    <col min="6153" max="6153" width="8.5703125" style="1" customWidth="1"/>
    <col min="6154" max="6154" width="5.5703125" style="1" customWidth="1"/>
    <col min="6155" max="6156" width="11.5703125" style="1" customWidth="1"/>
    <col min="6157" max="6157" width="10.85546875" style="1" customWidth="1"/>
    <col min="6158" max="6158" width="7.7109375" style="1" customWidth="1"/>
    <col min="6159" max="6159" width="8" style="1" customWidth="1"/>
    <col min="6160" max="6160" width="16.28515625" style="1" customWidth="1"/>
    <col min="6161" max="6161" width="10.5703125" style="1" customWidth="1"/>
    <col min="6162" max="6162" width="14.140625" style="1" customWidth="1"/>
    <col min="6163" max="6163" width="10.140625" style="1" customWidth="1"/>
    <col min="6164" max="6164" width="15.140625" style="1" customWidth="1"/>
    <col min="6165" max="6165" width="8.5703125" style="1" customWidth="1"/>
    <col min="6166" max="6166" width="14.28515625" style="1" customWidth="1"/>
    <col min="6167" max="6167" width="18.28515625" style="1" customWidth="1"/>
    <col min="6168" max="6168" width="13" style="1" bestFit="1" customWidth="1"/>
    <col min="6169" max="6169" width="11.7109375" style="1" bestFit="1" customWidth="1"/>
    <col min="6170" max="6176" width="9.140625" style="1"/>
    <col min="6177" max="6177" width="11.28515625" style="1" bestFit="1" customWidth="1"/>
    <col min="6178" max="6178" width="10.7109375" style="1" bestFit="1" customWidth="1"/>
    <col min="6179" max="6400" width="9.140625" style="1"/>
    <col min="6401" max="6401" width="6.42578125" style="1" customWidth="1"/>
    <col min="6402" max="6402" width="20.7109375" style="1" customWidth="1"/>
    <col min="6403" max="6403" width="24.7109375" style="1" customWidth="1"/>
    <col min="6404" max="6404" width="11.140625" style="1" customWidth="1"/>
    <col min="6405" max="6405" width="12.28515625" style="1" customWidth="1"/>
    <col min="6406" max="6406" width="11.140625" style="1" customWidth="1"/>
    <col min="6407" max="6407" width="10.42578125" style="1" customWidth="1"/>
    <col min="6408" max="6408" width="4.7109375" style="1" customWidth="1"/>
    <col min="6409" max="6409" width="8.5703125" style="1" customWidth="1"/>
    <col min="6410" max="6410" width="5.5703125" style="1" customWidth="1"/>
    <col min="6411" max="6412" width="11.5703125" style="1" customWidth="1"/>
    <col min="6413" max="6413" width="10.85546875" style="1" customWidth="1"/>
    <col min="6414" max="6414" width="7.7109375" style="1" customWidth="1"/>
    <col min="6415" max="6415" width="8" style="1" customWidth="1"/>
    <col min="6416" max="6416" width="16.28515625" style="1" customWidth="1"/>
    <col min="6417" max="6417" width="10.5703125" style="1" customWidth="1"/>
    <col min="6418" max="6418" width="14.140625" style="1" customWidth="1"/>
    <col min="6419" max="6419" width="10.140625" style="1" customWidth="1"/>
    <col min="6420" max="6420" width="15.140625" style="1" customWidth="1"/>
    <col min="6421" max="6421" width="8.5703125" style="1" customWidth="1"/>
    <col min="6422" max="6422" width="14.28515625" style="1" customWidth="1"/>
    <col min="6423" max="6423" width="18.28515625" style="1" customWidth="1"/>
    <col min="6424" max="6424" width="13" style="1" bestFit="1" customWidth="1"/>
    <col min="6425" max="6425" width="11.7109375" style="1" bestFit="1" customWidth="1"/>
    <col min="6426" max="6432" width="9.140625" style="1"/>
    <col min="6433" max="6433" width="11.28515625" style="1" bestFit="1" customWidth="1"/>
    <col min="6434" max="6434" width="10.7109375" style="1" bestFit="1" customWidth="1"/>
    <col min="6435" max="6656" width="9.140625" style="1"/>
    <col min="6657" max="6657" width="6.42578125" style="1" customWidth="1"/>
    <col min="6658" max="6658" width="20.7109375" style="1" customWidth="1"/>
    <col min="6659" max="6659" width="24.7109375" style="1" customWidth="1"/>
    <col min="6660" max="6660" width="11.140625" style="1" customWidth="1"/>
    <col min="6661" max="6661" width="12.28515625" style="1" customWidth="1"/>
    <col min="6662" max="6662" width="11.140625" style="1" customWidth="1"/>
    <col min="6663" max="6663" width="10.42578125" style="1" customWidth="1"/>
    <col min="6664" max="6664" width="4.7109375" style="1" customWidth="1"/>
    <col min="6665" max="6665" width="8.5703125" style="1" customWidth="1"/>
    <col min="6666" max="6666" width="5.5703125" style="1" customWidth="1"/>
    <col min="6667" max="6668" width="11.5703125" style="1" customWidth="1"/>
    <col min="6669" max="6669" width="10.85546875" style="1" customWidth="1"/>
    <col min="6670" max="6670" width="7.7109375" style="1" customWidth="1"/>
    <col min="6671" max="6671" width="8" style="1" customWidth="1"/>
    <col min="6672" max="6672" width="16.28515625" style="1" customWidth="1"/>
    <col min="6673" max="6673" width="10.5703125" style="1" customWidth="1"/>
    <col min="6674" max="6674" width="14.140625" style="1" customWidth="1"/>
    <col min="6675" max="6675" width="10.140625" style="1" customWidth="1"/>
    <col min="6676" max="6676" width="15.140625" style="1" customWidth="1"/>
    <col min="6677" max="6677" width="8.5703125" style="1" customWidth="1"/>
    <col min="6678" max="6678" width="14.28515625" style="1" customWidth="1"/>
    <col min="6679" max="6679" width="18.28515625" style="1" customWidth="1"/>
    <col min="6680" max="6680" width="13" style="1" bestFit="1" customWidth="1"/>
    <col min="6681" max="6681" width="11.7109375" style="1" bestFit="1" customWidth="1"/>
    <col min="6682" max="6688" width="9.140625" style="1"/>
    <col min="6689" max="6689" width="11.28515625" style="1" bestFit="1" customWidth="1"/>
    <col min="6690" max="6690" width="10.7109375" style="1" bestFit="1" customWidth="1"/>
    <col min="6691" max="6912" width="9.140625" style="1"/>
    <col min="6913" max="6913" width="6.42578125" style="1" customWidth="1"/>
    <col min="6914" max="6914" width="20.7109375" style="1" customWidth="1"/>
    <col min="6915" max="6915" width="24.7109375" style="1" customWidth="1"/>
    <col min="6916" max="6916" width="11.140625" style="1" customWidth="1"/>
    <col min="6917" max="6917" width="12.28515625" style="1" customWidth="1"/>
    <col min="6918" max="6918" width="11.140625" style="1" customWidth="1"/>
    <col min="6919" max="6919" width="10.42578125" style="1" customWidth="1"/>
    <col min="6920" max="6920" width="4.7109375" style="1" customWidth="1"/>
    <col min="6921" max="6921" width="8.5703125" style="1" customWidth="1"/>
    <col min="6922" max="6922" width="5.5703125" style="1" customWidth="1"/>
    <col min="6923" max="6924" width="11.5703125" style="1" customWidth="1"/>
    <col min="6925" max="6925" width="10.85546875" style="1" customWidth="1"/>
    <col min="6926" max="6926" width="7.7109375" style="1" customWidth="1"/>
    <col min="6927" max="6927" width="8" style="1" customWidth="1"/>
    <col min="6928" max="6928" width="16.28515625" style="1" customWidth="1"/>
    <col min="6929" max="6929" width="10.5703125" style="1" customWidth="1"/>
    <col min="6930" max="6930" width="14.140625" style="1" customWidth="1"/>
    <col min="6931" max="6931" width="10.140625" style="1" customWidth="1"/>
    <col min="6932" max="6932" width="15.140625" style="1" customWidth="1"/>
    <col min="6933" max="6933" width="8.5703125" style="1" customWidth="1"/>
    <col min="6934" max="6934" width="14.28515625" style="1" customWidth="1"/>
    <col min="6935" max="6935" width="18.28515625" style="1" customWidth="1"/>
    <col min="6936" max="6936" width="13" style="1" bestFit="1" customWidth="1"/>
    <col min="6937" max="6937" width="11.7109375" style="1" bestFit="1" customWidth="1"/>
    <col min="6938" max="6944" width="9.140625" style="1"/>
    <col min="6945" max="6945" width="11.28515625" style="1" bestFit="1" customWidth="1"/>
    <col min="6946" max="6946" width="10.7109375" style="1" bestFit="1" customWidth="1"/>
    <col min="6947" max="7168" width="9.140625" style="1"/>
    <col min="7169" max="7169" width="6.42578125" style="1" customWidth="1"/>
    <col min="7170" max="7170" width="20.7109375" style="1" customWidth="1"/>
    <col min="7171" max="7171" width="24.7109375" style="1" customWidth="1"/>
    <col min="7172" max="7172" width="11.140625" style="1" customWidth="1"/>
    <col min="7173" max="7173" width="12.28515625" style="1" customWidth="1"/>
    <col min="7174" max="7174" width="11.140625" style="1" customWidth="1"/>
    <col min="7175" max="7175" width="10.42578125" style="1" customWidth="1"/>
    <col min="7176" max="7176" width="4.7109375" style="1" customWidth="1"/>
    <col min="7177" max="7177" width="8.5703125" style="1" customWidth="1"/>
    <col min="7178" max="7178" width="5.5703125" style="1" customWidth="1"/>
    <col min="7179" max="7180" width="11.5703125" style="1" customWidth="1"/>
    <col min="7181" max="7181" width="10.85546875" style="1" customWidth="1"/>
    <col min="7182" max="7182" width="7.7109375" style="1" customWidth="1"/>
    <col min="7183" max="7183" width="8" style="1" customWidth="1"/>
    <col min="7184" max="7184" width="16.28515625" style="1" customWidth="1"/>
    <col min="7185" max="7185" width="10.5703125" style="1" customWidth="1"/>
    <col min="7186" max="7186" width="14.140625" style="1" customWidth="1"/>
    <col min="7187" max="7187" width="10.140625" style="1" customWidth="1"/>
    <col min="7188" max="7188" width="15.140625" style="1" customWidth="1"/>
    <col min="7189" max="7189" width="8.5703125" style="1" customWidth="1"/>
    <col min="7190" max="7190" width="14.28515625" style="1" customWidth="1"/>
    <col min="7191" max="7191" width="18.28515625" style="1" customWidth="1"/>
    <col min="7192" max="7192" width="13" style="1" bestFit="1" customWidth="1"/>
    <col min="7193" max="7193" width="11.7109375" style="1" bestFit="1" customWidth="1"/>
    <col min="7194" max="7200" width="9.140625" style="1"/>
    <col min="7201" max="7201" width="11.28515625" style="1" bestFit="1" customWidth="1"/>
    <col min="7202" max="7202" width="10.7109375" style="1" bestFit="1" customWidth="1"/>
    <col min="7203" max="7424" width="9.140625" style="1"/>
    <col min="7425" max="7425" width="6.42578125" style="1" customWidth="1"/>
    <col min="7426" max="7426" width="20.7109375" style="1" customWidth="1"/>
    <col min="7427" max="7427" width="24.7109375" style="1" customWidth="1"/>
    <col min="7428" max="7428" width="11.140625" style="1" customWidth="1"/>
    <col min="7429" max="7429" width="12.28515625" style="1" customWidth="1"/>
    <col min="7430" max="7430" width="11.140625" style="1" customWidth="1"/>
    <col min="7431" max="7431" width="10.42578125" style="1" customWidth="1"/>
    <col min="7432" max="7432" width="4.7109375" style="1" customWidth="1"/>
    <col min="7433" max="7433" width="8.5703125" style="1" customWidth="1"/>
    <col min="7434" max="7434" width="5.5703125" style="1" customWidth="1"/>
    <col min="7435" max="7436" width="11.5703125" style="1" customWidth="1"/>
    <col min="7437" max="7437" width="10.85546875" style="1" customWidth="1"/>
    <col min="7438" max="7438" width="7.7109375" style="1" customWidth="1"/>
    <col min="7439" max="7439" width="8" style="1" customWidth="1"/>
    <col min="7440" max="7440" width="16.28515625" style="1" customWidth="1"/>
    <col min="7441" max="7441" width="10.5703125" style="1" customWidth="1"/>
    <col min="7442" max="7442" width="14.140625" style="1" customWidth="1"/>
    <col min="7443" max="7443" width="10.140625" style="1" customWidth="1"/>
    <col min="7444" max="7444" width="15.140625" style="1" customWidth="1"/>
    <col min="7445" max="7445" width="8.5703125" style="1" customWidth="1"/>
    <col min="7446" max="7446" width="14.28515625" style="1" customWidth="1"/>
    <col min="7447" max="7447" width="18.28515625" style="1" customWidth="1"/>
    <col min="7448" max="7448" width="13" style="1" bestFit="1" customWidth="1"/>
    <col min="7449" max="7449" width="11.7109375" style="1" bestFit="1" customWidth="1"/>
    <col min="7450" max="7456" width="9.140625" style="1"/>
    <col min="7457" max="7457" width="11.28515625" style="1" bestFit="1" customWidth="1"/>
    <col min="7458" max="7458" width="10.7109375" style="1" bestFit="1" customWidth="1"/>
    <col min="7459" max="7680" width="9.140625" style="1"/>
    <col min="7681" max="7681" width="6.42578125" style="1" customWidth="1"/>
    <col min="7682" max="7682" width="20.7109375" style="1" customWidth="1"/>
    <col min="7683" max="7683" width="24.7109375" style="1" customWidth="1"/>
    <col min="7684" max="7684" width="11.140625" style="1" customWidth="1"/>
    <col min="7685" max="7685" width="12.28515625" style="1" customWidth="1"/>
    <col min="7686" max="7686" width="11.140625" style="1" customWidth="1"/>
    <col min="7687" max="7687" width="10.42578125" style="1" customWidth="1"/>
    <col min="7688" max="7688" width="4.7109375" style="1" customWidth="1"/>
    <col min="7689" max="7689" width="8.5703125" style="1" customWidth="1"/>
    <col min="7690" max="7690" width="5.5703125" style="1" customWidth="1"/>
    <col min="7691" max="7692" width="11.5703125" style="1" customWidth="1"/>
    <col min="7693" max="7693" width="10.85546875" style="1" customWidth="1"/>
    <col min="7694" max="7694" width="7.7109375" style="1" customWidth="1"/>
    <col min="7695" max="7695" width="8" style="1" customWidth="1"/>
    <col min="7696" max="7696" width="16.28515625" style="1" customWidth="1"/>
    <col min="7697" max="7697" width="10.5703125" style="1" customWidth="1"/>
    <col min="7698" max="7698" width="14.140625" style="1" customWidth="1"/>
    <col min="7699" max="7699" width="10.140625" style="1" customWidth="1"/>
    <col min="7700" max="7700" width="15.140625" style="1" customWidth="1"/>
    <col min="7701" max="7701" width="8.5703125" style="1" customWidth="1"/>
    <col min="7702" max="7702" width="14.28515625" style="1" customWidth="1"/>
    <col min="7703" max="7703" width="18.28515625" style="1" customWidth="1"/>
    <col min="7704" max="7704" width="13" style="1" bestFit="1" customWidth="1"/>
    <col min="7705" max="7705" width="11.7109375" style="1" bestFit="1" customWidth="1"/>
    <col min="7706" max="7712" width="9.140625" style="1"/>
    <col min="7713" max="7713" width="11.28515625" style="1" bestFit="1" customWidth="1"/>
    <col min="7714" max="7714" width="10.7109375" style="1" bestFit="1" customWidth="1"/>
    <col min="7715" max="7936" width="9.140625" style="1"/>
    <col min="7937" max="7937" width="6.42578125" style="1" customWidth="1"/>
    <col min="7938" max="7938" width="20.7109375" style="1" customWidth="1"/>
    <col min="7939" max="7939" width="24.7109375" style="1" customWidth="1"/>
    <col min="7940" max="7940" width="11.140625" style="1" customWidth="1"/>
    <col min="7941" max="7941" width="12.28515625" style="1" customWidth="1"/>
    <col min="7942" max="7942" width="11.140625" style="1" customWidth="1"/>
    <col min="7943" max="7943" width="10.42578125" style="1" customWidth="1"/>
    <col min="7944" max="7944" width="4.7109375" style="1" customWidth="1"/>
    <col min="7945" max="7945" width="8.5703125" style="1" customWidth="1"/>
    <col min="7946" max="7946" width="5.5703125" style="1" customWidth="1"/>
    <col min="7947" max="7948" width="11.5703125" style="1" customWidth="1"/>
    <col min="7949" max="7949" width="10.85546875" style="1" customWidth="1"/>
    <col min="7950" max="7950" width="7.7109375" style="1" customWidth="1"/>
    <col min="7951" max="7951" width="8" style="1" customWidth="1"/>
    <col min="7952" max="7952" width="16.28515625" style="1" customWidth="1"/>
    <col min="7953" max="7953" width="10.5703125" style="1" customWidth="1"/>
    <col min="7954" max="7954" width="14.140625" style="1" customWidth="1"/>
    <col min="7955" max="7955" width="10.140625" style="1" customWidth="1"/>
    <col min="7956" max="7956" width="15.140625" style="1" customWidth="1"/>
    <col min="7957" max="7957" width="8.5703125" style="1" customWidth="1"/>
    <col min="7958" max="7958" width="14.28515625" style="1" customWidth="1"/>
    <col min="7959" max="7959" width="18.28515625" style="1" customWidth="1"/>
    <col min="7960" max="7960" width="13" style="1" bestFit="1" customWidth="1"/>
    <col min="7961" max="7961" width="11.7109375" style="1" bestFit="1" customWidth="1"/>
    <col min="7962" max="7968" width="9.140625" style="1"/>
    <col min="7969" max="7969" width="11.28515625" style="1" bestFit="1" customWidth="1"/>
    <col min="7970" max="7970" width="10.7109375" style="1" bestFit="1" customWidth="1"/>
    <col min="7971" max="8192" width="9.140625" style="1"/>
    <col min="8193" max="8193" width="6.42578125" style="1" customWidth="1"/>
    <col min="8194" max="8194" width="20.7109375" style="1" customWidth="1"/>
    <col min="8195" max="8195" width="24.7109375" style="1" customWidth="1"/>
    <col min="8196" max="8196" width="11.140625" style="1" customWidth="1"/>
    <col min="8197" max="8197" width="12.28515625" style="1" customWidth="1"/>
    <col min="8198" max="8198" width="11.140625" style="1" customWidth="1"/>
    <col min="8199" max="8199" width="10.42578125" style="1" customWidth="1"/>
    <col min="8200" max="8200" width="4.7109375" style="1" customWidth="1"/>
    <col min="8201" max="8201" width="8.5703125" style="1" customWidth="1"/>
    <col min="8202" max="8202" width="5.5703125" style="1" customWidth="1"/>
    <col min="8203" max="8204" width="11.5703125" style="1" customWidth="1"/>
    <col min="8205" max="8205" width="10.85546875" style="1" customWidth="1"/>
    <col min="8206" max="8206" width="7.7109375" style="1" customWidth="1"/>
    <col min="8207" max="8207" width="8" style="1" customWidth="1"/>
    <col min="8208" max="8208" width="16.28515625" style="1" customWidth="1"/>
    <col min="8209" max="8209" width="10.5703125" style="1" customWidth="1"/>
    <col min="8210" max="8210" width="14.140625" style="1" customWidth="1"/>
    <col min="8211" max="8211" width="10.140625" style="1" customWidth="1"/>
    <col min="8212" max="8212" width="15.140625" style="1" customWidth="1"/>
    <col min="8213" max="8213" width="8.5703125" style="1" customWidth="1"/>
    <col min="8214" max="8214" width="14.28515625" style="1" customWidth="1"/>
    <col min="8215" max="8215" width="18.28515625" style="1" customWidth="1"/>
    <col min="8216" max="8216" width="13" style="1" bestFit="1" customWidth="1"/>
    <col min="8217" max="8217" width="11.7109375" style="1" bestFit="1" customWidth="1"/>
    <col min="8218" max="8224" width="9.140625" style="1"/>
    <col min="8225" max="8225" width="11.28515625" style="1" bestFit="1" customWidth="1"/>
    <col min="8226" max="8226" width="10.7109375" style="1" bestFit="1" customWidth="1"/>
    <col min="8227" max="8448" width="9.140625" style="1"/>
    <col min="8449" max="8449" width="6.42578125" style="1" customWidth="1"/>
    <col min="8450" max="8450" width="20.7109375" style="1" customWidth="1"/>
    <col min="8451" max="8451" width="24.7109375" style="1" customWidth="1"/>
    <col min="8452" max="8452" width="11.140625" style="1" customWidth="1"/>
    <col min="8453" max="8453" width="12.28515625" style="1" customWidth="1"/>
    <col min="8454" max="8454" width="11.140625" style="1" customWidth="1"/>
    <col min="8455" max="8455" width="10.42578125" style="1" customWidth="1"/>
    <col min="8456" max="8456" width="4.7109375" style="1" customWidth="1"/>
    <col min="8457" max="8457" width="8.5703125" style="1" customWidth="1"/>
    <col min="8458" max="8458" width="5.5703125" style="1" customWidth="1"/>
    <col min="8459" max="8460" width="11.5703125" style="1" customWidth="1"/>
    <col min="8461" max="8461" width="10.85546875" style="1" customWidth="1"/>
    <col min="8462" max="8462" width="7.7109375" style="1" customWidth="1"/>
    <col min="8463" max="8463" width="8" style="1" customWidth="1"/>
    <col min="8464" max="8464" width="16.28515625" style="1" customWidth="1"/>
    <col min="8465" max="8465" width="10.5703125" style="1" customWidth="1"/>
    <col min="8466" max="8466" width="14.140625" style="1" customWidth="1"/>
    <col min="8467" max="8467" width="10.140625" style="1" customWidth="1"/>
    <col min="8468" max="8468" width="15.140625" style="1" customWidth="1"/>
    <col min="8469" max="8469" width="8.5703125" style="1" customWidth="1"/>
    <col min="8470" max="8470" width="14.28515625" style="1" customWidth="1"/>
    <col min="8471" max="8471" width="18.28515625" style="1" customWidth="1"/>
    <col min="8472" max="8472" width="13" style="1" bestFit="1" customWidth="1"/>
    <col min="8473" max="8473" width="11.7109375" style="1" bestFit="1" customWidth="1"/>
    <col min="8474" max="8480" width="9.140625" style="1"/>
    <col min="8481" max="8481" width="11.28515625" style="1" bestFit="1" customWidth="1"/>
    <col min="8482" max="8482" width="10.7109375" style="1" bestFit="1" customWidth="1"/>
    <col min="8483" max="8704" width="9.140625" style="1"/>
    <col min="8705" max="8705" width="6.42578125" style="1" customWidth="1"/>
    <col min="8706" max="8706" width="20.7109375" style="1" customWidth="1"/>
    <col min="8707" max="8707" width="24.7109375" style="1" customWidth="1"/>
    <col min="8708" max="8708" width="11.140625" style="1" customWidth="1"/>
    <col min="8709" max="8709" width="12.28515625" style="1" customWidth="1"/>
    <col min="8710" max="8710" width="11.140625" style="1" customWidth="1"/>
    <col min="8711" max="8711" width="10.42578125" style="1" customWidth="1"/>
    <col min="8712" max="8712" width="4.7109375" style="1" customWidth="1"/>
    <col min="8713" max="8713" width="8.5703125" style="1" customWidth="1"/>
    <col min="8714" max="8714" width="5.5703125" style="1" customWidth="1"/>
    <col min="8715" max="8716" width="11.5703125" style="1" customWidth="1"/>
    <col min="8717" max="8717" width="10.85546875" style="1" customWidth="1"/>
    <col min="8718" max="8718" width="7.7109375" style="1" customWidth="1"/>
    <col min="8719" max="8719" width="8" style="1" customWidth="1"/>
    <col min="8720" max="8720" width="16.28515625" style="1" customWidth="1"/>
    <col min="8721" max="8721" width="10.5703125" style="1" customWidth="1"/>
    <col min="8722" max="8722" width="14.140625" style="1" customWidth="1"/>
    <col min="8723" max="8723" width="10.140625" style="1" customWidth="1"/>
    <col min="8724" max="8724" width="15.140625" style="1" customWidth="1"/>
    <col min="8725" max="8725" width="8.5703125" style="1" customWidth="1"/>
    <col min="8726" max="8726" width="14.28515625" style="1" customWidth="1"/>
    <col min="8727" max="8727" width="18.28515625" style="1" customWidth="1"/>
    <col min="8728" max="8728" width="13" style="1" bestFit="1" customWidth="1"/>
    <col min="8729" max="8729" width="11.7109375" style="1" bestFit="1" customWidth="1"/>
    <col min="8730" max="8736" width="9.140625" style="1"/>
    <col min="8737" max="8737" width="11.28515625" style="1" bestFit="1" customWidth="1"/>
    <col min="8738" max="8738" width="10.7109375" style="1" bestFit="1" customWidth="1"/>
    <col min="8739" max="8960" width="9.140625" style="1"/>
    <col min="8961" max="8961" width="6.42578125" style="1" customWidth="1"/>
    <col min="8962" max="8962" width="20.7109375" style="1" customWidth="1"/>
    <col min="8963" max="8963" width="24.7109375" style="1" customWidth="1"/>
    <col min="8964" max="8964" width="11.140625" style="1" customWidth="1"/>
    <col min="8965" max="8965" width="12.28515625" style="1" customWidth="1"/>
    <col min="8966" max="8966" width="11.140625" style="1" customWidth="1"/>
    <col min="8967" max="8967" width="10.42578125" style="1" customWidth="1"/>
    <col min="8968" max="8968" width="4.7109375" style="1" customWidth="1"/>
    <col min="8969" max="8969" width="8.5703125" style="1" customWidth="1"/>
    <col min="8970" max="8970" width="5.5703125" style="1" customWidth="1"/>
    <col min="8971" max="8972" width="11.5703125" style="1" customWidth="1"/>
    <col min="8973" max="8973" width="10.85546875" style="1" customWidth="1"/>
    <col min="8974" max="8974" width="7.7109375" style="1" customWidth="1"/>
    <col min="8975" max="8975" width="8" style="1" customWidth="1"/>
    <col min="8976" max="8976" width="16.28515625" style="1" customWidth="1"/>
    <col min="8977" max="8977" width="10.5703125" style="1" customWidth="1"/>
    <col min="8978" max="8978" width="14.140625" style="1" customWidth="1"/>
    <col min="8979" max="8979" width="10.140625" style="1" customWidth="1"/>
    <col min="8980" max="8980" width="15.140625" style="1" customWidth="1"/>
    <col min="8981" max="8981" width="8.5703125" style="1" customWidth="1"/>
    <col min="8982" max="8982" width="14.28515625" style="1" customWidth="1"/>
    <col min="8983" max="8983" width="18.28515625" style="1" customWidth="1"/>
    <col min="8984" max="8984" width="13" style="1" bestFit="1" customWidth="1"/>
    <col min="8985" max="8985" width="11.7109375" style="1" bestFit="1" customWidth="1"/>
    <col min="8986" max="8992" width="9.140625" style="1"/>
    <col min="8993" max="8993" width="11.28515625" style="1" bestFit="1" customWidth="1"/>
    <col min="8994" max="8994" width="10.7109375" style="1" bestFit="1" customWidth="1"/>
    <col min="8995" max="9216" width="9.140625" style="1"/>
    <col min="9217" max="9217" width="6.42578125" style="1" customWidth="1"/>
    <col min="9218" max="9218" width="20.7109375" style="1" customWidth="1"/>
    <col min="9219" max="9219" width="24.7109375" style="1" customWidth="1"/>
    <col min="9220" max="9220" width="11.140625" style="1" customWidth="1"/>
    <col min="9221" max="9221" width="12.28515625" style="1" customWidth="1"/>
    <col min="9222" max="9222" width="11.140625" style="1" customWidth="1"/>
    <col min="9223" max="9223" width="10.42578125" style="1" customWidth="1"/>
    <col min="9224" max="9224" width="4.7109375" style="1" customWidth="1"/>
    <col min="9225" max="9225" width="8.5703125" style="1" customWidth="1"/>
    <col min="9226" max="9226" width="5.5703125" style="1" customWidth="1"/>
    <col min="9227" max="9228" width="11.5703125" style="1" customWidth="1"/>
    <col min="9229" max="9229" width="10.85546875" style="1" customWidth="1"/>
    <col min="9230" max="9230" width="7.7109375" style="1" customWidth="1"/>
    <col min="9231" max="9231" width="8" style="1" customWidth="1"/>
    <col min="9232" max="9232" width="16.28515625" style="1" customWidth="1"/>
    <col min="9233" max="9233" width="10.5703125" style="1" customWidth="1"/>
    <col min="9234" max="9234" width="14.140625" style="1" customWidth="1"/>
    <col min="9235" max="9235" width="10.140625" style="1" customWidth="1"/>
    <col min="9236" max="9236" width="15.140625" style="1" customWidth="1"/>
    <col min="9237" max="9237" width="8.5703125" style="1" customWidth="1"/>
    <col min="9238" max="9238" width="14.28515625" style="1" customWidth="1"/>
    <col min="9239" max="9239" width="18.28515625" style="1" customWidth="1"/>
    <col min="9240" max="9240" width="13" style="1" bestFit="1" customWidth="1"/>
    <col min="9241" max="9241" width="11.7109375" style="1" bestFit="1" customWidth="1"/>
    <col min="9242" max="9248" width="9.140625" style="1"/>
    <col min="9249" max="9249" width="11.28515625" style="1" bestFit="1" customWidth="1"/>
    <col min="9250" max="9250" width="10.7109375" style="1" bestFit="1" customWidth="1"/>
    <col min="9251" max="9472" width="9.140625" style="1"/>
    <col min="9473" max="9473" width="6.42578125" style="1" customWidth="1"/>
    <col min="9474" max="9474" width="20.7109375" style="1" customWidth="1"/>
    <col min="9475" max="9475" width="24.7109375" style="1" customWidth="1"/>
    <col min="9476" max="9476" width="11.140625" style="1" customWidth="1"/>
    <col min="9477" max="9477" width="12.28515625" style="1" customWidth="1"/>
    <col min="9478" max="9478" width="11.140625" style="1" customWidth="1"/>
    <col min="9479" max="9479" width="10.42578125" style="1" customWidth="1"/>
    <col min="9480" max="9480" width="4.7109375" style="1" customWidth="1"/>
    <col min="9481" max="9481" width="8.5703125" style="1" customWidth="1"/>
    <col min="9482" max="9482" width="5.5703125" style="1" customWidth="1"/>
    <col min="9483" max="9484" width="11.5703125" style="1" customWidth="1"/>
    <col min="9485" max="9485" width="10.85546875" style="1" customWidth="1"/>
    <col min="9486" max="9486" width="7.7109375" style="1" customWidth="1"/>
    <col min="9487" max="9487" width="8" style="1" customWidth="1"/>
    <col min="9488" max="9488" width="16.28515625" style="1" customWidth="1"/>
    <col min="9489" max="9489" width="10.5703125" style="1" customWidth="1"/>
    <col min="9490" max="9490" width="14.140625" style="1" customWidth="1"/>
    <col min="9491" max="9491" width="10.140625" style="1" customWidth="1"/>
    <col min="9492" max="9492" width="15.140625" style="1" customWidth="1"/>
    <col min="9493" max="9493" width="8.5703125" style="1" customWidth="1"/>
    <col min="9494" max="9494" width="14.28515625" style="1" customWidth="1"/>
    <col min="9495" max="9495" width="18.28515625" style="1" customWidth="1"/>
    <col min="9496" max="9496" width="13" style="1" bestFit="1" customWidth="1"/>
    <col min="9497" max="9497" width="11.7109375" style="1" bestFit="1" customWidth="1"/>
    <col min="9498" max="9504" width="9.140625" style="1"/>
    <col min="9505" max="9505" width="11.28515625" style="1" bestFit="1" customWidth="1"/>
    <col min="9506" max="9506" width="10.7109375" style="1" bestFit="1" customWidth="1"/>
    <col min="9507" max="9728" width="9.140625" style="1"/>
    <col min="9729" max="9729" width="6.42578125" style="1" customWidth="1"/>
    <col min="9730" max="9730" width="20.7109375" style="1" customWidth="1"/>
    <col min="9731" max="9731" width="24.7109375" style="1" customWidth="1"/>
    <col min="9732" max="9732" width="11.140625" style="1" customWidth="1"/>
    <col min="9733" max="9733" width="12.28515625" style="1" customWidth="1"/>
    <col min="9734" max="9734" width="11.140625" style="1" customWidth="1"/>
    <col min="9735" max="9735" width="10.42578125" style="1" customWidth="1"/>
    <col min="9736" max="9736" width="4.7109375" style="1" customWidth="1"/>
    <col min="9737" max="9737" width="8.5703125" style="1" customWidth="1"/>
    <col min="9738" max="9738" width="5.5703125" style="1" customWidth="1"/>
    <col min="9739" max="9740" width="11.5703125" style="1" customWidth="1"/>
    <col min="9741" max="9741" width="10.85546875" style="1" customWidth="1"/>
    <col min="9742" max="9742" width="7.7109375" style="1" customWidth="1"/>
    <col min="9743" max="9743" width="8" style="1" customWidth="1"/>
    <col min="9744" max="9744" width="16.28515625" style="1" customWidth="1"/>
    <col min="9745" max="9745" width="10.5703125" style="1" customWidth="1"/>
    <col min="9746" max="9746" width="14.140625" style="1" customWidth="1"/>
    <col min="9747" max="9747" width="10.140625" style="1" customWidth="1"/>
    <col min="9748" max="9748" width="15.140625" style="1" customWidth="1"/>
    <col min="9749" max="9749" width="8.5703125" style="1" customWidth="1"/>
    <col min="9750" max="9750" width="14.28515625" style="1" customWidth="1"/>
    <col min="9751" max="9751" width="18.28515625" style="1" customWidth="1"/>
    <col min="9752" max="9752" width="13" style="1" bestFit="1" customWidth="1"/>
    <col min="9753" max="9753" width="11.7109375" style="1" bestFit="1" customWidth="1"/>
    <col min="9754" max="9760" width="9.140625" style="1"/>
    <col min="9761" max="9761" width="11.28515625" style="1" bestFit="1" customWidth="1"/>
    <col min="9762" max="9762" width="10.7109375" style="1" bestFit="1" customWidth="1"/>
    <col min="9763" max="9984" width="9.140625" style="1"/>
    <col min="9985" max="9985" width="6.42578125" style="1" customWidth="1"/>
    <col min="9986" max="9986" width="20.7109375" style="1" customWidth="1"/>
    <col min="9987" max="9987" width="24.7109375" style="1" customWidth="1"/>
    <col min="9988" max="9988" width="11.140625" style="1" customWidth="1"/>
    <col min="9989" max="9989" width="12.28515625" style="1" customWidth="1"/>
    <col min="9990" max="9990" width="11.140625" style="1" customWidth="1"/>
    <col min="9991" max="9991" width="10.42578125" style="1" customWidth="1"/>
    <col min="9992" max="9992" width="4.7109375" style="1" customWidth="1"/>
    <col min="9993" max="9993" width="8.5703125" style="1" customWidth="1"/>
    <col min="9994" max="9994" width="5.5703125" style="1" customWidth="1"/>
    <col min="9995" max="9996" width="11.5703125" style="1" customWidth="1"/>
    <col min="9997" max="9997" width="10.85546875" style="1" customWidth="1"/>
    <col min="9998" max="9998" width="7.7109375" style="1" customWidth="1"/>
    <col min="9999" max="9999" width="8" style="1" customWidth="1"/>
    <col min="10000" max="10000" width="16.28515625" style="1" customWidth="1"/>
    <col min="10001" max="10001" width="10.5703125" style="1" customWidth="1"/>
    <col min="10002" max="10002" width="14.140625" style="1" customWidth="1"/>
    <col min="10003" max="10003" width="10.140625" style="1" customWidth="1"/>
    <col min="10004" max="10004" width="15.140625" style="1" customWidth="1"/>
    <col min="10005" max="10005" width="8.5703125" style="1" customWidth="1"/>
    <col min="10006" max="10006" width="14.28515625" style="1" customWidth="1"/>
    <col min="10007" max="10007" width="18.28515625" style="1" customWidth="1"/>
    <col min="10008" max="10008" width="13" style="1" bestFit="1" customWidth="1"/>
    <col min="10009" max="10009" width="11.7109375" style="1" bestFit="1" customWidth="1"/>
    <col min="10010" max="10016" width="9.140625" style="1"/>
    <col min="10017" max="10017" width="11.28515625" style="1" bestFit="1" customWidth="1"/>
    <col min="10018" max="10018" width="10.7109375" style="1" bestFit="1" customWidth="1"/>
    <col min="10019" max="10240" width="9.140625" style="1"/>
    <col min="10241" max="10241" width="6.42578125" style="1" customWidth="1"/>
    <col min="10242" max="10242" width="20.7109375" style="1" customWidth="1"/>
    <col min="10243" max="10243" width="24.7109375" style="1" customWidth="1"/>
    <col min="10244" max="10244" width="11.140625" style="1" customWidth="1"/>
    <col min="10245" max="10245" width="12.28515625" style="1" customWidth="1"/>
    <col min="10246" max="10246" width="11.140625" style="1" customWidth="1"/>
    <col min="10247" max="10247" width="10.42578125" style="1" customWidth="1"/>
    <col min="10248" max="10248" width="4.7109375" style="1" customWidth="1"/>
    <col min="10249" max="10249" width="8.5703125" style="1" customWidth="1"/>
    <col min="10250" max="10250" width="5.5703125" style="1" customWidth="1"/>
    <col min="10251" max="10252" width="11.5703125" style="1" customWidth="1"/>
    <col min="10253" max="10253" width="10.85546875" style="1" customWidth="1"/>
    <col min="10254" max="10254" width="7.7109375" style="1" customWidth="1"/>
    <col min="10255" max="10255" width="8" style="1" customWidth="1"/>
    <col min="10256" max="10256" width="16.28515625" style="1" customWidth="1"/>
    <col min="10257" max="10257" width="10.5703125" style="1" customWidth="1"/>
    <col min="10258" max="10258" width="14.140625" style="1" customWidth="1"/>
    <col min="10259" max="10259" width="10.140625" style="1" customWidth="1"/>
    <col min="10260" max="10260" width="15.140625" style="1" customWidth="1"/>
    <col min="10261" max="10261" width="8.5703125" style="1" customWidth="1"/>
    <col min="10262" max="10262" width="14.28515625" style="1" customWidth="1"/>
    <col min="10263" max="10263" width="18.28515625" style="1" customWidth="1"/>
    <col min="10264" max="10264" width="13" style="1" bestFit="1" customWidth="1"/>
    <col min="10265" max="10265" width="11.7109375" style="1" bestFit="1" customWidth="1"/>
    <col min="10266" max="10272" width="9.140625" style="1"/>
    <col min="10273" max="10273" width="11.28515625" style="1" bestFit="1" customWidth="1"/>
    <col min="10274" max="10274" width="10.7109375" style="1" bestFit="1" customWidth="1"/>
    <col min="10275" max="10496" width="9.140625" style="1"/>
    <col min="10497" max="10497" width="6.42578125" style="1" customWidth="1"/>
    <col min="10498" max="10498" width="20.7109375" style="1" customWidth="1"/>
    <col min="10499" max="10499" width="24.7109375" style="1" customWidth="1"/>
    <col min="10500" max="10500" width="11.140625" style="1" customWidth="1"/>
    <col min="10501" max="10501" width="12.28515625" style="1" customWidth="1"/>
    <col min="10502" max="10502" width="11.140625" style="1" customWidth="1"/>
    <col min="10503" max="10503" width="10.42578125" style="1" customWidth="1"/>
    <col min="10504" max="10504" width="4.7109375" style="1" customWidth="1"/>
    <col min="10505" max="10505" width="8.5703125" style="1" customWidth="1"/>
    <col min="10506" max="10506" width="5.5703125" style="1" customWidth="1"/>
    <col min="10507" max="10508" width="11.5703125" style="1" customWidth="1"/>
    <col min="10509" max="10509" width="10.85546875" style="1" customWidth="1"/>
    <col min="10510" max="10510" width="7.7109375" style="1" customWidth="1"/>
    <col min="10511" max="10511" width="8" style="1" customWidth="1"/>
    <col min="10512" max="10512" width="16.28515625" style="1" customWidth="1"/>
    <col min="10513" max="10513" width="10.5703125" style="1" customWidth="1"/>
    <col min="10514" max="10514" width="14.140625" style="1" customWidth="1"/>
    <col min="10515" max="10515" width="10.140625" style="1" customWidth="1"/>
    <col min="10516" max="10516" width="15.140625" style="1" customWidth="1"/>
    <col min="10517" max="10517" width="8.5703125" style="1" customWidth="1"/>
    <col min="10518" max="10518" width="14.28515625" style="1" customWidth="1"/>
    <col min="10519" max="10519" width="18.28515625" style="1" customWidth="1"/>
    <col min="10520" max="10520" width="13" style="1" bestFit="1" customWidth="1"/>
    <col min="10521" max="10521" width="11.7109375" style="1" bestFit="1" customWidth="1"/>
    <col min="10522" max="10528" width="9.140625" style="1"/>
    <col min="10529" max="10529" width="11.28515625" style="1" bestFit="1" customWidth="1"/>
    <col min="10530" max="10530" width="10.7109375" style="1" bestFit="1" customWidth="1"/>
    <col min="10531" max="10752" width="9.140625" style="1"/>
    <col min="10753" max="10753" width="6.42578125" style="1" customWidth="1"/>
    <col min="10754" max="10754" width="20.7109375" style="1" customWidth="1"/>
    <col min="10755" max="10755" width="24.7109375" style="1" customWidth="1"/>
    <col min="10756" max="10756" width="11.140625" style="1" customWidth="1"/>
    <col min="10757" max="10757" width="12.28515625" style="1" customWidth="1"/>
    <col min="10758" max="10758" width="11.140625" style="1" customWidth="1"/>
    <col min="10759" max="10759" width="10.42578125" style="1" customWidth="1"/>
    <col min="10760" max="10760" width="4.7109375" style="1" customWidth="1"/>
    <col min="10761" max="10761" width="8.5703125" style="1" customWidth="1"/>
    <col min="10762" max="10762" width="5.5703125" style="1" customWidth="1"/>
    <col min="10763" max="10764" width="11.5703125" style="1" customWidth="1"/>
    <col min="10765" max="10765" width="10.85546875" style="1" customWidth="1"/>
    <col min="10766" max="10766" width="7.7109375" style="1" customWidth="1"/>
    <col min="10767" max="10767" width="8" style="1" customWidth="1"/>
    <col min="10768" max="10768" width="16.28515625" style="1" customWidth="1"/>
    <col min="10769" max="10769" width="10.5703125" style="1" customWidth="1"/>
    <col min="10770" max="10770" width="14.140625" style="1" customWidth="1"/>
    <col min="10771" max="10771" width="10.140625" style="1" customWidth="1"/>
    <col min="10772" max="10772" width="15.140625" style="1" customWidth="1"/>
    <col min="10773" max="10773" width="8.5703125" style="1" customWidth="1"/>
    <col min="10774" max="10774" width="14.28515625" style="1" customWidth="1"/>
    <col min="10775" max="10775" width="18.28515625" style="1" customWidth="1"/>
    <col min="10776" max="10776" width="13" style="1" bestFit="1" customWidth="1"/>
    <col min="10777" max="10777" width="11.7109375" style="1" bestFit="1" customWidth="1"/>
    <col min="10778" max="10784" width="9.140625" style="1"/>
    <col min="10785" max="10785" width="11.28515625" style="1" bestFit="1" customWidth="1"/>
    <col min="10786" max="10786" width="10.7109375" style="1" bestFit="1" customWidth="1"/>
    <col min="10787" max="11008" width="9.140625" style="1"/>
    <col min="11009" max="11009" width="6.42578125" style="1" customWidth="1"/>
    <col min="11010" max="11010" width="20.7109375" style="1" customWidth="1"/>
    <col min="11011" max="11011" width="24.7109375" style="1" customWidth="1"/>
    <col min="11012" max="11012" width="11.140625" style="1" customWidth="1"/>
    <col min="11013" max="11013" width="12.28515625" style="1" customWidth="1"/>
    <col min="11014" max="11014" width="11.140625" style="1" customWidth="1"/>
    <col min="11015" max="11015" width="10.42578125" style="1" customWidth="1"/>
    <col min="11016" max="11016" width="4.7109375" style="1" customWidth="1"/>
    <col min="11017" max="11017" width="8.5703125" style="1" customWidth="1"/>
    <col min="11018" max="11018" width="5.5703125" style="1" customWidth="1"/>
    <col min="11019" max="11020" width="11.5703125" style="1" customWidth="1"/>
    <col min="11021" max="11021" width="10.85546875" style="1" customWidth="1"/>
    <col min="11022" max="11022" width="7.7109375" style="1" customWidth="1"/>
    <col min="11023" max="11023" width="8" style="1" customWidth="1"/>
    <col min="11024" max="11024" width="16.28515625" style="1" customWidth="1"/>
    <col min="11025" max="11025" width="10.5703125" style="1" customWidth="1"/>
    <col min="11026" max="11026" width="14.140625" style="1" customWidth="1"/>
    <col min="11027" max="11027" width="10.140625" style="1" customWidth="1"/>
    <col min="11028" max="11028" width="15.140625" style="1" customWidth="1"/>
    <col min="11029" max="11029" width="8.5703125" style="1" customWidth="1"/>
    <col min="11030" max="11030" width="14.28515625" style="1" customWidth="1"/>
    <col min="11031" max="11031" width="18.28515625" style="1" customWidth="1"/>
    <col min="11032" max="11032" width="13" style="1" bestFit="1" customWidth="1"/>
    <col min="11033" max="11033" width="11.7109375" style="1" bestFit="1" customWidth="1"/>
    <col min="11034" max="11040" width="9.140625" style="1"/>
    <col min="11041" max="11041" width="11.28515625" style="1" bestFit="1" customWidth="1"/>
    <col min="11042" max="11042" width="10.7109375" style="1" bestFit="1" customWidth="1"/>
    <col min="11043" max="11264" width="9.140625" style="1"/>
    <col min="11265" max="11265" width="6.42578125" style="1" customWidth="1"/>
    <col min="11266" max="11266" width="20.7109375" style="1" customWidth="1"/>
    <col min="11267" max="11267" width="24.7109375" style="1" customWidth="1"/>
    <col min="11268" max="11268" width="11.140625" style="1" customWidth="1"/>
    <col min="11269" max="11269" width="12.28515625" style="1" customWidth="1"/>
    <col min="11270" max="11270" width="11.140625" style="1" customWidth="1"/>
    <col min="11271" max="11271" width="10.42578125" style="1" customWidth="1"/>
    <col min="11272" max="11272" width="4.7109375" style="1" customWidth="1"/>
    <col min="11273" max="11273" width="8.5703125" style="1" customWidth="1"/>
    <col min="11274" max="11274" width="5.5703125" style="1" customWidth="1"/>
    <col min="11275" max="11276" width="11.5703125" style="1" customWidth="1"/>
    <col min="11277" max="11277" width="10.85546875" style="1" customWidth="1"/>
    <col min="11278" max="11278" width="7.7109375" style="1" customWidth="1"/>
    <col min="11279" max="11279" width="8" style="1" customWidth="1"/>
    <col min="11280" max="11280" width="16.28515625" style="1" customWidth="1"/>
    <col min="11281" max="11281" width="10.5703125" style="1" customWidth="1"/>
    <col min="11282" max="11282" width="14.140625" style="1" customWidth="1"/>
    <col min="11283" max="11283" width="10.140625" style="1" customWidth="1"/>
    <col min="11284" max="11284" width="15.140625" style="1" customWidth="1"/>
    <col min="11285" max="11285" width="8.5703125" style="1" customWidth="1"/>
    <col min="11286" max="11286" width="14.28515625" style="1" customWidth="1"/>
    <col min="11287" max="11287" width="18.28515625" style="1" customWidth="1"/>
    <col min="11288" max="11288" width="13" style="1" bestFit="1" customWidth="1"/>
    <col min="11289" max="11289" width="11.7109375" style="1" bestFit="1" customWidth="1"/>
    <col min="11290" max="11296" width="9.140625" style="1"/>
    <col min="11297" max="11297" width="11.28515625" style="1" bestFit="1" customWidth="1"/>
    <col min="11298" max="11298" width="10.7109375" style="1" bestFit="1" customWidth="1"/>
    <col min="11299" max="11520" width="9.140625" style="1"/>
    <col min="11521" max="11521" width="6.42578125" style="1" customWidth="1"/>
    <col min="11522" max="11522" width="20.7109375" style="1" customWidth="1"/>
    <col min="11523" max="11523" width="24.7109375" style="1" customWidth="1"/>
    <col min="11524" max="11524" width="11.140625" style="1" customWidth="1"/>
    <col min="11525" max="11525" width="12.28515625" style="1" customWidth="1"/>
    <col min="11526" max="11526" width="11.140625" style="1" customWidth="1"/>
    <col min="11527" max="11527" width="10.42578125" style="1" customWidth="1"/>
    <col min="11528" max="11528" width="4.7109375" style="1" customWidth="1"/>
    <col min="11529" max="11529" width="8.5703125" style="1" customWidth="1"/>
    <col min="11530" max="11530" width="5.5703125" style="1" customWidth="1"/>
    <col min="11531" max="11532" width="11.5703125" style="1" customWidth="1"/>
    <col min="11533" max="11533" width="10.85546875" style="1" customWidth="1"/>
    <col min="11534" max="11534" width="7.7109375" style="1" customWidth="1"/>
    <col min="11535" max="11535" width="8" style="1" customWidth="1"/>
    <col min="11536" max="11536" width="16.28515625" style="1" customWidth="1"/>
    <col min="11537" max="11537" width="10.5703125" style="1" customWidth="1"/>
    <col min="11538" max="11538" width="14.140625" style="1" customWidth="1"/>
    <col min="11539" max="11539" width="10.140625" style="1" customWidth="1"/>
    <col min="11540" max="11540" width="15.140625" style="1" customWidth="1"/>
    <col min="11541" max="11541" width="8.5703125" style="1" customWidth="1"/>
    <col min="11542" max="11542" width="14.28515625" style="1" customWidth="1"/>
    <col min="11543" max="11543" width="18.28515625" style="1" customWidth="1"/>
    <col min="11544" max="11544" width="13" style="1" bestFit="1" customWidth="1"/>
    <col min="11545" max="11545" width="11.7109375" style="1" bestFit="1" customWidth="1"/>
    <col min="11546" max="11552" width="9.140625" style="1"/>
    <col min="11553" max="11553" width="11.28515625" style="1" bestFit="1" customWidth="1"/>
    <col min="11554" max="11554" width="10.7109375" style="1" bestFit="1" customWidth="1"/>
    <col min="11555" max="11776" width="9.140625" style="1"/>
    <col min="11777" max="11777" width="6.42578125" style="1" customWidth="1"/>
    <col min="11778" max="11778" width="20.7109375" style="1" customWidth="1"/>
    <col min="11779" max="11779" width="24.7109375" style="1" customWidth="1"/>
    <col min="11780" max="11780" width="11.140625" style="1" customWidth="1"/>
    <col min="11781" max="11781" width="12.28515625" style="1" customWidth="1"/>
    <col min="11782" max="11782" width="11.140625" style="1" customWidth="1"/>
    <col min="11783" max="11783" width="10.42578125" style="1" customWidth="1"/>
    <col min="11784" max="11784" width="4.7109375" style="1" customWidth="1"/>
    <col min="11785" max="11785" width="8.5703125" style="1" customWidth="1"/>
    <col min="11786" max="11786" width="5.5703125" style="1" customWidth="1"/>
    <col min="11787" max="11788" width="11.5703125" style="1" customWidth="1"/>
    <col min="11789" max="11789" width="10.85546875" style="1" customWidth="1"/>
    <col min="11790" max="11790" width="7.7109375" style="1" customWidth="1"/>
    <col min="11791" max="11791" width="8" style="1" customWidth="1"/>
    <col min="11792" max="11792" width="16.28515625" style="1" customWidth="1"/>
    <col min="11793" max="11793" width="10.5703125" style="1" customWidth="1"/>
    <col min="11794" max="11794" width="14.140625" style="1" customWidth="1"/>
    <col min="11795" max="11795" width="10.140625" style="1" customWidth="1"/>
    <col min="11796" max="11796" width="15.140625" style="1" customWidth="1"/>
    <col min="11797" max="11797" width="8.5703125" style="1" customWidth="1"/>
    <col min="11798" max="11798" width="14.28515625" style="1" customWidth="1"/>
    <col min="11799" max="11799" width="18.28515625" style="1" customWidth="1"/>
    <col min="11800" max="11800" width="13" style="1" bestFit="1" customWidth="1"/>
    <col min="11801" max="11801" width="11.7109375" style="1" bestFit="1" customWidth="1"/>
    <col min="11802" max="11808" width="9.140625" style="1"/>
    <col min="11809" max="11809" width="11.28515625" style="1" bestFit="1" customWidth="1"/>
    <col min="11810" max="11810" width="10.7109375" style="1" bestFit="1" customWidth="1"/>
    <col min="11811" max="12032" width="9.140625" style="1"/>
    <col min="12033" max="12033" width="6.42578125" style="1" customWidth="1"/>
    <col min="12034" max="12034" width="20.7109375" style="1" customWidth="1"/>
    <col min="12035" max="12035" width="24.7109375" style="1" customWidth="1"/>
    <col min="12036" max="12036" width="11.140625" style="1" customWidth="1"/>
    <col min="12037" max="12037" width="12.28515625" style="1" customWidth="1"/>
    <col min="12038" max="12038" width="11.140625" style="1" customWidth="1"/>
    <col min="12039" max="12039" width="10.42578125" style="1" customWidth="1"/>
    <col min="12040" max="12040" width="4.7109375" style="1" customWidth="1"/>
    <col min="12041" max="12041" width="8.5703125" style="1" customWidth="1"/>
    <col min="12042" max="12042" width="5.5703125" style="1" customWidth="1"/>
    <col min="12043" max="12044" width="11.5703125" style="1" customWidth="1"/>
    <col min="12045" max="12045" width="10.85546875" style="1" customWidth="1"/>
    <col min="12046" max="12046" width="7.7109375" style="1" customWidth="1"/>
    <col min="12047" max="12047" width="8" style="1" customWidth="1"/>
    <col min="12048" max="12048" width="16.28515625" style="1" customWidth="1"/>
    <col min="12049" max="12049" width="10.5703125" style="1" customWidth="1"/>
    <col min="12050" max="12050" width="14.140625" style="1" customWidth="1"/>
    <col min="12051" max="12051" width="10.140625" style="1" customWidth="1"/>
    <col min="12052" max="12052" width="15.140625" style="1" customWidth="1"/>
    <col min="12053" max="12053" width="8.5703125" style="1" customWidth="1"/>
    <col min="12054" max="12054" width="14.28515625" style="1" customWidth="1"/>
    <col min="12055" max="12055" width="18.28515625" style="1" customWidth="1"/>
    <col min="12056" max="12056" width="13" style="1" bestFit="1" customWidth="1"/>
    <col min="12057" max="12057" width="11.7109375" style="1" bestFit="1" customWidth="1"/>
    <col min="12058" max="12064" width="9.140625" style="1"/>
    <col min="12065" max="12065" width="11.28515625" style="1" bestFit="1" customWidth="1"/>
    <col min="12066" max="12066" width="10.7109375" style="1" bestFit="1" customWidth="1"/>
    <col min="12067" max="12288" width="9.140625" style="1"/>
    <col min="12289" max="12289" width="6.42578125" style="1" customWidth="1"/>
    <col min="12290" max="12290" width="20.7109375" style="1" customWidth="1"/>
    <col min="12291" max="12291" width="24.7109375" style="1" customWidth="1"/>
    <col min="12292" max="12292" width="11.140625" style="1" customWidth="1"/>
    <col min="12293" max="12293" width="12.28515625" style="1" customWidth="1"/>
    <col min="12294" max="12294" width="11.140625" style="1" customWidth="1"/>
    <col min="12295" max="12295" width="10.42578125" style="1" customWidth="1"/>
    <col min="12296" max="12296" width="4.7109375" style="1" customWidth="1"/>
    <col min="12297" max="12297" width="8.5703125" style="1" customWidth="1"/>
    <col min="12298" max="12298" width="5.5703125" style="1" customWidth="1"/>
    <col min="12299" max="12300" width="11.5703125" style="1" customWidth="1"/>
    <col min="12301" max="12301" width="10.85546875" style="1" customWidth="1"/>
    <col min="12302" max="12302" width="7.7109375" style="1" customWidth="1"/>
    <col min="12303" max="12303" width="8" style="1" customWidth="1"/>
    <col min="12304" max="12304" width="16.28515625" style="1" customWidth="1"/>
    <col min="12305" max="12305" width="10.5703125" style="1" customWidth="1"/>
    <col min="12306" max="12306" width="14.140625" style="1" customWidth="1"/>
    <col min="12307" max="12307" width="10.140625" style="1" customWidth="1"/>
    <col min="12308" max="12308" width="15.140625" style="1" customWidth="1"/>
    <col min="12309" max="12309" width="8.5703125" style="1" customWidth="1"/>
    <col min="12310" max="12310" width="14.28515625" style="1" customWidth="1"/>
    <col min="12311" max="12311" width="18.28515625" style="1" customWidth="1"/>
    <col min="12312" max="12312" width="13" style="1" bestFit="1" customWidth="1"/>
    <col min="12313" max="12313" width="11.7109375" style="1" bestFit="1" customWidth="1"/>
    <col min="12314" max="12320" width="9.140625" style="1"/>
    <col min="12321" max="12321" width="11.28515625" style="1" bestFit="1" customWidth="1"/>
    <col min="12322" max="12322" width="10.7109375" style="1" bestFit="1" customWidth="1"/>
    <col min="12323" max="12544" width="9.140625" style="1"/>
    <col min="12545" max="12545" width="6.42578125" style="1" customWidth="1"/>
    <col min="12546" max="12546" width="20.7109375" style="1" customWidth="1"/>
    <col min="12547" max="12547" width="24.7109375" style="1" customWidth="1"/>
    <col min="12548" max="12548" width="11.140625" style="1" customWidth="1"/>
    <col min="12549" max="12549" width="12.28515625" style="1" customWidth="1"/>
    <col min="12550" max="12550" width="11.140625" style="1" customWidth="1"/>
    <col min="12551" max="12551" width="10.42578125" style="1" customWidth="1"/>
    <col min="12552" max="12552" width="4.7109375" style="1" customWidth="1"/>
    <col min="12553" max="12553" width="8.5703125" style="1" customWidth="1"/>
    <col min="12554" max="12554" width="5.5703125" style="1" customWidth="1"/>
    <col min="12555" max="12556" width="11.5703125" style="1" customWidth="1"/>
    <col min="12557" max="12557" width="10.85546875" style="1" customWidth="1"/>
    <col min="12558" max="12558" width="7.7109375" style="1" customWidth="1"/>
    <col min="12559" max="12559" width="8" style="1" customWidth="1"/>
    <col min="12560" max="12560" width="16.28515625" style="1" customWidth="1"/>
    <col min="12561" max="12561" width="10.5703125" style="1" customWidth="1"/>
    <col min="12562" max="12562" width="14.140625" style="1" customWidth="1"/>
    <col min="12563" max="12563" width="10.140625" style="1" customWidth="1"/>
    <col min="12564" max="12564" width="15.140625" style="1" customWidth="1"/>
    <col min="12565" max="12565" width="8.5703125" style="1" customWidth="1"/>
    <col min="12566" max="12566" width="14.28515625" style="1" customWidth="1"/>
    <col min="12567" max="12567" width="18.28515625" style="1" customWidth="1"/>
    <col min="12568" max="12568" width="13" style="1" bestFit="1" customWidth="1"/>
    <col min="12569" max="12569" width="11.7109375" style="1" bestFit="1" customWidth="1"/>
    <col min="12570" max="12576" width="9.140625" style="1"/>
    <col min="12577" max="12577" width="11.28515625" style="1" bestFit="1" customWidth="1"/>
    <col min="12578" max="12578" width="10.7109375" style="1" bestFit="1" customWidth="1"/>
    <col min="12579" max="12800" width="9.140625" style="1"/>
    <col min="12801" max="12801" width="6.42578125" style="1" customWidth="1"/>
    <col min="12802" max="12802" width="20.7109375" style="1" customWidth="1"/>
    <col min="12803" max="12803" width="24.7109375" style="1" customWidth="1"/>
    <col min="12804" max="12804" width="11.140625" style="1" customWidth="1"/>
    <col min="12805" max="12805" width="12.28515625" style="1" customWidth="1"/>
    <col min="12806" max="12806" width="11.140625" style="1" customWidth="1"/>
    <col min="12807" max="12807" width="10.42578125" style="1" customWidth="1"/>
    <col min="12808" max="12808" width="4.7109375" style="1" customWidth="1"/>
    <col min="12809" max="12809" width="8.5703125" style="1" customWidth="1"/>
    <col min="12810" max="12810" width="5.5703125" style="1" customWidth="1"/>
    <col min="12811" max="12812" width="11.5703125" style="1" customWidth="1"/>
    <col min="12813" max="12813" width="10.85546875" style="1" customWidth="1"/>
    <col min="12814" max="12814" width="7.7109375" style="1" customWidth="1"/>
    <col min="12815" max="12815" width="8" style="1" customWidth="1"/>
    <col min="12816" max="12816" width="16.28515625" style="1" customWidth="1"/>
    <col min="12817" max="12817" width="10.5703125" style="1" customWidth="1"/>
    <col min="12818" max="12818" width="14.140625" style="1" customWidth="1"/>
    <col min="12819" max="12819" width="10.140625" style="1" customWidth="1"/>
    <col min="12820" max="12820" width="15.140625" style="1" customWidth="1"/>
    <col min="12821" max="12821" width="8.5703125" style="1" customWidth="1"/>
    <col min="12822" max="12822" width="14.28515625" style="1" customWidth="1"/>
    <col min="12823" max="12823" width="18.28515625" style="1" customWidth="1"/>
    <col min="12824" max="12824" width="13" style="1" bestFit="1" customWidth="1"/>
    <col min="12825" max="12825" width="11.7109375" style="1" bestFit="1" customWidth="1"/>
    <col min="12826" max="12832" width="9.140625" style="1"/>
    <col min="12833" max="12833" width="11.28515625" style="1" bestFit="1" customWidth="1"/>
    <col min="12834" max="12834" width="10.7109375" style="1" bestFit="1" customWidth="1"/>
    <col min="12835" max="13056" width="9.140625" style="1"/>
    <col min="13057" max="13057" width="6.42578125" style="1" customWidth="1"/>
    <col min="13058" max="13058" width="20.7109375" style="1" customWidth="1"/>
    <col min="13059" max="13059" width="24.7109375" style="1" customWidth="1"/>
    <col min="13060" max="13060" width="11.140625" style="1" customWidth="1"/>
    <col min="13061" max="13061" width="12.28515625" style="1" customWidth="1"/>
    <col min="13062" max="13062" width="11.140625" style="1" customWidth="1"/>
    <col min="13063" max="13063" width="10.42578125" style="1" customWidth="1"/>
    <col min="13064" max="13064" width="4.7109375" style="1" customWidth="1"/>
    <col min="13065" max="13065" width="8.5703125" style="1" customWidth="1"/>
    <col min="13066" max="13066" width="5.5703125" style="1" customWidth="1"/>
    <col min="13067" max="13068" width="11.5703125" style="1" customWidth="1"/>
    <col min="13069" max="13069" width="10.85546875" style="1" customWidth="1"/>
    <col min="13070" max="13070" width="7.7109375" style="1" customWidth="1"/>
    <col min="13071" max="13071" width="8" style="1" customWidth="1"/>
    <col min="13072" max="13072" width="16.28515625" style="1" customWidth="1"/>
    <col min="13073" max="13073" width="10.5703125" style="1" customWidth="1"/>
    <col min="13074" max="13074" width="14.140625" style="1" customWidth="1"/>
    <col min="13075" max="13075" width="10.140625" style="1" customWidth="1"/>
    <col min="13076" max="13076" width="15.140625" style="1" customWidth="1"/>
    <col min="13077" max="13077" width="8.5703125" style="1" customWidth="1"/>
    <col min="13078" max="13078" width="14.28515625" style="1" customWidth="1"/>
    <col min="13079" max="13079" width="18.28515625" style="1" customWidth="1"/>
    <col min="13080" max="13080" width="13" style="1" bestFit="1" customWidth="1"/>
    <col min="13081" max="13081" width="11.7109375" style="1" bestFit="1" customWidth="1"/>
    <col min="13082" max="13088" width="9.140625" style="1"/>
    <col min="13089" max="13089" width="11.28515625" style="1" bestFit="1" customWidth="1"/>
    <col min="13090" max="13090" width="10.7109375" style="1" bestFit="1" customWidth="1"/>
    <col min="13091" max="13312" width="9.140625" style="1"/>
    <col min="13313" max="13313" width="6.42578125" style="1" customWidth="1"/>
    <col min="13314" max="13314" width="20.7109375" style="1" customWidth="1"/>
    <col min="13315" max="13315" width="24.7109375" style="1" customWidth="1"/>
    <col min="13316" max="13316" width="11.140625" style="1" customWidth="1"/>
    <col min="13317" max="13317" width="12.28515625" style="1" customWidth="1"/>
    <col min="13318" max="13318" width="11.140625" style="1" customWidth="1"/>
    <col min="13319" max="13319" width="10.42578125" style="1" customWidth="1"/>
    <col min="13320" max="13320" width="4.7109375" style="1" customWidth="1"/>
    <col min="13321" max="13321" width="8.5703125" style="1" customWidth="1"/>
    <col min="13322" max="13322" width="5.5703125" style="1" customWidth="1"/>
    <col min="13323" max="13324" width="11.5703125" style="1" customWidth="1"/>
    <col min="13325" max="13325" width="10.85546875" style="1" customWidth="1"/>
    <col min="13326" max="13326" width="7.7109375" style="1" customWidth="1"/>
    <col min="13327" max="13327" width="8" style="1" customWidth="1"/>
    <col min="13328" max="13328" width="16.28515625" style="1" customWidth="1"/>
    <col min="13329" max="13329" width="10.5703125" style="1" customWidth="1"/>
    <col min="13330" max="13330" width="14.140625" style="1" customWidth="1"/>
    <col min="13331" max="13331" width="10.140625" style="1" customWidth="1"/>
    <col min="13332" max="13332" width="15.140625" style="1" customWidth="1"/>
    <col min="13333" max="13333" width="8.5703125" style="1" customWidth="1"/>
    <col min="13334" max="13334" width="14.28515625" style="1" customWidth="1"/>
    <col min="13335" max="13335" width="18.28515625" style="1" customWidth="1"/>
    <col min="13336" max="13336" width="13" style="1" bestFit="1" customWidth="1"/>
    <col min="13337" max="13337" width="11.7109375" style="1" bestFit="1" customWidth="1"/>
    <col min="13338" max="13344" width="9.140625" style="1"/>
    <col min="13345" max="13345" width="11.28515625" style="1" bestFit="1" customWidth="1"/>
    <col min="13346" max="13346" width="10.7109375" style="1" bestFit="1" customWidth="1"/>
    <col min="13347" max="13568" width="9.140625" style="1"/>
    <col min="13569" max="13569" width="6.42578125" style="1" customWidth="1"/>
    <col min="13570" max="13570" width="20.7109375" style="1" customWidth="1"/>
    <col min="13571" max="13571" width="24.7109375" style="1" customWidth="1"/>
    <col min="13572" max="13572" width="11.140625" style="1" customWidth="1"/>
    <col min="13573" max="13573" width="12.28515625" style="1" customWidth="1"/>
    <col min="13574" max="13574" width="11.140625" style="1" customWidth="1"/>
    <col min="13575" max="13575" width="10.42578125" style="1" customWidth="1"/>
    <col min="13576" max="13576" width="4.7109375" style="1" customWidth="1"/>
    <col min="13577" max="13577" width="8.5703125" style="1" customWidth="1"/>
    <col min="13578" max="13578" width="5.5703125" style="1" customWidth="1"/>
    <col min="13579" max="13580" width="11.5703125" style="1" customWidth="1"/>
    <col min="13581" max="13581" width="10.85546875" style="1" customWidth="1"/>
    <col min="13582" max="13582" width="7.7109375" style="1" customWidth="1"/>
    <col min="13583" max="13583" width="8" style="1" customWidth="1"/>
    <col min="13584" max="13584" width="16.28515625" style="1" customWidth="1"/>
    <col min="13585" max="13585" width="10.5703125" style="1" customWidth="1"/>
    <col min="13586" max="13586" width="14.140625" style="1" customWidth="1"/>
    <col min="13587" max="13587" width="10.140625" style="1" customWidth="1"/>
    <col min="13588" max="13588" width="15.140625" style="1" customWidth="1"/>
    <col min="13589" max="13589" width="8.5703125" style="1" customWidth="1"/>
    <col min="13590" max="13590" width="14.28515625" style="1" customWidth="1"/>
    <col min="13591" max="13591" width="18.28515625" style="1" customWidth="1"/>
    <col min="13592" max="13592" width="13" style="1" bestFit="1" customWidth="1"/>
    <col min="13593" max="13593" width="11.7109375" style="1" bestFit="1" customWidth="1"/>
    <col min="13594" max="13600" width="9.140625" style="1"/>
    <col min="13601" max="13601" width="11.28515625" style="1" bestFit="1" customWidth="1"/>
    <col min="13602" max="13602" width="10.7109375" style="1" bestFit="1" customWidth="1"/>
    <col min="13603" max="13824" width="9.140625" style="1"/>
    <col min="13825" max="13825" width="6.42578125" style="1" customWidth="1"/>
    <col min="13826" max="13826" width="20.7109375" style="1" customWidth="1"/>
    <col min="13827" max="13827" width="24.7109375" style="1" customWidth="1"/>
    <col min="13828" max="13828" width="11.140625" style="1" customWidth="1"/>
    <col min="13829" max="13829" width="12.28515625" style="1" customWidth="1"/>
    <col min="13830" max="13830" width="11.140625" style="1" customWidth="1"/>
    <col min="13831" max="13831" width="10.42578125" style="1" customWidth="1"/>
    <col min="13832" max="13832" width="4.7109375" style="1" customWidth="1"/>
    <col min="13833" max="13833" width="8.5703125" style="1" customWidth="1"/>
    <col min="13834" max="13834" width="5.5703125" style="1" customWidth="1"/>
    <col min="13835" max="13836" width="11.5703125" style="1" customWidth="1"/>
    <col min="13837" max="13837" width="10.85546875" style="1" customWidth="1"/>
    <col min="13838" max="13838" width="7.7109375" style="1" customWidth="1"/>
    <col min="13839" max="13839" width="8" style="1" customWidth="1"/>
    <col min="13840" max="13840" width="16.28515625" style="1" customWidth="1"/>
    <col min="13841" max="13841" width="10.5703125" style="1" customWidth="1"/>
    <col min="13842" max="13842" width="14.140625" style="1" customWidth="1"/>
    <col min="13843" max="13843" width="10.140625" style="1" customWidth="1"/>
    <col min="13844" max="13844" width="15.140625" style="1" customWidth="1"/>
    <col min="13845" max="13845" width="8.5703125" style="1" customWidth="1"/>
    <col min="13846" max="13846" width="14.28515625" style="1" customWidth="1"/>
    <col min="13847" max="13847" width="18.28515625" style="1" customWidth="1"/>
    <col min="13848" max="13848" width="13" style="1" bestFit="1" customWidth="1"/>
    <col min="13849" max="13849" width="11.7109375" style="1" bestFit="1" customWidth="1"/>
    <col min="13850" max="13856" width="9.140625" style="1"/>
    <col min="13857" max="13857" width="11.28515625" style="1" bestFit="1" customWidth="1"/>
    <col min="13858" max="13858" width="10.7109375" style="1" bestFit="1" customWidth="1"/>
    <col min="13859" max="14080" width="9.140625" style="1"/>
    <col min="14081" max="14081" width="6.42578125" style="1" customWidth="1"/>
    <col min="14082" max="14082" width="20.7109375" style="1" customWidth="1"/>
    <col min="14083" max="14083" width="24.7109375" style="1" customWidth="1"/>
    <col min="14084" max="14084" width="11.140625" style="1" customWidth="1"/>
    <col min="14085" max="14085" width="12.28515625" style="1" customWidth="1"/>
    <col min="14086" max="14086" width="11.140625" style="1" customWidth="1"/>
    <col min="14087" max="14087" width="10.42578125" style="1" customWidth="1"/>
    <col min="14088" max="14088" width="4.7109375" style="1" customWidth="1"/>
    <col min="14089" max="14089" width="8.5703125" style="1" customWidth="1"/>
    <col min="14090" max="14090" width="5.5703125" style="1" customWidth="1"/>
    <col min="14091" max="14092" width="11.5703125" style="1" customWidth="1"/>
    <col min="14093" max="14093" width="10.85546875" style="1" customWidth="1"/>
    <col min="14094" max="14094" width="7.7109375" style="1" customWidth="1"/>
    <col min="14095" max="14095" width="8" style="1" customWidth="1"/>
    <col min="14096" max="14096" width="16.28515625" style="1" customWidth="1"/>
    <col min="14097" max="14097" width="10.5703125" style="1" customWidth="1"/>
    <col min="14098" max="14098" width="14.140625" style="1" customWidth="1"/>
    <col min="14099" max="14099" width="10.140625" style="1" customWidth="1"/>
    <col min="14100" max="14100" width="15.140625" style="1" customWidth="1"/>
    <col min="14101" max="14101" width="8.5703125" style="1" customWidth="1"/>
    <col min="14102" max="14102" width="14.28515625" style="1" customWidth="1"/>
    <col min="14103" max="14103" width="18.28515625" style="1" customWidth="1"/>
    <col min="14104" max="14104" width="13" style="1" bestFit="1" customWidth="1"/>
    <col min="14105" max="14105" width="11.7109375" style="1" bestFit="1" customWidth="1"/>
    <col min="14106" max="14112" width="9.140625" style="1"/>
    <col min="14113" max="14113" width="11.28515625" style="1" bestFit="1" customWidth="1"/>
    <col min="14114" max="14114" width="10.7109375" style="1" bestFit="1" customWidth="1"/>
    <col min="14115" max="14336" width="9.140625" style="1"/>
    <col min="14337" max="14337" width="6.42578125" style="1" customWidth="1"/>
    <col min="14338" max="14338" width="20.7109375" style="1" customWidth="1"/>
    <col min="14339" max="14339" width="24.7109375" style="1" customWidth="1"/>
    <col min="14340" max="14340" width="11.140625" style="1" customWidth="1"/>
    <col min="14341" max="14341" width="12.28515625" style="1" customWidth="1"/>
    <col min="14342" max="14342" width="11.140625" style="1" customWidth="1"/>
    <col min="14343" max="14343" width="10.42578125" style="1" customWidth="1"/>
    <col min="14344" max="14344" width="4.7109375" style="1" customWidth="1"/>
    <col min="14345" max="14345" width="8.5703125" style="1" customWidth="1"/>
    <col min="14346" max="14346" width="5.5703125" style="1" customWidth="1"/>
    <col min="14347" max="14348" width="11.5703125" style="1" customWidth="1"/>
    <col min="14349" max="14349" width="10.85546875" style="1" customWidth="1"/>
    <col min="14350" max="14350" width="7.7109375" style="1" customWidth="1"/>
    <col min="14351" max="14351" width="8" style="1" customWidth="1"/>
    <col min="14352" max="14352" width="16.28515625" style="1" customWidth="1"/>
    <col min="14353" max="14353" width="10.5703125" style="1" customWidth="1"/>
    <col min="14354" max="14354" width="14.140625" style="1" customWidth="1"/>
    <col min="14355" max="14355" width="10.140625" style="1" customWidth="1"/>
    <col min="14356" max="14356" width="15.140625" style="1" customWidth="1"/>
    <col min="14357" max="14357" width="8.5703125" style="1" customWidth="1"/>
    <col min="14358" max="14358" width="14.28515625" style="1" customWidth="1"/>
    <col min="14359" max="14359" width="18.28515625" style="1" customWidth="1"/>
    <col min="14360" max="14360" width="13" style="1" bestFit="1" customWidth="1"/>
    <col min="14361" max="14361" width="11.7109375" style="1" bestFit="1" customWidth="1"/>
    <col min="14362" max="14368" width="9.140625" style="1"/>
    <col min="14369" max="14369" width="11.28515625" style="1" bestFit="1" customWidth="1"/>
    <col min="14370" max="14370" width="10.7109375" style="1" bestFit="1" customWidth="1"/>
    <col min="14371" max="14592" width="9.140625" style="1"/>
    <col min="14593" max="14593" width="6.42578125" style="1" customWidth="1"/>
    <col min="14594" max="14594" width="20.7109375" style="1" customWidth="1"/>
    <col min="14595" max="14595" width="24.7109375" style="1" customWidth="1"/>
    <col min="14596" max="14596" width="11.140625" style="1" customWidth="1"/>
    <col min="14597" max="14597" width="12.28515625" style="1" customWidth="1"/>
    <col min="14598" max="14598" width="11.140625" style="1" customWidth="1"/>
    <col min="14599" max="14599" width="10.42578125" style="1" customWidth="1"/>
    <col min="14600" max="14600" width="4.7109375" style="1" customWidth="1"/>
    <col min="14601" max="14601" width="8.5703125" style="1" customWidth="1"/>
    <col min="14602" max="14602" width="5.5703125" style="1" customWidth="1"/>
    <col min="14603" max="14604" width="11.5703125" style="1" customWidth="1"/>
    <col min="14605" max="14605" width="10.85546875" style="1" customWidth="1"/>
    <col min="14606" max="14606" width="7.7109375" style="1" customWidth="1"/>
    <col min="14607" max="14607" width="8" style="1" customWidth="1"/>
    <col min="14608" max="14608" width="16.28515625" style="1" customWidth="1"/>
    <col min="14609" max="14609" width="10.5703125" style="1" customWidth="1"/>
    <col min="14610" max="14610" width="14.140625" style="1" customWidth="1"/>
    <col min="14611" max="14611" width="10.140625" style="1" customWidth="1"/>
    <col min="14612" max="14612" width="15.140625" style="1" customWidth="1"/>
    <col min="14613" max="14613" width="8.5703125" style="1" customWidth="1"/>
    <col min="14614" max="14614" width="14.28515625" style="1" customWidth="1"/>
    <col min="14615" max="14615" width="18.28515625" style="1" customWidth="1"/>
    <col min="14616" max="14616" width="13" style="1" bestFit="1" customWidth="1"/>
    <col min="14617" max="14617" width="11.7109375" style="1" bestFit="1" customWidth="1"/>
    <col min="14618" max="14624" width="9.140625" style="1"/>
    <col min="14625" max="14625" width="11.28515625" style="1" bestFit="1" customWidth="1"/>
    <col min="14626" max="14626" width="10.7109375" style="1" bestFit="1" customWidth="1"/>
    <col min="14627" max="14848" width="9.140625" style="1"/>
    <col min="14849" max="14849" width="6.42578125" style="1" customWidth="1"/>
    <col min="14850" max="14850" width="20.7109375" style="1" customWidth="1"/>
    <col min="14851" max="14851" width="24.7109375" style="1" customWidth="1"/>
    <col min="14852" max="14852" width="11.140625" style="1" customWidth="1"/>
    <col min="14853" max="14853" width="12.28515625" style="1" customWidth="1"/>
    <col min="14854" max="14854" width="11.140625" style="1" customWidth="1"/>
    <col min="14855" max="14855" width="10.42578125" style="1" customWidth="1"/>
    <col min="14856" max="14856" width="4.7109375" style="1" customWidth="1"/>
    <col min="14857" max="14857" width="8.5703125" style="1" customWidth="1"/>
    <col min="14858" max="14858" width="5.5703125" style="1" customWidth="1"/>
    <col min="14859" max="14860" width="11.5703125" style="1" customWidth="1"/>
    <col min="14861" max="14861" width="10.85546875" style="1" customWidth="1"/>
    <col min="14862" max="14862" width="7.7109375" style="1" customWidth="1"/>
    <col min="14863" max="14863" width="8" style="1" customWidth="1"/>
    <col min="14864" max="14864" width="16.28515625" style="1" customWidth="1"/>
    <col min="14865" max="14865" width="10.5703125" style="1" customWidth="1"/>
    <col min="14866" max="14866" width="14.140625" style="1" customWidth="1"/>
    <col min="14867" max="14867" width="10.140625" style="1" customWidth="1"/>
    <col min="14868" max="14868" width="15.140625" style="1" customWidth="1"/>
    <col min="14869" max="14869" width="8.5703125" style="1" customWidth="1"/>
    <col min="14870" max="14870" width="14.28515625" style="1" customWidth="1"/>
    <col min="14871" max="14871" width="18.28515625" style="1" customWidth="1"/>
    <col min="14872" max="14872" width="13" style="1" bestFit="1" customWidth="1"/>
    <col min="14873" max="14873" width="11.7109375" style="1" bestFit="1" customWidth="1"/>
    <col min="14874" max="14880" width="9.140625" style="1"/>
    <col min="14881" max="14881" width="11.28515625" style="1" bestFit="1" customWidth="1"/>
    <col min="14882" max="14882" width="10.7109375" style="1" bestFit="1" customWidth="1"/>
    <col min="14883" max="15104" width="9.140625" style="1"/>
    <col min="15105" max="15105" width="6.42578125" style="1" customWidth="1"/>
    <col min="15106" max="15106" width="20.7109375" style="1" customWidth="1"/>
    <col min="15107" max="15107" width="24.7109375" style="1" customWidth="1"/>
    <col min="15108" max="15108" width="11.140625" style="1" customWidth="1"/>
    <col min="15109" max="15109" width="12.28515625" style="1" customWidth="1"/>
    <col min="15110" max="15110" width="11.140625" style="1" customWidth="1"/>
    <col min="15111" max="15111" width="10.42578125" style="1" customWidth="1"/>
    <col min="15112" max="15112" width="4.7109375" style="1" customWidth="1"/>
    <col min="15113" max="15113" width="8.5703125" style="1" customWidth="1"/>
    <col min="15114" max="15114" width="5.5703125" style="1" customWidth="1"/>
    <col min="15115" max="15116" width="11.5703125" style="1" customWidth="1"/>
    <col min="15117" max="15117" width="10.85546875" style="1" customWidth="1"/>
    <col min="15118" max="15118" width="7.7109375" style="1" customWidth="1"/>
    <col min="15119" max="15119" width="8" style="1" customWidth="1"/>
    <col min="15120" max="15120" width="16.28515625" style="1" customWidth="1"/>
    <col min="15121" max="15121" width="10.5703125" style="1" customWidth="1"/>
    <col min="15122" max="15122" width="14.140625" style="1" customWidth="1"/>
    <col min="15123" max="15123" width="10.140625" style="1" customWidth="1"/>
    <col min="15124" max="15124" width="15.140625" style="1" customWidth="1"/>
    <col min="15125" max="15125" width="8.5703125" style="1" customWidth="1"/>
    <col min="15126" max="15126" width="14.28515625" style="1" customWidth="1"/>
    <col min="15127" max="15127" width="18.28515625" style="1" customWidth="1"/>
    <col min="15128" max="15128" width="13" style="1" bestFit="1" customWidth="1"/>
    <col min="15129" max="15129" width="11.7109375" style="1" bestFit="1" customWidth="1"/>
    <col min="15130" max="15136" width="9.140625" style="1"/>
    <col min="15137" max="15137" width="11.28515625" style="1" bestFit="1" customWidth="1"/>
    <col min="15138" max="15138" width="10.7109375" style="1" bestFit="1" customWidth="1"/>
    <col min="15139" max="15360" width="9.140625" style="1"/>
    <col min="15361" max="15361" width="6.42578125" style="1" customWidth="1"/>
    <col min="15362" max="15362" width="20.7109375" style="1" customWidth="1"/>
    <col min="15363" max="15363" width="24.7109375" style="1" customWidth="1"/>
    <col min="15364" max="15364" width="11.140625" style="1" customWidth="1"/>
    <col min="15365" max="15365" width="12.28515625" style="1" customWidth="1"/>
    <col min="15366" max="15366" width="11.140625" style="1" customWidth="1"/>
    <col min="15367" max="15367" width="10.42578125" style="1" customWidth="1"/>
    <col min="15368" max="15368" width="4.7109375" style="1" customWidth="1"/>
    <col min="15369" max="15369" width="8.5703125" style="1" customWidth="1"/>
    <col min="15370" max="15370" width="5.5703125" style="1" customWidth="1"/>
    <col min="15371" max="15372" width="11.5703125" style="1" customWidth="1"/>
    <col min="15373" max="15373" width="10.85546875" style="1" customWidth="1"/>
    <col min="15374" max="15374" width="7.7109375" style="1" customWidth="1"/>
    <col min="15375" max="15375" width="8" style="1" customWidth="1"/>
    <col min="15376" max="15376" width="16.28515625" style="1" customWidth="1"/>
    <col min="15377" max="15377" width="10.5703125" style="1" customWidth="1"/>
    <col min="15378" max="15378" width="14.140625" style="1" customWidth="1"/>
    <col min="15379" max="15379" width="10.140625" style="1" customWidth="1"/>
    <col min="15380" max="15380" width="15.140625" style="1" customWidth="1"/>
    <col min="15381" max="15381" width="8.5703125" style="1" customWidth="1"/>
    <col min="15382" max="15382" width="14.28515625" style="1" customWidth="1"/>
    <col min="15383" max="15383" width="18.28515625" style="1" customWidth="1"/>
    <col min="15384" max="15384" width="13" style="1" bestFit="1" customWidth="1"/>
    <col min="15385" max="15385" width="11.7109375" style="1" bestFit="1" customWidth="1"/>
    <col min="15386" max="15392" width="9.140625" style="1"/>
    <col min="15393" max="15393" width="11.28515625" style="1" bestFit="1" customWidth="1"/>
    <col min="15394" max="15394" width="10.7109375" style="1" bestFit="1" customWidth="1"/>
    <col min="15395" max="15616" width="9.140625" style="1"/>
    <col min="15617" max="15617" width="6.42578125" style="1" customWidth="1"/>
    <col min="15618" max="15618" width="20.7109375" style="1" customWidth="1"/>
    <col min="15619" max="15619" width="24.7109375" style="1" customWidth="1"/>
    <col min="15620" max="15620" width="11.140625" style="1" customWidth="1"/>
    <col min="15621" max="15621" width="12.28515625" style="1" customWidth="1"/>
    <col min="15622" max="15622" width="11.140625" style="1" customWidth="1"/>
    <col min="15623" max="15623" width="10.42578125" style="1" customWidth="1"/>
    <col min="15624" max="15624" width="4.7109375" style="1" customWidth="1"/>
    <col min="15625" max="15625" width="8.5703125" style="1" customWidth="1"/>
    <col min="15626" max="15626" width="5.5703125" style="1" customWidth="1"/>
    <col min="15627" max="15628" width="11.5703125" style="1" customWidth="1"/>
    <col min="15629" max="15629" width="10.85546875" style="1" customWidth="1"/>
    <col min="15630" max="15630" width="7.7109375" style="1" customWidth="1"/>
    <col min="15631" max="15631" width="8" style="1" customWidth="1"/>
    <col min="15632" max="15632" width="16.28515625" style="1" customWidth="1"/>
    <col min="15633" max="15633" width="10.5703125" style="1" customWidth="1"/>
    <col min="15634" max="15634" width="14.140625" style="1" customWidth="1"/>
    <col min="15635" max="15635" width="10.140625" style="1" customWidth="1"/>
    <col min="15636" max="15636" width="15.140625" style="1" customWidth="1"/>
    <col min="15637" max="15637" width="8.5703125" style="1" customWidth="1"/>
    <col min="15638" max="15638" width="14.28515625" style="1" customWidth="1"/>
    <col min="15639" max="15639" width="18.28515625" style="1" customWidth="1"/>
    <col min="15640" max="15640" width="13" style="1" bestFit="1" customWidth="1"/>
    <col min="15641" max="15641" width="11.7109375" style="1" bestFit="1" customWidth="1"/>
    <col min="15642" max="15648" width="9.140625" style="1"/>
    <col min="15649" max="15649" width="11.28515625" style="1" bestFit="1" customWidth="1"/>
    <col min="15650" max="15650" width="10.7109375" style="1" bestFit="1" customWidth="1"/>
    <col min="15651" max="15872" width="9.140625" style="1"/>
    <col min="15873" max="15873" width="6.42578125" style="1" customWidth="1"/>
    <col min="15874" max="15874" width="20.7109375" style="1" customWidth="1"/>
    <col min="15875" max="15875" width="24.7109375" style="1" customWidth="1"/>
    <col min="15876" max="15876" width="11.140625" style="1" customWidth="1"/>
    <col min="15877" max="15877" width="12.28515625" style="1" customWidth="1"/>
    <col min="15878" max="15878" width="11.140625" style="1" customWidth="1"/>
    <col min="15879" max="15879" width="10.42578125" style="1" customWidth="1"/>
    <col min="15880" max="15880" width="4.7109375" style="1" customWidth="1"/>
    <col min="15881" max="15881" width="8.5703125" style="1" customWidth="1"/>
    <col min="15882" max="15882" width="5.5703125" style="1" customWidth="1"/>
    <col min="15883" max="15884" width="11.5703125" style="1" customWidth="1"/>
    <col min="15885" max="15885" width="10.85546875" style="1" customWidth="1"/>
    <col min="15886" max="15886" width="7.7109375" style="1" customWidth="1"/>
    <col min="15887" max="15887" width="8" style="1" customWidth="1"/>
    <col min="15888" max="15888" width="16.28515625" style="1" customWidth="1"/>
    <col min="15889" max="15889" width="10.5703125" style="1" customWidth="1"/>
    <col min="15890" max="15890" width="14.140625" style="1" customWidth="1"/>
    <col min="15891" max="15891" width="10.140625" style="1" customWidth="1"/>
    <col min="15892" max="15892" width="15.140625" style="1" customWidth="1"/>
    <col min="15893" max="15893" width="8.5703125" style="1" customWidth="1"/>
    <col min="15894" max="15894" width="14.28515625" style="1" customWidth="1"/>
    <col min="15895" max="15895" width="18.28515625" style="1" customWidth="1"/>
    <col min="15896" max="15896" width="13" style="1" bestFit="1" customWidth="1"/>
    <col min="15897" max="15897" width="11.7109375" style="1" bestFit="1" customWidth="1"/>
    <col min="15898" max="15904" width="9.140625" style="1"/>
    <col min="15905" max="15905" width="11.28515625" style="1" bestFit="1" customWidth="1"/>
    <col min="15906" max="15906" width="10.7109375" style="1" bestFit="1" customWidth="1"/>
    <col min="15907" max="16128" width="9.140625" style="1"/>
    <col min="16129" max="16129" width="6.42578125" style="1" customWidth="1"/>
    <col min="16130" max="16130" width="20.7109375" style="1" customWidth="1"/>
    <col min="16131" max="16131" width="24.7109375" style="1" customWidth="1"/>
    <col min="16132" max="16132" width="11.140625" style="1" customWidth="1"/>
    <col min="16133" max="16133" width="12.28515625" style="1" customWidth="1"/>
    <col min="16134" max="16134" width="11.140625" style="1" customWidth="1"/>
    <col min="16135" max="16135" width="10.42578125" style="1" customWidth="1"/>
    <col min="16136" max="16136" width="4.7109375" style="1" customWidth="1"/>
    <col min="16137" max="16137" width="8.5703125" style="1" customWidth="1"/>
    <col min="16138" max="16138" width="5.5703125" style="1" customWidth="1"/>
    <col min="16139" max="16140" width="11.5703125" style="1" customWidth="1"/>
    <col min="16141" max="16141" width="10.85546875" style="1" customWidth="1"/>
    <col min="16142" max="16142" width="7.7109375" style="1" customWidth="1"/>
    <col min="16143" max="16143" width="8" style="1" customWidth="1"/>
    <col min="16144" max="16144" width="16.28515625" style="1" customWidth="1"/>
    <col min="16145" max="16145" width="10.5703125" style="1" customWidth="1"/>
    <col min="16146" max="16146" width="14.140625" style="1" customWidth="1"/>
    <col min="16147" max="16147" width="10.140625" style="1" customWidth="1"/>
    <col min="16148" max="16148" width="15.140625" style="1" customWidth="1"/>
    <col min="16149" max="16149" width="8.5703125" style="1" customWidth="1"/>
    <col min="16150" max="16150" width="14.28515625" style="1" customWidth="1"/>
    <col min="16151" max="16151" width="18.28515625" style="1" customWidth="1"/>
    <col min="16152" max="16152" width="13" style="1" bestFit="1" customWidth="1"/>
    <col min="16153" max="16153" width="11.7109375" style="1" bestFit="1" customWidth="1"/>
    <col min="16154" max="16160" width="9.140625" style="1"/>
    <col min="16161" max="16161" width="11.28515625" style="1" bestFit="1" customWidth="1"/>
    <col min="16162" max="16162" width="10.7109375" style="1" bestFit="1" customWidth="1"/>
    <col min="16163" max="16384" width="9.140625" style="1"/>
  </cols>
  <sheetData>
    <row r="1" spans="1:69" s="1265" customFormat="1" ht="15" customHeight="1">
      <c r="A1" s="26" t="s">
        <v>400</v>
      </c>
      <c r="B1" s="13" t="s">
        <v>63</v>
      </c>
      <c r="C1" s="5" t="s">
        <v>64</v>
      </c>
      <c r="D1" s="1636" t="s">
        <v>121</v>
      </c>
      <c r="E1" s="5" t="s">
        <v>122</v>
      </c>
      <c r="F1" s="5">
        <v>1.5</v>
      </c>
      <c r="G1" s="20" t="s">
        <v>69</v>
      </c>
      <c r="H1" s="20" t="s">
        <v>69</v>
      </c>
      <c r="I1" s="737" t="s">
        <v>30</v>
      </c>
      <c r="J1" s="7">
        <v>17697</v>
      </c>
      <c r="K1" s="7"/>
      <c r="L1" s="10">
        <v>1.5</v>
      </c>
      <c r="M1" s="7"/>
      <c r="N1" s="1626">
        <v>3.35</v>
      </c>
      <c r="O1" s="18">
        <f>N1*J1*L1</f>
        <v>88927.425000000003</v>
      </c>
      <c r="P1" s="882"/>
      <c r="Q1" s="8"/>
      <c r="R1" s="7"/>
      <c r="S1" s="7">
        <v>0.1</v>
      </c>
      <c r="T1" s="7">
        <f t="shared" ref="T1:T8" si="0">(O1+P1)*S1</f>
        <v>8892.7425000000003</v>
      </c>
      <c r="U1" s="9"/>
      <c r="V1" s="7"/>
      <c r="W1" s="10">
        <f>O1+R1+T1+V1+P1</f>
        <v>97820.16750000001</v>
      </c>
      <c r="X1" s="1268">
        <f>Q1+S1+U1</f>
        <v>0.1</v>
      </c>
      <c r="Y1" s="1268">
        <f>R1+T1+V1</f>
        <v>8892.7425000000003</v>
      </c>
      <c r="Z1" s="1264">
        <f>W1*12</f>
        <v>1173842.0100000002</v>
      </c>
      <c r="AA1" s="1382">
        <f>Z1/12/29.33*30</f>
        <v>100054.72297988411</v>
      </c>
      <c r="AJ1" s="23"/>
      <c r="AK1" s="23"/>
      <c r="AL1" s="23"/>
      <c r="AM1" s="23"/>
      <c r="AN1" s="23"/>
      <c r="AO1" s="23"/>
      <c r="AP1" s="23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</row>
    <row r="2" spans="1:69" s="1265" customFormat="1" ht="15" customHeight="1">
      <c r="A2" s="1991" t="s">
        <v>98</v>
      </c>
      <c r="B2" s="1984" t="s">
        <v>99</v>
      </c>
      <c r="C2" s="1972" t="s">
        <v>25</v>
      </c>
      <c r="D2" s="2007" t="s">
        <v>839</v>
      </c>
      <c r="E2" s="2007" t="s">
        <v>463</v>
      </c>
      <c r="F2" s="1972">
        <v>1</v>
      </c>
      <c r="G2" s="1972" t="s">
        <v>102</v>
      </c>
      <c r="H2" s="1972" t="s">
        <v>103</v>
      </c>
      <c r="I2" s="2017">
        <v>1</v>
      </c>
      <c r="J2" s="1965">
        <v>17697</v>
      </c>
      <c r="K2" s="1988">
        <v>35</v>
      </c>
      <c r="L2" s="1965">
        <f>K2/18</f>
        <v>1.9444444444444444</v>
      </c>
      <c r="M2" s="1979" t="s">
        <v>152</v>
      </c>
      <c r="N2" s="2020">
        <v>4.55</v>
      </c>
      <c r="O2" s="2092">
        <f>N2*J2/18*K2</f>
        <v>156569.29166666666</v>
      </c>
      <c r="P2" s="2121">
        <f>O2*50%</f>
        <v>78284.645833333328</v>
      </c>
      <c r="Q2" s="1981"/>
      <c r="R2" s="1965"/>
      <c r="S2" s="1965">
        <v>0.1</v>
      </c>
      <c r="T2" s="2092">
        <f t="shared" si="0"/>
        <v>23485.393750000003</v>
      </c>
      <c r="U2" s="1982"/>
      <c r="V2" s="1965"/>
      <c r="W2" s="680">
        <f>O2+P2+T2</f>
        <v>258339.33124999999</v>
      </c>
      <c r="X2" s="141">
        <f>U2+Q2</f>
        <v>0</v>
      </c>
      <c r="Y2" s="141">
        <f>V2+R2</f>
        <v>0</v>
      </c>
      <c r="Z2" s="1970">
        <f>W2*12</f>
        <v>3100071.9749999996</v>
      </c>
      <c r="AA2" s="1971">
        <f>Z2/12/29.33*56</f>
        <v>493249.31980906916</v>
      </c>
      <c r="AB2" s="1971">
        <f>Z2*1.25</f>
        <v>3875089.9687499995</v>
      </c>
      <c r="AC2" s="1971">
        <f>AB2/12/29.33*56</f>
        <v>616561.64976133639</v>
      </c>
      <c r="AD2" s="1971"/>
      <c r="AE2" s="1971"/>
      <c r="AF2" s="1971"/>
      <c r="AG2" s="1971"/>
      <c r="AH2" s="1971"/>
      <c r="AI2" s="1971"/>
      <c r="AJ2" s="1970"/>
      <c r="AK2" s="1970"/>
      <c r="AL2" s="1970"/>
      <c r="AM2" s="1970"/>
      <c r="AN2" s="1970"/>
      <c r="AO2" s="1970"/>
      <c r="AP2" s="1970"/>
      <c r="AQ2" s="1971"/>
      <c r="AR2" s="1971"/>
      <c r="AS2" s="1971"/>
      <c r="AT2" s="1971"/>
      <c r="AU2" s="1971"/>
      <c r="AV2" s="1971"/>
      <c r="AW2" s="1971"/>
      <c r="AX2" s="1971"/>
      <c r="AY2" s="1971"/>
      <c r="AZ2" s="1971"/>
      <c r="BA2" s="1971"/>
      <c r="BB2" s="1971"/>
      <c r="BC2" s="1971"/>
      <c r="BD2" s="1971"/>
      <c r="BE2" s="1971"/>
      <c r="BF2" s="1971"/>
      <c r="BG2" s="1971"/>
      <c r="BH2" s="1971"/>
      <c r="BI2" s="1971"/>
      <c r="BJ2" s="1971"/>
      <c r="BK2" s="1971"/>
      <c r="BL2" s="1971"/>
      <c r="BM2" s="1971"/>
      <c r="BN2" s="1971"/>
      <c r="BO2" s="1971"/>
      <c r="BP2" s="1971"/>
      <c r="BQ2" s="1971"/>
    </row>
    <row r="3" spans="1:69" s="1396" customFormat="1" ht="15" customHeight="1">
      <c r="A3" s="26" t="s">
        <v>62</v>
      </c>
      <c r="B3" s="13" t="s">
        <v>63</v>
      </c>
      <c r="C3" s="5" t="s">
        <v>64</v>
      </c>
      <c r="D3" s="57" t="s">
        <v>730</v>
      </c>
      <c r="E3" s="5" t="s">
        <v>367</v>
      </c>
      <c r="F3" s="5">
        <v>1</v>
      </c>
      <c r="G3" s="20" t="s">
        <v>56</v>
      </c>
      <c r="H3" s="20" t="s">
        <v>56</v>
      </c>
      <c r="I3" s="27">
        <v>3</v>
      </c>
      <c r="J3" s="7">
        <v>17697</v>
      </c>
      <c r="K3" s="7"/>
      <c r="L3" s="10">
        <v>1</v>
      </c>
      <c r="M3" s="7"/>
      <c r="N3" s="10">
        <v>3.61</v>
      </c>
      <c r="O3" s="18">
        <f>N3*J3*L3</f>
        <v>63886.17</v>
      </c>
      <c r="P3" s="882"/>
      <c r="Q3" s="7"/>
      <c r="R3" s="8"/>
      <c r="S3" s="7">
        <v>0.1</v>
      </c>
      <c r="T3" s="7">
        <f t="shared" si="0"/>
        <v>6388.6170000000002</v>
      </c>
      <c r="U3" s="7"/>
      <c r="V3" s="9"/>
      <c r="W3" s="10">
        <f>O3+R3+T3+V3+P3</f>
        <v>70274.786999999997</v>
      </c>
      <c r="X3" s="1268">
        <f>Q3+S3+U3</f>
        <v>0.1</v>
      </c>
      <c r="Y3" s="1268">
        <f>R3+T3+V3</f>
        <v>6388.6170000000002</v>
      </c>
      <c r="Z3" s="1264">
        <f>W3*12</f>
        <v>843297.4439999999</v>
      </c>
      <c r="AA3" s="1382">
        <f>Z3/12/29.33*30</f>
        <v>71880.109444255024</v>
      </c>
      <c r="AB3" s="1264"/>
      <c r="AC3" s="1264"/>
      <c r="AD3" s="1264"/>
      <c r="AE3" s="1264"/>
      <c r="AF3" s="1264"/>
      <c r="AG3" s="1264"/>
      <c r="AH3" s="1264"/>
      <c r="AI3" s="1264"/>
      <c r="AJ3" s="23"/>
      <c r="AK3" s="23"/>
      <c r="AL3" s="23"/>
      <c r="AM3" s="23"/>
      <c r="AN3" s="23"/>
      <c r="AO3" s="23"/>
      <c r="AP3" s="23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1265"/>
    </row>
    <row r="4" spans="1:69" s="1407" customFormat="1" ht="15.75">
      <c r="A4" s="1991" t="s">
        <v>41</v>
      </c>
      <c r="B4" s="1984" t="s">
        <v>99</v>
      </c>
      <c r="C4" s="1972" t="s">
        <v>25</v>
      </c>
      <c r="D4" s="1985" t="s">
        <v>840</v>
      </c>
      <c r="E4" s="1985" t="s">
        <v>34</v>
      </c>
      <c r="F4" s="1972">
        <v>1</v>
      </c>
      <c r="G4" s="1992" t="s">
        <v>102</v>
      </c>
      <c r="H4" s="1992" t="s">
        <v>103</v>
      </c>
      <c r="I4" s="1993">
        <v>2</v>
      </c>
      <c r="J4" s="1965">
        <v>17697</v>
      </c>
      <c r="K4" s="1988">
        <v>18</v>
      </c>
      <c r="L4" s="1965">
        <f>K4/18</f>
        <v>1</v>
      </c>
      <c r="M4" s="1979" t="s">
        <v>104</v>
      </c>
      <c r="N4" s="1980">
        <v>4.51</v>
      </c>
      <c r="O4" s="2092">
        <f>N4*J4/18*K4</f>
        <v>79813.47</v>
      </c>
      <c r="P4" s="2121">
        <f>O4*50%</f>
        <v>39906.735000000001</v>
      </c>
      <c r="Q4" s="1981"/>
      <c r="R4" s="1965"/>
      <c r="S4" s="1965">
        <v>0.1</v>
      </c>
      <c r="T4" s="2092">
        <f t="shared" si="0"/>
        <v>11972.020500000001</v>
      </c>
      <c r="U4" s="1982"/>
      <c r="V4" s="1965"/>
      <c r="W4" s="680">
        <f>O4+P4+T4</f>
        <v>131692.2255</v>
      </c>
      <c r="X4" s="141">
        <f>U4+Q4</f>
        <v>0</v>
      </c>
      <c r="Y4" s="141">
        <f>V4+R4</f>
        <v>0</v>
      </c>
      <c r="Z4" s="1970">
        <f>W4*12</f>
        <v>1580306.706</v>
      </c>
      <c r="AA4" s="1971">
        <f>Z4/12/29.33*56</f>
        <v>251441.00334128883</v>
      </c>
      <c r="AB4" s="1971">
        <f>Z4*1.25</f>
        <v>1975383.3825000001</v>
      </c>
      <c r="AC4" s="1971">
        <f>AB4/12/29.33*56</f>
        <v>314301.25417661102</v>
      </c>
      <c r="AD4" s="1971"/>
      <c r="AE4" s="1971"/>
      <c r="AF4" s="1971"/>
      <c r="AG4" s="1971"/>
      <c r="AH4" s="1971"/>
      <c r="AI4" s="1971"/>
      <c r="AJ4" s="1970"/>
      <c r="AK4" s="1970"/>
      <c r="AL4" s="1970"/>
      <c r="AM4" s="1970"/>
      <c r="AN4" s="1970"/>
      <c r="AO4" s="1970"/>
      <c r="AP4" s="1970"/>
      <c r="AQ4" s="1971"/>
      <c r="AR4" s="1971"/>
      <c r="AS4" s="1971"/>
      <c r="AT4" s="1971"/>
      <c r="AU4" s="1971"/>
      <c r="AV4" s="1971"/>
      <c r="AW4" s="1971"/>
      <c r="AX4" s="1971"/>
      <c r="AY4" s="1971"/>
      <c r="AZ4" s="1971"/>
      <c r="BA4" s="1971"/>
      <c r="BB4" s="1971"/>
      <c r="BC4" s="1971"/>
      <c r="BD4" s="1971"/>
      <c r="BE4" s="1971"/>
      <c r="BF4" s="1971"/>
      <c r="BG4" s="1971"/>
      <c r="BH4" s="1971"/>
      <c r="BI4" s="1971"/>
      <c r="BJ4" s="1971"/>
      <c r="BK4" s="1971"/>
      <c r="BL4" s="1971"/>
      <c r="BM4" s="1971"/>
      <c r="BN4" s="1971"/>
      <c r="BO4" s="1971"/>
      <c r="BP4" s="1971"/>
      <c r="BQ4" s="1971"/>
    </row>
    <row r="5" spans="1:69" s="1265" customFormat="1" ht="15" customHeight="1">
      <c r="A5" s="13" t="s">
        <v>36</v>
      </c>
      <c r="B5" s="6" t="s">
        <v>32</v>
      </c>
      <c r="C5" s="14" t="s">
        <v>25</v>
      </c>
      <c r="D5" s="536" t="s">
        <v>265</v>
      </c>
      <c r="E5" s="12" t="s">
        <v>34</v>
      </c>
      <c r="F5" s="14">
        <v>1</v>
      </c>
      <c r="G5" s="5" t="s">
        <v>28</v>
      </c>
      <c r="H5" s="5" t="s">
        <v>35</v>
      </c>
      <c r="I5" s="14">
        <v>3</v>
      </c>
      <c r="J5" s="15">
        <v>17697</v>
      </c>
      <c r="K5" s="15"/>
      <c r="L5" s="1627">
        <v>1</v>
      </c>
      <c r="M5" s="7"/>
      <c r="N5" s="1628">
        <v>5.77</v>
      </c>
      <c r="O5" s="7">
        <f>N5*J5</f>
        <v>102111.68999999999</v>
      </c>
      <c r="P5" s="882">
        <f>O5*50%</f>
        <v>51055.844999999994</v>
      </c>
      <c r="Q5" s="8"/>
      <c r="R5" s="7"/>
      <c r="S5" s="7">
        <v>0.1</v>
      </c>
      <c r="T5" s="7">
        <f t="shared" si="0"/>
        <v>15316.753499999999</v>
      </c>
      <c r="U5" s="9"/>
      <c r="V5" s="7"/>
      <c r="W5" s="10">
        <f>O5+R5+T5+V5+P5</f>
        <v>168484.2885</v>
      </c>
      <c r="X5" s="1268">
        <f>Q5+S5+U5</f>
        <v>0.1</v>
      </c>
      <c r="Y5" s="1268">
        <f>R5+T5+V5</f>
        <v>15316.753499999999</v>
      </c>
      <c r="Z5" s="1264">
        <f>W5*12</f>
        <v>2021811.4619999998</v>
      </c>
      <c r="AA5" s="1382">
        <f>Z5/12/29.33*30</f>
        <v>172333.06017729288</v>
      </c>
      <c r="AB5" s="1396"/>
      <c r="AC5" s="1396"/>
      <c r="AD5" s="1396"/>
      <c r="AE5" s="1396"/>
      <c r="AF5" s="1396"/>
      <c r="AG5" s="1397"/>
      <c r="AH5" s="1398"/>
      <c r="AI5" s="1396"/>
      <c r="AJ5" s="1778"/>
      <c r="AK5" s="1778"/>
      <c r="AL5" s="1778"/>
      <c r="AM5" s="1778"/>
      <c r="AN5" s="1778"/>
      <c r="AO5" s="1778"/>
      <c r="AP5" s="1778"/>
      <c r="AQ5" s="908"/>
      <c r="AR5" s="908"/>
      <c r="AS5" s="908"/>
      <c r="AT5" s="908"/>
      <c r="AU5" s="908"/>
      <c r="AV5" s="908"/>
      <c r="AW5" s="908"/>
      <c r="AX5" s="908"/>
      <c r="AY5" s="908"/>
      <c r="AZ5" s="908"/>
      <c r="BA5" s="908"/>
      <c r="BB5" s="908"/>
      <c r="BC5" s="908"/>
      <c r="BD5" s="908"/>
      <c r="BE5" s="908"/>
      <c r="BF5" s="908"/>
      <c r="BG5" s="908"/>
      <c r="BH5" s="908"/>
      <c r="BI5" s="908"/>
      <c r="BJ5" s="908"/>
      <c r="BK5" s="908"/>
      <c r="BL5" s="908"/>
      <c r="BM5" s="908"/>
      <c r="BN5" s="908"/>
      <c r="BO5" s="908"/>
      <c r="BP5" s="908"/>
      <c r="BQ5" s="1396"/>
    </row>
    <row r="6" spans="1:69" s="1265" customFormat="1" ht="15" customHeight="1">
      <c r="A6" s="2057" t="s">
        <v>36</v>
      </c>
      <c r="B6" s="2058" t="s">
        <v>99</v>
      </c>
      <c r="C6" s="2059" t="s">
        <v>25</v>
      </c>
      <c r="D6" s="2024" t="s">
        <v>889</v>
      </c>
      <c r="E6" s="1985" t="s">
        <v>40</v>
      </c>
      <c r="F6" s="1972">
        <v>1</v>
      </c>
      <c r="G6" s="1992" t="s">
        <v>102</v>
      </c>
      <c r="H6" s="1992" t="s">
        <v>103</v>
      </c>
      <c r="I6" s="2060">
        <v>1</v>
      </c>
      <c r="J6" s="1965">
        <v>17697</v>
      </c>
      <c r="K6" s="2176">
        <v>9</v>
      </c>
      <c r="L6" s="1965">
        <f>K6/18</f>
        <v>0.5</v>
      </c>
      <c r="M6" s="2000" t="s">
        <v>152</v>
      </c>
      <c r="N6" s="2061">
        <v>4.75</v>
      </c>
      <c r="O6" s="2092">
        <f>N6*J6/18*K6</f>
        <v>42030.375</v>
      </c>
      <c r="P6" s="2121">
        <f>O6*50%</f>
        <v>21015.1875</v>
      </c>
      <c r="Q6" s="1981"/>
      <c r="R6" s="1965"/>
      <c r="S6" s="1965">
        <v>0.1</v>
      </c>
      <c r="T6" s="2092">
        <f t="shared" si="0"/>
        <v>6304.5562500000005</v>
      </c>
      <c r="U6" s="2056"/>
      <c r="V6" s="1965"/>
      <c r="W6" s="680">
        <f>O6+P6+T6</f>
        <v>69350.118749999994</v>
      </c>
      <c r="X6" s="141"/>
      <c r="Y6" s="141"/>
      <c r="Z6" s="1970" t="e">
        <f>#REF!*12</f>
        <v>#REF!</v>
      </c>
      <c r="AA6" s="1971" t="e">
        <f>Z6/12/29.33*56</f>
        <v>#REF!</v>
      </c>
      <c r="AB6" s="1971" t="e">
        <f>Z6*1.25</f>
        <v>#REF!</v>
      </c>
      <c r="AC6" s="1971" t="e">
        <f>AB6/12/29.33*56</f>
        <v>#REF!</v>
      </c>
      <c r="AD6" s="1971"/>
      <c r="AE6" s="1971"/>
      <c r="AF6" s="1971"/>
      <c r="AG6" s="1971"/>
      <c r="AH6" s="1971"/>
      <c r="AI6" s="1971"/>
      <c r="AJ6" s="1970"/>
      <c r="AK6" s="1970"/>
      <c r="AL6" s="1970"/>
      <c r="AM6" s="1970"/>
      <c r="AN6" s="1970"/>
      <c r="AO6" s="1970"/>
      <c r="AP6" s="1970"/>
      <c r="AQ6" s="1971"/>
      <c r="AR6" s="1971"/>
      <c r="AS6" s="1971"/>
      <c r="AT6" s="1971"/>
      <c r="AU6" s="1971"/>
      <c r="AV6" s="1971"/>
      <c r="AW6" s="1971"/>
      <c r="AX6" s="1971"/>
      <c r="AY6" s="1971"/>
      <c r="AZ6" s="1971"/>
      <c r="BA6" s="1971"/>
      <c r="BB6" s="1971"/>
      <c r="BC6" s="1971"/>
      <c r="BD6" s="1971"/>
      <c r="BE6" s="1971"/>
      <c r="BF6" s="1971"/>
      <c r="BG6" s="1971"/>
      <c r="BH6" s="1971"/>
      <c r="BI6" s="1971"/>
      <c r="BJ6" s="1971"/>
      <c r="BK6" s="1971"/>
      <c r="BL6" s="1971"/>
      <c r="BM6" s="1971"/>
      <c r="BN6" s="1971"/>
      <c r="BO6" s="1971"/>
      <c r="BP6" s="1971"/>
      <c r="BQ6" s="1971"/>
    </row>
    <row r="7" spans="1:69" s="1265" customFormat="1" ht="15" customHeight="1">
      <c r="A7" s="1983" t="s">
        <v>110</v>
      </c>
      <c r="B7" s="1984" t="s">
        <v>99</v>
      </c>
      <c r="C7" s="1972" t="s">
        <v>25</v>
      </c>
      <c r="D7" s="1985" t="s">
        <v>841</v>
      </c>
      <c r="E7" s="1985" t="s">
        <v>669</v>
      </c>
      <c r="F7" s="1972">
        <v>1</v>
      </c>
      <c r="G7" s="1992" t="s">
        <v>102</v>
      </c>
      <c r="H7" s="1992" t="s">
        <v>103</v>
      </c>
      <c r="I7" s="1999">
        <v>3</v>
      </c>
      <c r="J7" s="1965">
        <v>17697</v>
      </c>
      <c r="K7" s="1988">
        <v>30</v>
      </c>
      <c r="L7" s="1965">
        <f>K7/18</f>
        <v>1.6666666666666667</v>
      </c>
      <c r="M7" s="1989" t="s">
        <v>109</v>
      </c>
      <c r="N7" s="1980">
        <v>4.07</v>
      </c>
      <c r="O7" s="2092">
        <f>N7*J7/18*K7</f>
        <v>120044.65000000001</v>
      </c>
      <c r="P7" s="2121">
        <f>O7*50%</f>
        <v>60022.325000000004</v>
      </c>
      <c r="Q7" s="1981"/>
      <c r="R7" s="1965"/>
      <c r="S7" s="1965">
        <v>0.1</v>
      </c>
      <c r="T7" s="2092">
        <f t="shared" si="0"/>
        <v>18006.697500000002</v>
      </c>
      <c r="U7" s="1982"/>
      <c r="V7" s="1965"/>
      <c r="W7" s="680">
        <f>O7+P7+T7</f>
        <v>198073.67250000002</v>
      </c>
      <c r="X7" s="141"/>
      <c r="Y7" s="141"/>
      <c r="Z7" s="1970">
        <f>W7*12</f>
        <v>2376884.0700000003</v>
      </c>
      <c r="AA7" s="1971">
        <f>Z7/12/29.33*56</f>
        <v>378183.62291169458</v>
      </c>
      <c r="AB7" s="1971">
        <f>Z7*1.25</f>
        <v>2971105.0875000004</v>
      </c>
      <c r="AC7" s="1971">
        <f>AB7/12/29.33*56</f>
        <v>472729.52863961825</v>
      </c>
      <c r="AD7" s="1971"/>
      <c r="AE7" s="1971"/>
      <c r="AF7" s="1971"/>
      <c r="AG7" s="1971"/>
      <c r="AH7" s="1971"/>
      <c r="AI7" s="1971"/>
      <c r="AJ7" s="1970"/>
      <c r="AK7" s="1970"/>
      <c r="AL7" s="1970"/>
      <c r="AM7" s="1970"/>
      <c r="AN7" s="1970"/>
      <c r="AO7" s="1970"/>
      <c r="AP7" s="1970"/>
      <c r="AQ7" s="1971"/>
      <c r="AR7" s="1971"/>
      <c r="AS7" s="1971"/>
      <c r="AT7" s="1971"/>
      <c r="AU7" s="1971"/>
      <c r="AV7" s="1971"/>
      <c r="AW7" s="1971"/>
      <c r="AX7" s="1971"/>
      <c r="AY7" s="1971"/>
      <c r="AZ7" s="1971"/>
      <c r="BA7" s="1971"/>
      <c r="BB7" s="1971"/>
      <c r="BC7" s="1971"/>
      <c r="BD7" s="1971"/>
      <c r="BE7" s="1971"/>
      <c r="BF7" s="1971"/>
      <c r="BG7" s="1971"/>
      <c r="BH7" s="1971"/>
      <c r="BI7" s="1971"/>
      <c r="BJ7" s="1971"/>
      <c r="BK7" s="1971"/>
      <c r="BL7" s="1971"/>
      <c r="BM7" s="1971"/>
      <c r="BN7" s="1971"/>
      <c r="BO7" s="1971"/>
      <c r="BP7" s="1971"/>
      <c r="BQ7" s="1971"/>
    </row>
    <row r="8" spans="1:69" s="1265" customFormat="1" ht="15" customHeight="1">
      <c r="A8" s="1991" t="s">
        <v>106</v>
      </c>
      <c r="B8" s="1984" t="s">
        <v>99</v>
      </c>
      <c r="C8" s="1972" t="s">
        <v>25</v>
      </c>
      <c r="D8" s="1985" t="s">
        <v>842</v>
      </c>
      <c r="E8" s="1985" t="s">
        <v>669</v>
      </c>
      <c r="F8" s="1972">
        <v>1</v>
      </c>
      <c r="G8" s="1992" t="s">
        <v>102</v>
      </c>
      <c r="H8" s="1992" t="s">
        <v>103</v>
      </c>
      <c r="I8" s="1993">
        <v>3</v>
      </c>
      <c r="J8" s="1965">
        <v>17697</v>
      </c>
      <c r="K8" s="1988">
        <v>21</v>
      </c>
      <c r="L8" s="1965">
        <f>K8/18</f>
        <v>1.1666666666666667</v>
      </c>
      <c r="M8" s="1979" t="s">
        <v>109</v>
      </c>
      <c r="N8" s="1980">
        <v>4.07</v>
      </c>
      <c r="O8" s="2092">
        <f>N8*J8/18*K8</f>
        <v>84031.255000000005</v>
      </c>
      <c r="P8" s="2121">
        <f>O8*50%</f>
        <v>42015.627500000002</v>
      </c>
      <c r="Q8" s="1981"/>
      <c r="R8" s="1965"/>
      <c r="S8" s="1965">
        <v>0.1</v>
      </c>
      <c r="T8" s="2092">
        <f t="shared" si="0"/>
        <v>12604.688250000001</v>
      </c>
      <c r="U8" s="1982"/>
      <c r="V8" s="1965"/>
      <c r="W8" s="680">
        <f>O8+P8+T8</f>
        <v>138651.57075000001</v>
      </c>
      <c r="X8" s="141">
        <f>U8+Q8</f>
        <v>0</v>
      </c>
      <c r="Y8" s="141">
        <f>V8+R8</f>
        <v>0</v>
      </c>
      <c r="Z8" s="1970">
        <f>W8*12</f>
        <v>1663818.8490000002</v>
      </c>
      <c r="AA8" s="1971">
        <f>Z8/12/29.33*56</f>
        <v>264728.53603818617</v>
      </c>
      <c r="AB8" s="1971">
        <f>Z8*1.25</f>
        <v>2079773.5612500003</v>
      </c>
      <c r="AC8" s="1971">
        <f>AB8/12/29.33*56</f>
        <v>330910.67004773277</v>
      </c>
      <c r="AD8" s="1971"/>
      <c r="AE8" s="1971"/>
      <c r="AF8" s="1971"/>
      <c r="AG8" s="1971"/>
      <c r="AH8" s="1971"/>
      <c r="AI8" s="1971"/>
      <c r="AJ8" s="1970"/>
      <c r="AK8" s="1970"/>
      <c r="AL8" s="1970"/>
      <c r="AM8" s="1970"/>
      <c r="AN8" s="1970"/>
      <c r="AO8" s="1970"/>
      <c r="AP8" s="1970"/>
      <c r="AQ8" s="1971"/>
      <c r="AR8" s="1971"/>
      <c r="AS8" s="1971"/>
      <c r="AT8" s="1971"/>
      <c r="AU8" s="1971"/>
      <c r="AV8" s="1971"/>
      <c r="AW8" s="1971"/>
      <c r="AX8" s="1971"/>
      <c r="AY8" s="1971"/>
      <c r="AZ8" s="1971"/>
      <c r="BA8" s="1971"/>
      <c r="BB8" s="1971"/>
      <c r="BC8" s="1971"/>
      <c r="BD8" s="1971"/>
      <c r="BE8" s="1971"/>
      <c r="BF8" s="1971"/>
      <c r="BG8" s="1971"/>
      <c r="BH8" s="1971"/>
      <c r="BI8" s="1971"/>
      <c r="BJ8" s="1971"/>
      <c r="BK8" s="1971"/>
      <c r="BL8" s="1971"/>
      <c r="BM8" s="1971"/>
      <c r="BN8" s="1971"/>
      <c r="BO8" s="1971"/>
      <c r="BP8" s="1971"/>
      <c r="BQ8" s="1971"/>
    </row>
    <row r="9" spans="1:69" s="1265" customFormat="1" ht="15" customHeight="1">
      <c r="A9" s="2109" t="s">
        <v>508</v>
      </c>
      <c r="B9" s="2058" t="s">
        <v>340</v>
      </c>
      <c r="C9" s="2074" t="s">
        <v>75</v>
      </c>
      <c r="D9" s="2149"/>
      <c r="E9" s="2110"/>
      <c r="F9" s="2149">
        <v>1</v>
      </c>
      <c r="G9" s="2111"/>
      <c r="H9" s="2111"/>
      <c r="I9" s="1992">
        <v>2</v>
      </c>
      <c r="J9" s="2092">
        <v>17697</v>
      </c>
      <c r="K9" s="2092"/>
      <c r="L9" s="1965">
        <v>1</v>
      </c>
      <c r="M9" s="2092"/>
      <c r="N9" s="1965">
        <v>2.81</v>
      </c>
      <c r="O9" s="2092">
        <f>J9*N9*L9</f>
        <v>49728.57</v>
      </c>
      <c r="P9" s="2121"/>
      <c r="Q9" s="1965">
        <f>J9*O10*M9</f>
        <v>0</v>
      </c>
      <c r="R9" s="2092"/>
      <c r="S9" s="1981">
        <v>0.1</v>
      </c>
      <c r="T9" s="1965">
        <f>S9*O9</f>
        <v>4972.857</v>
      </c>
      <c r="U9" s="1982">
        <v>0.3</v>
      </c>
      <c r="V9" s="1965">
        <f>U9*J9</f>
        <v>5309.0999999999995</v>
      </c>
      <c r="W9" s="680">
        <f>O9+T9+V9</f>
        <v>60010.526999999995</v>
      </c>
      <c r="X9" s="141">
        <f>Q8+U8+W8</f>
        <v>138651.57075000001</v>
      </c>
      <c r="Y9" s="141">
        <f>R8+V8+X9</f>
        <v>138651.57075000001</v>
      </c>
      <c r="Z9" s="1970">
        <f>W8*12</f>
        <v>1663818.8490000002</v>
      </c>
      <c r="AA9" s="2094">
        <f>Z9/12/29.33*24</f>
        <v>113455.08687350836</v>
      </c>
      <c r="AB9" s="2099"/>
      <c r="AC9" s="2099"/>
      <c r="AD9" s="2099"/>
      <c r="AE9" s="2099"/>
      <c r="AF9" s="2099"/>
      <c r="AG9" s="2099"/>
      <c r="AH9" s="2099"/>
      <c r="AI9" s="2099"/>
      <c r="AJ9" s="2100"/>
      <c r="AK9" s="2100"/>
      <c r="AL9" s="2100"/>
      <c r="AM9" s="2100"/>
      <c r="AN9" s="2100"/>
      <c r="AO9" s="2100"/>
      <c r="AP9" s="2100"/>
      <c r="AQ9" s="2099"/>
      <c r="AR9" s="2099"/>
      <c r="AS9" s="2099"/>
      <c r="AT9" s="2099"/>
      <c r="AU9" s="2099"/>
      <c r="AV9" s="2099"/>
      <c r="AW9" s="2099"/>
      <c r="AX9" s="2099"/>
      <c r="AY9" s="2099"/>
      <c r="AZ9" s="2099"/>
      <c r="BA9" s="2099"/>
      <c r="BB9" s="2099"/>
      <c r="BC9" s="2099"/>
      <c r="BD9" s="2099"/>
      <c r="BE9" s="2099"/>
      <c r="BF9" s="2099"/>
      <c r="BG9" s="2099"/>
      <c r="BH9" s="2099"/>
      <c r="BI9" s="2099"/>
      <c r="BJ9" s="2099"/>
      <c r="BK9" s="2099"/>
      <c r="BL9" s="2099"/>
      <c r="BM9" s="2099"/>
      <c r="BN9" s="2099"/>
      <c r="BO9" s="2099"/>
      <c r="BP9" s="2099"/>
      <c r="BQ9" s="2099"/>
    </row>
    <row r="10" spans="1:69" s="1265" customFormat="1" ht="15" customHeight="1">
      <c r="A10" s="2062" t="s">
        <v>261</v>
      </c>
      <c r="B10" s="2063" t="s">
        <v>99</v>
      </c>
      <c r="C10" s="2064" t="s">
        <v>25</v>
      </c>
      <c r="D10" s="2151" t="s">
        <v>890</v>
      </c>
      <c r="E10" s="1985" t="s">
        <v>614</v>
      </c>
      <c r="F10" s="2049">
        <v>1</v>
      </c>
      <c r="G10" s="2104" t="s">
        <v>102</v>
      </c>
      <c r="H10" s="2104" t="s">
        <v>103</v>
      </c>
      <c r="I10" s="2171">
        <v>1</v>
      </c>
      <c r="J10" s="1965">
        <v>17697</v>
      </c>
      <c r="K10" s="2177">
        <v>31</v>
      </c>
      <c r="L10" s="2004">
        <f>K10/18</f>
        <v>1.7222222222222223</v>
      </c>
      <c r="M10" s="2010" t="s">
        <v>152</v>
      </c>
      <c r="N10" s="2066">
        <v>4.55</v>
      </c>
      <c r="O10" s="2121">
        <f>N10*J10/18*K10</f>
        <v>138675.65833333333</v>
      </c>
      <c r="P10" s="2121">
        <f>O10*50%</f>
        <v>69337.829166666663</v>
      </c>
      <c r="Q10" s="2003"/>
      <c r="R10" s="2004"/>
      <c r="S10" s="1965">
        <v>0.1</v>
      </c>
      <c r="T10" s="2092">
        <f>(O10+P10)*S10</f>
        <v>20801.348750000001</v>
      </c>
      <c r="U10" s="2067"/>
      <c r="V10" s="2004"/>
      <c r="W10" s="680">
        <f>O10+P10+T10</f>
        <v>228814.83624999999</v>
      </c>
      <c r="X10" s="2012">
        <f>U9+Q9</f>
        <v>0.3</v>
      </c>
      <c r="Y10" s="2012">
        <f>V9+R9</f>
        <v>5309.0999999999995</v>
      </c>
      <c r="Z10" s="1970">
        <f>W9*12</f>
        <v>720126.32399999991</v>
      </c>
      <c r="AA10" s="1971">
        <f>Z10/12/29.33*56</f>
        <v>114578.57183770882</v>
      </c>
      <c r="AB10" s="1971">
        <f>Z10*1.25</f>
        <v>900157.90499999991</v>
      </c>
      <c r="AC10" s="1971">
        <f>AB10/12/29.33*56</f>
        <v>143223.21479713602</v>
      </c>
      <c r="AD10" s="1971"/>
      <c r="AE10" s="1971"/>
      <c r="AF10" s="1971"/>
      <c r="AG10" s="1971"/>
      <c r="AH10" s="1971"/>
      <c r="AI10" s="1971"/>
      <c r="AJ10" s="1970"/>
      <c r="AK10" s="1970"/>
      <c r="AL10" s="1970"/>
      <c r="AM10" s="1970"/>
      <c r="AN10" s="1970"/>
      <c r="AO10" s="1970"/>
      <c r="AP10" s="1970"/>
      <c r="AQ10" s="1971"/>
      <c r="AR10" s="1971"/>
      <c r="AS10" s="1971"/>
      <c r="AT10" s="1971"/>
      <c r="AU10" s="1971"/>
      <c r="AV10" s="1971"/>
      <c r="AW10" s="1971"/>
      <c r="AX10" s="1971"/>
      <c r="AY10" s="1971"/>
      <c r="AZ10" s="1971"/>
      <c r="BA10" s="1971"/>
      <c r="BB10" s="1971"/>
      <c r="BC10" s="1971"/>
      <c r="BD10" s="1971"/>
      <c r="BE10" s="1971"/>
      <c r="BF10" s="1971"/>
      <c r="BG10" s="1971"/>
      <c r="BH10" s="1971"/>
      <c r="BI10" s="1971"/>
      <c r="BJ10" s="1971"/>
      <c r="BK10" s="1971"/>
      <c r="BL10" s="1971"/>
      <c r="BM10" s="1971"/>
      <c r="BN10" s="1971"/>
      <c r="BO10" s="1971"/>
      <c r="BP10" s="1971"/>
      <c r="BQ10" s="1971"/>
    </row>
    <row r="11" spans="1:69" s="1265" customFormat="1" ht="15" customHeight="1">
      <c r="A11" s="1991" t="s">
        <v>339</v>
      </c>
      <c r="B11" s="2058" t="s">
        <v>340</v>
      </c>
      <c r="C11" s="1972" t="s">
        <v>64</v>
      </c>
      <c r="D11" s="1992"/>
      <c r="E11" s="2089"/>
      <c r="F11" s="2102">
        <v>1</v>
      </c>
      <c r="G11" s="1992"/>
      <c r="H11" s="2091"/>
      <c r="I11" s="1992">
        <v>2</v>
      </c>
      <c r="J11" s="1965">
        <v>17697</v>
      </c>
      <c r="K11" s="1965"/>
      <c r="L11" s="1965">
        <v>1</v>
      </c>
      <c r="M11" s="1965"/>
      <c r="N11" s="1965">
        <v>2.81</v>
      </c>
      <c r="O11" s="2092">
        <f>J11*N11*L11</f>
        <v>49728.57</v>
      </c>
      <c r="P11" s="2121"/>
      <c r="Q11" s="1965">
        <f>J11*O12*M11</f>
        <v>0</v>
      </c>
      <c r="R11" s="1981"/>
      <c r="S11" s="1981">
        <v>0.1</v>
      </c>
      <c r="T11" s="1965">
        <f>S11*O11</f>
        <v>4972.857</v>
      </c>
      <c r="U11" s="1982">
        <v>0.3</v>
      </c>
      <c r="V11" s="1965">
        <f>U11*J11</f>
        <v>5309.0999999999995</v>
      </c>
      <c r="W11" s="680">
        <f>O11+T11+V11</f>
        <v>60010.526999999995</v>
      </c>
      <c r="X11" s="141">
        <f>Q10+U10+W10</f>
        <v>228814.83624999999</v>
      </c>
      <c r="Y11" s="141">
        <f>R10+V10+X11</f>
        <v>228814.83624999999</v>
      </c>
      <c r="Z11" s="1970">
        <f>W10*12</f>
        <v>2745778.0350000001</v>
      </c>
      <c r="AA11" s="2094">
        <f>Z11/12/29.33*24</f>
        <v>187233.41527446301</v>
      </c>
      <c r="AB11" s="2099"/>
      <c r="AC11" s="2099"/>
      <c r="AD11" s="2099"/>
      <c r="AE11" s="2099"/>
      <c r="AF11" s="2099"/>
      <c r="AG11" s="2099"/>
      <c r="AH11" s="2099"/>
      <c r="AI11" s="2099"/>
      <c r="AJ11" s="2100"/>
      <c r="AK11" s="2100"/>
      <c r="AL11" s="2100"/>
      <c r="AM11" s="2100"/>
      <c r="AN11" s="2100"/>
      <c r="AO11" s="2100"/>
      <c r="AP11" s="2100"/>
      <c r="AQ11" s="2099"/>
      <c r="AR11" s="2099"/>
      <c r="AS11" s="2099"/>
      <c r="AT11" s="2099"/>
      <c r="AU11" s="2099"/>
      <c r="AV11" s="2099"/>
      <c r="AW11" s="2099"/>
      <c r="AX11" s="2099"/>
      <c r="AY11" s="2099"/>
      <c r="AZ11" s="2099"/>
      <c r="BA11" s="2099"/>
      <c r="BB11" s="2099"/>
      <c r="BC11" s="2099"/>
      <c r="BD11" s="2099"/>
      <c r="BE11" s="2099"/>
      <c r="BF11" s="2099"/>
      <c r="BG11" s="2099"/>
      <c r="BH11" s="2099"/>
      <c r="BI11" s="2099"/>
      <c r="BJ11" s="2099"/>
      <c r="BK11" s="2099"/>
      <c r="BL11" s="2099"/>
      <c r="BM11" s="2099"/>
      <c r="BN11" s="2099"/>
      <c r="BO11" s="2099"/>
      <c r="BP11" s="2099"/>
      <c r="BQ11" s="2099"/>
    </row>
    <row r="12" spans="1:69" s="1265" customFormat="1" ht="15" customHeight="1">
      <c r="A12" s="1991" t="s">
        <v>215</v>
      </c>
      <c r="B12" s="1984" t="s">
        <v>99</v>
      </c>
      <c r="C12" s="1992" t="s">
        <v>25</v>
      </c>
      <c r="D12" s="1985" t="s">
        <v>843</v>
      </c>
      <c r="E12" s="1985" t="s">
        <v>217</v>
      </c>
      <c r="F12" s="1972">
        <v>1</v>
      </c>
      <c r="G12" s="1994" t="s">
        <v>102</v>
      </c>
      <c r="H12" s="1994" t="s">
        <v>103</v>
      </c>
      <c r="I12" s="1995">
        <v>1</v>
      </c>
      <c r="J12" s="1965">
        <v>17697</v>
      </c>
      <c r="K12" s="1996">
        <v>4</v>
      </c>
      <c r="L12" s="1965">
        <f>K12/18</f>
        <v>0.22222222222222221</v>
      </c>
      <c r="M12" s="1995" t="s">
        <v>152</v>
      </c>
      <c r="N12" s="1997">
        <v>4.6900000000000004</v>
      </c>
      <c r="O12" s="2092">
        <f>N12*J12/18*K12</f>
        <v>18444.206666666669</v>
      </c>
      <c r="P12" s="2121">
        <f>O12*50%</f>
        <v>9222.1033333333344</v>
      </c>
      <c r="Q12" s="1981"/>
      <c r="R12" s="1965"/>
      <c r="S12" s="1965">
        <v>0.1</v>
      </c>
      <c r="T12" s="2092">
        <f>(O12+P12)*S12</f>
        <v>2766.6310000000008</v>
      </c>
      <c r="U12" s="1982"/>
      <c r="V12" s="1965"/>
      <c r="W12" s="680">
        <f>O12+P12+T12</f>
        <v>30432.941000000006</v>
      </c>
      <c r="X12" s="1998">
        <f>U12+Q12</f>
        <v>0</v>
      </c>
      <c r="Y12" s="1998">
        <f>V12+R12</f>
        <v>0</v>
      </c>
      <c r="Z12" s="1970">
        <f>W12*12</f>
        <v>365195.29200000007</v>
      </c>
      <c r="AA12" s="1971">
        <f>Z12/12/29.33*56</f>
        <v>58105.853937947511</v>
      </c>
      <c r="AB12" s="1971">
        <f>Z12*1.25</f>
        <v>456494.11500000011</v>
      </c>
      <c r="AC12" s="1971">
        <f>AB12/12/29.33*56</f>
        <v>72632.317422434397</v>
      </c>
      <c r="AD12" s="1971"/>
      <c r="AE12" s="1971"/>
      <c r="AF12" s="1971"/>
      <c r="AG12" s="1971"/>
      <c r="AH12" s="1971"/>
      <c r="AI12" s="1971"/>
      <c r="AJ12" s="1970"/>
      <c r="AK12" s="1970"/>
      <c r="AL12" s="1970"/>
      <c r="AM12" s="1970"/>
      <c r="AN12" s="1970"/>
      <c r="AO12" s="1970"/>
      <c r="AP12" s="1970"/>
      <c r="AQ12" s="1971"/>
      <c r="AR12" s="1971"/>
      <c r="AS12" s="1971"/>
      <c r="AT12" s="1971"/>
      <c r="AU12" s="1971"/>
      <c r="AV12" s="1971"/>
      <c r="AW12" s="1971"/>
      <c r="AX12" s="1971"/>
      <c r="AY12" s="1971"/>
      <c r="AZ12" s="1971"/>
      <c r="BA12" s="1971"/>
      <c r="BB12" s="1971"/>
      <c r="BC12" s="1971"/>
      <c r="BD12" s="1971"/>
      <c r="BE12" s="1971"/>
      <c r="BF12" s="1971"/>
      <c r="BG12" s="1971"/>
      <c r="BH12" s="1971"/>
      <c r="BI12" s="1971"/>
      <c r="BJ12" s="1971"/>
      <c r="BK12" s="1971"/>
      <c r="BL12" s="1971"/>
      <c r="BM12" s="1971"/>
      <c r="BN12" s="1971"/>
      <c r="BO12" s="1971"/>
      <c r="BP12" s="1971"/>
      <c r="BQ12" s="1971"/>
    </row>
    <row r="13" spans="1:69" s="1396" customFormat="1" ht="15.75" customHeight="1">
      <c r="A13" s="1991" t="s">
        <v>215</v>
      </c>
      <c r="B13" s="1984" t="s">
        <v>99</v>
      </c>
      <c r="C13" s="1992" t="s">
        <v>25</v>
      </c>
      <c r="D13" s="1985" t="s">
        <v>843</v>
      </c>
      <c r="E13" s="1985" t="s">
        <v>217</v>
      </c>
      <c r="F13" s="2119">
        <v>1</v>
      </c>
      <c r="G13" s="1994" t="s">
        <v>102</v>
      </c>
      <c r="H13" s="1994" t="s">
        <v>103</v>
      </c>
      <c r="I13" s="2000">
        <v>1</v>
      </c>
      <c r="J13" s="1965">
        <v>17697</v>
      </c>
      <c r="K13" s="2120">
        <v>20</v>
      </c>
      <c r="L13" s="1965">
        <f>K13/18</f>
        <v>1.1111111111111112</v>
      </c>
      <c r="M13" s="2000" t="s">
        <v>152</v>
      </c>
      <c r="N13" s="1997">
        <v>4.6900000000000004</v>
      </c>
      <c r="O13" s="2092">
        <f>N13*J13/18*K13</f>
        <v>92221.03333333334</v>
      </c>
      <c r="P13" s="2121">
        <f>O13*50%</f>
        <v>46110.51666666667</v>
      </c>
      <c r="Q13" s="1981"/>
      <c r="R13" s="1965"/>
      <c r="S13" s="1965">
        <v>0.1</v>
      </c>
      <c r="T13" s="2092">
        <f>(O13+P13)*S13</f>
        <v>13833.155000000002</v>
      </c>
      <c r="U13" s="2056"/>
      <c r="V13" s="1965"/>
      <c r="W13" s="680">
        <f>O13+P13+T13</f>
        <v>152164.70500000002</v>
      </c>
      <c r="X13" s="141"/>
      <c r="Y13" s="141"/>
      <c r="Z13" s="1970" t="e">
        <f>#REF!*12</f>
        <v>#REF!</v>
      </c>
      <c r="AA13" s="1971" t="e">
        <f>Z13/12/29.33*56</f>
        <v>#REF!</v>
      </c>
      <c r="AB13" s="1971" t="e">
        <f>Z13*1.25</f>
        <v>#REF!</v>
      </c>
      <c r="AC13" s="1971" t="e">
        <f>AB13/12/29.33*56</f>
        <v>#REF!</v>
      </c>
      <c r="AD13" s="1971"/>
      <c r="AE13" s="1971"/>
      <c r="AF13" s="1971"/>
      <c r="AG13" s="1971"/>
      <c r="AH13" s="1971"/>
      <c r="AI13" s="1971"/>
      <c r="AJ13" s="2098"/>
      <c r="AK13" s="1970"/>
      <c r="AL13" s="1970"/>
      <c r="AM13" s="1970"/>
      <c r="AN13" s="1970"/>
      <c r="AO13" s="1970"/>
      <c r="AP13" s="1970"/>
      <c r="AQ13" s="1971"/>
      <c r="AR13" s="1971"/>
      <c r="AS13" s="1971"/>
      <c r="AT13" s="1971"/>
      <c r="AU13" s="1971"/>
      <c r="AV13" s="1971"/>
      <c r="AW13" s="1971"/>
      <c r="AX13" s="1971"/>
      <c r="AY13" s="1971"/>
      <c r="AZ13" s="1971"/>
      <c r="BA13" s="1971"/>
      <c r="BB13" s="1971"/>
      <c r="BC13" s="1971"/>
      <c r="BD13" s="1971"/>
      <c r="BE13" s="1971"/>
      <c r="BF13" s="1971"/>
      <c r="BG13" s="1971"/>
      <c r="BH13" s="1971"/>
      <c r="BI13" s="1971"/>
      <c r="BJ13" s="1971"/>
      <c r="BK13" s="1971"/>
      <c r="BL13" s="1971"/>
      <c r="BM13" s="1971"/>
      <c r="BN13" s="1971"/>
      <c r="BO13" s="1971"/>
      <c r="BP13" s="1971"/>
      <c r="BQ13" s="1971"/>
    </row>
    <row r="14" spans="1:69" s="1396" customFormat="1" ht="15.75" customHeight="1">
      <c r="A14" s="2057" t="s">
        <v>760</v>
      </c>
      <c r="B14" s="2058" t="s">
        <v>99</v>
      </c>
      <c r="C14" s="2059" t="s">
        <v>25</v>
      </c>
      <c r="D14" s="2024" t="s">
        <v>891</v>
      </c>
      <c r="E14" s="1985" t="s">
        <v>403</v>
      </c>
      <c r="F14" s="1972">
        <v>1</v>
      </c>
      <c r="G14" s="1992" t="s">
        <v>102</v>
      </c>
      <c r="H14" s="1992" t="s">
        <v>103</v>
      </c>
      <c r="I14" s="2060">
        <v>3</v>
      </c>
      <c r="J14" s="1965">
        <v>17697</v>
      </c>
      <c r="K14" s="2176">
        <v>33</v>
      </c>
      <c r="L14" s="1965">
        <f>K14/18</f>
        <v>1.8333333333333333</v>
      </c>
      <c r="M14" s="2000" t="s">
        <v>109</v>
      </c>
      <c r="N14" s="2061">
        <v>4.1399999999999997</v>
      </c>
      <c r="O14" s="2092">
        <f>N14*J14/18*K14</f>
        <v>134320.22999999998</v>
      </c>
      <c r="P14" s="2121">
        <f>O14*50%</f>
        <v>67160.114999999991</v>
      </c>
      <c r="Q14" s="1981"/>
      <c r="R14" s="1965"/>
      <c r="S14" s="1965">
        <v>0.1</v>
      </c>
      <c r="T14" s="2092">
        <f>(O14+P14)*S14</f>
        <v>20148.034499999998</v>
      </c>
      <c r="U14" s="2056"/>
      <c r="V14" s="1965"/>
      <c r="W14" s="680">
        <f>O14+P14+T14</f>
        <v>221628.37949999998</v>
      </c>
      <c r="X14" s="141">
        <f>U13+Q13</f>
        <v>0</v>
      </c>
      <c r="Y14" s="141">
        <f>V13+R13</f>
        <v>0</v>
      </c>
      <c r="Z14" s="1970">
        <f>W13*12</f>
        <v>1825976.4600000002</v>
      </c>
      <c r="AA14" s="1971">
        <f>Z14/12/29.33*56</f>
        <v>290529.26968973753</v>
      </c>
      <c r="AB14" s="1971">
        <f>Z14*1.25</f>
        <v>2282470.5750000002</v>
      </c>
      <c r="AC14" s="1971">
        <f>AB14/12/29.33*56</f>
        <v>363161.58711217187</v>
      </c>
      <c r="AD14" s="1971"/>
      <c r="AE14" s="1971"/>
      <c r="AF14" s="1971"/>
      <c r="AG14" s="1971"/>
      <c r="AH14" s="1971"/>
      <c r="AI14" s="1971"/>
      <c r="AJ14" s="1970"/>
      <c r="AK14" s="1970"/>
      <c r="AL14" s="1970"/>
      <c r="AM14" s="1970"/>
      <c r="AN14" s="1970"/>
      <c r="AO14" s="1970"/>
      <c r="AP14" s="1970"/>
      <c r="AQ14" s="1971"/>
      <c r="AR14" s="1971"/>
      <c r="AS14" s="1971"/>
      <c r="AT14" s="1971"/>
      <c r="AU14" s="1971"/>
      <c r="AV14" s="1971"/>
      <c r="AW14" s="1971"/>
      <c r="AX14" s="1971"/>
      <c r="AY14" s="1971"/>
      <c r="AZ14" s="1971"/>
      <c r="BA14" s="1971"/>
      <c r="BB14" s="1971"/>
      <c r="BC14" s="1971"/>
      <c r="BD14" s="1971"/>
      <c r="BE14" s="1971"/>
      <c r="BF14" s="1971"/>
      <c r="BG14" s="1971"/>
      <c r="BH14" s="1971"/>
      <c r="BI14" s="1971"/>
      <c r="BJ14" s="1971"/>
      <c r="BK14" s="1971"/>
      <c r="BL14" s="1971"/>
      <c r="BM14" s="1971"/>
      <c r="BN14" s="1971"/>
      <c r="BO14" s="1971"/>
      <c r="BP14" s="1971"/>
      <c r="BQ14" s="1971"/>
    </row>
    <row r="15" spans="1:69" s="1396" customFormat="1" ht="15.75" customHeight="1">
      <c r="A15" s="2073" t="s">
        <v>516</v>
      </c>
      <c r="B15" s="2058" t="s">
        <v>99</v>
      </c>
      <c r="C15" s="2074" t="s">
        <v>25</v>
      </c>
      <c r="D15" s="2075" t="s">
        <v>908</v>
      </c>
      <c r="E15" s="2075" t="s">
        <v>40</v>
      </c>
      <c r="F15" s="2085">
        <v>1</v>
      </c>
      <c r="G15" s="2085" t="s">
        <v>102</v>
      </c>
      <c r="H15" s="2085" t="s">
        <v>103</v>
      </c>
      <c r="I15" s="2086">
        <v>1</v>
      </c>
      <c r="J15" s="1965">
        <v>17697</v>
      </c>
      <c r="K15" s="665">
        <v>17</v>
      </c>
      <c r="L15" s="567">
        <f>K15/18</f>
        <v>0.94444444444444442</v>
      </c>
      <c r="M15" s="574" t="s">
        <v>152</v>
      </c>
      <c r="N15" s="1608">
        <v>4.75</v>
      </c>
      <c r="O15" s="567">
        <f>J15*N15/18*K15</f>
        <v>79390.708333333343</v>
      </c>
      <c r="P15" s="697">
        <f>O15*50%</f>
        <v>39695.354166666672</v>
      </c>
      <c r="Q15" s="666">
        <v>0.25</v>
      </c>
      <c r="R15" s="554">
        <f>(O15+P15)*Q15</f>
        <v>29771.515625000004</v>
      </c>
      <c r="S15" s="554">
        <v>0.1</v>
      </c>
      <c r="T15" s="567">
        <f>(O15+P15+R15)*S15</f>
        <v>14885.757812500004</v>
      </c>
      <c r="U15" s="19"/>
      <c r="V15" s="554"/>
      <c r="W15" s="570">
        <f>O15+P15+R15+T15</f>
        <v>163743.33593750003</v>
      </c>
      <c r="X15" s="1765"/>
      <c r="Y15" s="1765"/>
      <c r="Z15" s="1345"/>
      <c r="AA15" s="1346"/>
      <c r="AB15" s="1346"/>
      <c r="AC15" s="1346"/>
      <c r="AD15" s="1346"/>
      <c r="AE15" s="1346"/>
      <c r="AF15" s="1346"/>
      <c r="AG15" s="1346"/>
      <c r="AH15" s="1346"/>
      <c r="AI15" s="1346"/>
      <c r="AJ15" s="906"/>
      <c r="AK15" s="23"/>
      <c r="AL15" s="23"/>
      <c r="AM15" s="23"/>
      <c r="AN15" s="23"/>
      <c r="AO15" s="23"/>
      <c r="AP15" s="23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1346"/>
    </row>
    <row r="16" spans="1:69" s="1265" customFormat="1" ht="15" customHeight="1">
      <c r="A16" s="1991" t="s">
        <v>335</v>
      </c>
      <c r="B16" s="1984" t="s">
        <v>336</v>
      </c>
      <c r="C16" s="1972" t="s">
        <v>64</v>
      </c>
      <c r="D16" s="1992"/>
      <c r="E16" s="1972"/>
      <c r="F16" s="2090">
        <v>1.5</v>
      </c>
      <c r="G16" s="1992"/>
      <c r="H16" s="2091"/>
      <c r="I16" s="1992">
        <v>4</v>
      </c>
      <c r="J16" s="1965">
        <v>17697</v>
      </c>
      <c r="K16" s="1965"/>
      <c r="L16" s="1965">
        <v>1.5</v>
      </c>
      <c r="M16" s="1965"/>
      <c r="N16" s="1965">
        <v>2.89</v>
      </c>
      <c r="O16" s="2092">
        <f>J16*N16*L16</f>
        <v>76716.494999999995</v>
      </c>
      <c r="P16" s="2121"/>
      <c r="Q16" s="1965">
        <f>J16*O17*M16</f>
        <v>0</v>
      </c>
      <c r="R16" s="1965"/>
      <c r="S16" s="1981">
        <v>0.1</v>
      </c>
      <c r="T16" s="1965">
        <f>S16*O16</f>
        <v>7671.6494999999995</v>
      </c>
      <c r="U16" s="1965"/>
      <c r="V16" s="1965"/>
      <c r="W16" s="680">
        <f>O16+T16+V16</f>
        <v>84388.144499999995</v>
      </c>
      <c r="X16" s="141">
        <f>Q15+U15+W15</f>
        <v>163743.58593750003</v>
      </c>
      <c r="Y16" s="141">
        <f>R15+V15+X16</f>
        <v>193515.10156250003</v>
      </c>
      <c r="Z16" s="1970">
        <f>W15*12</f>
        <v>1964920.0312500005</v>
      </c>
      <c r="AA16" s="2094">
        <f>Z16/12/29.33*24</f>
        <v>133987.04611319472</v>
      </c>
      <c r="AB16" s="1971"/>
      <c r="AC16" s="1971"/>
      <c r="AD16" s="1971"/>
      <c r="AE16" s="1971"/>
      <c r="AF16" s="1971"/>
      <c r="AG16" s="1971"/>
      <c r="AH16" s="1971"/>
      <c r="AI16" s="1971"/>
      <c r="AJ16" s="1970"/>
      <c r="AK16" s="1970"/>
      <c r="AL16" s="1970"/>
      <c r="AM16" s="1970"/>
      <c r="AN16" s="1970"/>
      <c r="AO16" s="1970"/>
      <c r="AP16" s="1970"/>
      <c r="AQ16" s="1971"/>
      <c r="AR16" s="1971"/>
      <c r="AS16" s="1971"/>
      <c r="AT16" s="1971"/>
      <c r="AU16" s="1971"/>
      <c r="AV16" s="1971"/>
      <c r="AW16" s="1971"/>
      <c r="AX16" s="1971"/>
      <c r="AY16" s="1971"/>
      <c r="AZ16" s="1971"/>
      <c r="BA16" s="1971"/>
      <c r="BB16" s="1971"/>
      <c r="BC16" s="1971"/>
      <c r="BD16" s="1971"/>
      <c r="BE16" s="1971"/>
      <c r="BF16" s="1971"/>
      <c r="BG16" s="1971"/>
      <c r="BH16" s="1971"/>
      <c r="BI16" s="1971"/>
      <c r="BJ16" s="1971"/>
      <c r="BK16" s="1971"/>
      <c r="BL16" s="1971"/>
      <c r="BM16" s="1971"/>
      <c r="BN16" s="1971"/>
      <c r="BO16" s="1971"/>
      <c r="BP16" s="1971"/>
      <c r="BQ16" s="1971"/>
    </row>
    <row r="17" spans="1:69" s="1437" customFormat="1" ht="15.75" customHeight="1">
      <c r="A17" s="2057" t="s">
        <v>383</v>
      </c>
      <c r="B17" s="2058" t="s">
        <v>338</v>
      </c>
      <c r="C17" s="1972" t="s">
        <v>75</v>
      </c>
      <c r="D17" s="2057"/>
      <c r="E17" s="2101"/>
      <c r="F17" s="2059">
        <v>1</v>
      </c>
      <c r="G17" s="2096"/>
      <c r="H17" s="2097"/>
      <c r="I17" s="2059">
        <v>2</v>
      </c>
      <c r="J17" s="2097">
        <v>17697</v>
      </c>
      <c r="K17" s="2097"/>
      <c r="L17" s="1965">
        <v>1</v>
      </c>
      <c r="M17" s="1965"/>
      <c r="N17" s="1965">
        <v>2.81</v>
      </c>
      <c r="O17" s="2092">
        <f>J17*N17*L17</f>
        <v>49728.57</v>
      </c>
      <c r="P17" s="2121"/>
      <c r="Q17" s="1965">
        <f>J17*O19*M17</f>
        <v>0</v>
      </c>
      <c r="R17" s="1965"/>
      <c r="S17" s="1981">
        <v>0.1</v>
      </c>
      <c r="T17" s="1965">
        <f>S17*O17</f>
        <v>4972.857</v>
      </c>
      <c r="U17" s="1965"/>
      <c r="V17" s="1965"/>
      <c r="W17" s="680">
        <f>O17+T17+V17</f>
        <v>54701.426999999996</v>
      </c>
      <c r="X17" s="141">
        <f>Q16+U16+W16</f>
        <v>84388.144499999995</v>
      </c>
      <c r="Y17" s="141">
        <f>R16+V16+X17</f>
        <v>84388.144499999995</v>
      </c>
      <c r="Z17" s="1970">
        <f>W16*12</f>
        <v>1012657.7339999999</v>
      </c>
      <c r="AA17" s="2094">
        <f>Z17/12/29.33*24</f>
        <v>69052.692396863276</v>
      </c>
      <c r="AB17" s="2099"/>
      <c r="AC17" s="2099"/>
      <c r="AD17" s="2099"/>
      <c r="AE17" s="2099"/>
      <c r="AF17" s="2099"/>
      <c r="AG17" s="2099"/>
      <c r="AH17" s="2099"/>
      <c r="AI17" s="2099"/>
      <c r="AJ17" s="2100"/>
      <c r="AK17" s="2100"/>
      <c r="AL17" s="2100"/>
      <c r="AM17" s="2100"/>
      <c r="AN17" s="2100"/>
      <c r="AO17" s="2100"/>
      <c r="AP17" s="2100"/>
      <c r="AQ17" s="2099"/>
      <c r="AR17" s="2099"/>
      <c r="AS17" s="2099"/>
      <c r="AT17" s="2099"/>
      <c r="AU17" s="2099"/>
      <c r="AV17" s="2099"/>
      <c r="AW17" s="2099"/>
      <c r="AX17" s="2099"/>
      <c r="AY17" s="2099"/>
      <c r="AZ17" s="2099"/>
      <c r="BA17" s="2099"/>
      <c r="BB17" s="2099"/>
      <c r="BC17" s="2099"/>
      <c r="BD17" s="2099"/>
      <c r="BE17" s="2099"/>
      <c r="BF17" s="2099"/>
      <c r="BG17" s="2099"/>
      <c r="BH17" s="2099"/>
      <c r="BI17" s="2099"/>
      <c r="BJ17" s="2099"/>
      <c r="BK17" s="2099"/>
      <c r="BL17" s="2099"/>
      <c r="BM17" s="2099"/>
      <c r="BN17" s="2099"/>
      <c r="BO17" s="2099"/>
      <c r="BP17" s="2099"/>
      <c r="BQ17" s="2099"/>
    </row>
    <row r="18" spans="1:69" s="1265" customFormat="1" ht="18" customHeight="1">
      <c r="A18" s="690" t="s">
        <v>918</v>
      </c>
      <c r="B18" s="6" t="s">
        <v>800</v>
      </c>
      <c r="C18" s="20" t="s">
        <v>25</v>
      </c>
      <c r="D18" s="1637" t="s">
        <v>707</v>
      </c>
      <c r="E18" s="742" t="s">
        <v>159</v>
      </c>
      <c r="F18" s="738">
        <v>1</v>
      </c>
      <c r="G18" s="5" t="s">
        <v>56</v>
      </c>
      <c r="H18" s="5" t="s">
        <v>56</v>
      </c>
      <c r="I18" s="731" t="s">
        <v>57</v>
      </c>
      <c r="J18" s="7">
        <v>17697</v>
      </c>
      <c r="K18" s="7"/>
      <c r="L18" s="10">
        <v>0.5</v>
      </c>
      <c r="M18" s="7"/>
      <c r="N18" s="10">
        <v>4.0999999999999996</v>
      </c>
      <c r="O18" s="18">
        <f>N18*J18*L18</f>
        <v>36278.85</v>
      </c>
      <c r="P18" s="894"/>
      <c r="Q18" s="8"/>
      <c r="R18" s="7"/>
      <c r="S18" s="7">
        <v>0.1</v>
      </c>
      <c r="T18" s="7">
        <f t="shared" ref="T18:T30" si="1">(O18+P18)*S18</f>
        <v>3627.8850000000002</v>
      </c>
      <c r="U18" s="9"/>
      <c r="V18" s="7"/>
      <c r="W18" s="10">
        <f>O18+R18+T18+V18+P18</f>
        <v>39906.735000000001</v>
      </c>
      <c r="X18" s="1268"/>
      <c r="Y18" s="1268"/>
      <c r="Z18" s="1264"/>
      <c r="AA18" s="1382"/>
      <c r="AJ18" s="23"/>
      <c r="AK18" s="23"/>
      <c r="AL18" s="23"/>
      <c r="AM18" s="23"/>
      <c r="AN18" s="23"/>
      <c r="AO18" s="23"/>
      <c r="AP18" s="23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</row>
    <row r="19" spans="1:69" s="1265" customFormat="1" ht="17.25" customHeight="1">
      <c r="A19" s="1991" t="s">
        <v>222</v>
      </c>
      <c r="B19" s="1984" t="s">
        <v>148</v>
      </c>
      <c r="C19" s="1992" t="s">
        <v>25</v>
      </c>
      <c r="D19" s="1985" t="s">
        <v>919</v>
      </c>
      <c r="E19" s="1985" t="s">
        <v>224</v>
      </c>
      <c r="F19" s="2160">
        <v>1</v>
      </c>
      <c r="G19" s="1994" t="s">
        <v>102</v>
      </c>
      <c r="H19" s="1994" t="s">
        <v>103</v>
      </c>
      <c r="I19" s="2000">
        <v>2</v>
      </c>
      <c r="J19" s="1965">
        <v>17697</v>
      </c>
      <c r="K19" s="2179">
        <v>34</v>
      </c>
      <c r="L19" s="2105">
        <f>K19/18</f>
        <v>1.8888888888888888</v>
      </c>
      <c r="M19" s="2184" t="s">
        <v>104</v>
      </c>
      <c r="N19" s="2191">
        <v>4.16</v>
      </c>
      <c r="O19" s="2194">
        <f>N19*J19/18*K19</f>
        <v>139059.09333333332</v>
      </c>
      <c r="P19" s="2121">
        <f t="shared" ref="P19:P27" si="2">O19*50%</f>
        <v>69529.546666666662</v>
      </c>
      <c r="Q19" s="2126"/>
      <c r="R19" s="2105"/>
      <c r="S19" s="2105">
        <v>0.1</v>
      </c>
      <c r="T19" s="2092">
        <f t="shared" si="1"/>
        <v>20858.864000000001</v>
      </c>
      <c r="U19" s="2199"/>
      <c r="V19" s="2105"/>
      <c r="W19" s="680">
        <f>O19+P19+T19</f>
        <v>229447.50399999999</v>
      </c>
      <c r="X19" s="2040">
        <f>U18+Q18</f>
        <v>0</v>
      </c>
      <c r="Y19" s="2040">
        <f>V18+R18</f>
        <v>0</v>
      </c>
      <c r="Z19" s="1970">
        <f>W18*12</f>
        <v>478880.82</v>
      </c>
      <c r="AA19" s="1971">
        <f>Z19/12/29.33*56</f>
        <v>76194.243436754186</v>
      </c>
      <c r="AB19" s="1971">
        <f>Z19*1.25</f>
        <v>598601.02500000002</v>
      </c>
      <c r="AC19" s="1971">
        <f>AB19/12/29.33*56</f>
        <v>95242.80429594274</v>
      </c>
      <c r="AD19" s="1971"/>
      <c r="AE19" s="1971"/>
      <c r="AF19" s="1971"/>
      <c r="AG19" s="1971"/>
      <c r="AH19" s="1971"/>
      <c r="AI19" s="1971"/>
      <c r="AJ19" s="1970"/>
      <c r="AK19" s="1970"/>
      <c r="AL19" s="1970"/>
      <c r="AM19" s="1970"/>
      <c r="AN19" s="1970"/>
      <c r="AO19" s="1970"/>
      <c r="AP19" s="1970"/>
      <c r="AQ19" s="1971"/>
      <c r="AR19" s="1971"/>
      <c r="AS19" s="1971"/>
      <c r="AT19" s="1971"/>
      <c r="AU19" s="1971"/>
      <c r="AV19" s="1971"/>
      <c r="AW19" s="1971"/>
      <c r="AX19" s="1971"/>
      <c r="AY19" s="1971"/>
      <c r="AZ19" s="1971"/>
      <c r="BA19" s="1971"/>
      <c r="BB19" s="1971"/>
      <c r="BC19" s="1971"/>
      <c r="BD19" s="1971"/>
      <c r="BE19" s="1971"/>
      <c r="BF19" s="1971"/>
      <c r="BG19" s="1971"/>
      <c r="BH19" s="1971"/>
      <c r="BI19" s="1971"/>
      <c r="BJ19" s="1971"/>
      <c r="BK19" s="1971"/>
      <c r="BL19" s="1971"/>
      <c r="BM19" s="1971"/>
      <c r="BN19" s="1971"/>
      <c r="BO19" s="1971"/>
      <c r="BP19" s="1971"/>
      <c r="BQ19" s="1971"/>
    </row>
    <row r="20" spans="1:69" s="1265" customFormat="1" ht="17.25" customHeight="1">
      <c r="A20" s="2062" t="s">
        <v>263</v>
      </c>
      <c r="B20" s="2063" t="s">
        <v>99</v>
      </c>
      <c r="C20" s="2064" t="s">
        <v>25</v>
      </c>
      <c r="D20" s="2024" t="s">
        <v>892</v>
      </c>
      <c r="E20" s="2145" t="s">
        <v>271</v>
      </c>
      <c r="F20" s="2159">
        <v>1</v>
      </c>
      <c r="G20" s="1992" t="s">
        <v>102</v>
      </c>
      <c r="H20" s="1992" t="s">
        <v>103</v>
      </c>
      <c r="I20" s="2060">
        <v>2</v>
      </c>
      <c r="J20" s="1965">
        <v>17697</v>
      </c>
      <c r="K20" s="2178">
        <v>18</v>
      </c>
      <c r="L20" s="2105">
        <f>K20/18</f>
        <v>1</v>
      </c>
      <c r="M20" s="2182" t="s">
        <v>104</v>
      </c>
      <c r="N20" s="2189">
        <v>4.37</v>
      </c>
      <c r="O20" s="2194">
        <f>N20*J20/18*K20</f>
        <v>77335.89</v>
      </c>
      <c r="P20" s="2121">
        <f t="shared" si="2"/>
        <v>38667.945</v>
      </c>
      <c r="Q20" s="2045"/>
      <c r="R20" s="2046"/>
      <c r="S20" s="2105">
        <v>0.1</v>
      </c>
      <c r="T20" s="2092">
        <f t="shared" si="1"/>
        <v>11600.3835</v>
      </c>
      <c r="U20" s="2198"/>
      <c r="V20" s="2046"/>
      <c r="W20" s="680">
        <f>O20+P20+T20</f>
        <v>127604.21849999999</v>
      </c>
      <c r="X20" s="2128"/>
      <c r="Y20" s="2128"/>
      <c r="Z20" s="1970"/>
      <c r="AA20" s="1971"/>
      <c r="AB20" s="1971"/>
      <c r="AC20" s="1971"/>
      <c r="AD20" s="1971"/>
      <c r="AE20" s="1971"/>
      <c r="AF20" s="1971"/>
      <c r="AG20" s="1971"/>
      <c r="AH20" s="1971"/>
      <c r="AI20" s="1971"/>
      <c r="AJ20" s="1970"/>
      <c r="AK20" s="1970"/>
      <c r="AL20" s="1970"/>
      <c r="AM20" s="1970"/>
      <c r="AN20" s="1970"/>
      <c r="AO20" s="1970"/>
      <c r="AP20" s="1970"/>
      <c r="AQ20" s="1971"/>
      <c r="AR20" s="1971"/>
      <c r="AS20" s="1971"/>
      <c r="AT20" s="1971"/>
      <c r="AU20" s="1971"/>
      <c r="AV20" s="1971"/>
      <c r="AW20" s="1971"/>
      <c r="AX20" s="1971"/>
      <c r="AY20" s="1971"/>
      <c r="AZ20" s="1971"/>
      <c r="BA20" s="1971"/>
      <c r="BB20" s="1971"/>
      <c r="BC20" s="1971"/>
      <c r="BD20" s="1971"/>
      <c r="BE20" s="1971"/>
      <c r="BF20" s="1971"/>
      <c r="BG20" s="1971"/>
      <c r="BH20" s="1971"/>
      <c r="BI20" s="1971"/>
      <c r="BJ20" s="1971"/>
      <c r="BK20" s="1971"/>
      <c r="BL20" s="1971"/>
      <c r="BM20" s="1971"/>
      <c r="BN20" s="1971"/>
      <c r="BO20" s="1971"/>
      <c r="BP20" s="1971"/>
      <c r="BQ20" s="1971"/>
    </row>
    <row r="21" spans="1:69" s="1971" customFormat="1" ht="28.5">
      <c r="A21" s="1698" t="s">
        <v>23</v>
      </c>
      <c r="B21" s="6" t="s">
        <v>620</v>
      </c>
      <c r="C21" s="42" t="s">
        <v>25</v>
      </c>
      <c r="D21" s="142" t="s">
        <v>724</v>
      </c>
      <c r="E21" s="42" t="s">
        <v>27</v>
      </c>
      <c r="F21" s="42">
        <v>1</v>
      </c>
      <c r="G21" s="42" t="s">
        <v>28</v>
      </c>
      <c r="H21" s="42" t="s">
        <v>29</v>
      </c>
      <c r="I21" s="1733" t="s">
        <v>30</v>
      </c>
      <c r="J21" s="44">
        <v>17697</v>
      </c>
      <c r="K21" s="44"/>
      <c r="L21" s="10">
        <v>1</v>
      </c>
      <c r="M21" s="44"/>
      <c r="N21" s="70">
        <v>6.22</v>
      </c>
      <c r="O21" s="44">
        <f>N21*J21</f>
        <v>110075.34</v>
      </c>
      <c r="P21" s="44">
        <f t="shared" si="2"/>
        <v>55037.67</v>
      </c>
      <c r="Q21" s="44"/>
      <c r="R21" s="68"/>
      <c r="S21" s="44">
        <v>0.1</v>
      </c>
      <c r="T21" s="44">
        <f t="shared" si="1"/>
        <v>16511.301000000003</v>
      </c>
      <c r="U21" s="44"/>
      <c r="V21" s="69"/>
      <c r="W21" s="70">
        <f>O21+R21+T21+V21+P21</f>
        <v>181624.31099999999</v>
      </c>
      <c r="X21" s="1762">
        <f>Q21+S21+U21</f>
        <v>0.1</v>
      </c>
      <c r="Y21" s="1762">
        <f>R21+T21+V21</f>
        <v>16511.301000000003</v>
      </c>
      <c r="Z21" s="1264">
        <f>W21*12</f>
        <v>2179491.7319999998</v>
      </c>
      <c r="AA21" s="1382">
        <f>Z21/12/29.33*30</f>
        <v>185773.24684623253</v>
      </c>
      <c r="AB21" s="1383"/>
      <c r="AC21" s="1264"/>
      <c r="AD21" s="1264"/>
      <c r="AE21" s="1264"/>
      <c r="AF21" s="1264"/>
      <c r="AG21" s="1264"/>
      <c r="AH21" s="1264"/>
      <c r="AI21" s="1264"/>
      <c r="AJ21" s="23"/>
      <c r="AK21" s="23"/>
      <c r="AL21" s="23"/>
      <c r="AM21" s="23"/>
      <c r="AN21" s="23"/>
      <c r="AO21" s="23"/>
      <c r="AP21" s="23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1265"/>
    </row>
    <row r="22" spans="1:69" s="1971" customFormat="1" ht="15.75">
      <c r="A22" s="1973" t="s">
        <v>23</v>
      </c>
      <c r="B22" s="1984" t="s">
        <v>99</v>
      </c>
      <c r="C22" s="1975" t="s">
        <v>25</v>
      </c>
      <c r="D22" s="1976" t="s">
        <v>844</v>
      </c>
      <c r="E22" s="1976" t="s">
        <v>114</v>
      </c>
      <c r="F22" s="1960">
        <v>1</v>
      </c>
      <c r="G22" s="1977" t="s">
        <v>102</v>
      </c>
      <c r="H22" s="1977" t="s">
        <v>103</v>
      </c>
      <c r="I22" s="2050">
        <v>1</v>
      </c>
      <c r="J22" s="1963">
        <v>17697</v>
      </c>
      <c r="K22" s="1978">
        <v>9</v>
      </c>
      <c r="L22" s="1965">
        <f t="shared" ref="L22:L27" si="3">K22/18</f>
        <v>0.5</v>
      </c>
      <c r="M22" s="2000" t="s">
        <v>152</v>
      </c>
      <c r="N22" s="1980">
        <v>4.75</v>
      </c>
      <c r="O22" s="1966">
        <f t="shared" ref="O22:O27" si="4">N22*J22/18*K22</f>
        <v>42030.375</v>
      </c>
      <c r="P22" s="1966">
        <f t="shared" si="2"/>
        <v>21015.1875</v>
      </c>
      <c r="Q22" s="1981"/>
      <c r="R22" s="1965"/>
      <c r="S22" s="1965">
        <v>0.1</v>
      </c>
      <c r="T22" s="1966">
        <f t="shared" si="1"/>
        <v>6304.5562500000005</v>
      </c>
      <c r="U22" s="1982"/>
      <c r="V22" s="1965"/>
      <c r="W22" s="940">
        <f>O22+P22+T22</f>
        <v>69350.118749999994</v>
      </c>
      <c r="X22" s="1998">
        <f>U22+Q22</f>
        <v>0</v>
      </c>
      <c r="Y22" s="1998">
        <f>V22+R22</f>
        <v>0</v>
      </c>
      <c r="Z22" s="1970">
        <f>W22*12</f>
        <v>832201.42499999993</v>
      </c>
      <c r="AA22" s="1971">
        <f>Z22/12/29.33*56</f>
        <v>132410.72792362768</v>
      </c>
      <c r="AB22" s="1971">
        <f>Z22*1.25</f>
        <v>1040251.7812499999</v>
      </c>
      <c r="AC22" s="1971">
        <f>AB22/12/29.33*56</f>
        <v>165513.40990453458</v>
      </c>
      <c r="AJ22" s="1970"/>
      <c r="AK22" s="1970"/>
      <c r="AL22" s="1970"/>
      <c r="AM22" s="1970"/>
      <c r="AN22" s="1970"/>
      <c r="AO22" s="1970"/>
      <c r="AP22" s="1970"/>
    </row>
    <row r="23" spans="1:69" s="1971" customFormat="1" ht="15.75">
      <c r="A23" s="1991" t="s">
        <v>631</v>
      </c>
      <c r="B23" s="1984" t="s">
        <v>525</v>
      </c>
      <c r="C23" s="1972" t="s">
        <v>25</v>
      </c>
      <c r="D23" s="2002" t="s">
        <v>845</v>
      </c>
      <c r="E23" s="1985" t="s">
        <v>114</v>
      </c>
      <c r="F23" s="1960">
        <v>1</v>
      </c>
      <c r="G23" s="1986" t="s">
        <v>102</v>
      </c>
      <c r="H23" s="1986" t="s">
        <v>103</v>
      </c>
      <c r="I23" s="1987">
        <v>1</v>
      </c>
      <c r="J23" s="1963">
        <v>17697</v>
      </c>
      <c r="K23" s="1988">
        <v>27</v>
      </c>
      <c r="L23" s="1965">
        <f t="shared" si="3"/>
        <v>1.5</v>
      </c>
      <c r="M23" s="2000" t="s">
        <v>152</v>
      </c>
      <c r="N23" s="1990">
        <v>4.75</v>
      </c>
      <c r="O23" s="1966">
        <f t="shared" si="4"/>
        <v>126091.12500000001</v>
      </c>
      <c r="P23" s="1966">
        <f t="shared" si="2"/>
        <v>63045.562500000007</v>
      </c>
      <c r="Q23" s="1981"/>
      <c r="R23" s="1965"/>
      <c r="S23" s="1965">
        <v>0.1</v>
      </c>
      <c r="T23" s="1966">
        <f t="shared" si="1"/>
        <v>18913.668750000004</v>
      </c>
      <c r="U23" s="1982"/>
      <c r="V23" s="1965"/>
      <c r="W23" s="940">
        <f>O23+P23+T23</f>
        <v>208050.35625000004</v>
      </c>
      <c r="X23" s="1998"/>
      <c r="Y23" s="1998"/>
      <c r="Z23" s="1970">
        <f>W23*12</f>
        <v>2496604.2750000004</v>
      </c>
      <c r="AA23" s="1971">
        <f>Z23/12/29.33*56</f>
        <v>397232.18377088313</v>
      </c>
      <c r="AB23" s="1971">
        <f>Z23*1.25</f>
        <v>3120755.3437500005</v>
      </c>
      <c r="AC23" s="1971">
        <f>AB23/12/29.33*56</f>
        <v>496540.22971360385</v>
      </c>
      <c r="AJ23" s="1970"/>
      <c r="AK23" s="1970"/>
      <c r="AL23" s="1970"/>
      <c r="AM23" s="1970"/>
      <c r="AN23" s="1970"/>
      <c r="AO23" s="1970"/>
      <c r="AP23" s="1970"/>
    </row>
    <row r="24" spans="1:69" s="1971" customFormat="1" ht="15.75">
      <c r="A24" s="1991" t="s">
        <v>124</v>
      </c>
      <c r="B24" s="1984" t="s">
        <v>125</v>
      </c>
      <c r="C24" s="1972" t="s">
        <v>75</v>
      </c>
      <c r="D24" s="2007" t="s">
        <v>194</v>
      </c>
      <c r="E24" s="1985" t="s">
        <v>77</v>
      </c>
      <c r="F24" s="1960">
        <v>1</v>
      </c>
      <c r="G24" s="1992" t="s">
        <v>102</v>
      </c>
      <c r="H24" s="1992" t="s">
        <v>118</v>
      </c>
      <c r="I24" s="1999">
        <v>3</v>
      </c>
      <c r="J24" s="1963">
        <v>17697</v>
      </c>
      <c r="K24" s="1988">
        <v>18</v>
      </c>
      <c r="L24" s="1965">
        <f t="shared" si="3"/>
        <v>1</v>
      </c>
      <c r="M24" s="1979" t="s">
        <v>109</v>
      </c>
      <c r="N24" s="1990">
        <v>3.85</v>
      </c>
      <c r="O24" s="1966">
        <f t="shared" si="4"/>
        <v>68133.45</v>
      </c>
      <c r="P24" s="1966">
        <f t="shared" si="2"/>
        <v>34066.724999999999</v>
      </c>
      <c r="Q24" s="1981"/>
      <c r="R24" s="1965"/>
      <c r="S24" s="1965">
        <v>0.1</v>
      </c>
      <c r="T24" s="1966">
        <f t="shared" si="1"/>
        <v>10220.0175</v>
      </c>
      <c r="U24" s="1982"/>
      <c r="V24" s="1965"/>
      <c r="W24" s="940">
        <f>O24+P24+T24</f>
        <v>112420.19249999999</v>
      </c>
      <c r="X24" s="1998"/>
      <c r="Y24" s="1998"/>
      <c r="Z24" s="1970">
        <f>W24*12</f>
        <v>1349042.3099999998</v>
      </c>
      <c r="AA24" s="1971">
        <f>Z24/12/29.33*56</f>
        <v>214644.75894988066</v>
      </c>
      <c r="AB24" s="1971">
        <f>Z24*1.25</f>
        <v>1686302.8874999997</v>
      </c>
      <c r="AC24" s="1971">
        <f>AB24/12/29.33*56</f>
        <v>268305.94868735078</v>
      </c>
      <c r="AJ24" s="1970"/>
      <c r="AK24" s="1970"/>
      <c r="AL24" s="1970"/>
      <c r="AM24" s="1970"/>
      <c r="AN24" s="1970"/>
      <c r="AO24" s="1970"/>
      <c r="AP24" s="1970"/>
    </row>
    <row r="25" spans="1:69" s="1971" customFormat="1" ht="15.75">
      <c r="A25" s="1991" t="s">
        <v>124</v>
      </c>
      <c r="B25" s="1984" t="s">
        <v>125</v>
      </c>
      <c r="C25" s="1972" t="s">
        <v>75</v>
      </c>
      <c r="D25" s="2007" t="s">
        <v>920</v>
      </c>
      <c r="E25" s="1985" t="s">
        <v>108</v>
      </c>
      <c r="F25" s="2116">
        <v>1</v>
      </c>
      <c r="G25" s="1992" t="s">
        <v>102</v>
      </c>
      <c r="H25" s="1992" t="s">
        <v>118</v>
      </c>
      <c r="I25" s="1999">
        <v>3</v>
      </c>
      <c r="J25" s="1963">
        <v>17697</v>
      </c>
      <c r="K25" s="1980">
        <v>11</v>
      </c>
      <c r="L25" s="1965">
        <f t="shared" si="3"/>
        <v>0.61111111111111116</v>
      </c>
      <c r="M25" s="2000" t="s">
        <v>109</v>
      </c>
      <c r="N25" s="1980">
        <v>3.85</v>
      </c>
      <c r="O25" s="1966">
        <f t="shared" si="4"/>
        <v>41637.10833333333</v>
      </c>
      <c r="P25" s="1966">
        <f t="shared" si="2"/>
        <v>20818.554166666665</v>
      </c>
      <c r="Q25" s="1981"/>
      <c r="R25" s="1965"/>
      <c r="S25" s="1965">
        <v>0.1</v>
      </c>
      <c r="T25" s="1966">
        <f t="shared" si="1"/>
        <v>6245.5662499999999</v>
      </c>
      <c r="U25" s="2056"/>
      <c r="V25" s="1965"/>
      <c r="W25" s="940">
        <f>O25+P25+T25</f>
        <v>68701.228749999995</v>
      </c>
      <c r="X25" s="141">
        <f>U24+Q24</f>
        <v>0</v>
      </c>
      <c r="Y25" s="141">
        <f>V24+R24</f>
        <v>0</v>
      </c>
      <c r="Z25" s="1970">
        <f>W24*12</f>
        <v>1349042.3099999998</v>
      </c>
      <c r="AA25" s="1971">
        <f>Z25/12/29.33*56</f>
        <v>214644.75894988066</v>
      </c>
      <c r="AB25" s="1971">
        <f>Z25*1.25</f>
        <v>1686302.8874999997</v>
      </c>
      <c r="AC25" s="1971">
        <f>AB25/12/29.33*56</f>
        <v>268305.94868735078</v>
      </c>
      <c r="AJ25" s="1970"/>
      <c r="AK25" s="1970"/>
      <c r="AL25" s="1970"/>
      <c r="AM25" s="1970"/>
      <c r="AN25" s="1970"/>
      <c r="AO25" s="1970"/>
      <c r="AP25" s="1970"/>
    </row>
    <row r="26" spans="1:69" s="1971" customFormat="1" ht="15.75">
      <c r="A26" s="2058" t="s">
        <v>264</v>
      </c>
      <c r="B26" s="2058" t="s">
        <v>99</v>
      </c>
      <c r="C26" s="2059" t="s">
        <v>25</v>
      </c>
      <c r="D26" s="2024" t="s">
        <v>893</v>
      </c>
      <c r="E26" s="1985" t="s">
        <v>40</v>
      </c>
      <c r="F26" s="1960">
        <v>1</v>
      </c>
      <c r="G26" s="1992" t="s">
        <v>102</v>
      </c>
      <c r="H26" s="1992" t="s">
        <v>103</v>
      </c>
      <c r="I26" s="2060">
        <v>1</v>
      </c>
      <c r="J26" s="1963">
        <v>17697</v>
      </c>
      <c r="K26" s="2176">
        <v>32</v>
      </c>
      <c r="L26" s="1965">
        <f t="shared" si="3"/>
        <v>1.7777777777777777</v>
      </c>
      <c r="M26" s="2000" t="s">
        <v>152</v>
      </c>
      <c r="N26" s="2055">
        <v>4.75</v>
      </c>
      <c r="O26" s="1966">
        <f t="shared" si="4"/>
        <v>149441.33333333334</v>
      </c>
      <c r="P26" s="1966">
        <f t="shared" si="2"/>
        <v>74720.666666666672</v>
      </c>
      <c r="Q26" s="1981"/>
      <c r="R26" s="1965"/>
      <c r="S26" s="1965">
        <v>0.1</v>
      </c>
      <c r="T26" s="1966">
        <f t="shared" si="1"/>
        <v>22416.2</v>
      </c>
      <c r="U26" s="2056"/>
      <c r="V26" s="1965"/>
      <c r="W26" s="940">
        <f>O26+P26+T26</f>
        <v>246578.2</v>
      </c>
      <c r="X26" s="141"/>
      <c r="Y26" s="141"/>
      <c r="Z26" s="1970"/>
      <c r="AJ26" s="1970"/>
      <c r="AK26" s="1970"/>
      <c r="AL26" s="1970"/>
      <c r="AM26" s="1970"/>
      <c r="AN26" s="1970"/>
      <c r="AO26" s="1970"/>
      <c r="AP26" s="1970"/>
    </row>
    <row r="27" spans="1:69" s="1971" customFormat="1" ht="15.75">
      <c r="A27" s="1991" t="s">
        <v>618</v>
      </c>
      <c r="B27" s="1984" t="s">
        <v>99</v>
      </c>
      <c r="C27" s="1972" t="s">
        <v>25</v>
      </c>
      <c r="D27" s="2007" t="s">
        <v>921</v>
      </c>
      <c r="E27" s="1985" t="s">
        <v>795</v>
      </c>
      <c r="F27" s="2116">
        <v>1</v>
      </c>
      <c r="G27" s="1994" t="s">
        <v>102</v>
      </c>
      <c r="H27" s="1994" t="s">
        <v>103</v>
      </c>
      <c r="I27" s="2000">
        <v>3</v>
      </c>
      <c r="J27" s="1963">
        <v>17697</v>
      </c>
      <c r="K27" s="1980">
        <v>31</v>
      </c>
      <c r="L27" s="1965">
        <f t="shared" si="3"/>
        <v>1.7222222222222223</v>
      </c>
      <c r="M27" s="2000" t="s">
        <v>109</v>
      </c>
      <c r="N27" s="2001">
        <v>4.3600000000000003</v>
      </c>
      <c r="O27" s="1966">
        <f t="shared" si="4"/>
        <v>132884.8066666667</v>
      </c>
      <c r="P27" s="1966">
        <f t="shared" si="2"/>
        <v>66442.40333333335</v>
      </c>
      <c r="Q27" s="2003"/>
      <c r="R27" s="2004"/>
      <c r="S27" s="1965">
        <v>0.1</v>
      </c>
      <c r="T27" s="1966">
        <f t="shared" si="1"/>
        <v>19932.721000000005</v>
      </c>
      <c r="U27" s="2067">
        <v>0.35</v>
      </c>
      <c r="V27" s="2004">
        <f>(J27*N27)*1.5/100*35/18*31</f>
        <v>69764.523500000025</v>
      </c>
      <c r="W27" s="940">
        <f>O27+P27+T27+V27</f>
        <v>289024.45450000005</v>
      </c>
      <c r="X27" s="2012">
        <f>U26+Q26</f>
        <v>0</v>
      </c>
      <c r="Y27" s="2012">
        <f>V26+R26</f>
        <v>0</v>
      </c>
      <c r="Z27" s="1970">
        <f>W26*12</f>
        <v>2958938.4000000004</v>
      </c>
      <c r="AA27" s="1971">
        <f>Z27/12/29.33*56</f>
        <v>470793.69928400969</v>
      </c>
      <c r="AB27" s="1971">
        <f>Z27*1.25</f>
        <v>3698673.0000000005</v>
      </c>
      <c r="AC27" s="1971">
        <f>AB27/12/29.33*56</f>
        <v>588492.12410501204</v>
      </c>
      <c r="AJ27" s="1970"/>
      <c r="AK27" s="1970"/>
      <c r="AL27" s="1970"/>
      <c r="AM27" s="1970"/>
      <c r="AN27" s="1970"/>
      <c r="AO27" s="1970"/>
      <c r="AP27" s="1970"/>
    </row>
    <row r="28" spans="1:69" s="1971" customFormat="1" ht="15.75">
      <c r="A28" s="13" t="s">
        <v>378</v>
      </c>
      <c r="B28" s="13" t="s">
        <v>63</v>
      </c>
      <c r="C28" s="5" t="s">
        <v>64</v>
      </c>
      <c r="D28" s="536" t="s">
        <v>780</v>
      </c>
      <c r="E28" s="5" t="s">
        <v>159</v>
      </c>
      <c r="F28" s="42">
        <v>0.5</v>
      </c>
      <c r="G28" s="2166" t="s">
        <v>56</v>
      </c>
      <c r="H28" s="2166" t="s">
        <v>56</v>
      </c>
      <c r="I28" s="167">
        <v>3</v>
      </c>
      <c r="J28" s="2166">
        <v>17697</v>
      </c>
      <c r="K28" s="15"/>
      <c r="L28" s="10">
        <v>0.5</v>
      </c>
      <c r="M28" s="2186"/>
      <c r="N28" s="70">
        <v>3.31</v>
      </c>
      <c r="O28" s="67">
        <f>N28*J28*L28</f>
        <v>29288.535</v>
      </c>
      <c r="P28" s="44"/>
      <c r="Q28" s="1635"/>
      <c r="R28" s="882"/>
      <c r="S28" s="7">
        <v>0.1</v>
      </c>
      <c r="T28" s="44">
        <f t="shared" si="1"/>
        <v>2928.8535000000002</v>
      </c>
      <c r="U28" s="881"/>
      <c r="V28" s="882"/>
      <c r="W28" s="70">
        <f>O28+R28+T28+V28+P28</f>
        <v>32217.388500000001</v>
      </c>
      <c r="X28" s="1269">
        <f>Q28+S28+U28</f>
        <v>0.1</v>
      </c>
      <c r="Y28" s="1269">
        <f>R28+T28+V28</f>
        <v>2928.8535000000002</v>
      </c>
      <c r="Z28" s="1264">
        <f>W28*12</f>
        <v>386608.66200000001</v>
      </c>
      <c r="AA28" s="1382">
        <f>Z28/12/29.33*30</f>
        <v>32953.346573474264</v>
      </c>
      <c r="AB28" s="1396"/>
      <c r="AC28" s="1396"/>
      <c r="AD28" s="1396"/>
      <c r="AE28" s="1396"/>
      <c r="AF28" s="1396"/>
      <c r="AG28" s="1396"/>
      <c r="AH28" s="1396"/>
      <c r="AI28" s="1396"/>
      <c r="AJ28" s="1778"/>
      <c r="AK28" s="1778"/>
      <c r="AL28" s="1778"/>
      <c r="AM28" s="1778"/>
      <c r="AN28" s="1778"/>
      <c r="AO28" s="1778"/>
      <c r="AP28" s="1778"/>
      <c r="AQ28" s="908"/>
      <c r="AR28" s="908"/>
      <c r="AS28" s="908"/>
      <c r="AT28" s="908"/>
      <c r="AU28" s="908"/>
      <c r="AV28" s="908"/>
      <c r="AW28" s="908"/>
      <c r="AX28" s="908"/>
      <c r="AY28" s="908"/>
      <c r="AZ28" s="908"/>
      <c r="BA28" s="908"/>
      <c r="BB28" s="908"/>
      <c r="BC28" s="908"/>
      <c r="BD28" s="908"/>
      <c r="BE28" s="908"/>
      <c r="BF28" s="908"/>
      <c r="BG28" s="908"/>
      <c r="BH28" s="908"/>
      <c r="BI28" s="908"/>
      <c r="BJ28" s="908"/>
      <c r="BK28" s="908"/>
      <c r="BL28" s="908"/>
      <c r="BM28" s="908"/>
      <c r="BN28" s="908"/>
      <c r="BO28" s="908"/>
      <c r="BP28" s="908"/>
      <c r="BQ28" s="1396"/>
    </row>
    <row r="29" spans="1:69" s="1971" customFormat="1" ht="15.75">
      <c r="A29" s="13" t="s">
        <v>378</v>
      </c>
      <c r="B29" s="13" t="s">
        <v>71</v>
      </c>
      <c r="C29" s="5" t="s">
        <v>25</v>
      </c>
      <c r="D29" s="539" t="s">
        <v>731</v>
      </c>
      <c r="E29" s="5" t="s">
        <v>239</v>
      </c>
      <c r="F29" s="42">
        <v>1</v>
      </c>
      <c r="G29" s="738" t="s">
        <v>56</v>
      </c>
      <c r="H29" s="738" t="s">
        <v>56</v>
      </c>
      <c r="I29" s="738">
        <v>2</v>
      </c>
      <c r="J29" s="2166">
        <v>17697</v>
      </c>
      <c r="K29" s="15"/>
      <c r="L29" s="10">
        <v>0.5</v>
      </c>
      <c r="M29" s="21"/>
      <c r="N29" s="10">
        <v>4.2699999999999996</v>
      </c>
      <c r="O29" s="67">
        <f>N29*J29*L29</f>
        <v>37783.094999999994</v>
      </c>
      <c r="P29" s="42"/>
      <c r="Q29" s="8"/>
      <c r="R29" s="7"/>
      <c r="S29" s="7">
        <v>0.1</v>
      </c>
      <c r="T29" s="44">
        <f t="shared" si="1"/>
        <v>3778.3094999999994</v>
      </c>
      <c r="U29" s="9">
        <v>0.2</v>
      </c>
      <c r="V29" s="7">
        <f>U29*J29*50%</f>
        <v>1769.7</v>
      </c>
      <c r="W29" s="70">
        <f>O29+R29+T29+V29+P29</f>
        <v>43331.104499999987</v>
      </c>
      <c r="X29" s="1268">
        <f>Q29+S29+U29+W29</f>
        <v>43331.40449999999</v>
      </c>
      <c r="Y29" s="1268">
        <f>R29+T29+V29+X29</f>
        <v>48879.41399999999</v>
      </c>
      <c r="Z29" s="1264">
        <f>W29*12</f>
        <v>519973.25399999984</v>
      </c>
      <c r="AA29" s="1382">
        <f>Z29/12/29.33*30</f>
        <v>44320.938799863608</v>
      </c>
      <c r="AB29" s="1396"/>
      <c r="AC29" s="1396"/>
      <c r="AD29" s="1396"/>
      <c r="AE29" s="1396"/>
      <c r="AF29" s="1396"/>
      <c r="AG29" s="1396"/>
      <c r="AH29" s="1396"/>
      <c r="AI29" s="1396"/>
      <c r="AJ29" s="1778"/>
      <c r="AK29" s="1778"/>
      <c r="AL29" s="1778"/>
      <c r="AM29" s="1778"/>
      <c r="AN29" s="1778"/>
      <c r="AO29" s="1778"/>
      <c r="AP29" s="1778"/>
      <c r="AQ29" s="908"/>
      <c r="AR29" s="908"/>
      <c r="AS29" s="908"/>
      <c r="AT29" s="908"/>
      <c r="AU29" s="908"/>
      <c r="AV29" s="908"/>
      <c r="AW29" s="908"/>
      <c r="AX29" s="908"/>
      <c r="AY29" s="908"/>
      <c r="AZ29" s="908"/>
      <c r="BA29" s="908"/>
      <c r="BB29" s="908"/>
      <c r="BC29" s="908"/>
      <c r="BD29" s="908"/>
      <c r="BE29" s="908"/>
      <c r="BF29" s="908"/>
      <c r="BG29" s="908"/>
      <c r="BH29" s="908"/>
      <c r="BI29" s="908"/>
      <c r="BJ29" s="908"/>
      <c r="BK29" s="908"/>
      <c r="BL29" s="908"/>
      <c r="BM29" s="908"/>
      <c r="BN29" s="908"/>
      <c r="BO29" s="908"/>
      <c r="BP29" s="908"/>
      <c r="BQ29" s="1396"/>
    </row>
    <row r="30" spans="1:69" s="1971" customFormat="1" ht="15.75">
      <c r="A30" s="2138" t="s">
        <v>378</v>
      </c>
      <c r="B30" s="2138" t="s">
        <v>71</v>
      </c>
      <c r="C30" s="894" t="s">
        <v>75</v>
      </c>
      <c r="D30" s="2153" t="s">
        <v>787</v>
      </c>
      <c r="E30" s="5" t="s">
        <v>159</v>
      </c>
      <c r="F30" s="42">
        <v>0.5</v>
      </c>
      <c r="G30" s="2165" t="s">
        <v>56</v>
      </c>
      <c r="H30" s="2165" t="s">
        <v>56</v>
      </c>
      <c r="I30" s="2172">
        <v>2</v>
      </c>
      <c r="J30" s="2166">
        <v>17697</v>
      </c>
      <c r="K30" s="2165"/>
      <c r="L30" s="1547">
        <v>0.5</v>
      </c>
      <c r="M30" s="2186"/>
      <c r="N30" s="1547">
        <v>4.0999999999999996</v>
      </c>
      <c r="O30" s="67">
        <f>N30*J30*L30</f>
        <v>36278.85</v>
      </c>
      <c r="P30" s="42"/>
      <c r="Q30" s="1635"/>
      <c r="R30" s="882"/>
      <c r="S30" s="882">
        <v>0.1</v>
      </c>
      <c r="T30" s="44">
        <f t="shared" si="1"/>
        <v>3627.8850000000002</v>
      </c>
      <c r="U30" s="881">
        <v>0.2</v>
      </c>
      <c r="V30" s="882">
        <f>U30*J30*50%</f>
        <v>1769.7</v>
      </c>
      <c r="W30" s="70">
        <f>O30+R30+T30+V30+P30</f>
        <v>41676.434999999998</v>
      </c>
      <c r="X30" s="1269">
        <f>Q30+S30+U30+W30</f>
        <v>41676.735000000001</v>
      </c>
      <c r="Y30" s="1269">
        <f>R30+T30+V30+X30</f>
        <v>47074.32</v>
      </c>
      <c r="Z30" s="1264">
        <f>W30*12</f>
        <v>500117.22</v>
      </c>
      <c r="AA30" s="1382">
        <f>Z30/12/29.33*30</f>
        <v>42628.470848960111</v>
      </c>
      <c r="AB30" s="1396"/>
      <c r="AC30" s="1396"/>
      <c r="AD30" s="1396"/>
      <c r="AE30" s="1396"/>
      <c r="AF30" s="1396"/>
      <c r="AG30" s="1396"/>
      <c r="AH30" s="1396"/>
      <c r="AI30" s="1396"/>
      <c r="AJ30" s="1778"/>
      <c r="AK30" s="1778"/>
      <c r="AL30" s="1778"/>
      <c r="AM30" s="1778"/>
      <c r="AN30" s="1778"/>
      <c r="AO30" s="1778"/>
      <c r="AP30" s="1778"/>
      <c r="AQ30" s="908"/>
      <c r="AR30" s="908"/>
      <c r="AS30" s="908"/>
      <c r="AT30" s="908"/>
      <c r="AU30" s="908"/>
      <c r="AV30" s="908"/>
      <c r="AW30" s="908"/>
      <c r="AX30" s="908"/>
      <c r="AY30" s="908"/>
      <c r="AZ30" s="908"/>
      <c r="BA30" s="908"/>
      <c r="BB30" s="908"/>
      <c r="BC30" s="908"/>
      <c r="BD30" s="908"/>
      <c r="BE30" s="908"/>
      <c r="BF30" s="908"/>
      <c r="BG30" s="908"/>
      <c r="BH30" s="908"/>
      <c r="BI30" s="908"/>
      <c r="BJ30" s="908"/>
      <c r="BK30" s="908"/>
      <c r="BL30" s="908"/>
      <c r="BM30" s="908"/>
      <c r="BN30" s="908"/>
      <c r="BO30" s="908"/>
      <c r="BP30" s="908"/>
      <c r="BQ30" s="1396"/>
    </row>
    <row r="31" spans="1:69" s="1971" customFormat="1" ht="15.75">
      <c r="A31" s="1991" t="s">
        <v>378</v>
      </c>
      <c r="B31" s="2058" t="s">
        <v>340</v>
      </c>
      <c r="C31" s="1972" t="s">
        <v>64</v>
      </c>
      <c r="D31" s="1992"/>
      <c r="E31" s="2089"/>
      <c r="F31" s="2156">
        <v>1</v>
      </c>
      <c r="G31" s="1992"/>
      <c r="H31" s="2091"/>
      <c r="I31" s="1992">
        <v>2</v>
      </c>
      <c r="J31" s="1963">
        <v>17697</v>
      </c>
      <c r="K31" s="1965"/>
      <c r="L31" s="1965">
        <v>1</v>
      </c>
      <c r="M31" s="1965"/>
      <c r="N31" s="1965">
        <v>2.81</v>
      </c>
      <c r="O31" s="1966">
        <f>J31*N31*L31</f>
        <v>49728.57</v>
      </c>
      <c r="P31" s="1966"/>
      <c r="Q31" s="1965">
        <f>J31*O32*M31</f>
        <v>0</v>
      </c>
      <c r="R31" s="1981"/>
      <c r="S31" s="1981">
        <v>0.1</v>
      </c>
      <c r="T31" s="1963">
        <f>S31*O31</f>
        <v>4972.857</v>
      </c>
      <c r="U31" s="1982">
        <v>0.3</v>
      </c>
      <c r="V31" s="1965">
        <f>U31*J31</f>
        <v>5309.0999999999995</v>
      </c>
      <c r="W31" s="940">
        <f>O31+T31+V31</f>
        <v>60010.526999999995</v>
      </c>
      <c r="X31" s="141">
        <f>Q30+U30+W30</f>
        <v>41676.634999999995</v>
      </c>
      <c r="Y31" s="141">
        <f>R30+V30+X31</f>
        <v>43446.334999999992</v>
      </c>
      <c r="Z31" s="1970">
        <f>W30*12</f>
        <v>500117.22</v>
      </c>
      <c r="AA31" s="2094">
        <f>Z31/12/29.33*24</f>
        <v>34102.776679168092</v>
      </c>
      <c r="AB31" s="2094"/>
      <c r="AC31" s="2094"/>
      <c r="AD31" s="2094"/>
      <c r="AE31" s="2094"/>
      <c r="AF31" s="2094"/>
      <c r="AG31" s="2094"/>
      <c r="AH31" s="2094"/>
      <c r="AI31" s="2094"/>
      <c r="AJ31" s="2094"/>
      <c r="AK31" s="2094"/>
      <c r="AL31" s="2094"/>
      <c r="AM31" s="2094"/>
      <c r="AN31" s="2094"/>
      <c r="AO31" s="2094"/>
      <c r="AP31" s="2094"/>
      <c r="AQ31" s="2095"/>
      <c r="AR31" s="2095"/>
      <c r="AS31" s="2095"/>
      <c r="AT31" s="2095"/>
      <c r="AU31" s="2095"/>
      <c r="AV31" s="2095"/>
      <c r="AW31" s="2095"/>
      <c r="AX31" s="2095"/>
      <c r="AY31" s="2095"/>
      <c r="AZ31" s="2095"/>
      <c r="BA31" s="2095"/>
      <c r="BB31" s="2095"/>
      <c r="BC31" s="2095"/>
      <c r="BD31" s="2095"/>
      <c r="BE31" s="2095"/>
      <c r="BF31" s="2095"/>
      <c r="BG31" s="2095"/>
      <c r="BH31" s="2095"/>
      <c r="BI31" s="2095"/>
      <c r="BJ31" s="2095"/>
      <c r="BK31" s="2095"/>
      <c r="BL31" s="2095"/>
      <c r="BM31" s="2095"/>
      <c r="BN31" s="2095"/>
      <c r="BO31" s="2095"/>
      <c r="BP31" s="2095"/>
      <c r="BQ31" s="2095"/>
    </row>
    <row r="32" spans="1:69" s="1971" customFormat="1" ht="15.75">
      <c r="A32" s="1991" t="s">
        <v>116</v>
      </c>
      <c r="B32" s="1984" t="s">
        <v>99</v>
      </c>
      <c r="C32" s="1972" t="s">
        <v>64</v>
      </c>
      <c r="D32" s="1985" t="s">
        <v>846</v>
      </c>
      <c r="E32" s="1985" t="s">
        <v>114</v>
      </c>
      <c r="F32" s="1960">
        <v>1</v>
      </c>
      <c r="G32" s="1992" t="s">
        <v>102</v>
      </c>
      <c r="H32" s="1992" t="s">
        <v>118</v>
      </c>
      <c r="I32" s="1993">
        <v>1</v>
      </c>
      <c r="J32" s="1963">
        <v>17697</v>
      </c>
      <c r="K32" s="1988">
        <v>36</v>
      </c>
      <c r="L32" s="1965">
        <f>K32/18</f>
        <v>2</v>
      </c>
      <c r="M32" s="2010" t="s">
        <v>152</v>
      </c>
      <c r="N32" s="2011">
        <v>4.5199999999999996</v>
      </c>
      <c r="O32" s="1966">
        <f>N32*J32/18*K32</f>
        <v>159980.87999999998</v>
      </c>
      <c r="P32" s="1966">
        <f>O32*50%</f>
        <v>79990.439999999988</v>
      </c>
      <c r="Q32" s="2003"/>
      <c r="R32" s="2004"/>
      <c r="S32" s="1965">
        <v>0.1</v>
      </c>
      <c r="T32" s="1966">
        <f>(O32+P32)*S32</f>
        <v>23997.131999999998</v>
      </c>
      <c r="U32" s="2005"/>
      <c r="V32" s="2004"/>
      <c r="W32" s="940">
        <f>O32+P32+T32</f>
        <v>263968.45199999993</v>
      </c>
      <c r="X32" s="2012">
        <f>U32+Q32</f>
        <v>0</v>
      </c>
      <c r="Y32" s="2012">
        <f>V32+R32</f>
        <v>0</v>
      </c>
      <c r="Z32" s="1970">
        <f>W32*12</f>
        <v>3167621.4239999992</v>
      </c>
      <c r="AA32" s="1971">
        <f>Z32/12/29.33*56</f>
        <v>503997.04439140798</v>
      </c>
      <c r="AB32" s="1971">
        <f>Z32*1.25</f>
        <v>3959526.7799999989</v>
      </c>
      <c r="AC32" s="1971">
        <f>AB32/12/29.33*56</f>
        <v>629996.30548926</v>
      </c>
      <c r="AJ32" s="1970"/>
      <c r="AK32" s="1970"/>
      <c r="AL32" s="1970"/>
      <c r="AM32" s="1970"/>
      <c r="AN32" s="1970"/>
      <c r="AO32" s="1970"/>
      <c r="AP32" s="1970"/>
    </row>
    <row r="33" spans="1:69" s="1971" customFormat="1" ht="15.75">
      <c r="A33" s="1973" t="s">
        <v>831</v>
      </c>
      <c r="B33" s="1984" t="s">
        <v>99</v>
      </c>
      <c r="C33" s="1972" t="s">
        <v>25</v>
      </c>
      <c r="D33" s="1972" t="s">
        <v>847</v>
      </c>
      <c r="E33" s="1985" t="s">
        <v>114</v>
      </c>
      <c r="F33" s="1960">
        <v>1</v>
      </c>
      <c r="G33" s="1992" t="s">
        <v>102</v>
      </c>
      <c r="H33" s="1992" t="s">
        <v>103</v>
      </c>
      <c r="I33" s="1993">
        <v>2</v>
      </c>
      <c r="J33" s="1963">
        <v>17697</v>
      </c>
      <c r="K33" s="1978">
        <v>20</v>
      </c>
      <c r="L33" s="1965">
        <f>K33/18</f>
        <v>1.1111111111111112</v>
      </c>
      <c r="M33" s="2010" t="s">
        <v>104</v>
      </c>
      <c r="N33" s="2011">
        <v>4.51</v>
      </c>
      <c r="O33" s="1966">
        <f>N33*J33/18*K33</f>
        <v>88681.633333333331</v>
      </c>
      <c r="P33" s="1966">
        <f>O33*50%</f>
        <v>44340.816666666666</v>
      </c>
      <c r="Q33" s="2003"/>
      <c r="R33" s="2004"/>
      <c r="S33" s="1965">
        <v>0.1</v>
      </c>
      <c r="T33" s="1966">
        <f>(O33+P33)*S33</f>
        <v>13302.245000000003</v>
      </c>
      <c r="U33" s="2005"/>
      <c r="V33" s="2004"/>
      <c r="W33" s="940">
        <f>O33+P33+T33</f>
        <v>146324.69500000001</v>
      </c>
      <c r="X33" s="2012"/>
      <c r="Y33" s="2012"/>
      <c r="Z33" s="1970">
        <f>W33*12</f>
        <v>1755896.34</v>
      </c>
      <c r="AA33" s="1971">
        <f>Z33/12/29.33*56</f>
        <v>279378.89260143205</v>
      </c>
      <c r="AB33" s="1971">
        <f>Z33*1.25</f>
        <v>2194870.4250000003</v>
      </c>
      <c r="AC33" s="1971">
        <f>AB33/12/29.33*56</f>
        <v>349223.61575179</v>
      </c>
      <c r="AJ33" s="1970"/>
      <c r="AK33" s="1970"/>
      <c r="AL33" s="1970"/>
      <c r="AM33" s="1970"/>
      <c r="AN33" s="1970"/>
      <c r="AO33" s="1970"/>
      <c r="AP33" s="1970"/>
    </row>
    <row r="34" spans="1:69" s="1971" customFormat="1" ht="15.75">
      <c r="A34" s="2057" t="s">
        <v>337</v>
      </c>
      <c r="B34" s="2058" t="s">
        <v>338</v>
      </c>
      <c r="C34" s="2059" t="s">
        <v>64</v>
      </c>
      <c r="D34" s="2057"/>
      <c r="E34" s="2059"/>
      <c r="F34" s="2053">
        <v>0.5</v>
      </c>
      <c r="G34" s="2096"/>
      <c r="H34" s="2097"/>
      <c r="I34" s="2059">
        <v>2</v>
      </c>
      <c r="J34" s="2174">
        <v>17697</v>
      </c>
      <c r="K34" s="2097"/>
      <c r="L34" s="1965">
        <v>0.5</v>
      </c>
      <c r="M34" s="1965"/>
      <c r="N34" s="1965">
        <v>2.81</v>
      </c>
      <c r="O34" s="1966">
        <f>J34*N34*L34</f>
        <v>24864.285</v>
      </c>
      <c r="P34" s="1966"/>
      <c r="Q34" s="1965">
        <f>J34*O35*M34</f>
        <v>0</v>
      </c>
      <c r="R34" s="1965"/>
      <c r="S34" s="1981">
        <v>0.1</v>
      </c>
      <c r="T34" s="1963">
        <f>S34*O34</f>
        <v>2486.4285</v>
      </c>
      <c r="U34" s="1965"/>
      <c r="V34" s="1965"/>
      <c r="W34" s="940">
        <f>O34+T34+V34</f>
        <v>27350.713499999998</v>
      </c>
      <c r="X34" s="141">
        <f>Q33+U33+W33</f>
        <v>146324.69500000001</v>
      </c>
      <c r="Y34" s="141">
        <f>R33+V33+X34</f>
        <v>146324.69500000001</v>
      </c>
      <c r="Z34" s="1970">
        <f>W33*12</f>
        <v>1755896.34</v>
      </c>
      <c r="AA34" s="2094">
        <f>Z34/12/29.33*24</f>
        <v>119733.81111489944</v>
      </c>
      <c r="AJ34" s="2098" t="e">
        <f>#REF!+#REF!</f>
        <v>#REF!</v>
      </c>
      <c r="AK34" s="2098"/>
      <c r="AL34" s="2098"/>
      <c r="AM34" s="1970"/>
      <c r="AN34" s="1970"/>
      <c r="AO34" s="1970"/>
      <c r="AP34" s="1970"/>
    </row>
    <row r="35" spans="1:69" s="2015" customFormat="1" ht="42.75">
      <c r="A35" s="29" t="s">
        <v>81</v>
      </c>
      <c r="B35" s="6" t="s">
        <v>82</v>
      </c>
      <c r="C35" s="30" t="s">
        <v>64</v>
      </c>
      <c r="D35" s="57" t="s">
        <v>773</v>
      </c>
      <c r="E35" s="30" t="s">
        <v>84</v>
      </c>
      <c r="F35" s="65">
        <v>1</v>
      </c>
      <c r="G35" s="20" t="s">
        <v>56</v>
      </c>
      <c r="H35" s="5" t="s">
        <v>56</v>
      </c>
      <c r="I35" s="20">
        <v>3</v>
      </c>
      <c r="J35" s="44">
        <v>17697</v>
      </c>
      <c r="K35" s="7"/>
      <c r="L35" s="10">
        <v>1</v>
      </c>
      <c r="M35" s="7"/>
      <c r="N35" s="10">
        <v>3.5</v>
      </c>
      <c r="O35" s="67">
        <f>N35*J35*L35</f>
        <v>61939.5</v>
      </c>
      <c r="P35" s="42"/>
      <c r="Q35" s="7"/>
      <c r="R35" s="8"/>
      <c r="S35" s="7">
        <v>0.1</v>
      </c>
      <c r="T35" s="44">
        <f>(O35+P35)*S35</f>
        <v>6193.9500000000007</v>
      </c>
      <c r="U35" s="7"/>
      <c r="V35" s="9"/>
      <c r="W35" s="70">
        <f>O35+R35+T35+V35+P35</f>
        <v>68133.45</v>
      </c>
      <c r="X35" s="1268">
        <f>Q35+S35+U35</f>
        <v>0.1</v>
      </c>
      <c r="Y35" s="1268">
        <f>R35+T35+V35</f>
        <v>6193.9500000000007</v>
      </c>
      <c r="Z35" s="1264">
        <f>W35*12</f>
        <v>817601.39999999991</v>
      </c>
      <c r="AA35" s="1382">
        <f>Z35/12/29.33*30</f>
        <v>69689.856801909307</v>
      </c>
      <c r="AB35" s="1436"/>
      <c r="AC35" s="1436"/>
      <c r="AD35" s="1436"/>
      <c r="AE35" s="1436"/>
      <c r="AF35" s="1436"/>
      <c r="AG35" s="1436"/>
      <c r="AH35" s="1436"/>
      <c r="AI35" s="1436"/>
      <c r="AJ35" s="914"/>
      <c r="AK35" s="914"/>
      <c r="AL35" s="914"/>
      <c r="AM35" s="914"/>
      <c r="AN35" s="914"/>
      <c r="AO35" s="914"/>
      <c r="AP35" s="914"/>
      <c r="AQ35" s="915"/>
      <c r="AR35" s="915"/>
      <c r="AS35" s="915"/>
      <c r="AT35" s="915"/>
      <c r="AU35" s="915"/>
      <c r="AV35" s="915"/>
      <c r="AW35" s="915"/>
      <c r="AX35" s="915"/>
      <c r="AY35" s="915"/>
      <c r="AZ35" s="915"/>
      <c r="BA35" s="915"/>
      <c r="BB35" s="915"/>
      <c r="BC35" s="915"/>
      <c r="BD35" s="915"/>
      <c r="BE35" s="915"/>
      <c r="BF35" s="915"/>
      <c r="BG35" s="915"/>
      <c r="BH35" s="915"/>
      <c r="BI35" s="915"/>
      <c r="BJ35" s="915"/>
      <c r="BK35" s="915"/>
      <c r="BL35" s="915"/>
      <c r="BM35" s="915"/>
      <c r="BN35" s="915"/>
      <c r="BO35" s="915"/>
      <c r="BP35" s="915"/>
      <c r="BQ35" s="1437"/>
    </row>
    <row r="36" spans="1:69" s="1971" customFormat="1" ht="15.75">
      <c r="A36" s="1991" t="s">
        <v>127</v>
      </c>
      <c r="B36" s="1984" t="s">
        <v>99</v>
      </c>
      <c r="C36" s="1972" t="s">
        <v>25</v>
      </c>
      <c r="D36" s="1985" t="s">
        <v>848</v>
      </c>
      <c r="E36" s="1985" t="s">
        <v>34</v>
      </c>
      <c r="F36" s="1960">
        <v>1</v>
      </c>
      <c r="G36" s="1992" t="s">
        <v>102</v>
      </c>
      <c r="H36" s="1992" t="s">
        <v>103</v>
      </c>
      <c r="I36" s="1993">
        <v>1</v>
      </c>
      <c r="J36" s="1963">
        <v>17697</v>
      </c>
      <c r="K36" s="1988">
        <v>32</v>
      </c>
      <c r="L36" s="1965">
        <f>K36/18</f>
        <v>1.7777777777777777</v>
      </c>
      <c r="M36" s="2000" t="s">
        <v>152</v>
      </c>
      <c r="N36" s="1980">
        <v>4.75</v>
      </c>
      <c r="O36" s="1966">
        <f>N36*J36/18*K36</f>
        <v>149441.33333333334</v>
      </c>
      <c r="P36" s="1966">
        <f t="shared" ref="P36:P45" si="5">O36*50%</f>
        <v>74720.666666666672</v>
      </c>
      <c r="Q36" s="1981"/>
      <c r="R36" s="1965"/>
      <c r="S36" s="1965">
        <v>0.1</v>
      </c>
      <c r="T36" s="1966">
        <f>(O36+P36)*S36</f>
        <v>22416.2</v>
      </c>
      <c r="U36" s="1982"/>
      <c r="V36" s="1965"/>
      <c r="W36" s="940">
        <f>O36+P36+T36</f>
        <v>246578.2</v>
      </c>
      <c r="X36" s="141"/>
      <c r="Y36" s="141"/>
      <c r="Z36" s="1970">
        <f>W36*12</f>
        <v>2958938.4000000004</v>
      </c>
      <c r="AA36" s="1971">
        <f>Z36/12/29.33*56</f>
        <v>470793.69928400969</v>
      </c>
      <c r="AB36" s="1971">
        <f>Z36*1.25</f>
        <v>3698673.0000000005</v>
      </c>
      <c r="AC36" s="1971">
        <f>AB36/12/29.33*56</f>
        <v>588492.12410501204</v>
      </c>
      <c r="AJ36" s="1970"/>
      <c r="AK36" s="1970"/>
      <c r="AL36" s="1970"/>
      <c r="AM36" s="1970"/>
      <c r="AN36" s="1970"/>
      <c r="AO36" s="1970"/>
      <c r="AP36" s="1970"/>
    </row>
    <row r="37" spans="1:69" s="1971" customFormat="1" ht="15.75">
      <c r="A37" s="1973" t="s">
        <v>127</v>
      </c>
      <c r="B37" s="1974" t="s">
        <v>99</v>
      </c>
      <c r="C37" s="1975" t="s">
        <v>25</v>
      </c>
      <c r="D37" s="1976" t="s">
        <v>922</v>
      </c>
      <c r="E37" s="1985" t="s">
        <v>34</v>
      </c>
      <c r="F37" s="2116">
        <v>1</v>
      </c>
      <c r="G37" s="1992" t="s">
        <v>102</v>
      </c>
      <c r="H37" s="1992" t="s">
        <v>103</v>
      </c>
      <c r="I37" s="1993">
        <v>1</v>
      </c>
      <c r="J37" s="1963">
        <v>17697</v>
      </c>
      <c r="K37" s="2011">
        <v>4</v>
      </c>
      <c r="L37" s="2004">
        <f>K37/18</f>
        <v>0.22222222222222221</v>
      </c>
      <c r="M37" s="2010" t="s">
        <v>152</v>
      </c>
      <c r="N37" s="2011">
        <v>4.75</v>
      </c>
      <c r="O37" s="1966">
        <f>N37*J37/18*K37</f>
        <v>18680.166666666668</v>
      </c>
      <c r="P37" s="1966">
        <f t="shared" si="5"/>
        <v>9340.0833333333339</v>
      </c>
      <c r="Q37" s="2003"/>
      <c r="R37" s="2004"/>
      <c r="S37" s="2004">
        <v>0.1</v>
      </c>
      <c r="T37" s="1966">
        <f>(O37+P37)*S37</f>
        <v>2802.0250000000001</v>
      </c>
      <c r="U37" s="2067"/>
      <c r="V37" s="2004"/>
      <c r="W37" s="940">
        <f>O37+P37+T37</f>
        <v>30822.275000000001</v>
      </c>
      <c r="X37" s="2012"/>
      <c r="Y37" s="2012"/>
      <c r="Z37" s="1970"/>
      <c r="AJ37" s="1970"/>
      <c r="AK37" s="1970"/>
      <c r="AL37" s="1970"/>
      <c r="AM37" s="1970"/>
      <c r="AN37" s="1970"/>
      <c r="AO37" s="1970"/>
      <c r="AP37" s="1970"/>
    </row>
    <row r="38" spans="1:69" s="1971" customFormat="1" ht="15" customHeight="1">
      <c r="A38" s="1973" t="s">
        <v>386</v>
      </c>
      <c r="B38" s="1984" t="s">
        <v>99</v>
      </c>
      <c r="C38" s="1975" t="s">
        <v>25</v>
      </c>
      <c r="D38" s="2145" t="s">
        <v>849</v>
      </c>
      <c r="E38" s="2007" t="s">
        <v>34</v>
      </c>
      <c r="F38" s="1960">
        <v>1</v>
      </c>
      <c r="G38" s="1992" t="s">
        <v>102</v>
      </c>
      <c r="H38" s="1992" t="s">
        <v>103</v>
      </c>
      <c r="I38" s="1999">
        <v>1</v>
      </c>
      <c r="J38" s="1963">
        <v>17697</v>
      </c>
      <c r="K38" s="1978">
        <v>18</v>
      </c>
      <c r="L38" s="2004">
        <f>K38/18</f>
        <v>1</v>
      </c>
      <c r="M38" s="2010" t="s">
        <v>152</v>
      </c>
      <c r="N38" s="2011">
        <v>4.75</v>
      </c>
      <c r="O38" s="1966">
        <f>N38*J38/18*K38</f>
        <v>84060.75</v>
      </c>
      <c r="P38" s="1966">
        <f t="shared" si="5"/>
        <v>42030.375</v>
      </c>
      <c r="Q38" s="2003"/>
      <c r="R38" s="2004"/>
      <c r="S38" s="2004">
        <v>0.1</v>
      </c>
      <c r="T38" s="1966">
        <f>(O38+P38)*S38</f>
        <v>12609.112500000001</v>
      </c>
      <c r="U38" s="2005"/>
      <c r="V38" s="2004"/>
      <c r="W38" s="940">
        <f>O38+P38+T38</f>
        <v>138700.23749999999</v>
      </c>
      <c r="X38" s="2012"/>
      <c r="Y38" s="2012"/>
      <c r="Z38" s="1970">
        <f>W38*12</f>
        <v>1664402.8499999999</v>
      </c>
      <c r="AA38" s="1971">
        <f>Z38/12/29.33*56</f>
        <v>264821.45584725536</v>
      </c>
      <c r="AB38" s="1971">
        <f>Z38*1.25</f>
        <v>2080503.5624999998</v>
      </c>
      <c r="AC38" s="1971">
        <f>AB38/12/29.33*56</f>
        <v>331026.81980906916</v>
      </c>
      <c r="AJ38" s="1970"/>
      <c r="AK38" s="1970"/>
      <c r="AL38" s="1970"/>
      <c r="AM38" s="1970"/>
      <c r="AN38" s="1970"/>
      <c r="AO38" s="1970"/>
      <c r="AP38" s="1970"/>
    </row>
    <row r="39" spans="1:69" s="1971" customFormat="1" ht="28.5">
      <c r="A39" s="17" t="s">
        <v>38</v>
      </c>
      <c r="B39" s="6" t="s">
        <v>32</v>
      </c>
      <c r="C39" s="16" t="s">
        <v>25</v>
      </c>
      <c r="D39" s="543" t="s">
        <v>774</v>
      </c>
      <c r="E39" s="734" t="s">
        <v>40</v>
      </c>
      <c r="F39" s="1729">
        <v>1</v>
      </c>
      <c r="G39" s="5" t="s">
        <v>28</v>
      </c>
      <c r="H39" s="5" t="s">
        <v>35</v>
      </c>
      <c r="I39" s="735">
        <v>3</v>
      </c>
      <c r="J39" s="67">
        <v>17697</v>
      </c>
      <c r="K39" s="18"/>
      <c r="L39" s="1629">
        <v>1</v>
      </c>
      <c r="M39" s="18"/>
      <c r="N39" s="1628">
        <v>5.77</v>
      </c>
      <c r="O39" s="67">
        <f>N39*J39*L39</f>
        <v>102111.68999999999</v>
      </c>
      <c r="P39" s="44">
        <f t="shared" si="5"/>
        <v>51055.844999999994</v>
      </c>
      <c r="Q39" s="19">
        <v>0.25</v>
      </c>
      <c r="R39" s="18">
        <f>(O39+P39)*25%</f>
        <v>38291.883749999994</v>
      </c>
      <c r="S39" s="7">
        <v>0.1</v>
      </c>
      <c r="T39" s="44">
        <f>(O39+P39)*S39</f>
        <v>15316.753499999999</v>
      </c>
      <c r="U39" s="736"/>
      <c r="V39" s="18"/>
      <c r="W39" s="70">
        <f>O39+R39+T39+V39+P39</f>
        <v>206776.17224999997</v>
      </c>
      <c r="X39" s="1268">
        <f>Q39+S39+U39</f>
        <v>0.35</v>
      </c>
      <c r="Y39" s="1268">
        <f>R39+T39+V39</f>
        <v>53608.637249999992</v>
      </c>
      <c r="Z39" s="1264">
        <f>W39*12</f>
        <v>2481314.0669999998</v>
      </c>
      <c r="AA39" s="1382">
        <f>Z39/12/29.33*30</f>
        <v>211499.66476304125</v>
      </c>
      <c r="AB39" s="1264"/>
      <c r="AC39" s="1264"/>
      <c r="AD39" s="1383"/>
      <c r="AE39" s="1383"/>
      <c r="AF39" s="1264"/>
      <c r="AG39" s="1407"/>
      <c r="AH39" s="1407"/>
      <c r="AI39" s="1407"/>
      <c r="AJ39" s="1779"/>
      <c r="AK39" s="1780"/>
      <c r="AL39" s="1779"/>
      <c r="AM39" s="1779"/>
      <c r="AN39" s="1779"/>
      <c r="AO39" s="1781"/>
      <c r="AP39" s="1780">
        <f>O39+T39+R39+V39</f>
        <v>155720.32724999997</v>
      </c>
      <c r="AQ39" s="911"/>
      <c r="AR39" s="911"/>
      <c r="AS39" s="911"/>
      <c r="AT39" s="911"/>
      <c r="AU39" s="911"/>
      <c r="AV39" s="911"/>
      <c r="AW39" s="911"/>
      <c r="AX39" s="911"/>
      <c r="AY39" s="911"/>
      <c r="AZ39" s="911"/>
      <c r="BA39" s="911"/>
      <c r="BB39" s="911"/>
      <c r="BC39" s="911"/>
      <c r="BD39" s="911"/>
      <c r="BE39" s="911"/>
      <c r="BF39" s="911"/>
      <c r="BG39" s="911"/>
      <c r="BH39" s="911"/>
      <c r="BI39" s="911"/>
      <c r="BJ39" s="911"/>
      <c r="BK39" s="911"/>
      <c r="BL39" s="911"/>
      <c r="BM39" s="911"/>
      <c r="BN39" s="911"/>
      <c r="BO39" s="911"/>
      <c r="BP39" s="911"/>
      <c r="BQ39" s="1407"/>
    </row>
    <row r="40" spans="1:69" s="1971" customFormat="1" ht="15.75">
      <c r="A40" s="2073" t="s">
        <v>38</v>
      </c>
      <c r="B40" s="2058" t="s">
        <v>99</v>
      </c>
      <c r="C40" s="2074" t="s">
        <v>25</v>
      </c>
      <c r="D40" s="2075" t="s">
        <v>907</v>
      </c>
      <c r="E40" s="2075" t="s">
        <v>40</v>
      </c>
      <c r="F40" s="2158">
        <v>1</v>
      </c>
      <c r="G40" s="2085" t="s">
        <v>102</v>
      </c>
      <c r="H40" s="2085" t="s">
        <v>103</v>
      </c>
      <c r="I40" s="2086">
        <v>1</v>
      </c>
      <c r="J40" s="1963">
        <v>17697</v>
      </c>
      <c r="K40" s="665">
        <v>9</v>
      </c>
      <c r="L40" s="567">
        <f>K40/18</f>
        <v>0.5</v>
      </c>
      <c r="M40" s="997" t="s">
        <v>152</v>
      </c>
      <c r="N40" s="1608">
        <v>4.75</v>
      </c>
      <c r="O40" s="556">
        <f>J40*N40/18*K40</f>
        <v>42030.375</v>
      </c>
      <c r="P40" s="556">
        <f t="shared" si="5"/>
        <v>21015.1875</v>
      </c>
      <c r="Q40" s="666">
        <v>0.25</v>
      </c>
      <c r="R40" s="554">
        <f>(O40+P40)*Q40</f>
        <v>15761.390625</v>
      </c>
      <c r="S40" s="554">
        <v>0.1</v>
      </c>
      <c r="T40" s="556">
        <f>(O40+P40+R40)*S40</f>
        <v>7880.6953125</v>
      </c>
      <c r="U40" s="19"/>
      <c r="V40" s="554"/>
      <c r="W40" s="559">
        <f>O40+P40+R40+T40</f>
        <v>86687.6484375</v>
      </c>
      <c r="X40" s="238"/>
      <c r="Y40" s="238"/>
      <c r="Z40" s="1370">
        <f>W39*12</f>
        <v>2481314.0669999998</v>
      </c>
      <c r="AA40" s="225">
        <f>Z40/12/29.33*56</f>
        <v>394799.37422434363</v>
      </c>
      <c r="AB40" s="225">
        <f>Z40*1.25</f>
        <v>3101642.5837499998</v>
      </c>
      <c r="AC40" s="225">
        <f>AB40/12/29.33*56</f>
        <v>493499.21778042958</v>
      </c>
      <c r="AD40" s="225"/>
      <c r="AE40" s="225"/>
      <c r="AF40" s="225"/>
      <c r="AG40" s="225"/>
      <c r="AH40" s="225"/>
      <c r="AI40" s="225"/>
      <c r="AJ40" s="906"/>
      <c r="AK40" s="23"/>
      <c r="AL40" s="23"/>
      <c r="AM40" s="23"/>
      <c r="AN40" s="23"/>
      <c r="AO40" s="23"/>
      <c r="AP40" s="23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25"/>
    </row>
    <row r="41" spans="1:69" s="1971" customFormat="1" ht="15.75">
      <c r="A41" s="2058" t="s">
        <v>268</v>
      </c>
      <c r="B41" s="2058" t="s">
        <v>99</v>
      </c>
      <c r="C41" s="2059" t="s">
        <v>25</v>
      </c>
      <c r="D41" s="2024" t="s">
        <v>894</v>
      </c>
      <c r="E41" s="1985" t="s">
        <v>40</v>
      </c>
      <c r="F41" s="1960">
        <v>1</v>
      </c>
      <c r="G41" s="1992" t="s">
        <v>102</v>
      </c>
      <c r="H41" s="1992" t="s">
        <v>103</v>
      </c>
      <c r="I41" s="2060">
        <v>1</v>
      </c>
      <c r="J41" s="1963">
        <v>17697</v>
      </c>
      <c r="K41" s="2176">
        <v>33</v>
      </c>
      <c r="L41" s="1965">
        <f>K41/18</f>
        <v>1.8333333333333333</v>
      </c>
      <c r="M41" s="2000" t="s">
        <v>152</v>
      </c>
      <c r="N41" s="2061">
        <v>4.75</v>
      </c>
      <c r="O41" s="1966">
        <f>N41*J41/18*K41</f>
        <v>154111.375</v>
      </c>
      <c r="P41" s="1966">
        <f t="shared" si="5"/>
        <v>77055.6875</v>
      </c>
      <c r="Q41" s="1981"/>
      <c r="R41" s="1965"/>
      <c r="S41" s="1965">
        <v>0.1</v>
      </c>
      <c r="T41" s="1966">
        <f>(O41+P41)*S41</f>
        <v>23116.706250000003</v>
      </c>
      <c r="U41" s="2056"/>
      <c r="V41" s="1965"/>
      <c r="W41" s="940">
        <f>O41+P41+T41</f>
        <v>254283.76874999999</v>
      </c>
      <c r="X41" s="141"/>
      <c r="Y41" s="141"/>
      <c r="Z41" s="1970"/>
      <c r="AJ41" s="1970"/>
      <c r="AK41" s="1970"/>
      <c r="AL41" s="1970"/>
      <c r="AM41" s="1970"/>
      <c r="AN41" s="1970"/>
      <c r="AO41" s="1970"/>
      <c r="AP41" s="1970"/>
    </row>
    <row r="42" spans="1:69" s="1971" customFormat="1" ht="15.75">
      <c r="A42" s="1991" t="s">
        <v>458</v>
      </c>
      <c r="B42" s="1984" t="s">
        <v>99</v>
      </c>
      <c r="C42" s="1972" t="s">
        <v>25</v>
      </c>
      <c r="D42" s="2007" t="s">
        <v>850</v>
      </c>
      <c r="E42" s="2007" t="s">
        <v>34</v>
      </c>
      <c r="F42" s="1960">
        <v>1</v>
      </c>
      <c r="G42" s="1992" t="s">
        <v>102</v>
      </c>
      <c r="H42" s="1992" t="s">
        <v>103</v>
      </c>
      <c r="I42" s="1999">
        <v>1</v>
      </c>
      <c r="J42" s="1963">
        <v>17697</v>
      </c>
      <c r="K42" s="1988">
        <v>22</v>
      </c>
      <c r="L42" s="1965">
        <f>K42/18</f>
        <v>1.2222222222222223</v>
      </c>
      <c r="M42" s="2000" t="s">
        <v>152</v>
      </c>
      <c r="N42" s="1980">
        <v>4.75</v>
      </c>
      <c r="O42" s="1966">
        <f>N42*J42/18*K42</f>
        <v>102740.91666666667</v>
      </c>
      <c r="P42" s="1966">
        <f t="shared" si="5"/>
        <v>51370.458333333336</v>
      </c>
      <c r="Q42" s="1981"/>
      <c r="R42" s="1965"/>
      <c r="S42" s="1965">
        <v>0.1</v>
      </c>
      <c r="T42" s="1966">
        <f>(O42+P42)*S42</f>
        <v>15411.137500000001</v>
      </c>
      <c r="U42" s="1982"/>
      <c r="V42" s="1965"/>
      <c r="W42" s="940">
        <f>O42+P42+T42</f>
        <v>169522.51250000001</v>
      </c>
      <c r="X42" s="141"/>
      <c r="Y42" s="141"/>
      <c r="Z42" s="1970"/>
      <c r="AJ42" s="1970"/>
      <c r="AK42" s="1970"/>
      <c r="AL42" s="1970"/>
      <c r="AM42" s="1970"/>
      <c r="AN42" s="1970"/>
      <c r="AO42" s="1970"/>
      <c r="AP42" s="1970"/>
    </row>
    <row r="43" spans="1:69" s="1971" customFormat="1" ht="15.75">
      <c r="A43" s="730" t="s">
        <v>45</v>
      </c>
      <c r="B43" s="6" t="s">
        <v>46</v>
      </c>
      <c r="C43" s="5" t="s">
        <v>25</v>
      </c>
      <c r="D43" s="1716" t="s">
        <v>727</v>
      </c>
      <c r="E43" s="1716" t="s">
        <v>34</v>
      </c>
      <c r="F43" s="547">
        <v>1</v>
      </c>
      <c r="G43" s="5" t="s">
        <v>28</v>
      </c>
      <c r="H43" s="5" t="s">
        <v>29</v>
      </c>
      <c r="I43" s="731" t="s">
        <v>44</v>
      </c>
      <c r="J43" s="44">
        <v>17697</v>
      </c>
      <c r="K43" s="7"/>
      <c r="L43" s="10">
        <v>1</v>
      </c>
      <c r="M43" s="7"/>
      <c r="N43" s="10">
        <v>5.91</v>
      </c>
      <c r="O43" s="67">
        <f>N43*J43*L43</f>
        <v>104589.27</v>
      </c>
      <c r="P43" s="44">
        <f t="shared" si="5"/>
        <v>52294.635000000002</v>
      </c>
      <c r="Q43" s="19"/>
      <c r="R43" s="7"/>
      <c r="S43" s="7">
        <v>0.1</v>
      </c>
      <c r="T43" s="44">
        <f>(O43+P43)*S43</f>
        <v>15688.390500000001</v>
      </c>
      <c r="U43" s="9"/>
      <c r="V43" s="7"/>
      <c r="W43" s="70">
        <f>O43+R43+T43+V43+P43</f>
        <v>172572.29550000001</v>
      </c>
      <c r="X43" s="1268">
        <f>Q43+S43+U43</f>
        <v>0.1</v>
      </c>
      <c r="Y43" s="1268">
        <f>R43+T43+V43</f>
        <v>15688.390500000001</v>
      </c>
      <c r="Z43" s="1264">
        <f>W43*12</f>
        <v>2070867.5460000001</v>
      </c>
      <c r="AA43" s="1382">
        <f>Z43/12/29.33*30</f>
        <v>176514.45158540746</v>
      </c>
      <c r="AB43" s="1265"/>
      <c r="AC43" s="1265"/>
      <c r="AD43" s="1265"/>
      <c r="AE43" s="1265"/>
      <c r="AF43" s="1265"/>
      <c r="AG43" s="1265"/>
      <c r="AH43" s="1265"/>
      <c r="AI43" s="1265"/>
      <c r="AJ43" s="23"/>
      <c r="AK43" s="23"/>
      <c r="AL43" s="23"/>
      <c r="AM43" s="23"/>
      <c r="AN43" s="23"/>
      <c r="AO43" s="23"/>
      <c r="AP43" s="23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1265"/>
    </row>
    <row r="44" spans="1:69" s="1971" customFormat="1" ht="15.75">
      <c r="A44" s="1991" t="s">
        <v>130</v>
      </c>
      <c r="B44" s="1984" t="s">
        <v>99</v>
      </c>
      <c r="C44" s="1972" t="s">
        <v>25</v>
      </c>
      <c r="D44" s="2007" t="s">
        <v>851</v>
      </c>
      <c r="E44" s="2007" t="s">
        <v>34</v>
      </c>
      <c r="F44" s="1960">
        <v>1</v>
      </c>
      <c r="G44" s="1992" t="s">
        <v>102</v>
      </c>
      <c r="H44" s="1992" t="s">
        <v>103</v>
      </c>
      <c r="I44" s="1993">
        <v>1</v>
      </c>
      <c r="J44" s="1963">
        <v>17697</v>
      </c>
      <c r="K44" s="1988">
        <v>9</v>
      </c>
      <c r="L44" s="1965">
        <f>K44/18</f>
        <v>0.5</v>
      </c>
      <c r="M44" s="1995" t="s">
        <v>152</v>
      </c>
      <c r="N44" s="1980">
        <v>4.75</v>
      </c>
      <c r="O44" s="1966">
        <f>N44*J44/18*K44</f>
        <v>42030.375</v>
      </c>
      <c r="P44" s="1966">
        <f t="shared" si="5"/>
        <v>21015.1875</v>
      </c>
      <c r="Q44" s="1981"/>
      <c r="R44" s="1965"/>
      <c r="S44" s="1965">
        <v>0.1</v>
      </c>
      <c r="T44" s="1966">
        <f>(O44+P44)*S44</f>
        <v>6304.5562500000005</v>
      </c>
      <c r="U44" s="1982"/>
      <c r="V44" s="1965"/>
      <c r="W44" s="940">
        <f>O44+P44+T44</f>
        <v>69350.118749999994</v>
      </c>
      <c r="X44" s="1998">
        <f>U44+Q44</f>
        <v>0</v>
      </c>
      <c r="Y44" s="1998">
        <f>V44+R44</f>
        <v>0</v>
      </c>
      <c r="Z44" s="1970">
        <f>W44*12</f>
        <v>832201.42499999993</v>
      </c>
      <c r="AA44" s="1971">
        <f>Z44/12/29.33*56</f>
        <v>132410.72792362768</v>
      </c>
      <c r="AB44" s="1971">
        <f>Z44*1.25</f>
        <v>1040251.7812499999</v>
      </c>
      <c r="AC44" s="1971">
        <f>AB44/12/29.33*56</f>
        <v>165513.40990453458</v>
      </c>
      <c r="AJ44" s="1970"/>
      <c r="AK44" s="1970"/>
      <c r="AL44" s="1970"/>
      <c r="AM44" s="1970"/>
      <c r="AN44" s="1970"/>
      <c r="AO44" s="1970"/>
      <c r="AP44" s="1970"/>
    </row>
    <row r="45" spans="1:69" s="1971" customFormat="1" ht="15.75">
      <c r="A45" s="2076" t="s">
        <v>306</v>
      </c>
      <c r="B45" s="2058" t="s">
        <v>99</v>
      </c>
      <c r="C45" s="2074" t="s">
        <v>25</v>
      </c>
      <c r="D45" s="2077" t="s">
        <v>126</v>
      </c>
      <c r="E45" s="2077" t="s">
        <v>68</v>
      </c>
      <c r="F45" s="2158">
        <v>1</v>
      </c>
      <c r="G45" s="2085" t="s">
        <v>102</v>
      </c>
      <c r="H45" s="2085" t="s">
        <v>103</v>
      </c>
      <c r="I45" s="2087">
        <v>4</v>
      </c>
      <c r="J45" s="1963">
        <v>17697</v>
      </c>
      <c r="K45" s="665">
        <v>31</v>
      </c>
      <c r="L45" s="567">
        <f>K45/18</f>
        <v>1.7222222222222223</v>
      </c>
      <c r="M45" s="997" t="s">
        <v>112</v>
      </c>
      <c r="N45" s="1610">
        <v>3.64</v>
      </c>
      <c r="O45" s="556">
        <f>J45*N45/18*K45</f>
        <v>110940.52666666667</v>
      </c>
      <c r="P45" s="556">
        <f t="shared" si="5"/>
        <v>55470.263333333336</v>
      </c>
      <c r="Q45" s="666">
        <v>0.25</v>
      </c>
      <c r="R45" s="554">
        <f>(O45+P45)*Q45</f>
        <v>41602.697500000002</v>
      </c>
      <c r="S45" s="554">
        <v>0.1</v>
      </c>
      <c r="T45" s="556">
        <f>(O45+P45+R45)*S45</f>
        <v>20801.348750000005</v>
      </c>
      <c r="U45" s="19"/>
      <c r="V45" s="554"/>
      <c r="W45" s="559">
        <f>O45+P45+R45+T45</f>
        <v>228814.83625000002</v>
      </c>
      <c r="X45" s="406">
        <f>U44+S44+Q44</f>
        <v>0.1</v>
      </c>
      <c r="Y45" s="406">
        <f>V44+T44+R44</f>
        <v>6304.5562500000005</v>
      </c>
      <c r="Z45" s="375">
        <f>W44*12</f>
        <v>832201.42499999993</v>
      </c>
      <c r="AA45" s="377">
        <f>Z45/12/29.33*56</f>
        <v>132410.72792362768</v>
      </c>
      <c r="AB45" s="377">
        <f>Z45*1.25</f>
        <v>1040251.7812499999</v>
      </c>
      <c r="AC45" s="377">
        <f>AB45/12/29.33*56</f>
        <v>165513.40990453458</v>
      </c>
      <c r="AD45" s="377"/>
      <c r="AE45" s="377"/>
      <c r="AF45" s="377"/>
      <c r="AG45" s="377"/>
      <c r="AH45" s="377"/>
      <c r="AI45" s="377"/>
      <c r="AJ45" s="906"/>
      <c r="AK45" s="23"/>
      <c r="AL45" s="23"/>
      <c r="AM45" s="23"/>
      <c r="AN45" s="23"/>
      <c r="AO45" s="23"/>
      <c r="AP45" s="23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377"/>
    </row>
    <row r="46" spans="1:69" s="1971" customFormat="1" ht="15.75">
      <c r="A46" s="1991" t="s">
        <v>734</v>
      </c>
      <c r="B46" s="2058" t="s">
        <v>340</v>
      </c>
      <c r="C46" s="1972" t="s">
        <v>64</v>
      </c>
      <c r="D46" s="1992"/>
      <c r="E46" s="2090"/>
      <c r="F46" s="2156" t="s">
        <v>409</v>
      </c>
      <c r="G46" s="1992"/>
      <c r="H46" s="2091"/>
      <c r="I46" s="1992">
        <v>2</v>
      </c>
      <c r="J46" s="1963">
        <v>17697</v>
      </c>
      <c r="K46" s="1965"/>
      <c r="L46" s="1965">
        <v>1.5</v>
      </c>
      <c r="M46" s="1965"/>
      <c r="N46" s="1965">
        <v>2.81</v>
      </c>
      <c r="O46" s="1966">
        <f>J46*N46*L46</f>
        <v>74592.854999999996</v>
      </c>
      <c r="P46" s="1966"/>
      <c r="Q46" s="1965">
        <f>J46*O47*M46</f>
        <v>0</v>
      </c>
      <c r="R46" s="1965"/>
      <c r="S46" s="1981">
        <v>0.1</v>
      </c>
      <c r="T46" s="1963">
        <f>S46*O46</f>
        <v>7459.2855</v>
      </c>
      <c r="U46" s="1982">
        <v>0.3</v>
      </c>
      <c r="V46" s="1965">
        <f>U46*J46*1.5</f>
        <v>7963.65</v>
      </c>
      <c r="W46" s="940">
        <f>O46+T46+V46</f>
        <v>90015.790499999988</v>
      </c>
      <c r="X46" s="141">
        <f>Q45+U45+W45</f>
        <v>228815.08625000002</v>
      </c>
      <c r="Y46" s="141">
        <f>R45+V45+X46</f>
        <v>270417.78375</v>
      </c>
      <c r="Z46" s="1970">
        <f>W45*12</f>
        <v>2745778.0350000001</v>
      </c>
      <c r="AA46" s="2094">
        <f>Z46/12/29.33*24</f>
        <v>187233.41527446301</v>
      </c>
      <c r="AB46" s="2094"/>
      <c r="AC46" s="2094"/>
      <c r="AD46" s="2094"/>
      <c r="AE46" s="2094"/>
      <c r="AF46" s="2094"/>
      <c r="AG46" s="2094"/>
      <c r="AH46" s="2094"/>
      <c r="AI46" s="2094"/>
      <c r="AJ46" s="2094"/>
      <c r="AK46" s="2094"/>
      <c r="AL46" s="2094"/>
      <c r="AM46" s="2094"/>
      <c r="AN46" s="2094"/>
      <c r="AO46" s="2094"/>
      <c r="AP46" s="2094"/>
      <c r="AQ46" s="2095"/>
      <c r="AR46" s="2095"/>
      <c r="AS46" s="2095"/>
      <c r="AT46" s="2095"/>
      <c r="AU46" s="2095"/>
      <c r="AV46" s="2095"/>
      <c r="AW46" s="2095"/>
      <c r="AX46" s="2095"/>
      <c r="AY46" s="2095"/>
      <c r="AZ46" s="2095"/>
      <c r="BA46" s="2095"/>
      <c r="BB46" s="2095"/>
      <c r="BC46" s="2095"/>
      <c r="BD46" s="2095"/>
      <c r="BE46" s="2095"/>
      <c r="BF46" s="2095"/>
      <c r="BG46" s="2095"/>
      <c r="BH46" s="2095"/>
      <c r="BI46" s="2095"/>
      <c r="BJ46" s="2095"/>
      <c r="BK46" s="2095"/>
      <c r="BL46" s="2095"/>
      <c r="BM46" s="2095"/>
      <c r="BN46" s="2095"/>
      <c r="BO46" s="2095"/>
      <c r="BP46" s="2095"/>
      <c r="BQ46" s="2095"/>
    </row>
    <row r="47" spans="1:69" s="1971" customFormat="1" ht="15.75">
      <c r="A47" s="2139" t="s">
        <v>354</v>
      </c>
      <c r="B47" s="2141" t="s">
        <v>786</v>
      </c>
      <c r="C47" s="2080" t="s">
        <v>75</v>
      </c>
      <c r="D47" s="2080"/>
      <c r="E47" s="2110"/>
      <c r="F47" s="2162">
        <v>1</v>
      </c>
      <c r="G47" s="2163"/>
      <c r="H47" s="2163"/>
      <c r="I47" s="2080">
        <v>1</v>
      </c>
      <c r="J47" s="1966">
        <v>17697</v>
      </c>
      <c r="K47" s="2121"/>
      <c r="L47" s="1965">
        <v>1</v>
      </c>
      <c r="M47" s="2121"/>
      <c r="N47" s="2004">
        <v>2.77</v>
      </c>
      <c r="O47" s="1966">
        <f>J47*N47*L47</f>
        <v>49020.69</v>
      </c>
      <c r="P47" s="1966"/>
      <c r="Q47" s="2004">
        <f>J47*O48*M47</f>
        <v>0</v>
      </c>
      <c r="R47" s="2121"/>
      <c r="S47" s="1981">
        <v>0.1</v>
      </c>
      <c r="T47" s="1963">
        <f>S47*O47</f>
        <v>4902.0690000000004</v>
      </c>
      <c r="U47" s="2121">
        <v>0</v>
      </c>
      <c r="V47" s="2038">
        <v>12439.34</v>
      </c>
      <c r="W47" s="940">
        <f>O47+T47+V47</f>
        <v>66362.099000000002</v>
      </c>
      <c r="X47" s="2012">
        <f>Q46+U46+W46</f>
        <v>90016.090499999991</v>
      </c>
      <c r="Y47" s="2012">
        <f>R46+V46+X47</f>
        <v>97979.740499999985</v>
      </c>
      <c r="Z47" s="1970">
        <f>W46*12</f>
        <v>1080189.4859999998</v>
      </c>
      <c r="AA47" s="2094">
        <f>Z47/12/29.33*24</f>
        <v>73657.653324241386</v>
      </c>
      <c r="AB47" s="1970"/>
      <c r="AC47" s="1970"/>
      <c r="AD47" s="2107"/>
      <c r="AE47" s="2098"/>
      <c r="AF47" s="1970"/>
      <c r="AJ47" s="1970"/>
      <c r="AK47" s="2098"/>
      <c r="AL47" s="1970"/>
      <c r="AM47" s="1970"/>
      <c r="AN47" s="1970"/>
      <c r="AO47" s="1970"/>
      <c r="AP47" s="1970"/>
    </row>
    <row r="48" spans="1:69" s="1971" customFormat="1" ht="15.75">
      <c r="A48" s="1991" t="s">
        <v>791</v>
      </c>
      <c r="B48" s="1984" t="s">
        <v>99</v>
      </c>
      <c r="C48" s="1972" t="s">
        <v>75</v>
      </c>
      <c r="D48" s="1985" t="s">
        <v>923</v>
      </c>
      <c r="E48" s="1985" t="s">
        <v>797</v>
      </c>
      <c r="F48" s="2116">
        <v>1</v>
      </c>
      <c r="G48" s="1994" t="s">
        <v>102</v>
      </c>
      <c r="H48" s="1994" t="s">
        <v>118</v>
      </c>
      <c r="I48" s="2000">
        <v>3</v>
      </c>
      <c r="J48" s="1963">
        <v>17697</v>
      </c>
      <c r="K48" s="1980">
        <v>22</v>
      </c>
      <c r="L48" s="1965">
        <f t="shared" ref="L48:L55" si="6">K48/18</f>
        <v>1.2222222222222223</v>
      </c>
      <c r="M48" s="2000" t="s">
        <v>109</v>
      </c>
      <c r="N48" s="1980">
        <v>3.97</v>
      </c>
      <c r="O48" s="1966">
        <f>N48*J48/18*K48</f>
        <v>85869.776666666672</v>
      </c>
      <c r="P48" s="1966">
        <f t="shared" ref="P48:P55" si="7">O48*50%</f>
        <v>42934.888333333336</v>
      </c>
      <c r="Q48" s="1981"/>
      <c r="R48" s="1965"/>
      <c r="S48" s="1965">
        <v>0.1</v>
      </c>
      <c r="T48" s="1966">
        <f>(O48+P48)*S48</f>
        <v>12880.466500000002</v>
      </c>
      <c r="U48" s="2056">
        <v>0.35</v>
      </c>
      <c r="V48" s="1965">
        <f>(J48*N48)*1.5/100*35/18*22</f>
        <v>45081.632749999997</v>
      </c>
      <c r="W48" s="940">
        <f>O48+P48+T48+V48</f>
        <v>186766.76425000001</v>
      </c>
      <c r="X48" s="141">
        <f>U47+Q47</f>
        <v>0</v>
      </c>
      <c r="Y48" s="141">
        <f>V47+R47</f>
        <v>12439.34</v>
      </c>
      <c r="Z48" s="1970">
        <f>W47*12</f>
        <v>796345.18800000008</v>
      </c>
      <c r="AA48" s="1971">
        <f>Z48/12/29.33*56</f>
        <v>126705.67828162294</v>
      </c>
      <c r="AB48" s="1971">
        <f>Z48*1.25</f>
        <v>995431.4850000001</v>
      </c>
      <c r="AC48" s="1971">
        <f>AB48/12/29.33*56</f>
        <v>158382.09785202867</v>
      </c>
      <c r="AJ48" s="1970"/>
      <c r="AK48" s="1970"/>
      <c r="AL48" s="1970"/>
      <c r="AM48" s="1970"/>
      <c r="AN48" s="1970"/>
      <c r="AO48" s="1970"/>
      <c r="AP48" s="1970"/>
    </row>
    <row r="49" spans="1:69" s="1971" customFormat="1" ht="15.75">
      <c r="A49" s="1991" t="s">
        <v>455</v>
      </c>
      <c r="B49" s="1984" t="s">
        <v>99</v>
      </c>
      <c r="C49" s="1992" t="s">
        <v>25</v>
      </c>
      <c r="D49" s="2013" t="s">
        <v>727</v>
      </c>
      <c r="E49" s="1985" t="s">
        <v>34</v>
      </c>
      <c r="F49" s="1960">
        <v>1</v>
      </c>
      <c r="G49" s="1992" t="s">
        <v>102</v>
      </c>
      <c r="H49" s="1992" t="s">
        <v>103</v>
      </c>
      <c r="I49" s="1993">
        <v>1</v>
      </c>
      <c r="J49" s="1963">
        <v>17697</v>
      </c>
      <c r="K49" s="1988">
        <v>8</v>
      </c>
      <c r="L49" s="1965">
        <f t="shared" si="6"/>
        <v>0.44444444444444442</v>
      </c>
      <c r="M49" s="1995" t="s">
        <v>152</v>
      </c>
      <c r="N49" s="1980">
        <v>4.75</v>
      </c>
      <c r="O49" s="1966">
        <f>N49*J49/18*K49</f>
        <v>37360.333333333336</v>
      </c>
      <c r="P49" s="1966">
        <f t="shared" si="7"/>
        <v>18680.166666666668</v>
      </c>
      <c r="Q49" s="1981"/>
      <c r="R49" s="1965"/>
      <c r="S49" s="1965">
        <v>0.1</v>
      </c>
      <c r="T49" s="1966">
        <f>(O49+P49)*S49</f>
        <v>5604.05</v>
      </c>
      <c r="U49" s="1982"/>
      <c r="V49" s="1965"/>
      <c r="W49" s="940">
        <f>O49+P49+T49</f>
        <v>61644.55</v>
      </c>
      <c r="X49" s="2014">
        <f>U49+Q49</f>
        <v>0</v>
      </c>
      <c r="Y49" s="2014">
        <f>V49+R49</f>
        <v>0</v>
      </c>
      <c r="Z49" s="1970">
        <f>W49*12</f>
        <v>739734.60000000009</v>
      </c>
      <c r="AA49" s="1971">
        <f>Z49/12/29.33*56</f>
        <v>117698.42482100242</v>
      </c>
      <c r="AB49" s="1971">
        <f>Z49*1.25</f>
        <v>924668.25000000012</v>
      </c>
      <c r="AC49" s="1971">
        <f>AB49/12/29.33*56</f>
        <v>147123.03102625301</v>
      </c>
      <c r="AD49" s="2015"/>
      <c r="AE49" s="2015"/>
      <c r="AF49" s="2015"/>
      <c r="AG49" s="2015"/>
      <c r="AH49" s="2015"/>
      <c r="AI49" s="2015"/>
      <c r="AJ49" s="2016"/>
      <c r="AK49" s="2016"/>
      <c r="AL49" s="2016"/>
      <c r="AM49" s="2016"/>
      <c r="AN49" s="2016"/>
      <c r="AO49" s="2016"/>
      <c r="AP49" s="2016"/>
      <c r="AQ49" s="2015"/>
      <c r="AR49" s="2015"/>
      <c r="AS49" s="2015"/>
      <c r="AT49" s="2015"/>
      <c r="AU49" s="2015"/>
      <c r="AV49" s="2015"/>
      <c r="AW49" s="2015"/>
      <c r="AX49" s="2015"/>
      <c r="AY49" s="2015"/>
      <c r="AZ49" s="2015"/>
      <c r="BA49" s="2015"/>
      <c r="BB49" s="2015"/>
      <c r="BC49" s="2015"/>
      <c r="BD49" s="2015"/>
      <c r="BE49" s="2015"/>
      <c r="BF49" s="2015"/>
      <c r="BG49" s="2015"/>
      <c r="BH49" s="2015"/>
      <c r="BI49" s="2015"/>
      <c r="BJ49" s="2015"/>
      <c r="BK49" s="2015"/>
      <c r="BL49" s="2015"/>
      <c r="BM49" s="2015"/>
      <c r="BN49" s="2015"/>
      <c r="BO49" s="2015"/>
      <c r="BP49" s="2015"/>
      <c r="BQ49" s="2015"/>
    </row>
    <row r="50" spans="1:69" s="1971" customFormat="1" ht="15.75">
      <c r="A50" s="2135" t="s">
        <v>309</v>
      </c>
      <c r="B50" s="2063" t="s">
        <v>99</v>
      </c>
      <c r="C50" s="2080" t="s">
        <v>25</v>
      </c>
      <c r="D50" s="2081" t="s">
        <v>909</v>
      </c>
      <c r="E50" s="2081" t="s">
        <v>40</v>
      </c>
      <c r="F50" s="2158">
        <v>1</v>
      </c>
      <c r="G50" s="2085" t="s">
        <v>102</v>
      </c>
      <c r="H50" s="2085" t="s">
        <v>103</v>
      </c>
      <c r="I50" s="2086">
        <v>1</v>
      </c>
      <c r="J50" s="1963">
        <v>17697</v>
      </c>
      <c r="K50" s="696">
        <v>24</v>
      </c>
      <c r="L50" s="697">
        <f t="shared" si="6"/>
        <v>1.3333333333333333</v>
      </c>
      <c r="M50" s="1004" t="s">
        <v>152</v>
      </c>
      <c r="N50" s="1612">
        <v>4.75</v>
      </c>
      <c r="O50" s="556">
        <f>J50*N50/18*K50</f>
        <v>112081</v>
      </c>
      <c r="P50" s="556">
        <f t="shared" si="7"/>
        <v>56040.5</v>
      </c>
      <c r="Q50" s="1752">
        <v>0.25</v>
      </c>
      <c r="R50" s="700">
        <f>(O50+P50)*Q50</f>
        <v>42030.375</v>
      </c>
      <c r="S50" s="700">
        <v>0.1</v>
      </c>
      <c r="T50" s="556">
        <f>(O50+P50+R50)*S50</f>
        <v>21015.1875</v>
      </c>
      <c r="U50" s="1541"/>
      <c r="V50" s="700"/>
      <c r="W50" s="559">
        <f>O50+P50+R50+T50</f>
        <v>231167.0625</v>
      </c>
      <c r="X50" s="919">
        <f>U49+Q49</f>
        <v>0</v>
      </c>
      <c r="Y50" s="919">
        <f>V49+R49</f>
        <v>0</v>
      </c>
      <c r="Z50" s="375">
        <f>W49*12</f>
        <v>739734.60000000009</v>
      </c>
      <c r="AA50" s="377">
        <f>Z50/12/29.33*56</f>
        <v>117698.42482100242</v>
      </c>
      <c r="AB50" s="377">
        <f>Z50*1.25</f>
        <v>924668.25000000012</v>
      </c>
      <c r="AC50" s="377">
        <f>AB50/12/29.33*56</f>
        <v>147123.03102625301</v>
      </c>
      <c r="AD50" s="377"/>
      <c r="AE50" s="377"/>
      <c r="AF50" s="377"/>
      <c r="AG50" s="377"/>
      <c r="AH50" s="377"/>
      <c r="AI50" s="377"/>
      <c r="AJ50" s="906"/>
      <c r="AK50" s="23"/>
      <c r="AL50" s="23"/>
      <c r="AM50" s="23"/>
      <c r="AN50" s="23"/>
      <c r="AO50" s="23"/>
      <c r="AP50" s="23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377"/>
    </row>
    <row r="51" spans="1:69" s="1971" customFormat="1" ht="15.75">
      <c r="A51" s="1991" t="s">
        <v>227</v>
      </c>
      <c r="B51" s="1984" t="s">
        <v>99</v>
      </c>
      <c r="C51" s="1972" t="s">
        <v>25</v>
      </c>
      <c r="D51" s="1985" t="s">
        <v>741</v>
      </c>
      <c r="E51" s="1985" t="s">
        <v>34</v>
      </c>
      <c r="F51" s="1960">
        <v>1</v>
      </c>
      <c r="G51" s="1994" t="s">
        <v>102</v>
      </c>
      <c r="H51" s="1994" t="s">
        <v>103</v>
      </c>
      <c r="I51" s="2000">
        <v>2</v>
      </c>
      <c r="J51" s="1963">
        <v>17697</v>
      </c>
      <c r="K51" s="1988">
        <v>5</v>
      </c>
      <c r="L51" s="1965">
        <f t="shared" si="6"/>
        <v>0.27777777777777779</v>
      </c>
      <c r="M51" s="1980" t="s">
        <v>104</v>
      </c>
      <c r="N51" s="1980">
        <v>4.09</v>
      </c>
      <c r="O51" s="1966">
        <f>N51*J51/18*K51</f>
        <v>20105.758333333331</v>
      </c>
      <c r="P51" s="1966">
        <f t="shared" si="7"/>
        <v>10052.879166666666</v>
      </c>
      <c r="Q51" s="1981"/>
      <c r="R51" s="1965"/>
      <c r="S51" s="1965">
        <v>0.1</v>
      </c>
      <c r="T51" s="1966">
        <f>(O51+P51)*S51</f>
        <v>3015.86375</v>
      </c>
      <c r="U51" s="1982"/>
      <c r="V51" s="1965"/>
      <c r="W51" s="940">
        <f>O51+P51+T51</f>
        <v>33174.501249999994</v>
      </c>
      <c r="X51" s="141">
        <f>U51+Q51</f>
        <v>0</v>
      </c>
      <c r="Y51" s="141">
        <f>V51+R51</f>
        <v>0</v>
      </c>
      <c r="Z51" s="1970">
        <f>W51*12</f>
        <v>398094.0149999999</v>
      </c>
      <c r="AA51" s="1971">
        <f>Z51/12/29.33*56</f>
        <v>63340.336515513118</v>
      </c>
      <c r="AB51" s="1971">
        <f>Z51*1.25</f>
        <v>497617.51874999987</v>
      </c>
      <c r="AC51" s="1971">
        <f>AB51/12/29.33*56</f>
        <v>79175.420644391386</v>
      </c>
      <c r="AJ51" s="1970"/>
      <c r="AK51" s="1970"/>
      <c r="AL51" s="1970"/>
      <c r="AM51" s="1970"/>
      <c r="AN51" s="1970"/>
      <c r="AO51" s="1970"/>
      <c r="AP51" s="1970"/>
    </row>
    <row r="52" spans="1:69" s="1971" customFormat="1" ht="15.75">
      <c r="A52" s="1991" t="s">
        <v>227</v>
      </c>
      <c r="B52" s="1984" t="s">
        <v>99</v>
      </c>
      <c r="C52" s="1972" t="s">
        <v>25</v>
      </c>
      <c r="D52" s="1985" t="s">
        <v>924</v>
      </c>
      <c r="E52" s="1985" t="s">
        <v>669</v>
      </c>
      <c r="F52" s="2116">
        <v>1</v>
      </c>
      <c r="G52" s="1994" t="s">
        <v>102</v>
      </c>
      <c r="H52" s="1994" t="s">
        <v>103</v>
      </c>
      <c r="I52" s="2000">
        <v>2</v>
      </c>
      <c r="J52" s="1963">
        <v>17697</v>
      </c>
      <c r="K52" s="2120">
        <v>17</v>
      </c>
      <c r="L52" s="1965">
        <f t="shared" si="6"/>
        <v>0.94444444444444442</v>
      </c>
      <c r="M52" s="1979" t="s">
        <v>104</v>
      </c>
      <c r="N52" s="2118">
        <v>4.09</v>
      </c>
      <c r="O52" s="1966">
        <f>N52*J52/18*K52</f>
        <v>68359.578333333338</v>
      </c>
      <c r="P52" s="1966">
        <f t="shared" si="7"/>
        <v>34179.789166666669</v>
      </c>
      <c r="Q52" s="1981"/>
      <c r="R52" s="1965"/>
      <c r="S52" s="1965">
        <v>0.1</v>
      </c>
      <c r="T52" s="1966">
        <f>(O52+P52)*S52</f>
        <v>10253.936750000001</v>
      </c>
      <c r="U52" s="2056"/>
      <c r="V52" s="1965"/>
      <c r="W52" s="940">
        <f>O52+P52+T52</f>
        <v>112793.30425000002</v>
      </c>
      <c r="X52" s="141"/>
      <c r="Y52" s="141"/>
      <c r="Z52" s="1970"/>
      <c r="AJ52" s="1970"/>
      <c r="AK52" s="1970"/>
      <c r="AL52" s="1970"/>
      <c r="AM52" s="1970"/>
      <c r="AN52" s="1970"/>
      <c r="AO52" s="1970"/>
      <c r="AP52" s="1970"/>
    </row>
    <row r="53" spans="1:69" s="1971" customFormat="1" ht="15.75">
      <c r="A53" s="1973" t="s">
        <v>230</v>
      </c>
      <c r="B53" s="1974" t="s">
        <v>99</v>
      </c>
      <c r="C53" s="1975" t="s">
        <v>25</v>
      </c>
      <c r="D53" s="2145" t="s">
        <v>925</v>
      </c>
      <c r="E53" s="1976" t="s">
        <v>217</v>
      </c>
      <c r="F53" s="2116">
        <v>1</v>
      </c>
      <c r="G53" s="1994" t="s">
        <v>232</v>
      </c>
      <c r="H53" s="1994" t="s">
        <v>233</v>
      </c>
      <c r="I53" s="2000">
        <v>1</v>
      </c>
      <c r="J53" s="1963">
        <v>17697</v>
      </c>
      <c r="K53" s="2122">
        <v>36</v>
      </c>
      <c r="L53" s="1965">
        <f t="shared" si="6"/>
        <v>2</v>
      </c>
      <c r="M53" s="2010" t="s">
        <v>152</v>
      </c>
      <c r="N53" s="2001">
        <v>4.75</v>
      </c>
      <c r="O53" s="1966">
        <f>N53*J53/18*K53</f>
        <v>168121.5</v>
      </c>
      <c r="P53" s="1966">
        <f t="shared" si="7"/>
        <v>84060.75</v>
      </c>
      <c r="Q53" s="2003"/>
      <c r="R53" s="2004"/>
      <c r="S53" s="1965">
        <v>0.1</v>
      </c>
      <c r="T53" s="1966">
        <f>(O53+P53)*S53</f>
        <v>25218.225000000002</v>
      </c>
      <c r="U53" s="2067"/>
      <c r="V53" s="2004"/>
      <c r="W53" s="940">
        <f>O53+P53+T53</f>
        <v>277400.47499999998</v>
      </c>
      <c r="X53" s="2012">
        <f>U52+Q52</f>
        <v>0</v>
      </c>
      <c r="Y53" s="2012">
        <f>V52+R52</f>
        <v>0</v>
      </c>
      <c r="Z53" s="1970">
        <f>W52*12</f>
        <v>1353519.6510000001</v>
      </c>
      <c r="AA53" s="1971">
        <f>Z53/12/29.33*56</f>
        <v>215357.14415274464</v>
      </c>
      <c r="AB53" s="1971">
        <f>Z53*1.25</f>
        <v>1691899.5637500002</v>
      </c>
      <c r="AC53" s="1971">
        <f>AB53/12/29.33*56</f>
        <v>269196.43019093084</v>
      </c>
      <c r="AJ53" s="1970"/>
      <c r="AK53" s="1970"/>
      <c r="AL53" s="1970"/>
      <c r="AM53" s="1970"/>
      <c r="AN53" s="1970"/>
      <c r="AO53" s="1970"/>
      <c r="AP53" s="1970"/>
    </row>
    <row r="54" spans="1:69" s="1971" customFormat="1" ht="15.75">
      <c r="A54" s="1973" t="s">
        <v>886</v>
      </c>
      <c r="B54" s="1974" t="s">
        <v>99</v>
      </c>
      <c r="C54" s="1975" t="s">
        <v>25</v>
      </c>
      <c r="D54" s="1976" t="s">
        <v>887</v>
      </c>
      <c r="E54" s="1976" t="s">
        <v>34</v>
      </c>
      <c r="F54" s="1960">
        <v>1</v>
      </c>
      <c r="G54" s="1992" t="s">
        <v>102</v>
      </c>
      <c r="H54" s="1992" t="s">
        <v>103</v>
      </c>
      <c r="I54" s="1993">
        <v>1</v>
      </c>
      <c r="J54" s="1963">
        <v>17697</v>
      </c>
      <c r="K54" s="1978">
        <v>8</v>
      </c>
      <c r="L54" s="1965">
        <f t="shared" si="6"/>
        <v>0.44444444444444442</v>
      </c>
      <c r="M54" s="2011" t="s">
        <v>152</v>
      </c>
      <c r="N54" s="2001">
        <v>4.75</v>
      </c>
      <c r="O54" s="1966">
        <f>N54*J54/18*K54</f>
        <v>37360.333333333336</v>
      </c>
      <c r="P54" s="1966">
        <f t="shared" si="7"/>
        <v>18680.166666666668</v>
      </c>
      <c r="Q54" s="2003"/>
      <c r="R54" s="2004"/>
      <c r="S54" s="1965">
        <v>0.1</v>
      </c>
      <c r="T54" s="1966">
        <f>(O54+P54)*S54</f>
        <v>5604.05</v>
      </c>
      <c r="U54" s="2005"/>
      <c r="V54" s="2004"/>
      <c r="W54" s="940">
        <f>O54+P54+T54</f>
        <v>61644.55</v>
      </c>
      <c r="X54" s="2012"/>
      <c r="Y54" s="2012"/>
      <c r="Z54" s="1970">
        <f>W54*12</f>
        <v>739734.60000000009</v>
      </c>
      <c r="AA54" s="1971">
        <f>Z54/12/29.33*56</f>
        <v>117698.42482100242</v>
      </c>
      <c r="AB54" s="1971">
        <f>Z54*1.25</f>
        <v>924668.25000000012</v>
      </c>
      <c r="AC54" s="1971">
        <f>AB54/12/29.33*56</f>
        <v>147123.03102625301</v>
      </c>
      <c r="AJ54" s="1970"/>
      <c r="AK54" s="1970"/>
      <c r="AL54" s="1970"/>
      <c r="AM54" s="1970"/>
      <c r="AN54" s="1970"/>
      <c r="AO54" s="1970"/>
      <c r="AP54" s="1970"/>
    </row>
    <row r="55" spans="1:69" s="1971" customFormat="1" ht="15.75">
      <c r="A55" s="1991" t="s">
        <v>135</v>
      </c>
      <c r="B55" s="1984" t="s">
        <v>99</v>
      </c>
      <c r="C55" s="1972" t="s">
        <v>25</v>
      </c>
      <c r="D55" s="1985" t="s">
        <v>852</v>
      </c>
      <c r="E55" s="1985" t="s">
        <v>34</v>
      </c>
      <c r="F55" s="1960">
        <v>1</v>
      </c>
      <c r="G55" s="1992" t="s">
        <v>102</v>
      </c>
      <c r="H55" s="1992" t="s">
        <v>103</v>
      </c>
      <c r="I55" s="1993">
        <v>1</v>
      </c>
      <c r="J55" s="1963">
        <v>17697</v>
      </c>
      <c r="K55" s="1988">
        <v>18</v>
      </c>
      <c r="L55" s="1965">
        <f t="shared" si="6"/>
        <v>1</v>
      </c>
      <c r="M55" s="1980" t="s">
        <v>152</v>
      </c>
      <c r="N55" s="1980">
        <v>4.75</v>
      </c>
      <c r="O55" s="1966">
        <f>N55*J55/18*K55</f>
        <v>84060.75</v>
      </c>
      <c r="P55" s="1966">
        <f t="shared" si="7"/>
        <v>42030.375</v>
      </c>
      <c r="Q55" s="1981"/>
      <c r="R55" s="1965"/>
      <c r="S55" s="1965">
        <v>0.1</v>
      </c>
      <c r="T55" s="1966">
        <f>(O55+P55)*S55</f>
        <v>12609.112500000001</v>
      </c>
      <c r="U55" s="1982"/>
      <c r="V55" s="1965"/>
      <c r="W55" s="940">
        <f>O55+P55+T55</f>
        <v>138700.23749999999</v>
      </c>
      <c r="X55" s="141"/>
      <c r="Y55" s="141"/>
      <c r="Z55" s="1970">
        <f>W55*12</f>
        <v>1664402.8499999999</v>
      </c>
      <c r="AA55" s="1971">
        <f>Z55/12/29.33*56</f>
        <v>264821.45584725536</v>
      </c>
      <c r="AB55" s="1971">
        <f>Z55*1.25</f>
        <v>2080503.5624999998</v>
      </c>
      <c r="AC55" s="1971">
        <f>AB55/12/29.33*56</f>
        <v>331026.81980906916</v>
      </c>
      <c r="AJ55" s="1970"/>
      <c r="AK55" s="1970"/>
      <c r="AL55" s="1970"/>
      <c r="AM55" s="1970"/>
      <c r="AN55" s="1970"/>
      <c r="AO55" s="1970"/>
      <c r="AP55" s="1970"/>
    </row>
    <row r="56" spans="1:69" s="1971" customFormat="1" ht="15.75">
      <c r="A56" s="1991" t="s">
        <v>347</v>
      </c>
      <c r="B56" s="1984" t="s">
        <v>784</v>
      </c>
      <c r="C56" s="1972" t="s">
        <v>25</v>
      </c>
      <c r="D56" s="1992"/>
      <c r="E56" s="1972"/>
      <c r="F56" s="2156">
        <v>1</v>
      </c>
      <c r="G56" s="1992"/>
      <c r="H56" s="2091"/>
      <c r="I56" s="1992">
        <v>1</v>
      </c>
      <c r="J56" s="1963">
        <v>17697</v>
      </c>
      <c r="K56" s="1965"/>
      <c r="L56" s="1965">
        <v>1</v>
      </c>
      <c r="M56" s="1965"/>
      <c r="N56" s="1965">
        <v>2.77</v>
      </c>
      <c r="O56" s="1966">
        <f>J56*N56*L56</f>
        <v>49020.69</v>
      </c>
      <c r="P56" s="1966"/>
      <c r="Q56" s="1965">
        <f>J56*O57*M56</f>
        <v>0</v>
      </c>
      <c r="R56" s="1981"/>
      <c r="S56" s="1981">
        <v>0.1</v>
      </c>
      <c r="T56" s="1963">
        <f>S56*O56</f>
        <v>4902.0690000000004</v>
      </c>
      <c r="U56" s="2106">
        <v>0.5</v>
      </c>
      <c r="V56" s="2032">
        <v>12439.34</v>
      </c>
      <c r="W56" s="940">
        <f>O56+T56+V56</f>
        <v>66362.099000000002</v>
      </c>
      <c r="X56" s="141">
        <f>Q55+U55+W55</f>
        <v>138700.23749999999</v>
      </c>
      <c r="Y56" s="141">
        <f>R55+V55+X56</f>
        <v>138700.23749999999</v>
      </c>
      <c r="Z56" s="1970">
        <f>W55*12</f>
        <v>1664402.8499999999</v>
      </c>
      <c r="AA56" s="2094">
        <f>Z56/12/29.33*24</f>
        <v>113494.90964882373</v>
      </c>
      <c r="AB56" s="2094"/>
      <c r="AC56" s="2094"/>
      <c r="AD56" s="2094"/>
      <c r="AE56" s="2094"/>
      <c r="AF56" s="2094"/>
      <c r="AG56" s="2094"/>
      <c r="AH56" s="2094"/>
      <c r="AI56" s="2094"/>
      <c r="AJ56" s="2094"/>
      <c r="AK56" s="2094"/>
      <c r="AL56" s="2094"/>
      <c r="AM56" s="2094"/>
      <c r="AN56" s="2094"/>
      <c r="AO56" s="2094"/>
      <c r="AP56" s="2094"/>
      <c r="AQ56" s="2095"/>
      <c r="AR56" s="2095"/>
      <c r="AS56" s="2095"/>
      <c r="AT56" s="2095"/>
      <c r="AU56" s="2095"/>
      <c r="AV56" s="2095"/>
      <c r="AW56" s="2095"/>
      <c r="AX56" s="2095"/>
      <c r="AY56" s="2095"/>
      <c r="AZ56" s="2095"/>
      <c r="BA56" s="2095"/>
      <c r="BB56" s="2095"/>
      <c r="BC56" s="2095"/>
      <c r="BD56" s="2095"/>
      <c r="BE56" s="2095"/>
      <c r="BF56" s="2095"/>
      <c r="BG56" s="2095"/>
      <c r="BH56" s="2095"/>
      <c r="BI56" s="2095"/>
      <c r="BJ56" s="2095"/>
      <c r="BK56" s="2095"/>
      <c r="BL56" s="2095"/>
      <c r="BM56" s="2095"/>
      <c r="BN56" s="2095"/>
      <c r="BO56" s="2095"/>
      <c r="BP56" s="2095"/>
      <c r="BQ56" s="2095"/>
    </row>
    <row r="57" spans="1:69" s="1971" customFormat="1" ht="15.75">
      <c r="A57" s="1991" t="s">
        <v>341</v>
      </c>
      <c r="B57" s="2058" t="s">
        <v>340</v>
      </c>
      <c r="C57" s="1972" t="s">
        <v>64</v>
      </c>
      <c r="D57" s="1992"/>
      <c r="E57" s="2089"/>
      <c r="F57" s="2156">
        <v>1</v>
      </c>
      <c r="G57" s="1992"/>
      <c r="H57" s="2091"/>
      <c r="I57" s="1992">
        <v>2</v>
      </c>
      <c r="J57" s="1963">
        <v>17697</v>
      </c>
      <c r="K57" s="1965"/>
      <c r="L57" s="1965">
        <v>1</v>
      </c>
      <c r="M57" s="1965"/>
      <c r="N57" s="1965">
        <v>2.81</v>
      </c>
      <c r="O57" s="1966">
        <f>J57*N57*L57</f>
        <v>49728.57</v>
      </c>
      <c r="P57" s="1966"/>
      <c r="Q57" s="1965">
        <f>J57*O58*M57</f>
        <v>0</v>
      </c>
      <c r="R57" s="1981"/>
      <c r="S57" s="1981">
        <v>0.1</v>
      </c>
      <c r="T57" s="1963">
        <f>S57*O57</f>
        <v>4972.857</v>
      </c>
      <c r="U57" s="1982">
        <v>0.3</v>
      </c>
      <c r="V57" s="1965">
        <f>U57*J57</f>
        <v>5309.0999999999995</v>
      </c>
      <c r="W57" s="940">
        <f>O57+T57+V57</f>
        <v>60010.526999999995</v>
      </c>
      <c r="X57" s="141">
        <f>Q56+U56+W56</f>
        <v>66362.599000000002</v>
      </c>
      <c r="Y57" s="141">
        <f>R56+V56+X57</f>
        <v>78801.938999999998</v>
      </c>
      <c r="Z57" s="1970">
        <f>W56*12</f>
        <v>796345.18800000008</v>
      </c>
      <c r="AA57" s="2094">
        <f>Z57/12/29.33*24</f>
        <v>54302.433549266971</v>
      </c>
      <c r="AB57" s="2094"/>
      <c r="AC57" s="2094"/>
      <c r="AD57" s="2094"/>
      <c r="AE57" s="2094"/>
      <c r="AF57" s="2094"/>
      <c r="AG57" s="2094"/>
      <c r="AH57" s="2094"/>
      <c r="AI57" s="2094"/>
      <c r="AJ57" s="2103" t="e">
        <f>AJ53+#REF!+#REF!</f>
        <v>#REF!</v>
      </c>
      <c r="AK57" s="2094"/>
      <c r="AL57" s="2094"/>
      <c r="AM57" s="2094"/>
      <c r="AN57" s="2094"/>
      <c r="AO57" s="2094"/>
      <c r="AP57" s="2094"/>
      <c r="AQ57" s="2095"/>
      <c r="AR57" s="2095"/>
      <c r="AS57" s="2095"/>
      <c r="AT57" s="2095"/>
      <c r="AU57" s="2095"/>
      <c r="AV57" s="2095"/>
      <c r="AW57" s="2095"/>
      <c r="AX57" s="2095"/>
      <c r="AY57" s="2095"/>
      <c r="AZ57" s="2095"/>
      <c r="BA57" s="2095"/>
      <c r="BB57" s="2095"/>
      <c r="BC57" s="2095"/>
      <c r="BD57" s="2095"/>
      <c r="BE57" s="2095"/>
      <c r="BF57" s="2095"/>
      <c r="BG57" s="2095"/>
      <c r="BH57" s="2095"/>
      <c r="BI57" s="2095"/>
      <c r="BJ57" s="2095"/>
      <c r="BK57" s="2095"/>
      <c r="BL57" s="2095"/>
      <c r="BM57" s="2095"/>
      <c r="BN57" s="2095"/>
      <c r="BO57" s="2095"/>
      <c r="BP57" s="2095"/>
      <c r="BQ57" s="2095"/>
    </row>
    <row r="58" spans="1:69" s="1971" customFormat="1" ht="15.75">
      <c r="A58" s="2058" t="s">
        <v>269</v>
      </c>
      <c r="B58" s="2058" t="s">
        <v>99</v>
      </c>
      <c r="C58" s="2059" t="s">
        <v>25</v>
      </c>
      <c r="D58" s="2024" t="s">
        <v>895</v>
      </c>
      <c r="E58" s="2007" t="s">
        <v>271</v>
      </c>
      <c r="F58" s="1960">
        <v>1</v>
      </c>
      <c r="G58" s="1992" t="s">
        <v>102</v>
      </c>
      <c r="H58" s="1992" t="s">
        <v>103</v>
      </c>
      <c r="I58" s="2060">
        <v>1</v>
      </c>
      <c r="J58" s="1963">
        <v>17697</v>
      </c>
      <c r="K58" s="2176">
        <v>35</v>
      </c>
      <c r="L58" s="1965">
        <f>K58/18</f>
        <v>1.9444444444444444</v>
      </c>
      <c r="M58" s="2000" t="s">
        <v>152</v>
      </c>
      <c r="N58" s="2061">
        <v>4.62</v>
      </c>
      <c r="O58" s="1966">
        <f>N58*J58/18*K58</f>
        <v>158978.04999999999</v>
      </c>
      <c r="P58" s="1966">
        <f>O58*50%</f>
        <v>79489.024999999994</v>
      </c>
      <c r="Q58" s="1981"/>
      <c r="R58" s="1965"/>
      <c r="S58" s="1965">
        <v>0.1</v>
      </c>
      <c r="T58" s="1966">
        <f>(O58+P58)*S58</f>
        <v>23846.7075</v>
      </c>
      <c r="U58" s="2056"/>
      <c r="V58" s="1965"/>
      <c r="W58" s="940">
        <f>O58+P58+T58</f>
        <v>262313.78249999997</v>
      </c>
      <c r="X58" s="141">
        <f>U57+Q57</f>
        <v>0.3</v>
      </c>
      <c r="Y58" s="141">
        <f>V57+R57</f>
        <v>5309.0999999999995</v>
      </c>
      <c r="Z58" s="1970">
        <f>W57*12</f>
        <v>720126.32399999991</v>
      </c>
      <c r="AA58" s="1971">
        <f>Z58/12/29.33*56</f>
        <v>114578.57183770882</v>
      </c>
      <c r="AB58" s="1971">
        <f>Z58*1.25</f>
        <v>900157.90499999991</v>
      </c>
      <c r="AC58" s="1971">
        <f>AB58/12/29.33*56</f>
        <v>143223.21479713602</v>
      </c>
      <c r="AJ58" s="1970"/>
      <c r="AK58" s="1970"/>
      <c r="AL58" s="1970"/>
      <c r="AM58" s="1970"/>
      <c r="AN58" s="1970"/>
      <c r="AO58" s="1970"/>
      <c r="AP58" s="1970"/>
    </row>
    <row r="59" spans="1:69" s="2022" customFormat="1" ht="15.75">
      <c r="A59" s="1991" t="s">
        <v>138</v>
      </c>
      <c r="B59" s="1984" t="s">
        <v>99</v>
      </c>
      <c r="C59" s="1992" t="s">
        <v>25</v>
      </c>
      <c r="D59" s="1985" t="s">
        <v>853</v>
      </c>
      <c r="E59" s="1985" t="s">
        <v>854</v>
      </c>
      <c r="F59" s="1960">
        <v>1</v>
      </c>
      <c r="G59" s="1992" t="s">
        <v>102</v>
      </c>
      <c r="H59" s="1992" t="s">
        <v>103</v>
      </c>
      <c r="I59" s="2017">
        <v>3</v>
      </c>
      <c r="J59" s="1963">
        <v>17697</v>
      </c>
      <c r="K59" s="1988">
        <v>20</v>
      </c>
      <c r="L59" s="1965">
        <f>K59/18</f>
        <v>1.1111111111111112</v>
      </c>
      <c r="M59" s="2183" t="s">
        <v>109</v>
      </c>
      <c r="N59" s="2011">
        <v>4.1399999999999997</v>
      </c>
      <c r="O59" s="1966">
        <f>N59*J59/18*K59</f>
        <v>81406.199999999983</v>
      </c>
      <c r="P59" s="1966">
        <f>O59*50%</f>
        <v>40703.099999999991</v>
      </c>
      <c r="Q59" s="2003"/>
      <c r="R59" s="2004"/>
      <c r="S59" s="1965">
        <v>0.1</v>
      </c>
      <c r="T59" s="1966">
        <f>(O59+P59)*S59</f>
        <v>12210.929999999998</v>
      </c>
      <c r="U59" s="2005"/>
      <c r="V59" s="2004"/>
      <c r="W59" s="940">
        <f>O59+P59+T59</f>
        <v>134320.22999999998</v>
      </c>
      <c r="X59" s="2006"/>
      <c r="Y59" s="2006"/>
      <c r="Z59" s="1970">
        <f>W59*12</f>
        <v>1611842.7599999998</v>
      </c>
      <c r="AA59" s="1971">
        <f>Z59/12/29.33*56</f>
        <v>256458.67303102626</v>
      </c>
      <c r="AB59" s="1971">
        <f>Z59*1.25</f>
        <v>2014803.4499999997</v>
      </c>
      <c r="AC59" s="1971">
        <f>AB59/12/29.33*56</f>
        <v>320573.34128878283</v>
      </c>
      <c r="AD59" s="1971"/>
      <c r="AE59" s="1971"/>
      <c r="AF59" s="1971"/>
      <c r="AG59" s="1971"/>
      <c r="AH59" s="1971"/>
      <c r="AI59" s="1971"/>
      <c r="AJ59" s="1970"/>
      <c r="AK59" s="1970"/>
      <c r="AL59" s="1970"/>
      <c r="AM59" s="1970"/>
      <c r="AN59" s="1970"/>
      <c r="AO59" s="1970"/>
      <c r="AP59" s="1970"/>
      <c r="AQ59" s="1971"/>
      <c r="AR59" s="1971"/>
      <c r="AS59" s="1971"/>
      <c r="AT59" s="1971"/>
      <c r="AU59" s="1971"/>
      <c r="AV59" s="1971"/>
      <c r="AW59" s="1971"/>
      <c r="AX59" s="1971"/>
      <c r="AY59" s="1971"/>
      <c r="AZ59" s="1971"/>
      <c r="BA59" s="1971"/>
      <c r="BB59" s="1971"/>
      <c r="BC59" s="1971"/>
      <c r="BD59" s="1971"/>
      <c r="BE59" s="1971"/>
      <c r="BF59" s="1971"/>
      <c r="BG59" s="1971"/>
      <c r="BH59" s="1971"/>
      <c r="BI59" s="1971"/>
      <c r="BJ59" s="1971"/>
      <c r="BK59" s="1971"/>
      <c r="BL59" s="1971"/>
      <c r="BM59" s="1971"/>
      <c r="BN59" s="1971"/>
      <c r="BO59" s="1971"/>
      <c r="BP59" s="1971"/>
      <c r="BQ59" s="1971"/>
    </row>
    <row r="60" spans="1:69" s="2022" customFormat="1" ht="15.75">
      <c r="A60" s="1973" t="s">
        <v>58</v>
      </c>
      <c r="B60" s="1974" t="s">
        <v>99</v>
      </c>
      <c r="C60" s="1977" t="s">
        <v>25</v>
      </c>
      <c r="D60" s="1976" t="s">
        <v>608</v>
      </c>
      <c r="E60" s="1976" t="s">
        <v>366</v>
      </c>
      <c r="F60" s="1960">
        <v>1</v>
      </c>
      <c r="G60" s="1992" t="s">
        <v>102</v>
      </c>
      <c r="H60" s="1992" t="s">
        <v>103</v>
      </c>
      <c r="I60" s="1999">
        <v>2</v>
      </c>
      <c r="J60" s="1963">
        <v>17697</v>
      </c>
      <c r="K60" s="1978">
        <v>17</v>
      </c>
      <c r="L60" s="1965">
        <f>K60/18</f>
        <v>0.94444444444444442</v>
      </c>
      <c r="M60" s="2011" t="s">
        <v>104</v>
      </c>
      <c r="N60" s="2011">
        <v>4.4400000000000004</v>
      </c>
      <c r="O60" s="1966">
        <f>N60*J60/18*K60</f>
        <v>74209.42</v>
      </c>
      <c r="P60" s="1966">
        <f>O60*50%</f>
        <v>37104.71</v>
      </c>
      <c r="Q60" s="2003"/>
      <c r="R60" s="2004"/>
      <c r="S60" s="1965">
        <v>0.1</v>
      </c>
      <c r="T60" s="1966">
        <f>(O60+P60)*S60</f>
        <v>11131.413</v>
      </c>
      <c r="U60" s="2005"/>
      <c r="V60" s="2004"/>
      <c r="W60" s="940">
        <f>O60+P60+T60</f>
        <v>122445.54300000001</v>
      </c>
      <c r="X60" s="2012">
        <f>U60+Q60</f>
        <v>0</v>
      </c>
      <c r="Y60" s="2012">
        <f>V60+R60</f>
        <v>0</v>
      </c>
      <c r="Z60" s="1970">
        <f>W60*12</f>
        <v>1469346.5160000001</v>
      </c>
      <c r="AA60" s="1971">
        <f>Z60/12/29.33*56</f>
        <v>233786.23961813847</v>
      </c>
      <c r="AB60" s="1971">
        <f>Z60*1.25</f>
        <v>1836683.145</v>
      </c>
      <c r="AC60" s="1971">
        <f>AB60/12/29.33*56</f>
        <v>292232.79952267301</v>
      </c>
      <c r="AD60" s="1971"/>
      <c r="AE60" s="1971"/>
      <c r="AF60" s="1971"/>
      <c r="AG60" s="1971"/>
      <c r="AH60" s="1971"/>
      <c r="AI60" s="1971"/>
      <c r="AJ60" s="1970"/>
      <c r="AK60" s="1970"/>
      <c r="AL60" s="1970"/>
      <c r="AM60" s="1970"/>
      <c r="AN60" s="1970"/>
      <c r="AO60" s="1970"/>
      <c r="AP60" s="1970"/>
      <c r="AQ60" s="1971"/>
      <c r="AR60" s="1971"/>
      <c r="AS60" s="1971"/>
      <c r="AT60" s="1971"/>
      <c r="AU60" s="1971"/>
      <c r="AV60" s="1971"/>
      <c r="AW60" s="1971"/>
      <c r="AX60" s="1971"/>
      <c r="AY60" s="1971"/>
      <c r="AZ60" s="1971"/>
      <c r="BA60" s="1971"/>
      <c r="BB60" s="1971"/>
      <c r="BC60" s="1971"/>
      <c r="BD60" s="1971"/>
      <c r="BE60" s="1971"/>
      <c r="BF60" s="1971"/>
      <c r="BG60" s="1971"/>
      <c r="BH60" s="1971"/>
      <c r="BI60" s="1971"/>
      <c r="BJ60" s="1971"/>
      <c r="BK60" s="1971"/>
      <c r="BL60" s="1971"/>
      <c r="BM60" s="1971"/>
      <c r="BN60" s="1971"/>
      <c r="BO60" s="1971"/>
      <c r="BP60" s="1971"/>
      <c r="BQ60" s="1971"/>
    </row>
    <row r="61" spans="1:69" s="2022" customFormat="1" ht="15.75">
      <c r="A61" s="1991" t="s">
        <v>145</v>
      </c>
      <c r="B61" s="1984" t="s">
        <v>99</v>
      </c>
      <c r="C61" s="1992" t="s">
        <v>25</v>
      </c>
      <c r="D61" s="1985" t="s">
        <v>855</v>
      </c>
      <c r="E61" s="1985" t="s">
        <v>73</v>
      </c>
      <c r="F61" s="1960">
        <v>1</v>
      </c>
      <c r="G61" s="1992" t="s">
        <v>102</v>
      </c>
      <c r="H61" s="1992" t="s">
        <v>103</v>
      </c>
      <c r="I61" s="1999">
        <v>2</v>
      </c>
      <c r="J61" s="1963">
        <v>17697</v>
      </c>
      <c r="K61" s="1978">
        <v>12</v>
      </c>
      <c r="L61" s="1965">
        <f>K61/18</f>
        <v>0.66666666666666663</v>
      </c>
      <c r="M61" s="2187" t="s">
        <v>104</v>
      </c>
      <c r="N61" s="2011">
        <v>4.16</v>
      </c>
      <c r="O61" s="1966">
        <f>N61*J61/18*K61</f>
        <v>49079.68</v>
      </c>
      <c r="P61" s="1966">
        <f>O61*50%</f>
        <v>24539.84</v>
      </c>
      <c r="Q61" s="2003"/>
      <c r="R61" s="2004"/>
      <c r="S61" s="1965">
        <v>0.1</v>
      </c>
      <c r="T61" s="1966">
        <f>(O61+P61)*S61</f>
        <v>7361.9520000000011</v>
      </c>
      <c r="U61" s="2005"/>
      <c r="V61" s="2004"/>
      <c r="W61" s="940">
        <f>O61+P61+T61</f>
        <v>80981.472000000009</v>
      </c>
      <c r="X61" s="2012">
        <f>U61+Q61</f>
        <v>0</v>
      </c>
      <c r="Y61" s="2012">
        <f>V61+R61</f>
        <v>0</v>
      </c>
      <c r="Z61" s="1970">
        <f>W61*12</f>
        <v>971777.66400000011</v>
      </c>
      <c r="AA61" s="1971">
        <f>Z61/12/29.33*56</f>
        <v>154618.56229116948</v>
      </c>
      <c r="AB61" s="1971">
        <f>Z61*1.25</f>
        <v>1214722.08</v>
      </c>
      <c r="AC61" s="1971">
        <f>AB61/12/29.33*56</f>
        <v>193273.20286396187</v>
      </c>
      <c r="AD61" s="1971"/>
      <c r="AE61" s="1971"/>
      <c r="AF61" s="1971"/>
      <c r="AG61" s="1971"/>
      <c r="AH61" s="1971"/>
      <c r="AI61" s="1971"/>
      <c r="AJ61" s="1970"/>
      <c r="AK61" s="1970"/>
      <c r="AL61" s="1970"/>
      <c r="AM61" s="1970"/>
      <c r="AN61" s="1970"/>
      <c r="AO61" s="1970"/>
      <c r="AP61" s="1970"/>
      <c r="AQ61" s="1971"/>
      <c r="AR61" s="1971"/>
      <c r="AS61" s="1971"/>
      <c r="AT61" s="1971"/>
      <c r="AU61" s="1971"/>
      <c r="AV61" s="1971"/>
      <c r="AW61" s="1971"/>
      <c r="AX61" s="1971"/>
      <c r="AY61" s="1971"/>
      <c r="AZ61" s="1971"/>
      <c r="BA61" s="1971"/>
      <c r="BB61" s="1971"/>
      <c r="BC61" s="1971"/>
      <c r="BD61" s="1971"/>
      <c r="BE61" s="1971"/>
      <c r="BF61" s="1971"/>
      <c r="BG61" s="1971"/>
      <c r="BH61" s="1971"/>
      <c r="BI61" s="1971"/>
      <c r="BJ61" s="1971"/>
      <c r="BK61" s="1971"/>
      <c r="BL61" s="1971"/>
      <c r="BM61" s="1971"/>
      <c r="BN61" s="1971"/>
      <c r="BO61" s="1971"/>
      <c r="BP61" s="1971"/>
      <c r="BQ61" s="1971"/>
    </row>
    <row r="62" spans="1:69" s="2022" customFormat="1" ht="15.75">
      <c r="A62" s="1991" t="s">
        <v>145</v>
      </c>
      <c r="B62" s="1984" t="s">
        <v>99</v>
      </c>
      <c r="C62" s="2074" t="s">
        <v>25</v>
      </c>
      <c r="D62" s="1985" t="s">
        <v>910</v>
      </c>
      <c r="E62" s="1985" t="s">
        <v>476</v>
      </c>
      <c r="F62" s="1960">
        <v>1</v>
      </c>
      <c r="G62" s="1992" t="s">
        <v>102</v>
      </c>
      <c r="H62" s="1992" t="s">
        <v>103</v>
      </c>
      <c r="I62" s="1999">
        <v>2</v>
      </c>
      <c r="J62" s="1963">
        <v>17697</v>
      </c>
      <c r="K62" s="665">
        <v>12</v>
      </c>
      <c r="L62" s="567">
        <f>K62/18</f>
        <v>0.66666666666666663</v>
      </c>
      <c r="M62" s="574" t="s">
        <v>385</v>
      </c>
      <c r="N62" s="1608">
        <v>4.09</v>
      </c>
      <c r="O62" s="556">
        <f>J62*N62/18*K62</f>
        <v>48253.82</v>
      </c>
      <c r="P62" s="556">
        <f>O62*50%</f>
        <v>24126.91</v>
      </c>
      <c r="Q62" s="666">
        <v>0.25</v>
      </c>
      <c r="R62" s="554">
        <f>(O62+P62)*Q62</f>
        <v>18095.182499999999</v>
      </c>
      <c r="S62" s="554">
        <v>0.1</v>
      </c>
      <c r="T62" s="556">
        <f>(O62+P62+R62)*S62</f>
        <v>9047.5912499999995</v>
      </c>
      <c r="U62" s="19"/>
      <c r="V62" s="554"/>
      <c r="W62" s="559">
        <f>O62+P62+R62+T62</f>
        <v>99523.503749999989</v>
      </c>
      <c r="X62" s="359">
        <f>U61+S61+Q61</f>
        <v>0.1</v>
      </c>
      <c r="Y62" s="359">
        <f>V61+T61+R61</f>
        <v>7361.9520000000011</v>
      </c>
      <c r="Z62" s="375">
        <f>W61*12</f>
        <v>971777.66400000011</v>
      </c>
      <c r="AA62" s="377">
        <f>Z62/12/29.33*56</f>
        <v>154618.56229116948</v>
      </c>
      <c r="AB62" s="377">
        <f>Z62*1.25</f>
        <v>1214722.08</v>
      </c>
      <c r="AC62" s="377">
        <f>AB62/12/29.33*56</f>
        <v>193273.20286396187</v>
      </c>
      <c r="AD62" s="377"/>
      <c r="AE62" s="377"/>
      <c r="AF62" s="377"/>
      <c r="AG62" s="377"/>
      <c r="AH62" s="377"/>
      <c r="AI62" s="377"/>
      <c r="AJ62" s="906"/>
      <c r="AK62" s="23"/>
      <c r="AL62" s="23"/>
      <c r="AM62" s="23"/>
      <c r="AN62" s="23"/>
      <c r="AO62" s="23"/>
      <c r="AP62" s="23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377"/>
    </row>
    <row r="63" spans="1:69" s="1971" customFormat="1" ht="15">
      <c r="A63" s="26" t="s">
        <v>767</v>
      </c>
      <c r="B63" s="6" t="s">
        <v>768</v>
      </c>
      <c r="C63" s="5" t="s">
        <v>25</v>
      </c>
      <c r="D63" s="45" t="s">
        <v>769</v>
      </c>
      <c r="E63" s="5" t="s">
        <v>77</v>
      </c>
      <c r="F63" s="42">
        <v>1</v>
      </c>
      <c r="G63" s="5" t="s">
        <v>56</v>
      </c>
      <c r="H63" s="5" t="s">
        <v>56</v>
      </c>
      <c r="I63" s="731" t="s">
        <v>57</v>
      </c>
      <c r="J63" s="44">
        <v>17697</v>
      </c>
      <c r="K63" s="7"/>
      <c r="L63" s="10">
        <v>1</v>
      </c>
      <c r="M63" s="732"/>
      <c r="N63" s="1022" t="s">
        <v>770</v>
      </c>
      <c r="O63" s="67">
        <f>N63*J63*L63</f>
        <v>74858.310000000012</v>
      </c>
      <c r="P63" s="44"/>
      <c r="Q63" s="7"/>
      <c r="R63" s="8"/>
      <c r="S63" s="7">
        <v>0.1</v>
      </c>
      <c r="T63" s="44">
        <f>(O63+P63)*S63</f>
        <v>7485.8310000000019</v>
      </c>
      <c r="U63" s="7"/>
      <c r="V63" s="9"/>
      <c r="W63" s="70">
        <f>O63+R63+T63+V63+P63</f>
        <v>82344.141000000018</v>
      </c>
      <c r="X63" s="1268"/>
      <c r="Y63" s="1268"/>
      <c r="Z63" s="1264"/>
      <c r="AA63" s="1382"/>
      <c r="AB63" s="1264"/>
      <c r="AC63" s="1264"/>
      <c r="AD63" s="1264"/>
      <c r="AE63" s="1264"/>
      <c r="AF63" s="1264"/>
      <c r="AG63" s="1264"/>
      <c r="AH63" s="1264"/>
      <c r="AI63" s="1264"/>
      <c r="AJ63" s="23"/>
      <c r="AK63" s="23"/>
      <c r="AL63" s="23"/>
      <c r="AM63" s="23"/>
      <c r="AN63" s="23"/>
      <c r="AO63" s="23"/>
      <c r="AP63" s="23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1265"/>
    </row>
    <row r="64" spans="1:69" s="1971" customFormat="1" ht="15.75">
      <c r="A64" s="2063" t="s">
        <v>391</v>
      </c>
      <c r="B64" s="2063" t="s">
        <v>99</v>
      </c>
      <c r="C64" s="1977" t="s">
        <v>25</v>
      </c>
      <c r="D64" s="2065" t="s">
        <v>896</v>
      </c>
      <c r="E64" s="2145" t="s">
        <v>77</v>
      </c>
      <c r="F64" s="1960">
        <v>1</v>
      </c>
      <c r="G64" s="1992" t="s">
        <v>102</v>
      </c>
      <c r="H64" s="1992" t="s">
        <v>103</v>
      </c>
      <c r="I64" s="2060">
        <v>4</v>
      </c>
      <c r="J64" s="1963">
        <v>17697</v>
      </c>
      <c r="K64" s="2176">
        <v>24</v>
      </c>
      <c r="L64" s="1965">
        <f>K64/18</f>
        <v>1.3333333333333333</v>
      </c>
      <c r="M64" s="2068" t="s">
        <v>112</v>
      </c>
      <c r="N64" s="2069">
        <v>3.71</v>
      </c>
      <c r="O64" s="1966">
        <f>N64*J64/18*K64</f>
        <v>87541.16</v>
      </c>
      <c r="P64" s="1966">
        <f>O64*50%</f>
        <v>43770.58</v>
      </c>
      <c r="Q64" s="1981"/>
      <c r="R64" s="1965"/>
      <c r="S64" s="1965">
        <v>0.1</v>
      </c>
      <c r="T64" s="1966">
        <f>(O64+P64)*S64</f>
        <v>13131.173999999999</v>
      </c>
      <c r="U64" s="2056">
        <v>0.3</v>
      </c>
      <c r="V64" s="1965">
        <f>(J64*N64)*1.5/100*30</f>
        <v>29545.141499999998</v>
      </c>
      <c r="W64" s="940">
        <f>O64+P64+T64+V64</f>
        <v>173988.05549999999</v>
      </c>
      <c r="X64" s="141">
        <f>U63+Q63</f>
        <v>0</v>
      </c>
      <c r="Y64" s="141">
        <f>V63+R63</f>
        <v>0</v>
      </c>
      <c r="Z64" s="1970">
        <f>W63*12</f>
        <v>988129.69200000027</v>
      </c>
      <c r="AA64" s="1971">
        <f>Z64/12/29.33*56</f>
        <v>157220.31694510742</v>
      </c>
      <c r="AB64" s="1971">
        <f>Z64*1.25</f>
        <v>1235162.1150000002</v>
      </c>
      <c r="AC64" s="1971">
        <f>AB64/12/29.33*56</f>
        <v>196525.39618138428</v>
      </c>
      <c r="AJ64" s="1970"/>
      <c r="AK64" s="1970"/>
      <c r="AL64" s="1970"/>
      <c r="AM64" s="1970"/>
      <c r="AN64" s="1970"/>
      <c r="AO64" s="1970"/>
      <c r="AP64" s="1970"/>
    </row>
    <row r="65" spans="1:69" s="1971" customFormat="1" ht="42.75">
      <c r="A65" s="26" t="s">
        <v>619</v>
      </c>
      <c r="B65" s="6" t="s">
        <v>622</v>
      </c>
      <c r="C65" s="5" t="s">
        <v>75</v>
      </c>
      <c r="D65" s="57" t="s">
        <v>778</v>
      </c>
      <c r="E65" s="5" t="s">
        <v>779</v>
      </c>
      <c r="F65" s="42">
        <v>1</v>
      </c>
      <c r="G65" s="5" t="s">
        <v>56</v>
      </c>
      <c r="H65" s="5" t="s">
        <v>56</v>
      </c>
      <c r="I65" s="27">
        <v>3</v>
      </c>
      <c r="J65" s="44">
        <v>17697</v>
      </c>
      <c r="K65" s="882"/>
      <c r="L65" s="10">
        <v>0.5</v>
      </c>
      <c r="M65" s="2185"/>
      <c r="N65" s="1547">
        <v>3.57</v>
      </c>
      <c r="O65" s="67">
        <f>N65*J65*L65</f>
        <v>31589.144999999997</v>
      </c>
      <c r="P65" s="42"/>
      <c r="Q65" s="882"/>
      <c r="R65" s="1635"/>
      <c r="S65" s="7">
        <v>0.1</v>
      </c>
      <c r="T65" s="44">
        <f>(O65+P65)*S65</f>
        <v>3158.9144999999999</v>
      </c>
      <c r="U65" s="882"/>
      <c r="V65" s="881"/>
      <c r="W65" s="70">
        <f>O65+R65+T65+V65+P65</f>
        <v>34748.059499999996</v>
      </c>
      <c r="X65" s="1269">
        <f>Q65+S65+U65</f>
        <v>0.1</v>
      </c>
      <c r="Y65" s="1269">
        <f>R65+T65+V65</f>
        <v>3158.9144999999999</v>
      </c>
      <c r="Z65" s="1264">
        <f>W65*12</f>
        <v>416976.71399999992</v>
      </c>
      <c r="AA65" s="1382">
        <f>Z65/12/29.33*30</f>
        <v>35541.82696897375</v>
      </c>
      <c r="AB65" s="1264"/>
      <c r="AC65" s="1264"/>
      <c r="AD65" s="1264"/>
      <c r="AE65" s="1264"/>
      <c r="AF65" s="1264"/>
      <c r="AG65" s="1264"/>
      <c r="AH65" s="1264"/>
      <c r="AI65" s="1264"/>
      <c r="AJ65" s="23"/>
      <c r="AK65" s="23"/>
      <c r="AL65" s="23"/>
      <c r="AM65" s="23"/>
      <c r="AN65" s="23"/>
      <c r="AO65" s="23"/>
      <c r="AP65" s="23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1265"/>
    </row>
    <row r="66" spans="1:69" s="1971" customFormat="1" ht="15.75">
      <c r="A66" s="1991" t="s">
        <v>143</v>
      </c>
      <c r="B66" s="1984" t="s">
        <v>99</v>
      </c>
      <c r="C66" s="1992" t="s">
        <v>25</v>
      </c>
      <c r="D66" s="1985" t="s">
        <v>856</v>
      </c>
      <c r="E66" s="1985" t="s">
        <v>239</v>
      </c>
      <c r="F66" s="1960">
        <v>1</v>
      </c>
      <c r="G66" s="1992" t="s">
        <v>102</v>
      </c>
      <c r="H66" s="1992" t="s">
        <v>103</v>
      </c>
      <c r="I66" s="1999">
        <v>1</v>
      </c>
      <c r="J66" s="1963">
        <v>17697</v>
      </c>
      <c r="K66" s="1988">
        <v>29</v>
      </c>
      <c r="L66" s="1965">
        <f>K66/18</f>
        <v>1.6111111111111112</v>
      </c>
      <c r="M66" s="2000" t="s">
        <v>152</v>
      </c>
      <c r="N66" s="1980">
        <v>4.49</v>
      </c>
      <c r="O66" s="1966">
        <f>N66*J66/18*K66</f>
        <v>128018.13166666665</v>
      </c>
      <c r="P66" s="1966">
        <f t="shared" ref="P66:P84" si="8">O66*50%</f>
        <v>64009.065833333327</v>
      </c>
      <c r="Q66" s="1981"/>
      <c r="R66" s="1965"/>
      <c r="S66" s="1965">
        <v>0.1</v>
      </c>
      <c r="T66" s="1966">
        <f>(O66+P66)*S66</f>
        <v>19202.71975</v>
      </c>
      <c r="U66" s="1982"/>
      <c r="V66" s="1965"/>
      <c r="W66" s="940">
        <f>O66+P66+T66</f>
        <v>211229.91724999997</v>
      </c>
      <c r="X66" s="141">
        <f>U66+Q66</f>
        <v>0</v>
      </c>
      <c r="Y66" s="141">
        <f>V66+R66</f>
        <v>0</v>
      </c>
      <c r="Z66" s="1970">
        <f>W66*12</f>
        <v>2534759.0069999998</v>
      </c>
      <c r="AA66" s="1971">
        <f>Z66/12/29.33*56</f>
        <v>403302.94463007158</v>
      </c>
      <c r="AB66" s="1971">
        <f>Z66*1.25</f>
        <v>3168448.7587499996</v>
      </c>
      <c r="AC66" s="1971">
        <f>AB66/12/29.33*56</f>
        <v>504128.68078758952</v>
      </c>
      <c r="AJ66" s="1970"/>
      <c r="AK66" s="1970"/>
      <c r="AL66" s="1970"/>
      <c r="AM66" s="1970"/>
      <c r="AN66" s="1970"/>
      <c r="AO66" s="1970"/>
      <c r="AP66" s="1970"/>
    </row>
    <row r="67" spans="1:69" s="1971" customFormat="1" ht="15.75">
      <c r="A67" s="1973" t="s">
        <v>447</v>
      </c>
      <c r="B67" s="1974" t="s">
        <v>99</v>
      </c>
      <c r="C67" s="1977" t="s">
        <v>75</v>
      </c>
      <c r="D67" s="1976" t="s">
        <v>857</v>
      </c>
      <c r="E67" s="1985" t="s">
        <v>602</v>
      </c>
      <c r="F67" s="1960">
        <v>1</v>
      </c>
      <c r="G67" s="1992" t="s">
        <v>102</v>
      </c>
      <c r="H67" s="1992" t="s">
        <v>118</v>
      </c>
      <c r="I67" s="1999">
        <v>4</v>
      </c>
      <c r="J67" s="1963">
        <v>17697</v>
      </c>
      <c r="K67" s="1978">
        <v>8</v>
      </c>
      <c r="L67" s="2004">
        <f>K67/18</f>
        <v>0.44444444444444442</v>
      </c>
      <c r="M67" s="2010" t="s">
        <v>112</v>
      </c>
      <c r="N67" s="2011">
        <v>3.36</v>
      </c>
      <c r="O67" s="1966">
        <f>N67*J67/18*K67</f>
        <v>26427.52</v>
      </c>
      <c r="P67" s="1966">
        <f t="shared" si="8"/>
        <v>13213.76</v>
      </c>
      <c r="Q67" s="2003"/>
      <c r="R67" s="2004"/>
      <c r="S67" s="2004">
        <v>0.1</v>
      </c>
      <c r="T67" s="1966">
        <f>(O67+P67)*S67</f>
        <v>3964.1280000000002</v>
      </c>
      <c r="U67" s="2005"/>
      <c r="V67" s="2004"/>
      <c r="W67" s="940">
        <f>O67+P67+T67</f>
        <v>43605.407999999996</v>
      </c>
      <c r="X67" s="2012">
        <f>U67+Q67</f>
        <v>0</v>
      </c>
      <c r="Y67" s="2012">
        <f>V67+R67</f>
        <v>0</v>
      </c>
      <c r="Z67" s="1970">
        <f>W67*12</f>
        <v>523264.89599999995</v>
      </c>
      <c r="AA67" s="1971">
        <f>Z67/12/29.33*56</f>
        <v>83256.148926014313</v>
      </c>
      <c r="AB67" s="1971">
        <f>Z67*1.25</f>
        <v>654081.11999999988</v>
      </c>
      <c r="AC67" s="1971">
        <f>AB67/12/29.33*56</f>
        <v>104070.18615751789</v>
      </c>
      <c r="AJ67" s="1970"/>
      <c r="AK67" s="1970"/>
      <c r="AL67" s="1970"/>
      <c r="AM67" s="1970"/>
      <c r="AN67" s="1970"/>
      <c r="AO67" s="1970"/>
      <c r="AP67" s="1970"/>
    </row>
    <row r="68" spans="1:69" s="1971" customFormat="1" ht="15.75">
      <c r="A68" s="2078" t="s">
        <v>447</v>
      </c>
      <c r="B68" s="2058" t="s">
        <v>99</v>
      </c>
      <c r="C68" s="2074" t="s">
        <v>300</v>
      </c>
      <c r="D68" s="2075" t="s">
        <v>290</v>
      </c>
      <c r="E68" s="2075" t="s">
        <v>602</v>
      </c>
      <c r="F68" s="2158">
        <v>1</v>
      </c>
      <c r="G68" s="2085" t="s">
        <v>102</v>
      </c>
      <c r="H68" s="2085" t="s">
        <v>118</v>
      </c>
      <c r="I68" s="2086">
        <v>4</v>
      </c>
      <c r="J68" s="1963">
        <v>17697</v>
      </c>
      <c r="K68" s="665">
        <v>10</v>
      </c>
      <c r="L68" s="567">
        <f>K68/18</f>
        <v>0.55555555555555558</v>
      </c>
      <c r="M68" s="1004" t="s">
        <v>112</v>
      </c>
      <c r="N68" s="1612">
        <v>3.36</v>
      </c>
      <c r="O68" s="556">
        <f>J68*N68/18*K68</f>
        <v>33034.400000000001</v>
      </c>
      <c r="P68" s="556">
        <f t="shared" si="8"/>
        <v>16517.2</v>
      </c>
      <c r="Q68" s="1752">
        <v>0.25</v>
      </c>
      <c r="R68" s="700">
        <f>(O68+P68)*Q68</f>
        <v>12387.900000000001</v>
      </c>
      <c r="S68" s="700">
        <v>0.1</v>
      </c>
      <c r="T68" s="556">
        <f>(O68+P68+R68)*S68</f>
        <v>6193.9500000000007</v>
      </c>
      <c r="U68" s="1541"/>
      <c r="V68" s="700"/>
      <c r="W68" s="559">
        <f>O68+P68+R68+T68</f>
        <v>68133.450000000012</v>
      </c>
      <c r="X68" s="984">
        <f>U67+S67+Q67</f>
        <v>0.1</v>
      </c>
      <c r="Y68" s="984">
        <f>V67+T67+R67</f>
        <v>3964.1280000000002</v>
      </c>
      <c r="Z68" s="81">
        <f>W67*12</f>
        <v>523264.89599999995</v>
      </c>
      <c r="AA68" s="80">
        <f>Z68/12/29.33*56</f>
        <v>83256.148926014313</v>
      </c>
      <c r="AB68" s="80">
        <f>Z68*1.25</f>
        <v>654081.11999999988</v>
      </c>
      <c r="AC68" s="80">
        <f>AB68/12/29.33*56</f>
        <v>104070.18615751789</v>
      </c>
      <c r="AD68" s="986"/>
      <c r="AE68" s="986"/>
      <c r="AF68" s="986"/>
      <c r="AG68" s="986"/>
      <c r="AH68" s="986"/>
      <c r="AI68" s="986"/>
      <c r="AJ68" s="906"/>
      <c r="AK68" s="23"/>
      <c r="AL68" s="23"/>
      <c r="AM68" s="23"/>
      <c r="AN68" s="23"/>
      <c r="AO68" s="23"/>
      <c r="AP68" s="23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986"/>
    </row>
    <row r="69" spans="1:69" s="1971" customFormat="1" ht="15.75">
      <c r="A69" s="1991" t="s">
        <v>803</v>
      </c>
      <c r="B69" s="1984" t="s">
        <v>99</v>
      </c>
      <c r="C69" s="1992" t="s">
        <v>25</v>
      </c>
      <c r="D69" s="1985" t="s">
        <v>897</v>
      </c>
      <c r="E69" s="1985" t="s">
        <v>34</v>
      </c>
      <c r="F69" s="1960">
        <v>1</v>
      </c>
      <c r="G69" s="1992" t="s">
        <v>102</v>
      </c>
      <c r="H69" s="1992" t="s">
        <v>103</v>
      </c>
      <c r="I69" s="1999">
        <v>1</v>
      </c>
      <c r="J69" s="1963">
        <v>17697</v>
      </c>
      <c r="K69" s="1988">
        <v>4</v>
      </c>
      <c r="L69" s="1965">
        <f>K69/18</f>
        <v>0.22222222222222221</v>
      </c>
      <c r="M69" s="2010" t="s">
        <v>152</v>
      </c>
      <c r="N69" s="2011">
        <v>4.75</v>
      </c>
      <c r="O69" s="1966">
        <f>N69*J69/18*K69</f>
        <v>18680.166666666668</v>
      </c>
      <c r="P69" s="1966">
        <f t="shared" si="8"/>
        <v>9340.0833333333339</v>
      </c>
      <c r="Q69" s="2003"/>
      <c r="R69" s="2004"/>
      <c r="S69" s="2004">
        <v>0.1</v>
      </c>
      <c r="T69" s="1966">
        <f t="shared" ref="T69:T82" si="9">(O69+P69)*S69</f>
        <v>2802.0250000000001</v>
      </c>
      <c r="U69" s="2067"/>
      <c r="V69" s="2004"/>
      <c r="W69" s="940">
        <f>O69+P69+T69</f>
        <v>30822.275000000001</v>
      </c>
      <c r="X69" s="2040"/>
      <c r="Y69" s="2040"/>
      <c r="Z69" s="1970"/>
      <c r="AJ69" s="1970"/>
      <c r="AK69" s="1970"/>
      <c r="AL69" s="1970"/>
      <c r="AM69" s="1970"/>
      <c r="AN69" s="1970"/>
      <c r="AO69" s="1970"/>
      <c r="AP69" s="1970"/>
    </row>
    <row r="70" spans="1:69" s="1971" customFormat="1" ht="30">
      <c r="A70" s="2041" t="s">
        <v>147</v>
      </c>
      <c r="B70" s="2042" t="s">
        <v>148</v>
      </c>
      <c r="C70" s="1992" t="s">
        <v>25</v>
      </c>
      <c r="D70" s="1985" t="s">
        <v>858</v>
      </c>
      <c r="E70" s="1985" t="s">
        <v>34</v>
      </c>
      <c r="F70" s="1960">
        <v>1</v>
      </c>
      <c r="G70" s="1992" t="s">
        <v>102</v>
      </c>
      <c r="H70" s="1992" t="s">
        <v>103</v>
      </c>
      <c r="I70" s="1993">
        <v>3</v>
      </c>
      <c r="J70" s="1963">
        <v>17697</v>
      </c>
      <c r="K70" s="1988">
        <v>36</v>
      </c>
      <c r="L70" s="1965">
        <f>K70/18</f>
        <v>2</v>
      </c>
      <c r="M70" s="2008" t="s">
        <v>109</v>
      </c>
      <c r="N70" s="2011">
        <v>4.5</v>
      </c>
      <c r="O70" s="1966">
        <f>N70*J70/18*K70</f>
        <v>159273</v>
      </c>
      <c r="P70" s="1966">
        <f t="shared" si="8"/>
        <v>79636.5</v>
      </c>
      <c r="Q70" s="2003"/>
      <c r="R70" s="2004"/>
      <c r="S70" s="2004">
        <v>0.1</v>
      </c>
      <c r="T70" s="1966">
        <f t="shared" si="9"/>
        <v>23890.95</v>
      </c>
      <c r="U70" s="2005"/>
      <c r="V70" s="2004"/>
      <c r="W70" s="940">
        <f>O70+P70+T70</f>
        <v>262800.45</v>
      </c>
      <c r="X70" s="2040">
        <f>U70+Q70</f>
        <v>0</v>
      </c>
      <c r="Y70" s="2040">
        <f>V70+R70</f>
        <v>0</v>
      </c>
      <c r="Z70" s="1970">
        <f>W70*12</f>
        <v>3153605.4000000004</v>
      </c>
      <c r="AA70" s="1971">
        <f>Z70/12/29.33*56</f>
        <v>501766.96897374711</v>
      </c>
      <c r="AB70" s="1971">
        <f>Z70*1.25</f>
        <v>3942006.7500000005</v>
      </c>
      <c r="AC70" s="1971">
        <f>AB70/12/29.33*56</f>
        <v>627208.71121718385</v>
      </c>
      <c r="AJ70" s="1970"/>
      <c r="AK70" s="1970"/>
      <c r="AL70" s="1970"/>
      <c r="AM70" s="1970"/>
      <c r="AN70" s="1970"/>
      <c r="AO70" s="1970"/>
      <c r="AP70" s="1970"/>
    </row>
    <row r="71" spans="1:69" s="1971" customFormat="1" ht="28.5">
      <c r="A71" s="1705" t="s">
        <v>91</v>
      </c>
      <c r="B71" s="1707" t="s">
        <v>783</v>
      </c>
      <c r="C71" s="894" t="s">
        <v>25</v>
      </c>
      <c r="D71" s="1539" t="s">
        <v>677</v>
      </c>
      <c r="E71" s="5" t="s">
        <v>367</v>
      </c>
      <c r="F71" s="42">
        <v>1</v>
      </c>
      <c r="G71" s="20" t="s">
        <v>28</v>
      </c>
      <c r="H71" s="20" t="s">
        <v>29</v>
      </c>
      <c r="I71" s="731" t="s">
        <v>44</v>
      </c>
      <c r="J71" s="44">
        <v>17697</v>
      </c>
      <c r="K71" s="885"/>
      <c r="L71" s="1547">
        <v>1</v>
      </c>
      <c r="M71" s="882"/>
      <c r="N71" s="1746" t="s">
        <v>771</v>
      </c>
      <c r="O71" s="67">
        <f>N71*J71*L71</f>
        <v>98926.23</v>
      </c>
      <c r="P71" s="44">
        <f t="shared" si="8"/>
        <v>49463.114999999998</v>
      </c>
      <c r="Q71" s="885"/>
      <c r="R71" s="1641"/>
      <c r="S71" s="882">
        <v>0.1</v>
      </c>
      <c r="T71" s="44">
        <f t="shared" si="9"/>
        <v>14838.934500000001</v>
      </c>
      <c r="U71" s="885"/>
      <c r="V71" s="1642"/>
      <c r="W71" s="70">
        <f>O71+R71+T71+V71+P71</f>
        <v>163228.2795</v>
      </c>
      <c r="X71" s="1565">
        <f>Q71+S71+U71</f>
        <v>0.1</v>
      </c>
      <c r="Y71" s="1565">
        <f>R71+T71+V71</f>
        <v>14838.934500000001</v>
      </c>
      <c r="Z71" s="1264">
        <f>W71*12</f>
        <v>1958739.3540000001</v>
      </c>
      <c r="AA71" s="1382">
        <f>Z71/12/29.33*30</f>
        <v>166956.98550971702</v>
      </c>
      <c r="AB71" s="1264"/>
      <c r="AC71" s="1264"/>
      <c r="AD71" s="1264"/>
      <c r="AE71" s="1264"/>
      <c r="AF71" s="1264"/>
      <c r="AG71" s="1264"/>
      <c r="AH71" s="1264"/>
      <c r="AI71" s="1264"/>
      <c r="AJ71" s="23"/>
      <c r="AK71" s="23"/>
      <c r="AL71" s="23"/>
      <c r="AM71" s="23"/>
      <c r="AN71" s="23"/>
      <c r="AO71" s="23"/>
      <c r="AP71" s="23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1265"/>
    </row>
    <row r="72" spans="1:69" s="1971" customFormat="1" ht="15.75">
      <c r="A72" s="2041" t="s">
        <v>91</v>
      </c>
      <c r="B72" s="2042" t="s">
        <v>99</v>
      </c>
      <c r="C72" s="1977" t="s">
        <v>25</v>
      </c>
      <c r="D72" s="1976" t="s">
        <v>859</v>
      </c>
      <c r="E72" s="1976" t="s">
        <v>93</v>
      </c>
      <c r="F72" s="1960">
        <v>1</v>
      </c>
      <c r="G72" s="1992" t="s">
        <v>102</v>
      </c>
      <c r="H72" s="1992" t="s">
        <v>103</v>
      </c>
      <c r="I72" s="1999">
        <v>1</v>
      </c>
      <c r="J72" s="1963">
        <v>17697</v>
      </c>
      <c r="K72" s="2043">
        <v>9</v>
      </c>
      <c r="L72" s="2004">
        <f t="shared" ref="L72:L84" si="10">K72/18</f>
        <v>0.5</v>
      </c>
      <c r="M72" s="2010" t="s">
        <v>152</v>
      </c>
      <c r="N72" s="2044">
        <v>4.62</v>
      </c>
      <c r="O72" s="1966">
        <f t="shared" ref="O72:O82" si="11">N72*J72/18*K72</f>
        <v>40880.069999999992</v>
      </c>
      <c r="P72" s="1966">
        <f t="shared" si="8"/>
        <v>20440.034999999996</v>
      </c>
      <c r="Q72" s="2045"/>
      <c r="R72" s="2046"/>
      <c r="S72" s="2004">
        <v>0.1</v>
      </c>
      <c r="T72" s="1966">
        <f t="shared" si="9"/>
        <v>6132.0104999999994</v>
      </c>
      <c r="U72" s="2047"/>
      <c r="V72" s="2046"/>
      <c r="W72" s="940">
        <f>O72+P72+T72</f>
        <v>67452.115499999985</v>
      </c>
      <c r="X72" s="2128">
        <f>U72+Q72</f>
        <v>0</v>
      </c>
      <c r="Y72" s="2128">
        <f>V72+R72</f>
        <v>0</v>
      </c>
      <c r="Z72" s="1970">
        <f>W72*12</f>
        <v>809425.38599999982</v>
      </c>
      <c r="AA72" s="1971">
        <f>Z72/12/29.33*56</f>
        <v>128786.85536992838</v>
      </c>
      <c r="AB72" s="1971">
        <f>Z72*1.25</f>
        <v>1011781.7324999998</v>
      </c>
      <c r="AC72" s="1971">
        <f>AB72/12/29.33*56</f>
        <v>160983.56921241051</v>
      </c>
      <c r="AJ72" s="1970"/>
      <c r="AK72" s="1970"/>
      <c r="AL72" s="1970"/>
      <c r="AM72" s="1970"/>
      <c r="AN72" s="1970"/>
      <c r="AO72" s="1970"/>
      <c r="AP72" s="1970"/>
    </row>
    <row r="73" spans="1:69" s="1971" customFormat="1" ht="15.75">
      <c r="A73" s="2041" t="s">
        <v>678</v>
      </c>
      <c r="B73" s="2042" t="s">
        <v>99</v>
      </c>
      <c r="C73" s="1977" t="s">
        <v>75</v>
      </c>
      <c r="D73" s="2018" t="s">
        <v>290</v>
      </c>
      <c r="E73" s="1985" t="s">
        <v>602</v>
      </c>
      <c r="F73" s="2116">
        <v>1</v>
      </c>
      <c r="G73" s="1994" t="s">
        <v>102</v>
      </c>
      <c r="H73" s="1994" t="s">
        <v>118</v>
      </c>
      <c r="I73" s="2000">
        <v>4</v>
      </c>
      <c r="J73" s="1963">
        <v>17697</v>
      </c>
      <c r="K73" s="2125">
        <v>11</v>
      </c>
      <c r="L73" s="2004">
        <f t="shared" si="10"/>
        <v>0.61111111111111116</v>
      </c>
      <c r="M73" s="2008" t="s">
        <v>112</v>
      </c>
      <c r="N73" s="2127">
        <v>3.36</v>
      </c>
      <c r="O73" s="1966">
        <f t="shared" si="11"/>
        <v>36337.840000000004</v>
      </c>
      <c r="P73" s="1966">
        <f t="shared" si="8"/>
        <v>18168.920000000002</v>
      </c>
      <c r="Q73" s="2045"/>
      <c r="R73" s="2046"/>
      <c r="S73" s="2004">
        <v>0.1</v>
      </c>
      <c r="T73" s="1966">
        <f t="shared" si="9"/>
        <v>5450.6760000000013</v>
      </c>
      <c r="U73" s="2198"/>
      <c r="V73" s="2046"/>
      <c r="W73" s="940">
        <f>O73+P73+T73</f>
        <v>59957.436000000009</v>
      </c>
      <c r="X73" s="2128"/>
      <c r="Y73" s="2128"/>
      <c r="Z73" s="1970"/>
      <c r="AJ73" s="1970"/>
      <c r="AK73" s="1970"/>
      <c r="AL73" s="1970"/>
      <c r="AM73" s="1970"/>
      <c r="AN73" s="1970"/>
      <c r="AO73" s="1970"/>
      <c r="AP73" s="1970"/>
    </row>
    <row r="74" spans="1:69" s="1971" customFormat="1" ht="15.75">
      <c r="A74" s="2041" t="s">
        <v>804</v>
      </c>
      <c r="B74" s="2042" t="s">
        <v>99</v>
      </c>
      <c r="C74" s="1977" t="s">
        <v>75</v>
      </c>
      <c r="D74" s="1976" t="s">
        <v>738</v>
      </c>
      <c r="E74" s="1976" t="s">
        <v>108</v>
      </c>
      <c r="F74" s="1960">
        <v>1</v>
      </c>
      <c r="G74" s="1977" t="s">
        <v>102</v>
      </c>
      <c r="H74" s="1977" t="s">
        <v>118</v>
      </c>
      <c r="I74" s="2050">
        <v>4</v>
      </c>
      <c r="J74" s="1963">
        <v>17697</v>
      </c>
      <c r="K74" s="2043">
        <v>16</v>
      </c>
      <c r="L74" s="1965">
        <f t="shared" si="10"/>
        <v>0.88888888888888884</v>
      </c>
      <c r="M74" s="2010" t="s">
        <v>112</v>
      </c>
      <c r="N74" s="2044">
        <v>3.36</v>
      </c>
      <c r="O74" s="1966">
        <f t="shared" si="11"/>
        <v>52855.040000000001</v>
      </c>
      <c r="P74" s="1966">
        <f t="shared" si="8"/>
        <v>26427.52</v>
      </c>
      <c r="Q74" s="2045"/>
      <c r="R74" s="2046"/>
      <c r="S74" s="2004">
        <v>0.1</v>
      </c>
      <c r="T74" s="1966">
        <f t="shared" si="9"/>
        <v>7928.2560000000003</v>
      </c>
      <c r="U74" s="2047"/>
      <c r="V74" s="2046"/>
      <c r="W74" s="940">
        <f>O74+P74+T74</f>
        <v>87210.815999999992</v>
      </c>
      <c r="X74" s="2128"/>
      <c r="Y74" s="2128"/>
      <c r="Z74" s="1970"/>
      <c r="AJ74" s="1970"/>
      <c r="AK74" s="1970"/>
      <c r="AL74" s="1970"/>
      <c r="AM74" s="1970"/>
      <c r="AN74" s="1970"/>
      <c r="AO74" s="1970"/>
      <c r="AP74" s="1970"/>
    </row>
    <row r="75" spans="1:69" s="1971" customFormat="1" ht="15.75">
      <c r="A75" s="2041" t="s">
        <v>150</v>
      </c>
      <c r="B75" s="2042" t="s">
        <v>99</v>
      </c>
      <c r="C75" s="2051" t="s">
        <v>25</v>
      </c>
      <c r="D75" s="2018" t="s">
        <v>860</v>
      </c>
      <c r="E75" s="1985" t="s">
        <v>34</v>
      </c>
      <c r="F75" s="1960">
        <v>1</v>
      </c>
      <c r="G75" s="2051" t="s">
        <v>102</v>
      </c>
      <c r="H75" s="2051" t="s">
        <v>103</v>
      </c>
      <c r="I75" s="2168">
        <v>1</v>
      </c>
      <c r="J75" s="2046">
        <v>17697</v>
      </c>
      <c r="K75" s="2043">
        <v>27</v>
      </c>
      <c r="L75" s="1965">
        <f t="shared" si="10"/>
        <v>1.5</v>
      </c>
      <c r="M75" s="2181" t="s">
        <v>152</v>
      </c>
      <c r="N75" s="2044">
        <v>4.75</v>
      </c>
      <c r="O75" s="1966">
        <f t="shared" si="11"/>
        <v>126091.12500000001</v>
      </c>
      <c r="P75" s="1966">
        <f t="shared" si="8"/>
        <v>63045.562500000007</v>
      </c>
      <c r="Q75" s="2045"/>
      <c r="R75" s="2046"/>
      <c r="S75" s="2004">
        <v>0.1</v>
      </c>
      <c r="T75" s="1966">
        <f t="shared" si="9"/>
        <v>18913.668750000004</v>
      </c>
      <c r="U75" s="2047">
        <v>0.4</v>
      </c>
      <c r="V75" s="2046">
        <f>(J75*N75)*1.5/100*40/18*27</f>
        <v>75654.675000000003</v>
      </c>
      <c r="W75" s="2052">
        <f>O75+P75+T75+V75</f>
        <v>283705.03125000006</v>
      </c>
      <c r="X75" s="2048">
        <f>U75+Q75</f>
        <v>0.4</v>
      </c>
      <c r="Y75" s="2048">
        <f>V75+R75</f>
        <v>75654.675000000003</v>
      </c>
      <c r="Z75" s="1970">
        <f>W75*12</f>
        <v>3404460.3750000009</v>
      </c>
      <c r="AA75" s="1971">
        <f>Z75/12/29.33*56</f>
        <v>541680.25059665891</v>
      </c>
      <c r="AB75" s="1971">
        <f>Z75*1.25</f>
        <v>4255575.4687500009</v>
      </c>
      <c r="AC75" s="1971">
        <f>AB75/12/29.33*56</f>
        <v>677100.31324582361</v>
      </c>
      <c r="AJ75" s="1970"/>
      <c r="AK75" s="1970"/>
      <c r="AL75" s="1970"/>
      <c r="AM75" s="1970"/>
      <c r="AN75" s="1970"/>
      <c r="AO75" s="1970"/>
      <c r="AP75" s="1970"/>
    </row>
    <row r="76" spans="1:69" s="1971" customFormat="1" ht="17.25" customHeight="1">
      <c r="A76" s="1961" t="s">
        <v>153</v>
      </c>
      <c r="B76" s="1962" t="s">
        <v>99</v>
      </c>
      <c r="C76" s="1960" t="s">
        <v>25</v>
      </c>
      <c r="D76" s="1960" t="s">
        <v>861</v>
      </c>
      <c r="E76" s="2009" t="s">
        <v>34</v>
      </c>
      <c r="F76" s="1960">
        <v>1</v>
      </c>
      <c r="G76" s="1960" t="s">
        <v>102</v>
      </c>
      <c r="H76" s="1960" t="s">
        <v>103</v>
      </c>
      <c r="I76" s="2173">
        <v>1</v>
      </c>
      <c r="J76" s="1963">
        <v>17697</v>
      </c>
      <c r="K76" s="1964">
        <v>10</v>
      </c>
      <c r="L76" s="1963">
        <f t="shared" si="10"/>
        <v>0.55555555555555558</v>
      </c>
      <c r="M76" s="2188" t="s">
        <v>152</v>
      </c>
      <c r="N76" s="2001">
        <v>4.75</v>
      </c>
      <c r="O76" s="1966">
        <f t="shared" si="11"/>
        <v>46700.416666666672</v>
      </c>
      <c r="P76" s="1966">
        <f t="shared" si="8"/>
        <v>23350.208333333336</v>
      </c>
      <c r="Q76" s="1967"/>
      <c r="R76" s="1963"/>
      <c r="S76" s="1963">
        <v>0.1</v>
      </c>
      <c r="T76" s="1966">
        <f t="shared" si="9"/>
        <v>7005.0625</v>
      </c>
      <c r="U76" s="1968"/>
      <c r="V76" s="1963"/>
      <c r="W76" s="940">
        <f>O76+P76+T76</f>
        <v>77055.6875</v>
      </c>
      <c r="X76" s="1998"/>
      <c r="Y76" s="1998"/>
      <c r="Z76" s="1970"/>
      <c r="AJ76" s="1970"/>
      <c r="AK76" s="1970"/>
      <c r="AL76" s="1970"/>
      <c r="AM76" s="1970"/>
      <c r="AN76" s="1970"/>
      <c r="AO76" s="1970"/>
      <c r="AP76" s="1970"/>
    </row>
    <row r="77" spans="1:69" s="1971" customFormat="1" ht="18" customHeight="1">
      <c r="A77" s="1991" t="s">
        <v>157</v>
      </c>
      <c r="B77" s="1984" t="s">
        <v>99</v>
      </c>
      <c r="C77" s="1992" t="s">
        <v>75</v>
      </c>
      <c r="D77" s="1985" t="s">
        <v>862</v>
      </c>
      <c r="E77" s="1985" t="s">
        <v>108</v>
      </c>
      <c r="F77" s="1972">
        <v>1</v>
      </c>
      <c r="G77" s="1992" t="s">
        <v>102</v>
      </c>
      <c r="H77" s="1992" t="s">
        <v>118</v>
      </c>
      <c r="I77" s="1993">
        <v>4</v>
      </c>
      <c r="J77" s="1965">
        <v>17697</v>
      </c>
      <c r="K77" s="1988">
        <v>29</v>
      </c>
      <c r="L77" s="1963">
        <f t="shared" si="10"/>
        <v>1.6111111111111112</v>
      </c>
      <c r="M77" s="1995" t="s">
        <v>112</v>
      </c>
      <c r="N77" s="1980">
        <v>3.41</v>
      </c>
      <c r="O77" s="2092">
        <f t="shared" si="11"/>
        <v>97225.351666666669</v>
      </c>
      <c r="P77" s="1966">
        <f t="shared" si="8"/>
        <v>48612.675833333335</v>
      </c>
      <c r="Q77" s="1981"/>
      <c r="R77" s="1965"/>
      <c r="S77" s="1963">
        <v>0.1</v>
      </c>
      <c r="T77" s="2092">
        <f t="shared" si="9"/>
        <v>14583.802750000001</v>
      </c>
      <c r="U77" s="1982">
        <v>0.3</v>
      </c>
      <c r="V77" s="1965">
        <f>(J77*N77)*1.5/100*30/18*29</f>
        <v>43751.40825</v>
      </c>
      <c r="W77" s="680">
        <f>O77+P77+T77+V77</f>
        <v>204173.23850000001</v>
      </c>
      <c r="X77" s="141">
        <f>U77+Q77</f>
        <v>0.3</v>
      </c>
      <c r="Y77" s="141">
        <f>V77+R77</f>
        <v>43751.40825</v>
      </c>
      <c r="Z77" s="1970">
        <f>W77*12</f>
        <v>2450078.8620000002</v>
      </c>
      <c r="AA77" s="1971">
        <f t="shared" ref="AA77:AA84" si="12">Z77/12/29.33*56</f>
        <v>389829.5723150358</v>
      </c>
      <c r="AB77" s="1971">
        <f t="shared" ref="AB77:AB84" si="13">Z77*1.25</f>
        <v>3062598.5775000001</v>
      </c>
      <c r="AC77" s="1971">
        <f t="shared" ref="AC77:AC84" si="14">AB77/12/29.33*56</f>
        <v>487286.96539379482</v>
      </c>
      <c r="AJ77" s="1970"/>
      <c r="AK77" s="1970"/>
      <c r="AL77" s="1970"/>
      <c r="AM77" s="1970"/>
      <c r="AN77" s="1970"/>
      <c r="AO77" s="1970"/>
      <c r="AP77" s="1970"/>
    </row>
    <row r="78" spans="1:69" s="1971" customFormat="1" ht="16.5" customHeight="1">
      <c r="A78" s="1991" t="s">
        <v>160</v>
      </c>
      <c r="B78" s="1984" t="s">
        <v>148</v>
      </c>
      <c r="C78" s="1992" t="s">
        <v>25</v>
      </c>
      <c r="D78" s="1985" t="s">
        <v>863</v>
      </c>
      <c r="E78" s="1985" t="s">
        <v>34</v>
      </c>
      <c r="F78" s="1972">
        <v>1</v>
      </c>
      <c r="G78" s="1992" t="s">
        <v>102</v>
      </c>
      <c r="H78" s="1992" t="s">
        <v>103</v>
      </c>
      <c r="I78" s="1993">
        <v>2</v>
      </c>
      <c r="J78" s="1965">
        <v>17697</v>
      </c>
      <c r="K78" s="1988">
        <v>30</v>
      </c>
      <c r="L78" s="1963">
        <f t="shared" si="10"/>
        <v>1.6666666666666667</v>
      </c>
      <c r="M78" s="1979" t="s">
        <v>104</v>
      </c>
      <c r="N78" s="1980">
        <v>4.51</v>
      </c>
      <c r="O78" s="2092">
        <f t="shared" si="11"/>
        <v>133022.45000000001</v>
      </c>
      <c r="P78" s="1966">
        <f t="shared" si="8"/>
        <v>66511.225000000006</v>
      </c>
      <c r="Q78" s="1981"/>
      <c r="R78" s="1965"/>
      <c r="S78" s="1963">
        <v>0.1</v>
      </c>
      <c r="T78" s="2092">
        <f t="shared" si="9"/>
        <v>19953.367500000004</v>
      </c>
      <c r="U78" s="1982"/>
      <c r="V78" s="1965"/>
      <c r="W78" s="680">
        <f>O78+P78+T78</f>
        <v>219487.04250000001</v>
      </c>
      <c r="X78" s="141">
        <f>U78+Q78</f>
        <v>0</v>
      </c>
      <c r="Y78" s="141">
        <f>V78+R78</f>
        <v>0</v>
      </c>
      <c r="Z78" s="1970">
        <f>W78*12</f>
        <v>2633844.5100000002</v>
      </c>
      <c r="AA78" s="1971">
        <f t="shared" si="12"/>
        <v>419068.33890214801</v>
      </c>
      <c r="AB78" s="1971">
        <f t="shared" si="13"/>
        <v>3292305.6375000002</v>
      </c>
      <c r="AC78" s="1971">
        <f t="shared" si="14"/>
        <v>523835.42362768506</v>
      </c>
      <c r="AJ78" s="1970"/>
      <c r="AK78" s="1970"/>
      <c r="AL78" s="1970"/>
      <c r="AM78" s="1970"/>
      <c r="AN78" s="1970"/>
      <c r="AO78" s="1970"/>
      <c r="AP78" s="1970"/>
    </row>
    <row r="79" spans="1:69" s="1971" customFormat="1" ht="17.25" customHeight="1">
      <c r="A79" s="1991" t="s">
        <v>360</v>
      </c>
      <c r="B79" s="1984" t="s">
        <v>99</v>
      </c>
      <c r="C79" s="1992" t="s">
        <v>25</v>
      </c>
      <c r="D79" s="2009" t="s">
        <v>926</v>
      </c>
      <c r="E79" s="1985" t="s">
        <v>362</v>
      </c>
      <c r="F79" s="2119">
        <v>1</v>
      </c>
      <c r="G79" s="1994" t="s">
        <v>102</v>
      </c>
      <c r="H79" s="1994" t="s">
        <v>103</v>
      </c>
      <c r="I79" s="2000">
        <v>1</v>
      </c>
      <c r="J79" s="1965">
        <v>17697</v>
      </c>
      <c r="K79" s="2120">
        <v>24</v>
      </c>
      <c r="L79" s="1963">
        <f t="shared" si="10"/>
        <v>1.3333333333333333</v>
      </c>
      <c r="M79" s="2008" t="s">
        <v>152</v>
      </c>
      <c r="N79" s="2123">
        <v>4.55</v>
      </c>
      <c r="O79" s="2092">
        <f t="shared" si="11"/>
        <v>107361.79999999999</v>
      </c>
      <c r="P79" s="1966">
        <f t="shared" si="8"/>
        <v>53680.899999999994</v>
      </c>
      <c r="Q79" s="2003"/>
      <c r="R79" s="2004"/>
      <c r="S79" s="1963">
        <v>0.1</v>
      </c>
      <c r="T79" s="2092">
        <f t="shared" si="9"/>
        <v>16104.269999999999</v>
      </c>
      <c r="U79" s="2056"/>
      <c r="V79" s="1965"/>
      <c r="W79" s="680">
        <f>O79+P79+T79</f>
        <v>177146.96999999997</v>
      </c>
      <c r="X79" s="141">
        <f>U78+Q78</f>
        <v>0</v>
      </c>
      <c r="Y79" s="141">
        <f>V78+R78</f>
        <v>0</v>
      </c>
      <c r="Z79" s="1970">
        <f>W78*12</f>
        <v>2633844.5100000002</v>
      </c>
      <c r="AA79" s="1971">
        <f t="shared" si="12"/>
        <v>419068.33890214801</v>
      </c>
      <c r="AB79" s="1971">
        <f t="shared" si="13"/>
        <v>3292305.6375000002</v>
      </c>
      <c r="AC79" s="1971">
        <f t="shared" si="14"/>
        <v>523835.42362768506</v>
      </c>
      <c r="AJ79" s="1970"/>
      <c r="AK79" s="1970"/>
      <c r="AL79" s="1970"/>
      <c r="AM79" s="1970"/>
      <c r="AN79" s="1970"/>
      <c r="AO79" s="1970"/>
      <c r="AP79" s="1970"/>
    </row>
    <row r="80" spans="1:69" s="1971" customFormat="1" ht="17.25" customHeight="1">
      <c r="A80" s="1991" t="s">
        <v>743</v>
      </c>
      <c r="B80" s="1984" t="s">
        <v>744</v>
      </c>
      <c r="C80" s="2059" t="s">
        <v>25</v>
      </c>
      <c r="D80" s="2024" t="s">
        <v>927</v>
      </c>
      <c r="E80" s="1985" t="s">
        <v>403</v>
      </c>
      <c r="F80" s="2119">
        <v>1</v>
      </c>
      <c r="G80" s="1992" t="s">
        <v>102</v>
      </c>
      <c r="H80" s="1992" t="s">
        <v>103</v>
      </c>
      <c r="I80" s="2060">
        <v>3</v>
      </c>
      <c r="J80" s="1965">
        <v>17697</v>
      </c>
      <c r="K80" s="2120">
        <v>24</v>
      </c>
      <c r="L80" s="1963">
        <f t="shared" si="10"/>
        <v>1.3333333333333333</v>
      </c>
      <c r="M80" s="2000" t="s">
        <v>109</v>
      </c>
      <c r="N80" s="1997">
        <v>4.1399999999999997</v>
      </c>
      <c r="O80" s="2092">
        <f t="shared" si="11"/>
        <v>97687.439999999988</v>
      </c>
      <c r="P80" s="1966">
        <f t="shared" si="8"/>
        <v>48843.719999999994</v>
      </c>
      <c r="Q80" s="1981"/>
      <c r="R80" s="1965"/>
      <c r="S80" s="1963">
        <v>0.1</v>
      </c>
      <c r="T80" s="2092">
        <f t="shared" si="9"/>
        <v>14653.115999999998</v>
      </c>
      <c r="U80" s="2056"/>
      <c r="V80" s="1965"/>
      <c r="W80" s="680">
        <f>O80+P80+T80</f>
        <v>161184.27599999998</v>
      </c>
      <c r="X80" s="2012"/>
      <c r="Y80" s="2012"/>
      <c r="Z80" s="1970">
        <f>W79*12</f>
        <v>2125763.6399999997</v>
      </c>
      <c r="AA80" s="1971">
        <f t="shared" si="12"/>
        <v>338228.10501193313</v>
      </c>
      <c r="AB80" s="1971">
        <f t="shared" si="13"/>
        <v>2657204.5499999998</v>
      </c>
      <c r="AC80" s="1971">
        <f t="shared" si="14"/>
        <v>422785.1312649165</v>
      </c>
      <c r="AJ80" s="1970"/>
      <c r="AK80" s="1970"/>
      <c r="AL80" s="1970"/>
      <c r="AM80" s="1970"/>
      <c r="AN80" s="1970"/>
      <c r="AO80" s="1970"/>
      <c r="AP80" s="1970"/>
    </row>
    <row r="81" spans="1:69" s="1971" customFormat="1" ht="17.25" customHeight="1">
      <c r="A81" s="1973" t="s">
        <v>832</v>
      </c>
      <c r="B81" s="1974" t="s">
        <v>833</v>
      </c>
      <c r="C81" s="1977" t="s">
        <v>75</v>
      </c>
      <c r="D81" s="2009" t="s">
        <v>601</v>
      </c>
      <c r="E81" s="1976" t="s">
        <v>837</v>
      </c>
      <c r="F81" s="1972">
        <v>1</v>
      </c>
      <c r="G81" s="1992" t="s">
        <v>102</v>
      </c>
      <c r="H81" s="1992" t="s">
        <v>118</v>
      </c>
      <c r="I81" s="1993">
        <v>4</v>
      </c>
      <c r="J81" s="1965">
        <v>17697</v>
      </c>
      <c r="K81" s="1978">
        <v>12</v>
      </c>
      <c r="L81" s="1963">
        <f t="shared" si="10"/>
        <v>0.66666666666666663</v>
      </c>
      <c r="M81" s="2008" t="s">
        <v>112</v>
      </c>
      <c r="N81" s="2011">
        <v>3.32</v>
      </c>
      <c r="O81" s="2092">
        <f t="shared" si="11"/>
        <v>39169.359999999993</v>
      </c>
      <c r="P81" s="1966">
        <f t="shared" si="8"/>
        <v>19584.679999999997</v>
      </c>
      <c r="Q81" s="2003"/>
      <c r="R81" s="2004"/>
      <c r="S81" s="1963">
        <v>0.1</v>
      </c>
      <c r="T81" s="2092">
        <f t="shared" si="9"/>
        <v>5875.4039999999995</v>
      </c>
      <c r="U81" s="2005"/>
      <c r="V81" s="2004"/>
      <c r="W81" s="680">
        <f>O81+P81+T81</f>
        <v>64629.443999999996</v>
      </c>
      <c r="X81" s="141"/>
      <c r="Y81" s="141"/>
      <c r="Z81" s="1970">
        <f>W81*12</f>
        <v>775553.32799999998</v>
      </c>
      <c r="AA81" s="1971">
        <f t="shared" si="12"/>
        <v>123397.50644391407</v>
      </c>
      <c r="AB81" s="1971">
        <f t="shared" si="13"/>
        <v>969441.65999999992</v>
      </c>
      <c r="AC81" s="1971">
        <f t="shared" si="14"/>
        <v>154246.88305489259</v>
      </c>
      <c r="AJ81" s="1970"/>
      <c r="AK81" s="1970"/>
      <c r="AL81" s="1970"/>
      <c r="AM81" s="1970"/>
      <c r="AN81" s="1970"/>
      <c r="AO81" s="1970"/>
      <c r="AP81" s="1970"/>
    </row>
    <row r="82" spans="1:69" s="1971" customFormat="1" ht="17.25" customHeight="1">
      <c r="A82" s="1991" t="s">
        <v>162</v>
      </c>
      <c r="B82" s="1984" t="s">
        <v>99</v>
      </c>
      <c r="C82" s="1992" t="s">
        <v>25</v>
      </c>
      <c r="D82" s="2007" t="s">
        <v>194</v>
      </c>
      <c r="E82" s="1985" t="s">
        <v>77</v>
      </c>
      <c r="F82" s="1972">
        <v>1</v>
      </c>
      <c r="G82" s="1992" t="s">
        <v>102</v>
      </c>
      <c r="H82" s="1992" t="s">
        <v>103</v>
      </c>
      <c r="I82" s="1999">
        <v>4</v>
      </c>
      <c r="J82" s="1965">
        <v>17697</v>
      </c>
      <c r="K82" s="1988">
        <v>30</v>
      </c>
      <c r="L82" s="1963">
        <f t="shared" si="10"/>
        <v>1.6666666666666667</v>
      </c>
      <c r="M82" s="2000" t="s">
        <v>112</v>
      </c>
      <c r="N82" s="1980">
        <v>3.71</v>
      </c>
      <c r="O82" s="2092">
        <f t="shared" si="11"/>
        <v>109426.45</v>
      </c>
      <c r="P82" s="1966">
        <f t="shared" si="8"/>
        <v>54713.224999999999</v>
      </c>
      <c r="Q82" s="1981"/>
      <c r="R82" s="1965"/>
      <c r="S82" s="1963">
        <v>0.1</v>
      </c>
      <c r="T82" s="2092">
        <f t="shared" si="9"/>
        <v>16413.967499999999</v>
      </c>
      <c r="U82" s="1982"/>
      <c r="V82" s="1965"/>
      <c r="W82" s="680">
        <f>O82+P82+T82</f>
        <v>180553.64249999999</v>
      </c>
      <c r="X82" s="2012">
        <f>U82+Q82</f>
        <v>0</v>
      </c>
      <c r="Y82" s="2012">
        <f>V82+R82</f>
        <v>0</v>
      </c>
      <c r="Z82" s="1970">
        <f>W82*12</f>
        <v>2166643.71</v>
      </c>
      <c r="AA82" s="1971">
        <f t="shared" si="12"/>
        <v>344732.49164677801</v>
      </c>
      <c r="AB82" s="1971">
        <f t="shared" si="13"/>
        <v>2708304.6375000002</v>
      </c>
      <c r="AC82" s="1971">
        <f t="shared" si="14"/>
        <v>430915.61455847259</v>
      </c>
      <c r="AJ82" s="1970"/>
      <c r="AK82" s="1970"/>
      <c r="AL82" s="1970"/>
      <c r="AM82" s="1970"/>
      <c r="AN82" s="1970"/>
      <c r="AO82" s="1970"/>
      <c r="AP82" s="1970"/>
    </row>
    <row r="83" spans="1:69" s="1971" customFormat="1" ht="17.25" customHeight="1">
      <c r="A83" s="2079" t="s">
        <v>319</v>
      </c>
      <c r="B83" s="2058" t="s">
        <v>99</v>
      </c>
      <c r="C83" s="2074" t="s">
        <v>25</v>
      </c>
      <c r="D83" s="2075" t="s">
        <v>244</v>
      </c>
      <c r="E83" s="2075" t="s">
        <v>239</v>
      </c>
      <c r="F83" s="2085">
        <v>1</v>
      </c>
      <c r="G83" s="2085" t="s">
        <v>232</v>
      </c>
      <c r="H83" s="2085" t="s">
        <v>233</v>
      </c>
      <c r="I83" s="2086">
        <v>3</v>
      </c>
      <c r="J83" s="1965">
        <v>17697</v>
      </c>
      <c r="K83" s="665">
        <v>21</v>
      </c>
      <c r="L83" s="556">
        <f t="shared" si="10"/>
        <v>1.1666666666666667</v>
      </c>
      <c r="M83" s="566" t="s">
        <v>109</v>
      </c>
      <c r="N83" s="1610">
        <v>4.21</v>
      </c>
      <c r="O83" s="567">
        <f>J83*N83/18*K83</f>
        <v>86921.764999999985</v>
      </c>
      <c r="P83" s="556">
        <f t="shared" si="8"/>
        <v>43460.882499999992</v>
      </c>
      <c r="Q83" s="666">
        <v>0.25</v>
      </c>
      <c r="R83" s="554">
        <f>(O83+P83)*Q83</f>
        <v>32595.661874999994</v>
      </c>
      <c r="S83" s="552">
        <v>0.1</v>
      </c>
      <c r="T83" s="567">
        <f>(O83+P83+R83)*S83</f>
        <v>16297.830937499999</v>
      </c>
      <c r="U83" s="19"/>
      <c r="V83" s="554"/>
      <c r="W83" s="570">
        <f>O83+P83+R83+T83</f>
        <v>179276.14031249998</v>
      </c>
      <c r="X83" s="359">
        <f>U82+S82+Q82</f>
        <v>0.1</v>
      </c>
      <c r="Y83" s="359">
        <f>V82+T82+R82</f>
        <v>16413.967499999999</v>
      </c>
      <c r="Z83" s="375">
        <f>W82*12</f>
        <v>2166643.71</v>
      </c>
      <c r="AA83" s="377">
        <f t="shared" si="12"/>
        <v>344732.49164677801</v>
      </c>
      <c r="AB83" s="377">
        <f t="shared" si="13"/>
        <v>2708304.6375000002</v>
      </c>
      <c r="AC83" s="377">
        <f t="shared" si="14"/>
        <v>430915.61455847259</v>
      </c>
      <c r="AD83" s="377"/>
      <c r="AE83" s="377"/>
      <c r="AF83" s="377"/>
      <c r="AG83" s="377"/>
      <c r="AH83" s="377"/>
      <c r="AI83" s="377"/>
      <c r="AJ83" s="906"/>
      <c r="AK83" s="23"/>
      <c r="AL83" s="23"/>
      <c r="AM83" s="23"/>
      <c r="AN83" s="23"/>
      <c r="AO83" s="23"/>
      <c r="AP83" s="23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377"/>
    </row>
    <row r="84" spans="1:69" s="1971" customFormat="1" ht="17.25" customHeight="1">
      <c r="A84" s="2058" t="s">
        <v>272</v>
      </c>
      <c r="B84" s="2058" t="s">
        <v>617</v>
      </c>
      <c r="C84" s="2059" t="s">
        <v>25</v>
      </c>
      <c r="D84" s="2024" t="s">
        <v>898</v>
      </c>
      <c r="E84" s="2007" t="s">
        <v>434</v>
      </c>
      <c r="F84" s="1972">
        <v>1</v>
      </c>
      <c r="G84" s="1992" t="s">
        <v>102</v>
      </c>
      <c r="H84" s="1992" t="s">
        <v>103</v>
      </c>
      <c r="I84" s="2060">
        <v>1</v>
      </c>
      <c r="J84" s="1965">
        <v>17697</v>
      </c>
      <c r="K84" s="2176">
        <v>36</v>
      </c>
      <c r="L84" s="1963">
        <f t="shared" si="10"/>
        <v>2</v>
      </c>
      <c r="M84" s="2000" t="s">
        <v>152</v>
      </c>
      <c r="N84" s="2061">
        <v>4.6900000000000004</v>
      </c>
      <c r="O84" s="2092">
        <f>N84*J84/18*K84</f>
        <v>165997.86000000002</v>
      </c>
      <c r="P84" s="1966">
        <f t="shared" si="8"/>
        <v>82998.930000000008</v>
      </c>
      <c r="Q84" s="1981"/>
      <c r="R84" s="1965"/>
      <c r="S84" s="1963">
        <v>0.1</v>
      </c>
      <c r="T84" s="2092">
        <f>(O84+P84)*S84</f>
        <v>24899.679000000004</v>
      </c>
      <c r="U84" s="2056"/>
      <c r="V84" s="1965"/>
      <c r="W84" s="680">
        <f>O84+P84+T84</f>
        <v>273896.46900000004</v>
      </c>
      <c r="X84" s="141">
        <f>U82+Q82</f>
        <v>0</v>
      </c>
      <c r="Y84" s="141">
        <f>V82+R82</f>
        <v>0</v>
      </c>
      <c r="Z84" s="1970">
        <f>W82*12</f>
        <v>2166643.71</v>
      </c>
      <c r="AA84" s="1971">
        <f t="shared" si="12"/>
        <v>344732.49164677801</v>
      </c>
      <c r="AB84" s="1971">
        <f t="shared" si="13"/>
        <v>2708304.6375000002</v>
      </c>
      <c r="AC84" s="1971">
        <f t="shared" si="14"/>
        <v>430915.61455847259</v>
      </c>
      <c r="AJ84" s="1970"/>
      <c r="AK84" s="1970"/>
      <c r="AL84" s="1970"/>
      <c r="AM84" s="1970"/>
      <c r="AN84" s="1970"/>
      <c r="AO84" s="1970"/>
      <c r="AP84" s="1970"/>
    </row>
    <row r="85" spans="1:69" s="1971" customFormat="1" ht="15">
      <c r="A85" s="26" t="s">
        <v>52</v>
      </c>
      <c r="B85" s="6" t="s">
        <v>53</v>
      </c>
      <c r="C85" s="5" t="s">
        <v>25</v>
      </c>
      <c r="D85" s="57" t="s">
        <v>775</v>
      </c>
      <c r="E85" s="5" t="s">
        <v>73</v>
      </c>
      <c r="F85" s="5">
        <v>1</v>
      </c>
      <c r="G85" s="20" t="s">
        <v>56</v>
      </c>
      <c r="H85" s="20" t="s">
        <v>56</v>
      </c>
      <c r="I85" s="731" t="s">
        <v>57</v>
      </c>
      <c r="J85" s="7">
        <v>17697</v>
      </c>
      <c r="K85" s="7"/>
      <c r="L85" s="70">
        <v>1</v>
      </c>
      <c r="M85" s="7"/>
      <c r="N85" s="1022" t="s">
        <v>639</v>
      </c>
      <c r="O85" s="18">
        <f>N85*J85*L85</f>
        <v>78397.709999999992</v>
      </c>
      <c r="P85" s="44"/>
      <c r="Q85" s="7"/>
      <c r="R85" s="8"/>
      <c r="S85" s="44">
        <v>0.1</v>
      </c>
      <c r="T85" s="7">
        <f>(O85+P85)*S85</f>
        <v>7839.7709999999997</v>
      </c>
      <c r="U85" s="7"/>
      <c r="V85" s="9"/>
      <c r="W85" s="10">
        <f>O85+R85+T85+V85+P85</f>
        <v>86237.480999999985</v>
      </c>
      <c r="X85" s="1268">
        <f>Q85+S85+U85</f>
        <v>0.1</v>
      </c>
      <c r="Y85" s="1268">
        <f>R85+T85+V85</f>
        <v>7839.7709999999997</v>
      </c>
      <c r="Z85" s="1264">
        <f>W85*12</f>
        <v>1034849.7719999999</v>
      </c>
      <c r="AA85" s="1382">
        <f>Z85/12/29.33*30</f>
        <v>88207.447323559478</v>
      </c>
      <c r="AB85" s="1264"/>
      <c r="AC85" s="1264"/>
      <c r="AD85" s="1264"/>
      <c r="AE85" s="1264"/>
      <c r="AF85" s="1264"/>
      <c r="AG85" s="1264"/>
      <c r="AH85" s="1264"/>
      <c r="AI85" s="1264"/>
      <c r="AJ85" s="23"/>
      <c r="AK85" s="23"/>
      <c r="AL85" s="23"/>
      <c r="AM85" s="23"/>
      <c r="AN85" s="23"/>
      <c r="AO85" s="23"/>
      <c r="AP85" s="23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1265"/>
    </row>
    <row r="86" spans="1:69" s="1971" customFormat="1" ht="17.25" customHeight="1">
      <c r="A86" s="1973" t="s">
        <v>166</v>
      </c>
      <c r="B86" s="1974" t="s">
        <v>99</v>
      </c>
      <c r="C86" s="1977" t="s">
        <v>25</v>
      </c>
      <c r="D86" s="2009" t="s">
        <v>244</v>
      </c>
      <c r="E86" s="1976" t="s">
        <v>239</v>
      </c>
      <c r="F86" s="1972">
        <v>1</v>
      </c>
      <c r="G86" s="1992" t="s">
        <v>102</v>
      </c>
      <c r="H86" s="1992" t="s">
        <v>103</v>
      </c>
      <c r="I86" s="1999">
        <v>1</v>
      </c>
      <c r="J86" s="1965">
        <v>17697</v>
      </c>
      <c r="K86" s="1978">
        <v>36</v>
      </c>
      <c r="L86" s="1963">
        <f>K86/18</f>
        <v>2</v>
      </c>
      <c r="M86" s="2010" t="s">
        <v>152</v>
      </c>
      <c r="N86" s="2011">
        <v>4.49</v>
      </c>
      <c r="O86" s="2092">
        <f>N86*J86/18*K86</f>
        <v>158919.06</v>
      </c>
      <c r="P86" s="1966">
        <f>O86*50%</f>
        <v>79459.53</v>
      </c>
      <c r="Q86" s="2003"/>
      <c r="R86" s="2004"/>
      <c r="S86" s="1963">
        <v>0.1</v>
      </c>
      <c r="T86" s="2092">
        <f>(O86+P86)*S86</f>
        <v>23837.859</v>
      </c>
      <c r="U86" s="2005"/>
      <c r="V86" s="2004"/>
      <c r="W86" s="680">
        <f>O86+P86+T86</f>
        <v>262216.44900000002</v>
      </c>
      <c r="X86" s="141">
        <f>U86+Q86</f>
        <v>0</v>
      </c>
      <c r="Y86" s="141">
        <f>V86+R86</f>
        <v>0</v>
      </c>
      <c r="Z86" s="1970">
        <f>W86*12</f>
        <v>3146597.3880000003</v>
      </c>
      <c r="AA86" s="1971">
        <f>Z86/12/29.33*56</f>
        <v>500651.93126491655</v>
      </c>
      <c r="AB86" s="1971">
        <f>Z86*1.25</f>
        <v>3933246.7350000003</v>
      </c>
      <c r="AC86" s="1971">
        <f>AB86/12/29.33*56</f>
        <v>625814.91408114566</v>
      </c>
      <c r="AJ86" s="1970"/>
      <c r="AK86" s="1970"/>
      <c r="AL86" s="1970"/>
      <c r="AM86" s="1970"/>
      <c r="AN86" s="1970"/>
      <c r="AO86" s="1970"/>
      <c r="AP86" s="1970"/>
    </row>
    <row r="87" spans="1:69" s="1971" customFormat="1" ht="15.75">
      <c r="A87" s="2134" t="s">
        <v>607</v>
      </c>
      <c r="B87" s="2129" t="s">
        <v>786</v>
      </c>
      <c r="C87" s="2080" t="s">
        <v>75</v>
      </c>
      <c r="D87" s="2080"/>
      <c r="E87" s="2155"/>
      <c r="F87" s="2080">
        <v>1</v>
      </c>
      <c r="G87" s="2163"/>
      <c r="H87" s="2163"/>
      <c r="I87" s="2080">
        <v>1</v>
      </c>
      <c r="J87" s="2121">
        <v>17697</v>
      </c>
      <c r="K87" s="2121"/>
      <c r="L87" s="1963">
        <v>1</v>
      </c>
      <c r="M87" s="2121"/>
      <c r="N87" s="2004">
        <v>2.77</v>
      </c>
      <c r="O87" s="2121">
        <f>J87*N87*L87</f>
        <v>49020.69</v>
      </c>
      <c r="P87" s="1966"/>
      <c r="Q87" s="2004">
        <f>J87*O88*M87</f>
        <v>0</v>
      </c>
      <c r="R87" s="2121"/>
      <c r="S87" s="1967">
        <v>0.1</v>
      </c>
      <c r="T87" s="1965">
        <f>S87*O87</f>
        <v>4902.0690000000004</v>
      </c>
      <c r="U87" s="2121">
        <v>0</v>
      </c>
      <c r="V87" s="2038">
        <v>12439.34</v>
      </c>
      <c r="W87" s="680">
        <f>O87+T87+V87</f>
        <v>66362.099000000002</v>
      </c>
      <c r="X87" s="2012">
        <f>Q86+U86+W86</f>
        <v>262216.44900000002</v>
      </c>
      <c r="Y87" s="2012">
        <f>R86+V86+X87</f>
        <v>262216.44900000002</v>
      </c>
      <c r="Z87" s="1970">
        <f>W86*12</f>
        <v>3146597.3880000003</v>
      </c>
      <c r="AA87" s="2094">
        <f>Z87/12/29.33*24</f>
        <v>214565.11339924994</v>
      </c>
      <c r="AB87" s="1970"/>
      <c r="AC87" s="1970"/>
      <c r="AD87" s="2107"/>
      <c r="AE87" s="2098"/>
      <c r="AF87" s="1970"/>
      <c r="AJ87" s="1970"/>
      <c r="AK87" s="2098"/>
      <c r="AL87" s="2098"/>
      <c r="AM87" s="1970"/>
      <c r="AN87" s="1970"/>
      <c r="AO87" s="1970"/>
      <c r="AP87" s="1970"/>
    </row>
    <row r="88" spans="1:69" s="1971" customFormat="1" ht="15.75">
      <c r="A88" s="1991" t="s">
        <v>739</v>
      </c>
      <c r="B88" s="1984" t="s">
        <v>99</v>
      </c>
      <c r="C88" s="1992" t="s">
        <v>25</v>
      </c>
      <c r="D88" s="1985" t="s">
        <v>864</v>
      </c>
      <c r="E88" s="1985" t="s">
        <v>159</v>
      </c>
      <c r="F88" s="1972">
        <v>1</v>
      </c>
      <c r="G88" s="1992" t="s">
        <v>102</v>
      </c>
      <c r="H88" s="1992" t="s">
        <v>103</v>
      </c>
      <c r="I88" s="1999">
        <v>4</v>
      </c>
      <c r="J88" s="1965">
        <v>17697</v>
      </c>
      <c r="K88" s="1988">
        <v>7</v>
      </c>
      <c r="L88" s="1963">
        <f>K88/18</f>
        <v>0.3888888888888889</v>
      </c>
      <c r="M88" s="2000" t="s">
        <v>112</v>
      </c>
      <c r="N88" s="1980">
        <v>3.71</v>
      </c>
      <c r="O88" s="2092">
        <f>N88*J88/18*K88</f>
        <v>25532.838333333333</v>
      </c>
      <c r="P88" s="1966">
        <f>O88*50%</f>
        <v>12766.419166666667</v>
      </c>
      <c r="Q88" s="1981"/>
      <c r="R88" s="1965"/>
      <c r="S88" s="1963">
        <v>0.1</v>
      </c>
      <c r="T88" s="2092">
        <f>(O88+P88)*S88</f>
        <v>3829.9257500000003</v>
      </c>
      <c r="U88" s="1982"/>
      <c r="V88" s="1965"/>
      <c r="W88" s="680">
        <f>O88+P88+T88</f>
        <v>42129.183250000002</v>
      </c>
      <c r="X88" s="2012"/>
      <c r="Y88" s="2012"/>
      <c r="Z88" s="1970"/>
      <c r="AJ88" s="1970"/>
      <c r="AK88" s="1970"/>
      <c r="AL88" s="1970"/>
      <c r="AM88" s="1970"/>
      <c r="AN88" s="1970"/>
      <c r="AO88" s="1970"/>
      <c r="AP88" s="1970"/>
    </row>
    <row r="89" spans="1:69" s="1971" customFormat="1" ht="17.25" customHeight="1">
      <c r="A89" s="2079" t="s">
        <v>739</v>
      </c>
      <c r="B89" s="2058" t="s">
        <v>99</v>
      </c>
      <c r="C89" s="2074" t="s">
        <v>25</v>
      </c>
      <c r="D89" s="2075" t="s">
        <v>194</v>
      </c>
      <c r="E89" s="2075" t="s">
        <v>77</v>
      </c>
      <c r="F89" s="2085">
        <v>1</v>
      </c>
      <c r="G89" s="2085" t="s">
        <v>102</v>
      </c>
      <c r="H89" s="2085" t="s">
        <v>103</v>
      </c>
      <c r="I89" s="2087">
        <v>4</v>
      </c>
      <c r="J89" s="1965">
        <v>17697</v>
      </c>
      <c r="K89" s="665">
        <v>10</v>
      </c>
      <c r="L89" s="556">
        <f>K89/18</f>
        <v>0.55555555555555558</v>
      </c>
      <c r="M89" s="997" t="s">
        <v>112</v>
      </c>
      <c r="N89" s="1610">
        <v>3.71</v>
      </c>
      <c r="O89" s="567">
        <f>J89*N89/18*K89</f>
        <v>36475.48333333333</v>
      </c>
      <c r="P89" s="556">
        <f>O89*50%</f>
        <v>18237.741666666665</v>
      </c>
      <c r="Q89" s="666">
        <v>0.25</v>
      </c>
      <c r="R89" s="554">
        <f>(O89+P89)*Q89</f>
        <v>13678.306249999998</v>
      </c>
      <c r="S89" s="552">
        <v>0.1</v>
      </c>
      <c r="T89" s="567">
        <f>(O89+P89+R89)*S89</f>
        <v>6839.1531249999989</v>
      </c>
      <c r="U89" s="19"/>
      <c r="V89" s="554"/>
      <c r="W89" s="570">
        <f>O89+P89+R89+T89</f>
        <v>75230.684374999983</v>
      </c>
      <c r="X89" s="406"/>
      <c r="Y89" s="406"/>
      <c r="Z89" s="375">
        <f>W88*12</f>
        <v>505550.19900000002</v>
      </c>
      <c r="AA89" s="377">
        <f>Z89/12/29.33*56</f>
        <v>80437.581384248217</v>
      </c>
      <c r="AB89" s="377">
        <f>Z89*1.25</f>
        <v>631937.74875000003</v>
      </c>
      <c r="AC89" s="377">
        <f>AB89/12/29.33*56</f>
        <v>100546.97673031027</v>
      </c>
      <c r="AD89" s="377"/>
      <c r="AE89" s="377"/>
      <c r="AF89" s="377"/>
      <c r="AG89" s="377"/>
      <c r="AH89" s="377"/>
      <c r="AI89" s="377"/>
      <c r="AJ89" s="906"/>
      <c r="AK89" s="23"/>
      <c r="AL89" s="23"/>
      <c r="AM89" s="23"/>
      <c r="AN89" s="23"/>
      <c r="AO89" s="23"/>
      <c r="AP89" s="23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377"/>
    </row>
    <row r="90" spans="1:69" s="1971" customFormat="1" ht="17.25" customHeight="1">
      <c r="A90" s="2057" t="s">
        <v>274</v>
      </c>
      <c r="B90" s="2058" t="s">
        <v>99</v>
      </c>
      <c r="C90" s="2059" t="s">
        <v>25</v>
      </c>
      <c r="D90" s="2024" t="s">
        <v>899</v>
      </c>
      <c r="E90" s="2018" t="s">
        <v>239</v>
      </c>
      <c r="F90" s="1972">
        <v>1</v>
      </c>
      <c r="G90" s="1992" t="s">
        <v>102</v>
      </c>
      <c r="H90" s="1992" t="s">
        <v>103</v>
      </c>
      <c r="I90" s="2060">
        <v>2</v>
      </c>
      <c r="J90" s="1965">
        <v>17697</v>
      </c>
      <c r="K90" s="2176">
        <v>23</v>
      </c>
      <c r="L90" s="1963">
        <f>K90/18</f>
        <v>1.2777777777777777</v>
      </c>
      <c r="M90" s="2000" t="s">
        <v>104</v>
      </c>
      <c r="N90" s="2066">
        <v>4.2300000000000004</v>
      </c>
      <c r="O90" s="2092">
        <f>N90*J90/18*K90</f>
        <v>95652.285000000018</v>
      </c>
      <c r="P90" s="1966">
        <f>O90*50%</f>
        <v>47826.142500000009</v>
      </c>
      <c r="Q90" s="2003"/>
      <c r="R90" s="2004"/>
      <c r="S90" s="1963">
        <v>0.1</v>
      </c>
      <c r="T90" s="2092">
        <f>(O90+P90)*S90</f>
        <v>14347.842750000003</v>
      </c>
      <c r="U90" s="2056">
        <v>0.4</v>
      </c>
      <c r="V90" s="1965">
        <f>(J90*N90)*1.5/100*40</f>
        <v>44914.986000000004</v>
      </c>
      <c r="W90" s="680">
        <f>O90+P90+T90+V90</f>
        <v>202741.25625000003</v>
      </c>
      <c r="X90" s="141"/>
      <c r="Y90" s="141"/>
      <c r="Z90" s="1970">
        <f>W89*12</f>
        <v>902768.21249999979</v>
      </c>
      <c r="AA90" s="1971">
        <f>Z90/12/29.33*56</f>
        <v>143638.53818615747</v>
      </c>
      <c r="AB90" s="1971">
        <f>Z90*1.25</f>
        <v>1128460.2656249998</v>
      </c>
      <c r="AC90" s="1971">
        <f>AB90/12/29.33*56</f>
        <v>179548.17273269687</v>
      </c>
      <c r="AJ90" s="1970"/>
      <c r="AK90" s="1970"/>
      <c r="AL90" s="1970"/>
      <c r="AM90" s="1970"/>
      <c r="AN90" s="1970"/>
      <c r="AO90" s="1970"/>
      <c r="AP90" s="1970"/>
    </row>
    <row r="91" spans="1:69" s="1971" customFormat="1" ht="17.25" customHeight="1">
      <c r="A91" s="1991" t="s">
        <v>274</v>
      </c>
      <c r="B91" s="2058" t="s">
        <v>99</v>
      </c>
      <c r="C91" s="2074" t="s">
        <v>25</v>
      </c>
      <c r="D91" s="2024" t="s">
        <v>899</v>
      </c>
      <c r="E91" s="1985" t="s">
        <v>239</v>
      </c>
      <c r="F91" s="2085">
        <v>1</v>
      </c>
      <c r="G91" s="2085" t="s">
        <v>102</v>
      </c>
      <c r="H91" s="2085" t="s">
        <v>103</v>
      </c>
      <c r="I91" s="2086">
        <v>2</v>
      </c>
      <c r="J91" s="1965">
        <v>17697</v>
      </c>
      <c r="K91" s="665">
        <v>12</v>
      </c>
      <c r="L91" s="556">
        <f>K91/18</f>
        <v>0.66666666666666663</v>
      </c>
      <c r="M91" s="574" t="s">
        <v>104</v>
      </c>
      <c r="N91" s="1608">
        <v>4.2300000000000004</v>
      </c>
      <c r="O91" s="567">
        <f>J91*N91/18*K91</f>
        <v>49905.540000000008</v>
      </c>
      <c r="P91" s="556">
        <f>O91*50%</f>
        <v>24952.770000000004</v>
      </c>
      <c r="Q91" s="666">
        <v>0.25</v>
      </c>
      <c r="R91" s="554">
        <f>(O91+P91)*Q91</f>
        <v>18714.577500000003</v>
      </c>
      <c r="S91" s="552">
        <v>0.1</v>
      </c>
      <c r="T91" s="567">
        <f>(O91+P91+R91)*S91</f>
        <v>9357.2887500000015</v>
      </c>
      <c r="U91" s="19"/>
      <c r="V91" s="554"/>
      <c r="W91" s="570">
        <f>O91+P91+R91+T91</f>
        <v>102930.17625000002</v>
      </c>
      <c r="X91" s="919"/>
      <c r="Y91" s="919"/>
      <c r="Z91" s="375">
        <f>W90*12</f>
        <v>2432895.0750000002</v>
      </c>
      <c r="AA91" s="377">
        <f>Z91/12/29.33*56</f>
        <v>387095.47732696903</v>
      </c>
      <c r="AB91" s="377">
        <f>Z91*1.25</f>
        <v>3041118.84375</v>
      </c>
      <c r="AC91" s="377">
        <f>AB91/12/29.33*56</f>
        <v>483869.34665871126</v>
      </c>
      <c r="AD91" s="377"/>
      <c r="AE91" s="377"/>
      <c r="AF91" s="377"/>
      <c r="AG91" s="377"/>
      <c r="AH91" s="377"/>
      <c r="AI91" s="377"/>
      <c r="AJ91" s="906"/>
      <c r="AK91" s="23"/>
      <c r="AL91" s="23"/>
      <c r="AM91" s="23"/>
      <c r="AN91" s="23"/>
      <c r="AO91" s="23"/>
      <c r="AP91" s="23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377"/>
    </row>
    <row r="92" spans="1:69" s="1971" customFormat="1" ht="17.25" customHeight="1">
      <c r="A92" s="2062" t="s">
        <v>420</v>
      </c>
      <c r="B92" s="2063" t="s">
        <v>99</v>
      </c>
      <c r="C92" s="2064" t="s">
        <v>25</v>
      </c>
      <c r="D92" s="2065" t="s">
        <v>900</v>
      </c>
      <c r="E92" s="1976" t="s">
        <v>239</v>
      </c>
      <c r="F92" s="1975">
        <v>1</v>
      </c>
      <c r="G92" s="1992" t="s">
        <v>102</v>
      </c>
      <c r="H92" s="1992" t="s">
        <v>103</v>
      </c>
      <c r="I92" s="2060">
        <v>3</v>
      </c>
      <c r="J92" s="1965">
        <v>17697</v>
      </c>
      <c r="K92" s="2177">
        <v>24</v>
      </c>
      <c r="L92" s="1963">
        <f>K92/18</f>
        <v>1.3333333333333333</v>
      </c>
      <c r="M92" s="2072" t="s">
        <v>109</v>
      </c>
      <c r="N92" s="2066">
        <v>4.21</v>
      </c>
      <c r="O92" s="2121">
        <f>N92*J92/18*K92</f>
        <v>99339.159999999989</v>
      </c>
      <c r="P92" s="1966">
        <f>O92*50%</f>
        <v>49669.579999999994</v>
      </c>
      <c r="Q92" s="2003"/>
      <c r="R92" s="2004"/>
      <c r="S92" s="1963">
        <v>0.1</v>
      </c>
      <c r="T92" s="2092">
        <f>(O92+P92)*S92</f>
        <v>14900.874</v>
      </c>
      <c r="U92" s="2067"/>
      <c r="V92" s="2004"/>
      <c r="W92" s="680">
        <f>O92+P92+T92</f>
        <v>163909.614</v>
      </c>
      <c r="X92" s="2012">
        <f>U91+Q91</f>
        <v>0.25</v>
      </c>
      <c r="Y92" s="2012">
        <f>V91+R91</f>
        <v>18714.577500000003</v>
      </c>
      <c r="Z92" s="1970">
        <f>W91*12</f>
        <v>1235162.1150000002</v>
      </c>
      <c r="AA92" s="1971">
        <f>Z92/12/29.33*56</f>
        <v>196525.39618138428</v>
      </c>
      <c r="AB92" s="1971">
        <f>Z92*1.25</f>
        <v>1543952.6437500003</v>
      </c>
      <c r="AC92" s="1971">
        <f>AB92/12/29.33*56</f>
        <v>245656.74522673036</v>
      </c>
      <c r="AJ92" s="1970"/>
      <c r="AK92" s="1970"/>
      <c r="AL92" s="1970"/>
      <c r="AM92" s="1970"/>
      <c r="AN92" s="1970"/>
      <c r="AO92" s="1970"/>
      <c r="AP92" s="1970"/>
    </row>
    <row r="93" spans="1:69" s="1971" customFormat="1" ht="17.25" customHeight="1">
      <c r="A93" s="2137" t="s">
        <v>399</v>
      </c>
      <c r="B93" s="1707" t="s">
        <v>621</v>
      </c>
      <c r="C93" s="1632" t="s">
        <v>25</v>
      </c>
      <c r="D93" s="1631" t="s">
        <v>776</v>
      </c>
      <c r="E93" s="1632" t="s">
        <v>77</v>
      </c>
      <c r="F93" s="5">
        <v>1</v>
      </c>
      <c r="G93" s="1632" t="s">
        <v>61</v>
      </c>
      <c r="H93" s="1632" t="s">
        <v>61</v>
      </c>
      <c r="I93" s="2170">
        <v>1</v>
      </c>
      <c r="J93" s="7">
        <v>17697</v>
      </c>
      <c r="K93" s="885"/>
      <c r="L93" s="70">
        <v>1</v>
      </c>
      <c r="M93" s="732"/>
      <c r="N93" s="2193" t="s">
        <v>402</v>
      </c>
      <c r="O93" s="18">
        <f>N93*J93*L93</f>
        <v>53798.879999999997</v>
      </c>
      <c r="P93" s="44"/>
      <c r="Q93" s="34"/>
      <c r="R93" s="37"/>
      <c r="S93" s="44">
        <v>0.1</v>
      </c>
      <c r="T93" s="7">
        <f>(O93+P93)*S93</f>
        <v>5379.8879999999999</v>
      </c>
      <c r="U93" s="7"/>
      <c r="V93" s="9"/>
      <c r="W93" s="10">
        <f>O93+R93+T93+V93+P93</f>
        <v>59178.767999999996</v>
      </c>
      <c r="X93" s="1269">
        <f>Q93+S93+U93</f>
        <v>0.1</v>
      </c>
      <c r="Y93" s="1269">
        <f>R93+T93+V93</f>
        <v>5379.8879999999999</v>
      </c>
      <c r="Z93" s="1264">
        <f>W93*12</f>
        <v>710145.21600000001</v>
      </c>
      <c r="AA93" s="1382">
        <f>Z93/12/29.33*30</f>
        <v>60530.618479372664</v>
      </c>
      <c r="AB93" s="1264"/>
      <c r="AC93" s="1264"/>
      <c r="AD93" s="1264"/>
      <c r="AE93" s="1264"/>
      <c r="AF93" s="1264"/>
      <c r="AG93" s="1264"/>
      <c r="AH93" s="1264"/>
      <c r="AI93" s="1264"/>
      <c r="AJ93" s="23"/>
      <c r="AK93" s="23"/>
      <c r="AL93" s="23"/>
      <c r="AM93" s="23"/>
      <c r="AN93" s="23"/>
      <c r="AO93" s="23"/>
      <c r="AP93" s="23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1265"/>
    </row>
    <row r="94" spans="1:69" s="1971" customFormat="1" ht="16.5" customHeight="1">
      <c r="A94" s="1991" t="s">
        <v>917</v>
      </c>
      <c r="B94" s="2058" t="s">
        <v>338</v>
      </c>
      <c r="C94" s="1972" t="s">
        <v>64</v>
      </c>
      <c r="D94" s="1992"/>
      <c r="E94" s="2089"/>
      <c r="F94" s="2090">
        <v>1.5</v>
      </c>
      <c r="G94" s="1992"/>
      <c r="H94" s="2091"/>
      <c r="I94" s="1992">
        <v>2</v>
      </c>
      <c r="J94" s="2046">
        <v>17697</v>
      </c>
      <c r="K94" s="2046"/>
      <c r="L94" s="1966">
        <v>1.5</v>
      </c>
      <c r="M94" s="2004"/>
      <c r="N94" s="2046">
        <v>2.81</v>
      </c>
      <c r="O94" s="2092">
        <f>J94*N94*L94</f>
        <v>74592.854999999996</v>
      </c>
      <c r="P94" s="1966"/>
      <c r="Q94" s="2046">
        <f>J94*O95*M94</f>
        <v>0</v>
      </c>
      <c r="R94" s="2045"/>
      <c r="S94" s="1967">
        <v>0.1</v>
      </c>
      <c r="T94" s="1965">
        <f>S94*O94</f>
        <v>7459.2855</v>
      </c>
      <c r="U94" s="1965"/>
      <c r="V94" s="1982"/>
      <c r="W94" s="680">
        <f>O94+T94+V94</f>
        <v>82052.140499999994</v>
      </c>
      <c r="X94" s="2040"/>
      <c r="Y94" s="2040"/>
      <c r="Z94" s="1970" t="e">
        <f>SUM(Z1:Z93)</f>
        <v>#REF!</v>
      </c>
      <c r="AB94" s="1971" t="e">
        <f>SUM(AB1:AB93)</f>
        <v>#REF!</v>
      </c>
      <c r="AC94" s="1971" t="e">
        <f>SUM(AC1:AC93)</f>
        <v>#REF!</v>
      </c>
      <c r="AJ94" s="1970"/>
      <c r="AK94" s="1970"/>
      <c r="AL94" s="1970"/>
      <c r="AM94" s="1970"/>
      <c r="AN94" s="1970"/>
      <c r="AO94" s="1970"/>
      <c r="AP94" s="1970"/>
    </row>
    <row r="95" spans="1:69" s="1971" customFormat="1" ht="16.5" customHeight="1">
      <c r="A95" s="1991" t="s">
        <v>168</v>
      </c>
      <c r="B95" s="1984" t="s">
        <v>99</v>
      </c>
      <c r="C95" s="1992" t="s">
        <v>25</v>
      </c>
      <c r="D95" s="1985" t="s">
        <v>865</v>
      </c>
      <c r="E95" s="1985" t="s">
        <v>73</v>
      </c>
      <c r="F95" s="1972">
        <v>1</v>
      </c>
      <c r="G95" s="1992" t="s">
        <v>102</v>
      </c>
      <c r="H95" s="1992" t="s">
        <v>103</v>
      </c>
      <c r="I95" s="2017">
        <v>2</v>
      </c>
      <c r="J95" s="1965">
        <v>17697</v>
      </c>
      <c r="K95" s="1988">
        <v>33</v>
      </c>
      <c r="L95" s="1963">
        <f t="shared" ref="L95:L107" si="15">K95/18</f>
        <v>1.8333333333333333</v>
      </c>
      <c r="M95" s="1979" t="s">
        <v>104</v>
      </c>
      <c r="N95" s="1980">
        <v>4.16</v>
      </c>
      <c r="O95" s="2092">
        <f>N95*J95/18*K95</f>
        <v>134969.12</v>
      </c>
      <c r="P95" s="1966">
        <f t="shared" ref="P95:P107" si="16">O95*50%</f>
        <v>67484.56</v>
      </c>
      <c r="Q95" s="1981"/>
      <c r="R95" s="1965"/>
      <c r="S95" s="1963">
        <v>0.1</v>
      </c>
      <c r="T95" s="2092">
        <f>(O95+P95)*S95</f>
        <v>20245.368000000002</v>
      </c>
      <c r="U95" s="1982"/>
      <c r="V95" s="1965"/>
      <c r="W95" s="680">
        <f>O95+P95+T95</f>
        <v>222699.04800000001</v>
      </c>
      <c r="X95" s="2048">
        <f>U95+Q95</f>
        <v>0</v>
      </c>
      <c r="Y95" s="2048">
        <f>V95+R95</f>
        <v>0</v>
      </c>
      <c r="Z95" s="1970">
        <f>W95*12</f>
        <v>2672388.5760000004</v>
      </c>
      <c r="AA95" s="1971">
        <f>Z95/12/29.33*56</f>
        <v>425201.04630071606</v>
      </c>
      <c r="AB95" s="1971">
        <f>Z95*1.25</f>
        <v>3340485.7200000007</v>
      </c>
      <c r="AC95" s="1971">
        <f>AB95/12/29.33*56</f>
        <v>531501.30787589517</v>
      </c>
      <c r="AJ95" s="1970"/>
      <c r="AK95" s="1970"/>
      <c r="AL95" s="1970"/>
      <c r="AM95" s="1970"/>
      <c r="AN95" s="1970"/>
      <c r="AO95" s="1970"/>
      <c r="AP95" s="1970"/>
    </row>
    <row r="96" spans="1:69" s="1971" customFormat="1" ht="17.25" customHeight="1">
      <c r="A96" s="1961" t="s">
        <v>89</v>
      </c>
      <c r="B96" s="1962" t="s">
        <v>170</v>
      </c>
      <c r="C96" s="1986" t="s">
        <v>25</v>
      </c>
      <c r="D96" s="2009" t="s">
        <v>866</v>
      </c>
      <c r="E96" s="2009" t="s">
        <v>239</v>
      </c>
      <c r="F96" s="1960">
        <v>1</v>
      </c>
      <c r="G96" s="1986" t="s">
        <v>102</v>
      </c>
      <c r="H96" s="1986" t="s">
        <v>103</v>
      </c>
      <c r="I96" s="2169">
        <v>3</v>
      </c>
      <c r="J96" s="1963">
        <v>17697</v>
      </c>
      <c r="K96" s="1964">
        <v>17</v>
      </c>
      <c r="L96" s="1963">
        <f t="shared" si="15"/>
        <v>0.94444444444444442</v>
      </c>
      <c r="M96" s="1979" t="s">
        <v>109</v>
      </c>
      <c r="N96" s="2001">
        <v>4.21</v>
      </c>
      <c r="O96" s="1966">
        <f>N96*J96/18*K96</f>
        <v>70365.238333333327</v>
      </c>
      <c r="P96" s="1966">
        <f t="shared" si="16"/>
        <v>35182.619166666664</v>
      </c>
      <c r="Q96" s="1967"/>
      <c r="R96" s="1963"/>
      <c r="S96" s="1963">
        <v>0.1</v>
      </c>
      <c r="T96" s="1966">
        <f>(O96+P96)*S96</f>
        <v>10554.785749999999</v>
      </c>
      <c r="U96" s="1982"/>
      <c r="V96" s="1963"/>
      <c r="W96" s="940">
        <f>O96+P96+T96</f>
        <v>116102.64324999998</v>
      </c>
      <c r="X96" s="141">
        <f>U96+Q96</f>
        <v>0</v>
      </c>
      <c r="Y96" s="141">
        <f>V96+R96</f>
        <v>0</v>
      </c>
      <c r="Z96" s="1970">
        <f>W96*12</f>
        <v>1393231.7189999998</v>
      </c>
      <c r="AA96" s="1971">
        <f>Z96/12/29.33*56</f>
        <v>221675.69116945105</v>
      </c>
      <c r="AB96" s="1971">
        <f>Z96*1.25</f>
        <v>1741539.6487499997</v>
      </c>
      <c r="AC96" s="1971">
        <f>AB96/12/29.33*56</f>
        <v>277094.6139618138</v>
      </c>
      <c r="AJ96" s="1970"/>
      <c r="AK96" s="1970"/>
      <c r="AL96" s="1970"/>
      <c r="AM96" s="1970"/>
      <c r="AN96" s="1970"/>
      <c r="AO96" s="1970"/>
      <c r="AP96" s="1970"/>
    </row>
    <row r="97" spans="1:69" s="1971" customFormat="1" ht="17.25" customHeight="1">
      <c r="A97" s="2079" t="s">
        <v>937</v>
      </c>
      <c r="B97" s="2058" t="s">
        <v>99</v>
      </c>
      <c r="C97" s="2074" t="s">
        <v>25</v>
      </c>
      <c r="D97" s="2075" t="s">
        <v>939</v>
      </c>
      <c r="E97" s="2075" t="s">
        <v>34</v>
      </c>
      <c r="F97" s="2085">
        <v>1</v>
      </c>
      <c r="G97" s="2085" t="s">
        <v>102</v>
      </c>
      <c r="H97" s="2085" t="s">
        <v>103</v>
      </c>
      <c r="I97" s="2086">
        <v>1</v>
      </c>
      <c r="J97" s="1965">
        <v>17697</v>
      </c>
      <c r="K97" s="1607">
        <v>17</v>
      </c>
      <c r="L97" s="556">
        <f t="shared" si="15"/>
        <v>0.94444444444444442</v>
      </c>
      <c r="M97" s="997" t="s">
        <v>152</v>
      </c>
      <c r="N97" s="1610">
        <v>4.75</v>
      </c>
      <c r="O97" s="556">
        <f>J97*N97/18*K97</f>
        <v>79390.708333333343</v>
      </c>
      <c r="P97" s="556">
        <f t="shared" si="16"/>
        <v>39695.354166666672</v>
      </c>
      <c r="Q97" s="666">
        <v>0.25</v>
      </c>
      <c r="R97" s="554">
        <f>(O97+P97)*Q97</f>
        <v>29771.515625000004</v>
      </c>
      <c r="S97" s="554">
        <v>0.1</v>
      </c>
      <c r="T97" s="556">
        <f>(O97+P97+R97)*S97</f>
        <v>14885.757812500004</v>
      </c>
      <c r="U97" s="19"/>
      <c r="V97" s="552"/>
      <c r="W97" s="559">
        <f>O97+P97+R97+T97</f>
        <v>163743.33593750003</v>
      </c>
      <c r="X97" s="363"/>
      <c r="Y97" s="363"/>
      <c r="Z97" s="375"/>
      <c r="AA97" s="377"/>
      <c r="AB97" s="377"/>
      <c r="AC97" s="377"/>
      <c r="AD97" s="377"/>
      <c r="AE97" s="377"/>
      <c r="AF97" s="377"/>
      <c r="AG97" s="377"/>
      <c r="AH97" s="377"/>
      <c r="AI97" s="377"/>
      <c r="AJ97" s="906"/>
      <c r="AK97" s="23"/>
      <c r="AL97" s="23"/>
      <c r="AM97" s="23"/>
      <c r="AN97" s="23"/>
      <c r="AO97" s="23"/>
      <c r="AP97" s="23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377"/>
    </row>
    <row r="98" spans="1:69" s="1971" customFormat="1" ht="17.25" customHeight="1">
      <c r="A98" s="1973" t="s">
        <v>171</v>
      </c>
      <c r="B98" s="1974" t="s">
        <v>99</v>
      </c>
      <c r="C98" s="1977" t="s">
        <v>25</v>
      </c>
      <c r="D98" s="1976" t="s">
        <v>867</v>
      </c>
      <c r="E98" s="1976" t="s">
        <v>34</v>
      </c>
      <c r="F98" s="1972">
        <v>1</v>
      </c>
      <c r="G98" s="1992" t="s">
        <v>102</v>
      </c>
      <c r="H98" s="1992" t="s">
        <v>103</v>
      </c>
      <c r="I98" s="1999">
        <v>1</v>
      </c>
      <c r="J98" s="1965">
        <v>17697</v>
      </c>
      <c r="K98" s="1964">
        <v>36</v>
      </c>
      <c r="L98" s="1963">
        <f t="shared" si="15"/>
        <v>2</v>
      </c>
      <c r="M98" s="2010" t="s">
        <v>152</v>
      </c>
      <c r="N98" s="2011">
        <v>4.75</v>
      </c>
      <c r="O98" s="1966">
        <f>N98*J98/18*K98</f>
        <v>168121.5</v>
      </c>
      <c r="P98" s="1966">
        <f t="shared" si="16"/>
        <v>84060.75</v>
      </c>
      <c r="Q98" s="2003"/>
      <c r="R98" s="2004"/>
      <c r="S98" s="1965">
        <v>0.1</v>
      </c>
      <c r="T98" s="1966">
        <f>(O98+P98)*S98</f>
        <v>25218.225000000002</v>
      </c>
      <c r="U98" s="2005"/>
      <c r="V98" s="1963"/>
      <c r="W98" s="940">
        <f>O98+P98+T98</f>
        <v>277400.47499999998</v>
      </c>
      <c r="X98" s="141"/>
      <c r="Y98" s="141"/>
      <c r="Z98" s="1970">
        <f>W98*12</f>
        <v>3328805.6999999997</v>
      </c>
      <c r="AA98" s="1971">
        <f>Z98/12/29.33*56</f>
        <v>529642.91169451072</v>
      </c>
      <c r="AB98" s="1971">
        <f>Z98*1.25</f>
        <v>4161007.1249999995</v>
      </c>
      <c r="AC98" s="1971">
        <f>AB98/12/29.33*56</f>
        <v>662053.63961813832</v>
      </c>
      <c r="AJ98" s="1970"/>
      <c r="AK98" s="1970"/>
      <c r="AL98" s="1970"/>
      <c r="AM98" s="1970"/>
      <c r="AN98" s="1970"/>
      <c r="AO98" s="1970"/>
      <c r="AP98" s="1970"/>
    </row>
    <row r="99" spans="1:69" s="1971" customFormat="1" ht="17.25" customHeight="1">
      <c r="A99" s="1973" t="s">
        <v>207</v>
      </c>
      <c r="B99" s="1974" t="s">
        <v>817</v>
      </c>
      <c r="C99" s="1977" t="s">
        <v>25</v>
      </c>
      <c r="D99" s="1976" t="s">
        <v>928</v>
      </c>
      <c r="E99" s="1985" t="s">
        <v>362</v>
      </c>
      <c r="F99" s="2124">
        <v>1</v>
      </c>
      <c r="G99" s="1972" t="s">
        <v>102</v>
      </c>
      <c r="H99" s="1972" t="s">
        <v>103</v>
      </c>
      <c r="I99" s="2070">
        <v>1</v>
      </c>
      <c r="J99" s="1965">
        <v>17697</v>
      </c>
      <c r="K99" s="2001">
        <v>27</v>
      </c>
      <c r="L99" s="1963">
        <f t="shared" si="15"/>
        <v>1.5</v>
      </c>
      <c r="M99" s="2008" t="s">
        <v>152</v>
      </c>
      <c r="N99" s="2123">
        <v>4.55</v>
      </c>
      <c r="O99" s="1966">
        <f>N99*J99/18*K99</f>
        <v>120782.02499999999</v>
      </c>
      <c r="P99" s="1966">
        <f t="shared" si="16"/>
        <v>60391.012499999997</v>
      </c>
      <c r="Q99" s="2003"/>
      <c r="R99" s="2004"/>
      <c r="S99" s="1965">
        <v>0.1</v>
      </c>
      <c r="T99" s="1966">
        <f>(O99+P99)*S99</f>
        <v>18117.303749999999</v>
      </c>
      <c r="U99" s="2067"/>
      <c r="V99" s="1963"/>
      <c r="W99" s="940">
        <f>O99+P99+T99</f>
        <v>199290.34124999997</v>
      </c>
      <c r="X99" s="2012"/>
      <c r="Y99" s="2012"/>
      <c r="Z99" s="1970"/>
      <c r="AJ99" s="1970"/>
      <c r="AK99" s="1970"/>
      <c r="AL99" s="1970"/>
      <c r="AM99" s="1970"/>
      <c r="AN99" s="1970"/>
      <c r="AO99" s="1970"/>
      <c r="AP99" s="1970"/>
    </row>
    <row r="100" spans="1:69" s="1971" customFormat="1" ht="17.25" customHeight="1">
      <c r="A100" s="1991" t="s">
        <v>173</v>
      </c>
      <c r="B100" s="1984" t="s">
        <v>99</v>
      </c>
      <c r="C100" s="1992" t="s">
        <v>25</v>
      </c>
      <c r="D100" s="1985" t="s">
        <v>868</v>
      </c>
      <c r="E100" s="1985" t="s">
        <v>66</v>
      </c>
      <c r="F100" s="1972">
        <v>1</v>
      </c>
      <c r="G100" s="1992" t="s">
        <v>102</v>
      </c>
      <c r="H100" s="1992" t="s">
        <v>103</v>
      </c>
      <c r="I100" s="1999">
        <v>1</v>
      </c>
      <c r="J100" s="1965">
        <v>17697</v>
      </c>
      <c r="K100" s="1964">
        <v>33</v>
      </c>
      <c r="L100" s="1963">
        <f t="shared" si="15"/>
        <v>1.8333333333333333</v>
      </c>
      <c r="M100" s="2000" t="s">
        <v>152</v>
      </c>
      <c r="N100" s="2020">
        <v>4.55</v>
      </c>
      <c r="O100" s="1966">
        <f>N100*J100/18*K100</f>
        <v>147622.47499999998</v>
      </c>
      <c r="P100" s="1966">
        <f t="shared" si="16"/>
        <v>73811.237499999988</v>
      </c>
      <c r="Q100" s="1981"/>
      <c r="R100" s="1965"/>
      <c r="S100" s="1965">
        <v>0.1</v>
      </c>
      <c r="T100" s="1966">
        <f>(O100+P100)*S100</f>
        <v>22143.371249999997</v>
      </c>
      <c r="U100" s="1982"/>
      <c r="V100" s="1963"/>
      <c r="W100" s="940">
        <f>O100+P100+T100</f>
        <v>243577.08374999996</v>
      </c>
      <c r="X100" s="2012">
        <f>U100+Q100</f>
        <v>0</v>
      </c>
      <c r="Y100" s="2012">
        <f>V100+R100</f>
        <v>0</v>
      </c>
      <c r="Z100" s="1970">
        <f>W100*12</f>
        <v>2922925.0049999994</v>
      </c>
      <c r="AA100" s="1971">
        <f>Z100/12/29.33*56</f>
        <v>465063.64439140807</v>
      </c>
      <c r="AB100" s="1971">
        <f>Z100*1.25</f>
        <v>3653656.2562499992</v>
      </c>
      <c r="AC100" s="1971">
        <f>AB100/12/29.33*56</f>
        <v>581329.55548926012</v>
      </c>
      <c r="AJ100" s="1970"/>
      <c r="AK100" s="1970"/>
      <c r="AL100" s="1970"/>
      <c r="AM100" s="1970"/>
      <c r="AN100" s="1970"/>
      <c r="AO100" s="1970"/>
      <c r="AP100" s="1970"/>
    </row>
    <row r="101" spans="1:69" s="1971" customFormat="1" ht="16.5" customHeight="1">
      <c r="A101" s="2078" t="s">
        <v>758</v>
      </c>
      <c r="B101" s="2058" t="s">
        <v>99</v>
      </c>
      <c r="C101" s="2074" t="s">
        <v>25</v>
      </c>
      <c r="D101" s="2075" t="s">
        <v>911</v>
      </c>
      <c r="E101" s="2075" t="s">
        <v>366</v>
      </c>
      <c r="F101" s="2085">
        <v>1</v>
      </c>
      <c r="G101" s="1992" t="s">
        <v>102</v>
      </c>
      <c r="H101" s="1992" t="s">
        <v>103</v>
      </c>
      <c r="I101" s="1999">
        <v>4</v>
      </c>
      <c r="J101" s="1965">
        <v>17697</v>
      </c>
      <c r="K101" s="1607">
        <v>14</v>
      </c>
      <c r="L101" s="556">
        <f t="shared" si="15"/>
        <v>0.77777777777777779</v>
      </c>
      <c r="M101" s="997" t="s">
        <v>112</v>
      </c>
      <c r="N101" s="1608">
        <v>4.12</v>
      </c>
      <c r="O101" s="556">
        <f>J101*N101/18*K101</f>
        <v>56709.05333333333</v>
      </c>
      <c r="P101" s="556">
        <f t="shared" si="16"/>
        <v>28354.526666666665</v>
      </c>
      <c r="Q101" s="666">
        <v>0.25</v>
      </c>
      <c r="R101" s="554">
        <f>(O101+P101)*Q101</f>
        <v>21265.894999999997</v>
      </c>
      <c r="S101" s="554">
        <v>0.1</v>
      </c>
      <c r="T101" s="556">
        <f>(O101+P101+R101)*S101</f>
        <v>10632.947499999998</v>
      </c>
      <c r="U101" s="19"/>
      <c r="V101" s="552"/>
      <c r="W101" s="559">
        <f>O101+P101+R101+T101</f>
        <v>116962.42249999997</v>
      </c>
      <c r="X101" s="919"/>
      <c r="Y101" s="919"/>
      <c r="Z101" s="375"/>
      <c r="AA101" s="377"/>
      <c r="AB101" s="377"/>
      <c r="AC101" s="377"/>
      <c r="AD101" s="377"/>
      <c r="AE101" s="377"/>
      <c r="AF101" s="377"/>
      <c r="AG101" s="377"/>
      <c r="AH101" s="377"/>
      <c r="AI101" s="377"/>
      <c r="AJ101" s="906"/>
      <c r="AK101" s="23"/>
      <c r="AL101" s="23"/>
      <c r="AM101" s="23"/>
      <c r="AN101" s="23"/>
      <c r="AO101" s="23"/>
      <c r="AP101" s="23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377"/>
    </row>
    <row r="102" spans="1:69" s="1971" customFormat="1" ht="17.25" customHeight="1">
      <c r="A102" s="1991" t="s">
        <v>281</v>
      </c>
      <c r="B102" s="1984" t="s">
        <v>99</v>
      </c>
      <c r="C102" s="2059" t="s">
        <v>25</v>
      </c>
      <c r="D102" s="2024" t="s">
        <v>929</v>
      </c>
      <c r="E102" s="1985" t="s">
        <v>40</v>
      </c>
      <c r="F102" s="2119">
        <v>1</v>
      </c>
      <c r="G102" s="1992" t="s">
        <v>102</v>
      </c>
      <c r="H102" s="1992" t="s">
        <v>103</v>
      </c>
      <c r="I102" s="2060">
        <v>1</v>
      </c>
      <c r="J102" s="1965">
        <v>17697</v>
      </c>
      <c r="K102" s="2117">
        <v>6</v>
      </c>
      <c r="L102" s="1963">
        <f t="shared" si="15"/>
        <v>0.33333333333333331</v>
      </c>
      <c r="M102" s="2000" t="s">
        <v>152</v>
      </c>
      <c r="N102" s="1997">
        <v>4.75</v>
      </c>
      <c r="O102" s="1966">
        <f>N102*J102/18*K102</f>
        <v>28020.25</v>
      </c>
      <c r="P102" s="1966">
        <f t="shared" si="16"/>
        <v>14010.125</v>
      </c>
      <c r="Q102" s="1981"/>
      <c r="R102" s="1965"/>
      <c r="S102" s="1965">
        <v>0.1</v>
      </c>
      <c r="T102" s="1966">
        <f>(O102+P102)*S102</f>
        <v>4203.0375000000004</v>
      </c>
      <c r="U102" s="2056"/>
      <c r="V102" s="1963"/>
      <c r="W102" s="940">
        <f>O102+P102+T102</f>
        <v>46233.412499999999</v>
      </c>
      <c r="X102" s="141"/>
      <c r="Y102" s="141"/>
      <c r="Z102" s="1970"/>
      <c r="AJ102" s="1970"/>
      <c r="AK102" s="1970"/>
      <c r="AL102" s="1970"/>
      <c r="AM102" s="1970"/>
      <c r="AN102" s="1970"/>
      <c r="AO102" s="1970"/>
      <c r="AP102" s="1970"/>
    </row>
    <row r="103" spans="1:69" s="1971" customFormat="1" ht="16.5" customHeight="1">
      <c r="A103" s="2058" t="s">
        <v>281</v>
      </c>
      <c r="B103" s="2058" t="s">
        <v>99</v>
      </c>
      <c r="C103" s="2059" t="s">
        <v>25</v>
      </c>
      <c r="D103" s="2024" t="s">
        <v>694</v>
      </c>
      <c r="E103" s="1985" t="s">
        <v>40</v>
      </c>
      <c r="F103" s="1972">
        <v>1</v>
      </c>
      <c r="G103" s="1992" t="s">
        <v>102</v>
      </c>
      <c r="H103" s="1992" t="s">
        <v>103</v>
      </c>
      <c r="I103" s="2070">
        <v>1</v>
      </c>
      <c r="J103" s="1965">
        <v>17697</v>
      </c>
      <c r="K103" s="2054">
        <v>12</v>
      </c>
      <c r="L103" s="1963">
        <f t="shared" si="15"/>
        <v>0.66666666666666663</v>
      </c>
      <c r="M103" s="2000" t="s">
        <v>152</v>
      </c>
      <c r="N103" s="2061">
        <v>4.75</v>
      </c>
      <c r="O103" s="1966">
        <f>N103*J103/18*K103</f>
        <v>56040.5</v>
      </c>
      <c r="P103" s="1966">
        <f t="shared" si="16"/>
        <v>28020.25</v>
      </c>
      <c r="Q103" s="1981"/>
      <c r="R103" s="1965"/>
      <c r="S103" s="1965">
        <v>0.1</v>
      </c>
      <c r="T103" s="1966">
        <f>(O103+P103)*S103</f>
        <v>8406.0750000000007</v>
      </c>
      <c r="U103" s="2056"/>
      <c r="V103" s="1963"/>
      <c r="W103" s="940">
        <f>O103+P103+T103</f>
        <v>92466.824999999997</v>
      </c>
      <c r="X103" s="1998" t="e">
        <f>#REF!+#REF!</f>
        <v>#REF!</v>
      </c>
      <c r="Y103" s="1998" t="e">
        <f>#REF!+#REF!</f>
        <v>#REF!</v>
      </c>
      <c r="Z103" s="1970" t="e">
        <f>#REF!*12</f>
        <v>#REF!</v>
      </c>
      <c r="AA103" s="1971" t="e">
        <f>Z103/12/29.33*56</f>
        <v>#REF!</v>
      </c>
      <c r="AB103" s="1971" t="e">
        <f>Z103*1.25</f>
        <v>#REF!</v>
      </c>
      <c r="AC103" s="1971" t="e">
        <f>AB103/12/29.33*56</f>
        <v>#REF!</v>
      </c>
      <c r="AJ103" s="1970"/>
      <c r="AK103" s="1970"/>
      <c r="AL103" s="1970"/>
      <c r="AM103" s="1970"/>
      <c r="AN103" s="1970"/>
      <c r="AO103" s="1970"/>
      <c r="AP103" s="1970"/>
    </row>
    <row r="104" spans="1:69" s="1971" customFormat="1" ht="16.5" customHeight="1">
      <c r="A104" s="2083" t="s">
        <v>519</v>
      </c>
      <c r="B104" s="2063" t="s">
        <v>99</v>
      </c>
      <c r="C104" s="2080" t="s">
        <v>25</v>
      </c>
      <c r="D104" s="2143" t="s">
        <v>912</v>
      </c>
      <c r="E104" s="2143" t="s">
        <v>34</v>
      </c>
      <c r="F104" s="2158">
        <v>1</v>
      </c>
      <c r="G104" s="2085" t="s">
        <v>102</v>
      </c>
      <c r="H104" s="2085" t="s">
        <v>103</v>
      </c>
      <c r="I104" s="2086">
        <v>1</v>
      </c>
      <c r="J104" s="1965">
        <v>17697</v>
      </c>
      <c r="K104" s="696">
        <v>17</v>
      </c>
      <c r="L104" s="556">
        <f t="shared" si="15"/>
        <v>0.94444444444444442</v>
      </c>
      <c r="M104" s="698" t="s">
        <v>152</v>
      </c>
      <c r="N104" s="1612">
        <v>4.75</v>
      </c>
      <c r="O104" s="556">
        <f>J104*N104/18*K104</f>
        <v>79390.708333333343</v>
      </c>
      <c r="P104" s="556">
        <f t="shared" si="16"/>
        <v>39695.354166666672</v>
      </c>
      <c r="Q104" s="1752">
        <v>0.25</v>
      </c>
      <c r="R104" s="700">
        <f>(O104+P104)*Q104</f>
        <v>29771.515625000004</v>
      </c>
      <c r="S104" s="554">
        <v>0.1</v>
      </c>
      <c r="T104" s="556">
        <f>(O104+P104+R104)*S104</f>
        <v>14885.757812500004</v>
      </c>
      <c r="U104" s="1541"/>
      <c r="V104" s="552"/>
      <c r="W104" s="559">
        <f>O104+P104+R104+T104</f>
        <v>163743.33593750003</v>
      </c>
      <c r="X104" s="1175"/>
      <c r="Y104" s="1175"/>
      <c r="Z104" s="375"/>
      <c r="AA104" s="377"/>
      <c r="AB104" s="377"/>
      <c r="AC104" s="377"/>
      <c r="AD104" s="377"/>
      <c r="AE104" s="377"/>
      <c r="AF104" s="377"/>
      <c r="AG104" s="377"/>
      <c r="AH104" s="377"/>
      <c r="AI104" s="377"/>
      <c r="AJ104" s="906"/>
      <c r="AK104" s="23"/>
      <c r="AL104" s="23"/>
      <c r="AM104" s="23"/>
      <c r="AN104" s="23"/>
      <c r="AO104" s="23"/>
      <c r="AP104" s="23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377"/>
    </row>
    <row r="105" spans="1:69" s="1971" customFormat="1" ht="17.25" customHeight="1">
      <c r="A105" s="1991" t="s">
        <v>177</v>
      </c>
      <c r="B105" s="1984" t="s">
        <v>99</v>
      </c>
      <c r="C105" s="1992" t="s">
        <v>178</v>
      </c>
      <c r="D105" s="1985" t="s">
        <v>869</v>
      </c>
      <c r="E105" s="1985" t="s">
        <v>366</v>
      </c>
      <c r="F105" s="1972">
        <v>1</v>
      </c>
      <c r="G105" s="1992" t="s">
        <v>102</v>
      </c>
      <c r="H105" s="1992" t="s">
        <v>103</v>
      </c>
      <c r="I105" s="1999">
        <v>2</v>
      </c>
      <c r="J105" s="1965">
        <v>17697</v>
      </c>
      <c r="K105" s="1964">
        <v>30</v>
      </c>
      <c r="L105" s="1963">
        <f t="shared" si="15"/>
        <v>1.6666666666666667</v>
      </c>
      <c r="M105" s="1979" t="s">
        <v>104</v>
      </c>
      <c r="N105" s="1980">
        <v>4.4400000000000004</v>
      </c>
      <c r="O105" s="1966">
        <f>N105*J105/18*K105</f>
        <v>130957.8</v>
      </c>
      <c r="P105" s="1966">
        <f t="shared" si="16"/>
        <v>65478.9</v>
      </c>
      <c r="Q105" s="1981"/>
      <c r="R105" s="1965"/>
      <c r="S105" s="1965">
        <v>0.1</v>
      </c>
      <c r="T105" s="1966">
        <f>(O105+P105)*S105</f>
        <v>19643.670000000002</v>
      </c>
      <c r="U105" s="1982"/>
      <c r="V105" s="1963"/>
      <c r="W105" s="940">
        <f>O105+P105+T105</f>
        <v>216080.37000000002</v>
      </c>
      <c r="X105" s="2025"/>
      <c r="Y105" s="2025"/>
      <c r="Z105" s="1970">
        <f>W105*12</f>
        <v>2592964.4400000004</v>
      </c>
      <c r="AA105" s="1971">
        <f>Z105/12/29.33*56</f>
        <v>412563.95226730313</v>
      </c>
      <c r="AB105" s="1971">
        <f>Z105*1.25</f>
        <v>3241205.5500000007</v>
      </c>
      <c r="AC105" s="1971">
        <f>AB105/12/29.33*56</f>
        <v>515704.94033412909</v>
      </c>
      <c r="AD105" s="2022"/>
      <c r="AE105" s="2022"/>
      <c r="AF105" s="2022"/>
      <c r="AG105" s="2022"/>
      <c r="AH105" s="2022"/>
      <c r="AI105" s="2022"/>
      <c r="AJ105" s="2023"/>
      <c r="AK105" s="2023"/>
      <c r="AL105" s="2023"/>
      <c r="AM105" s="2023"/>
      <c r="AN105" s="2023"/>
      <c r="AO105" s="2023"/>
      <c r="AP105" s="2023"/>
      <c r="AQ105" s="2022"/>
      <c r="AR105" s="2022"/>
      <c r="AS105" s="2022"/>
      <c r="AT105" s="2022"/>
      <c r="AU105" s="2022"/>
      <c r="AV105" s="2022"/>
      <c r="AW105" s="2022"/>
      <c r="AX105" s="2022"/>
      <c r="AY105" s="2022"/>
      <c r="AZ105" s="2022"/>
      <c r="BA105" s="2022"/>
      <c r="BB105" s="2022"/>
      <c r="BC105" s="2022"/>
      <c r="BD105" s="2022"/>
      <c r="BE105" s="2022"/>
      <c r="BF105" s="2022"/>
      <c r="BG105" s="2022"/>
      <c r="BH105" s="2022"/>
      <c r="BI105" s="2022"/>
      <c r="BJ105" s="2022"/>
      <c r="BK105" s="2022"/>
      <c r="BL105" s="2022"/>
      <c r="BM105" s="2022"/>
      <c r="BN105" s="2022"/>
      <c r="BO105" s="2022"/>
      <c r="BP105" s="2022"/>
      <c r="BQ105" s="2022"/>
    </row>
    <row r="106" spans="1:69" s="1971" customFormat="1" ht="17.25" customHeight="1">
      <c r="A106" s="1991" t="s">
        <v>808</v>
      </c>
      <c r="B106" s="1984" t="s">
        <v>99</v>
      </c>
      <c r="C106" s="1992" t="s">
        <v>152</v>
      </c>
      <c r="D106" s="1985" t="s">
        <v>870</v>
      </c>
      <c r="E106" s="1985" t="s">
        <v>34</v>
      </c>
      <c r="F106" s="1972">
        <v>1</v>
      </c>
      <c r="G106" s="1992" t="s">
        <v>102</v>
      </c>
      <c r="H106" s="1992" t="s">
        <v>103</v>
      </c>
      <c r="I106" s="1999">
        <v>3</v>
      </c>
      <c r="J106" s="1965">
        <v>17697</v>
      </c>
      <c r="K106" s="1964">
        <v>18</v>
      </c>
      <c r="L106" s="1963">
        <f t="shared" si="15"/>
        <v>1</v>
      </c>
      <c r="M106" s="2008" t="s">
        <v>109</v>
      </c>
      <c r="N106" s="1980">
        <v>4.5</v>
      </c>
      <c r="O106" s="1966">
        <f>N106*J106/18*K106</f>
        <v>79636.5</v>
      </c>
      <c r="P106" s="1966">
        <f t="shared" si="16"/>
        <v>39818.25</v>
      </c>
      <c r="Q106" s="1981"/>
      <c r="R106" s="1965"/>
      <c r="S106" s="1965">
        <v>0.1</v>
      </c>
      <c r="T106" s="1966">
        <f>(O106+P106)*S106</f>
        <v>11945.475</v>
      </c>
      <c r="U106" s="1982"/>
      <c r="V106" s="1963"/>
      <c r="W106" s="940">
        <f>O106+P106+T106</f>
        <v>131400.22500000001</v>
      </c>
      <c r="X106" s="2025"/>
      <c r="Y106" s="2025"/>
      <c r="Z106" s="1970"/>
      <c r="AD106" s="2022"/>
      <c r="AE106" s="2022"/>
      <c r="AF106" s="2022"/>
      <c r="AG106" s="2022"/>
      <c r="AH106" s="2022"/>
      <c r="AI106" s="2022"/>
      <c r="AJ106" s="2023"/>
      <c r="AK106" s="2023"/>
      <c r="AL106" s="2023"/>
      <c r="AM106" s="2023"/>
      <c r="AN106" s="2023"/>
      <c r="AO106" s="2023"/>
      <c r="AP106" s="2023"/>
      <c r="AQ106" s="2022"/>
      <c r="AR106" s="2022"/>
      <c r="AS106" s="2022"/>
      <c r="AT106" s="2022"/>
      <c r="AU106" s="2022"/>
      <c r="AV106" s="2022"/>
      <c r="AW106" s="2022"/>
      <c r="AX106" s="2022"/>
      <c r="AY106" s="2022"/>
      <c r="AZ106" s="2022"/>
      <c r="BA106" s="2022"/>
      <c r="BB106" s="2022"/>
      <c r="BC106" s="2022"/>
      <c r="BD106" s="2022"/>
      <c r="BE106" s="2022"/>
      <c r="BF106" s="2022"/>
      <c r="BG106" s="2022"/>
      <c r="BH106" s="2022"/>
      <c r="BI106" s="2022"/>
      <c r="BJ106" s="2022"/>
      <c r="BK106" s="2022"/>
      <c r="BL106" s="2022"/>
      <c r="BM106" s="2022"/>
      <c r="BN106" s="2022"/>
      <c r="BO106" s="2022"/>
      <c r="BP106" s="2022"/>
      <c r="BQ106" s="2022"/>
    </row>
    <row r="107" spans="1:69" s="1971" customFormat="1" ht="17.25" customHeight="1">
      <c r="A107" s="2058" t="s">
        <v>282</v>
      </c>
      <c r="B107" s="2058" t="s">
        <v>617</v>
      </c>
      <c r="C107" s="2059" t="s">
        <v>25</v>
      </c>
      <c r="D107" s="2024" t="s">
        <v>901</v>
      </c>
      <c r="E107" s="1985" t="s">
        <v>40</v>
      </c>
      <c r="F107" s="1972">
        <v>1</v>
      </c>
      <c r="G107" s="1992" t="s">
        <v>102</v>
      </c>
      <c r="H107" s="1992" t="s">
        <v>103</v>
      </c>
      <c r="I107" s="2070">
        <v>1</v>
      </c>
      <c r="J107" s="1965">
        <v>17697</v>
      </c>
      <c r="K107" s="2054">
        <v>36</v>
      </c>
      <c r="L107" s="1963">
        <f t="shared" si="15"/>
        <v>2</v>
      </c>
      <c r="M107" s="2000" t="s">
        <v>152</v>
      </c>
      <c r="N107" s="2061">
        <v>4.75</v>
      </c>
      <c r="O107" s="1966">
        <f>N107*J107/18*K107</f>
        <v>168121.5</v>
      </c>
      <c r="P107" s="1966">
        <f t="shared" si="16"/>
        <v>84060.75</v>
      </c>
      <c r="Q107" s="1981"/>
      <c r="R107" s="1965"/>
      <c r="S107" s="1965">
        <v>0.1</v>
      </c>
      <c r="T107" s="1966">
        <f>(O107+P107)*S107</f>
        <v>25218.225000000002</v>
      </c>
      <c r="U107" s="2056"/>
      <c r="V107" s="1963"/>
      <c r="W107" s="940">
        <f>O107+P107+T107</f>
        <v>277400.47499999998</v>
      </c>
      <c r="X107" s="141"/>
      <c r="Y107" s="141"/>
      <c r="Z107" s="1970"/>
      <c r="AJ107" s="1970"/>
      <c r="AK107" s="1970"/>
      <c r="AL107" s="1970"/>
      <c r="AM107" s="1970"/>
      <c r="AN107" s="1970"/>
      <c r="AO107" s="1970"/>
      <c r="AP107" s="1970"/>
    </row>
    <row r="108" spans="1:69" s="1971" customFormat="1" ht="17.25" customHeight="1">
      <c r="A108" s="1991" t="s">
        <v>506</v>
      </c>
      <c r="B108" s="2058" t="s">
        <v>340</v>
      </c>
      <c r="C108" s="1972" t="s">
        <v>64</v>
      </c>
      <c r="D108" s="1992"/>
      <c r="E108" s="2089"/>
      <c r="F108" s="2102" t="s">
        <v>409</v>
      </c>
      <c r="G108" s="1992"/>
      <c r="H108" s="2091"/>
      <c r="I108" s="1992">
        <v>2</v>
      </c>
      <c r="J108" s="1965">
        <v>17697</v>
      </c>
      <c r="K108" s="1963"/>
      <c r="L108" s="1963">
        <v>1.5</v>
      </c>
      <c r="M108" s="1965"/>
      <c r="N108" s="1965">
        <v>2.81</v>
      </c>
      <c r="O108" s="1966">
        <f>J108*N108*L108</f>
        <v>74592.854999999996</v>
      </c>
      <c r="P108" s="1966"/>
      <c r="Q108" s="1965">
        <f>J108*O109*M108</f>
        <v>0</v>
      </c>
      <c r="R108" s="1965"/>
      <c r="S108" s="1981">
        <v>0.1</v>
      </c>
      <c r="T108" s="1963">
        <f>S108*O108</f>
        <v>7459.2855</v>
      </c>
      <c r="U108" s="1982">
        <v>0.3</v>
      </c>
      <c r="V108" s="1963">
        <f>U108*J108*1.5</f>
        <v>7963.65</v>
      </c>
      <c r="W108" s="940">
        <f>O108+T108+V108</f>
        <v>90015.790499999988</v>
      </c>
      <c r="X108" s="141">
        <f>Q107+U107+W107</f>
        <v>277400.47499999998</v>
      </c>
      <c r="Y108" s="141">
        <f>R107+V107+X108</f>
        <v>277400.47499999998</v>
      </c>
      <c r="Z108" s="1970">
        <f>W107*12</f>
        <v>3328805.6999999997</v>
      </c>
      <c r="AA108" s="2094">
        <f>Z108/12/29.33*24</f>
        <v>226989.81929764745</v>
      </c>
      <c r="AJ108" s="1970"/>
      <c r="AK108" s="1970"/>
      <c r="AL108" s="1970"/>
      <c r="AM108" s="1970"/>
      <c r="AN108" s="1970"/>
      <c r="AO108" s="1970"/>
      <c r="AP108" s="1970"/>
    </row>
    <row r="109" spans="1:69" s="1971" customFormat="1" ht="17.25" customHeight="1">
      <c r="A109" s="2057" t="s">
        <v>357</v>
      </c>
      <c r="B109" s="1984" t="s">
        <v>358</v>
      </c>
      <c r="C109" s="1972" t="s">
        <v>64</v>
      </c>
      <c r="D109" s="2057"/>
      <c r="E109" s="2057"/>
      <c r="F109" s="2059">
        <v>1</v>
      </c>
      <c r="G109" s="2096"/>
      <c r="H109" s="2097"/>
      <c r="I109" s="2059">
        <v>1</v>
      </c>
      <c r="J109" s="2097">
        <v>17697</v>
      </c>
      <c r="K109" s="2174"/>
      <c r="L109" s="1963">
        <v>1</v>
      </c>
      <c r="M109" s="1965"/>
      <c r="N109" s="1965">
        <v>2.77</v>
      </c>
      <c r="O109" s="1966">
        <f>J109*N109*L109</f>
        <v>49020.69</v>
      </c>
      <c r="P109" s="1966"/>
      <c r="Q109" s="1965" t="e">
        <f>J109*#REF!*M109</f>
        <v>#REF!</v>
      </c>
      <c r="R109" s="1965"/>
      <c r="S109" s="1981">
        <v>0.1</v>
      </c>
      <c r="T109" s="1963">
        <f>S109*O109</f>
        <v>4902.0690000000004</v>
      </c>
      <c r="U109" s="2092">
        <v>0</v>
      </c>
      <c r="V109" s="1966">
        <v>0</v>
      </c>
      <c r="W109" s="940">
        <f>O109+T109+V109</f>
        <v>53922.759000000005</v>
      </c>
      <c r="X109" s="2012">
        <f>Q108+U108+W108</f>
        <v>90016.090499999991</v>
      </c>
      <c r="Y109" s="2012">
        <f>R108+V108+X109</f>
        <v>97979.740499999985</v>
      </c>
      <c r="Z109" s="1970">
        <f>W108*12</f>
        <v>1080189.4859999998</v>
      </c>
      <c r="AA109" s="2094">
        <f>Z109/12/29.33*24</f>
        <v>73657.653324241386</v>
      </c>
      <c r="AB109" s="2112">
        <f>SUM(W84:W109)</f>
        <v>3827922.8632500004</v>
      </c>
      <c r="AC109" s="2099"/>
      <c r="AD109" s="2099"/>
      <c r="AE109" s="2099"/>
      <c r="AF109" s="2099"/>
      <c r="AG109" s="2099"/>
      <c r="AH109" s="2099"/>
      <c r="AI109" s="2099"/>
      <c r="AJ109" s="2100"/>
      <c r="AK109" s="2100"/>
      <c r="AL109" s="2100"/>
      <c r="AM109" s="2100"/>
      <c r="AN109" s="2100"/>
      <c r="AO109" s="2100"/>
      <c r="AP109" s="2100"/>
      <c r="AQ109" s="2099"/>
      <c r="AR109" s="2099"/>
      <c r="AS109" s="2099"/>
      <c r="AT109" s="2099"/>
      <c r="AU109" s="2099"/>
      <c r="AV109" s="2099"/>
      <c r="AW109" s="2099"/>
      <c r="AX109" s="2099"/>
      <c r="AY109" s="2099"/>
      <c r="AZ109" s="2099"/>
      <c r="BA109" s="2099"/>
      <c r="BB109" s="2099"/>
      <c r="BC109" s="2099"/>
      <c r="BD109" s="2099"/>
      <c r="BE109" s="2099"/>
      <c r="BF109" s="2099"/>
      <c r="BG109" s="2099"/>
      <c r="BH109" s="2099"/>
      <c r="BI109" s="2099"/>
      <c r="BJ109" s="2099"/>
      <c r="BK109" s="2099"/>
      <c r="BL109" s="2099"/>
      <c r="BM109" s="2099"/>
      <c r="BN109" s="2099"/>
      <c r="BO109" s="2099"/>
      <c r="BP109" s="2099"/>
      <c r="BQ109" s="2099"/>
    </row>
    <row r="110" spans="1:69" s="1971" customFormat="1" ht="16.5" customHeight="1">
      <c r="A110" s="2058" t="s">
        <v>392</v>
      </c>
      <c r="B110" s="2058" t="s">
        <v>99</v>
      </c>
      <c r="C110" s="2059" t="s">
        <v>25</v>
      </c>
      <c r="D110" s="2024" t="s">
        <v>902</v>
      </c>
      <c r="E110" s="2007" t="s">
        <v>434</v>
      </c>
      <c r="F110" s="1972">
        <v>1</v>
      </c>
      <c r="G110" s="1992" t="s">
        <v>102</v>
      </c>
      <c r="H110" s="1992" t="s">
        <v>103</v>
      </c>
      <c r="I110" s="2017">
        <v>2</v>
      </c>
      <c r="J110" s="1965">
        <v>17697</v>
      </c>
      <c r="K110" s="2054">
        <v>22</v>
      </c>
      <c r="L110" s="1963">
        <f>K110/18</f>
        <v>1.2222222222222223</v>
      </c>
      <c r="M110" s="2010" t="s">
        <v>104</v>
      </c>
      <c r="N110" s="2069">
        <v>4.4400000000000004</v>
      </c>
      <c r="O110" s="1966">
        <f>N110*J110/18*K110</f>
        <v>96035.72</v>
      </c>
      <c r="P110" s="1966">
        <f>O110*50%</f>
        <v>48017.86</v>
      </c>
      <c r="Q110" s="1981"/>
      <c r="R110" s="1965"/>
      <c r="S110" s="1965">
        <v>0.1</v>
      </c>
      <c r="T110" s="1966">
        <f>(O110+P110)*S110</f>
        <v>14405.358000000002</v>
      </c>
      <c r="U110" s="2056"/>
      <c r="V110" s="1963"/>
      <c r="W110" s="940">
        <f>O110+P110+T110</f>
        <v>158458.93800000002</v>
      </c>
      <c r="X110" s="1998" t="e">
        <f>U109+Q109</f>
        <v>#REF!</v>
      </c>
      <c r="Y110" s="1998">
        <f>V109+R109</f>
        <v>0</v>
      </c>
      <c r="Z110" s="1970">
        <f>W109*12</f>
        <v>647073.10800000001</v>
      </c>
      <c r="AA110" s="1971">
        <f>Z110/12/29.33*56</f>
        <v>102955.14844868735</v>
      </c>
      <c r="AB110" s="1971">
        <f>Z110*1.25</f>
        <v>808841.38500000001</v>
      </c>
      <c r="AC110" s="1971">
        <f>AB110/12/29.33*56</f>
        <v>128693.93556085917</v>
      </c>
      <c r="AJ110" s="1970"/>
      <c r="AK110" s="1970"/>
      <c r="AL110" s="1970"/>
      <c r="AM110" s="1970"/>
      <c r="AN110" s="1970"/>
      <c r="AO110" s="1970"/>
      <c r="AP110" s="1970"/>
    </row>
    <row r="111" spans="1:69" s="1971" customFormat="1" ht="17.25" customHeight="1">
      <c r="A111" s="2058" t="s">
        <v>706</v>
      </c>
      <c r="B111" s="2058" t="s">
        <v>99</v>
      </c>
      <c r="C111" s="1992" t="s">
        <v>75</v>
      </c>
      <c r="D111" s="2024" t="s">
        <v>601</v>
      </c>
      <c r="E111" s="1985" t="s">
        <v>159</v>
      </c>
      <c r="F111" s="1972">
        <v>1</v>
      </c>
      <c r="G111" s="1992" t="s">
        <v>102</v>
      </c>
      <c r="H111" s="1992" t="s">
        <v>118</v>
      </c>
      <c r="I111" s="2070">
        <v>4</v>
      </c>
      <c r="J111" s="1965">
        <v>17697</v>
      </c>
      <c r="K111" s="2054">
        <v>15</v>
      </c>
      <c r="L111" s="1963">
        <f>K111/18</f>
        <v>0.83333333333333337</v>
      </c>
      <c r="M111" s="2068" t="s">
        <v>112</v>
      </c>
      <c r="N111" s="2071">
        <v>3.32</v>
      </c>
      <c r="O111" s="1966">
        <f>N111*J111/18*K111</f>
        <v>48961.69999999999</v>
      </c>
      <c r="P111" s="1966">
        <f>O111*50%</f>
        <v>24480.849999999995</v>
      </c>
      <c r="Q111" s="2003"/>
      <c r="R111" s="2004"/>
      <c r="S111" s="2004">
        <v>0.1</v>
      </c>
      <c r="T111" s="1966">
        <f>(O111+P111)*S111</f>
        <v>7344.2549999999992</v>
      </c>
      <c r="U111" s="2067"/>
      <c r="V111" s="1963"/>
      <c r="W111" s="940">
        <f>O111+P111+T111</f>
        <v>80786.804999999993</v>
      </c>
      <c r="X111" s="1998"/>
      <c r="Y111" s="1998"/>
      <c r="Z111" s="1970">
        <f>W110*12</f>
        <v>1901507.2560000003</v>
      </c>
      <c r="AA111" s="1971">
        <f>Z111/12/29.33*56</f>
        <v>302546.8983293557</v>
      </c>
      <c r="AB111" s="1971">
        <f>Z111*1.25</f>
        <v>2376884.0700000003</v>
      </c>
      <c r="AC111" s="1971">
        <f>AB111/12/29.33*56</f>
        <v>378183.62291169458</v>
      </c>
      <c r="AJ111" s="1970"/>
      <c r="AK111" s="1970"/>
      <c r="AL111" s="1970"/>
      <c r="AM111" s="1970"/>
      <c r="AN111" s="1970"/>
      <c r="AO111" s="1970"/>
      <c r="AP111" s="1970"/>
    </row>
    <row r="112" spans="1:69" s="1971" customFormat="1" ht="17.25" customHeight="1">
      <c r="A112" s="2083" t="s">
        <v>706</v>
      </c>
      <c r="B112" s="2063" t="s">
        <v>99</v>
      </c>
      <c r="C112" s="2080" t="s">
        <v>75</v>
      </c>
      <c r="D112" s="2081" t="s">
        <v>601</v>
      </c>
      <c r="E112" s="2081" t="s">
        <v>159</v>
      </c>
      <c r="F112" s="2130">
        <v>1</v>
      </c>
      <c r="G112" s="1977" t="s">
        <v>102</v>
      </c>
      <c r="H112" s="1992" t="s">
        <v>118</v>
      </c>
      <c r="I112" s="2070">
        <v>4</v>
      </c>
      <c r="J112" s="1965">
        <v>17697</v>
      </c>
      <c r="K112" s="1607">
        <v>8</v>
      </c>
      <c r="L112" s="556">
        <f>K112/18</f>
        <v>0.44444444444444442</v>
      </c>
      <c r="M112" s="574" t="s">
        <v>112</v>
      </c>
      <c r="N112" s="1612">
        <v>3.32</v>
      </c>
      <c r="O112" s="556">
        <f>J112*N112/18*K112</f>
        <v>26112.906666666662</v>
      </c>
      <c r="P112" s="556">
        <f>O112*50%</f>
        <v>13056.453333333331</v>
      </c>
      <c r="Q112" s="1752">
        <v>0.25</v>
      </c>
      <c r="R112" s="700">
        <f>(O112+P112)*Q112</f>
        <v>9792.3399999999983</v>
      </c>
      <c r="S112" s="554">
        <v>0.1</v>
      </c>
      <c r="T112" s="556">
        <f>(O112+P112+R112)*S112</f>
        <v>4896.1699999999992</v>
      </c>
      <c r="U112" s="1541"/>
      <c r="V112" s="552"/>
      <c r="W112" s="559">
        <f>O112+P112+R112+T112</f>
        <v>53857.869999999988</v>
      </c>
      <c r="X112" s="988"/>
      <c r="Y112" s="988"/>
      <c r="Z112" s="81">
        <f>W111*12</f>
        <v>969441.65999999992</v>
      </c>
      <c r="AA112" s="80">
        <f>Z112/12/29.33*56</f>
        <v>154246.88305489259</v>
      </c>
      <c r="AB112" s="80">
        <f>Z112*1.25</f>
        <v>1211802.075</v>
      </c>
      <c r="AC112" s="80">
        <f>AB112/12/29.33*56</f>
        <v>192808.60381861575</v>
      </c>
      <c r="AD112" s="986"/>
      <c r="AE112" s="986"/>
      <c r="AF112" s="986"/>
      <c r="AG112" s="986"/>
      <c r="AH112" s="986"/>
      <c r="AI112" s="986"/>
      <c r="AJ112" s="906"/>
      <c r="AK112" s="23"/>
      <c r="AL112" s="23"/>
      <c r="AM112" s="23"/>
      <c r="AN112" s="23"/>
      <c r="AO112" s="23"/>
      <c r="AP112" s="23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986"/>
    </row>
    <row r="113" spans="1:69" s="1971" customFormat="1" ht="17.25" customHeight="1">
      <c r="A113" s="702" t="s">
        <v>85</v>
      </c>
      <c r="B113" s="1630" t="s">
        <v>86</v>
      </c>
      <c r="C113" s="894" t="s">
        <v>25</v>
      </c>
      <c r="D113" s="1720" t="s">
        <v>733</v>
      </c>
      <c r="E113" s="894" t="s">
        <v>249</v>
      </c>
      <c r="F113" s="894">
        <v>1</v>
      </c>
      <c r="G113" s="5" t="s">
        <v>56</v>
      </c>
      <c r="H113" s="5" t="s">
        <v>56</v>
      </c>
      <c r="I113" s="731" t="s">
        <v>57</v>
      </c>
      <c r="J113" s="7">
        <v>17697</v>
      </c>
      <c r="K113" s="44"/>
      <c r="L113" s="70">
        <v>1</v>
      </c>
      <c r="M113" s="882"/>
      <c r="N113" s="1547">
        <v>4.43</v>
      </c>
      <c r="O113" s="67">
        <f>N113*J113*L113</f>
        <v>78397.709999999992</v>
      </c>
      <c r="P113" s="42"/>
      <c r="Q113" s="1635"/>
      <c r="R113" s="884"/>
      <c r="S113" s="7">
        <v>0.1</v>
      </c>
      <c r="T113" s="44">
        <f t="shared" ref="T113:T118" si="17">(O113+P113)*S113</f>
        <v>7839.7709999999997</v>
      </c>
      <c r="U113" s="1760"/>
      <c r="V113" s="1761"/>
      <c r="W113" s="70">
        <f>O113+R113+T113+V113+P113</f>
        <v>86237.480999999985</v>
      </c>
      <c r="X113" s="1268">
        <f>Q113+S113+U113</f>
        <v>0.1</v>
      </c>
      <c r="Y113" s="1268">
        <f>R113+T113+V113</f>
        <v>7839.7709999999997</v>
      </c>
      <c r="Z113" s="1264">
        <f>W113*12</f>
        <v>1034849.7719999999</v>
      </c>
      <c r="AA113" s="1382">
        <f>Z113/12/29.33*30</f>
        <v>88207.447323559478</v>
      </c>
      <c r="AB113" s="1265"/>
      <c r="AC113" s="1265"/>
      <c r="AD113" s="1265"/>
      <c r="AE113" s="1265"/>
      <c r="AF113" s="1265"/>
      <c r="AG113" s="1265"/>
      <c r="AH113" s="1265"/>
      <c r="AI113" s="1265"/>
      <c r="AJ113" s="906"/>
      <c r="AK113" s="23"/>
      <c r="AL113" s="23"/>
      <c r="AM113" s="23"/>
      <c r="AN113" s="23"/>
      <c r="AO113" s="23"/>
      <c r="AP113" s="23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1265"/>
    </row>
    <row r="114" spans="1:69" s="1971" customFormat="1" ht="17.25" customHeight="1">
      <c r="A114" s="1991" t="s">
        <v>182</v>
      </c>
      <c r="B114" s="1984" t="s">
        <v>99</v>
      </c>
      <c r="C114" s="1992" t="s">
        <v>25</v>
      </c>
      <c r="D114" s="1985" t="s">
        <v>871</v>
      </c>
      <c r="E114" s="1985" t="s">
        <v>51</v>
      </c>
      <c r="F114" s="1972">
        <v>1</v>
      </c>
      <c r="G114" s="1992" t="s">
        <v>102</v>
      </c>
      <c r="H114" s="1992" t="s">
        <v>103</v>
      </c>
      <c r="I114" s="1999">
        <v>1</v>
      </c>
      <c r="J114" s="1965">
        <v>17697</v>
      </c>
      <c r="K114" s="1964">
        <v>32</v>
      </c>
      <c r="L114" s="1963">
        <f>K114/18</f>
        <v>1.7777777777777777</v>
      </c>
      <c r="M114" s="1979" t="s">
        <v>104</v>
      </c>
      <c r="N114" s="1980">
        <v>4.6900000000000004</v>
      </c>
      <c r="O114" s="1966">
        <f>N114*J114/18*K114</f>
        <v>147553.65333333335</v>
      </c>
      <c r="P114" s="1966">
        <f>O114*50%</f>
        <v>73776.826666666675</v>
      </c>
      <c r="Q114" s="1981"/>
      <c r="R114" s="1965"/>
      <c r="S114" s="1965">
        <v>0.1</v>
      </c>
      <c r="T114" s="1966">
        <f t="shared" si="17"/>
        <v>22133.048000000006</v>
      </c>
      <c r="U114" s="1982"/>
      <c r="V114" s="1963"/>
      <c r="W114" s="940">
        <f>O114+P114+T114</f>
        <v>243463.52800000005</v>
      </c>
      <c r="X114" s="2021"/>
      <c r="Y114" s="2021"/>
      <c r="Z114" s="1970"/>
      <c r="AD114" s="2022"/>
      <c r="AE114" s="2022"/>
      <c r="AF114" s="2022"/>
      <c r="AG114" s="2022"/>
      <c r="AH114" s="2022"/>
      <c r="AI114" s="2022"/>
      <c r="AJ114" s="2023"/>
      <c r="AK114" s="2023"/>
      <c r="AL114" s="2023"/>
      <c r="AM114" s="2023"/>
      <c r="AN114" s="2023"/>
      <c r="AO114" s="2023"/>
      <c r="AP114" s="2023"/>
      <c r="AQ114" s="2022"/>
      <c r="AR114" s="2022"/>
      <c r="AS114" s="2022"/>
      <c r="AT114" s="2022"/>
      <c r="AU114" s="2022"/>
      <c r="AV114" s="2022"/>
      <c r="AW114" s="2022"/>
      <c r="AX114" s="2022"/>
      <c r="AY114" s="2022"/>
      <c r="AZ114" s="2022"/>
      <c r="BA114" s="2022"/>
      <c r="BB114" s="2022"/>
      <c r="BC114" s="2022"/>
      <c r="BD114" s="2022"/>
      <c r="BE114" s="2022"/>
      <c r="BF114" s="2022"/>
      <c r="BG114" s="2022"/>
      <c r="BH114" s="2022"/>
      <c r="BI114" s="2022"/>
      <c r="BJ114" s="2022"/>
      <c r="BK114" s="2022"/>
      <c r="BL114" s="2022"/>
      <c r="BM114" s="2022"/>
      <c r="BN114" s="2022"/>
      <c r="BO114" s="2022"/>
      <c r="BP114" s="2022"/>
      <c r="BQ114" s="2022"/>
    </row>
    <row r="115" spans="1:69" s="1971" customFormat="1" ht="17.25" customHeight="1">
      <c r="A115" s="1991" t="s">
        <v>184</v>
      </c>
      <c r="B115" s="1984" t="s">
        <v>99</v>
      </c>
      <c r="C115" s="1992" t="s">
        <v>25</v>
      </c>
      <c r="D115" s="2024" t="s">
        <v>872</v>
      </c>
      <c r="E115" s="1985" t="s">
        <v>27</v>
      </c>
      <c r="F115" s="1972">
        <v>1</v>
      </c>
      <c r="G115" s="1992" t="s">
        <v>102</v>
      </c>
      <c r="H115" s="1992" t="s">
        <v>103</v>
      </c>
      <c r="I115" s="1999">
        <v>1</v>
      </c>
      <c r="J115" s="1965">
        <v>17697</v>
      </c>
      <c r="K115" s="1964">
        <v>32</v>
      </c>
      <c r="L115" s="1963">
        <f>K115/18</f>
        <v>1.7777777777777777</v>
      </c>
      <c r="M115" s="2000" t="s">
        <v>152</v>
      </c>
      <c r="N115" s="1980">
        <v>4.75</v>
      </c>
      <c r="O115" s="1966">
        <f>N115*J115/18*K115</f>
        <v>149441.33333333334</v>
      </c>
      <c r="P115" s="1966">
        <f>O115*50%</f>
        <v>74720.666666666672</v>
      </c>
      <c r="Q115" s="1981"/>
      <c r="R115" s="1965"/>
      <c r="S115" s="1965">
        <v>0.1</v>
      </c>
      <c r="T115" s="1966">
        <f t="shared" si="17"/>
        <v>22416.2</v>
      </c>
      <c r="U115" s="1982"/>
      <c r="V115" s="1963"/>
      <c r="W115" s="940">
        <f>O115+P115+T115</f>
        <v>246578.2</v>
      </c>
      <c r="X115" s="2025"/>
      <c r="Y115" s="2025"/>
      <c r="Z115" s="1970">
        <f>W115*12</f>
        <v>2958938.4000000004</v>
      </c>
      <c r="AA115" s="1971">
        <f>Z115/12/29.33*56</f>
        <v>470793.69928400969</v>
      </c>
      <c r="AB115" s="1971">
        <f>Z115*1.25</f>
        <v>3698673.0000000005</v>
      </c>
      <c r="AC115" s="1971">
        <f>AB115/12/29.33*56</f>
        <v>588492.12410501204</v>
      </c>
      <c r="AD115" s="2022"/>
      <c r="AE115" s="2022"/>
      <c r="AF115" s="2022"/>
      <c r="AG115" s="2022"/>
      <c r="AH115" s="2022"/>
      <c r="AI115" s="2022"/>
      <c r="AJ115" s="2023"/>
      <c r="AK115" s="2023"/>
      <c r="AL115" s="2023"/>
      <c r="AM115" s="2023"/>
      <c r="AN115" s="2023"/>
      <c r="AO115" s="2023"/>
      <c r="AP115" s="2023"/>
      <c r="AQ115" s="2022"/>
      <c r="AR115" s="2022"/>
      <c r="AS115" s="2022"/>
      <c r="AT115" s="2022"/>
      <c r="AU115" s="2022"/>
      <c r="AV115" s="2022"/>
      <c r="AW115" s="2022"/>
      <c r="AX115" s="2022"/>
      <c r="AY115" s="2022"/>
      <c r="AZ115" s="2022"/>
      <c r="BA115" s="2022"/>
      <c r="BB115" s="2022"/>
      <c r="BC115" s="2022"/>
      <c r="BD115" s="2022"/>
      <c r="BE115" s="2022"/>
      <c r="BF115" s="2022"/>
      <c r="BG115" s="2022"/>
      <c r="BH115" s="2022"/>
      <c r="BI115" s="2022"/>
      <c r="BJ115" s="2022"/>
      <c r="BK115" s="2022"/>
      <c r="BL115" s="2022"/>
      <c r="BM115" s="2022"/>
      <c r="BN115" s="2022"/>
      <c r="BO115" s="2022"/>
      <c r="BP115" s="2022"/>
      <c r="BQ115" s="2022"/>
    </row>
    <row r="116" spans="1:69" s="1346" customFormat="1" ht="15.75">
      <c r="A116" s="2058" t="s">
        <v>184</v>
      </c>
      <c r="B116" s="2058" t="s">
        <v>99</v>
      </c>
      <c r="C116" s="2059" t="s">
        <v>25</v>
      </c>
      <c r="D116" s="2024" t="s">
        <v>903</v>
      </c>
      <c r="E116" s="1985" t="s">
        <v>40</v>
      </c>
      <c r="F116" s="1972">
        <v>1</v>
      </c>
      <c r="G116" s="1992" t="s">
        <v>102</v>
      </c>
      <c r="H116" s="1992" t="s">
        <v>103</v>
      </c>
      <c r="I116" s="2060">
        <v>1</v>
      </c>
      <c r="J116" s="1965">
        <v>17697</v>
      </c>
      <c r="K116" s="2176">
        <v>4</v>
      </c>
      <c r="L116" s="1965">
        <f>K116/18</f>
        <v>0.22222222222222221</v>
      </c>
      <c r="M116" s="2000" t="s">
        <v>152</v>
      </c>
      <c r="N116" s="2061">
        <v>4.75</v>
      </c>
      <c r="O116" s="2092">
        <f>N116*J116/18*K116</f>
        <v>18680.166666666668</v>
      </c>
      <c r="P116" s="2121">
        <f>O116*50%</f>
        <v>9340.0833333333339</v>
      </c>
      <c r="Q116" s="1981"/>
      <c r="R116" s="1965"/>
      <c r="S116" s="1965">
        <v>0.1</v>
      </c>
      <c r="T116" s="2092">
        <f t="shared" si="17"/>
        <v>2802.0250000000001</v>
      </c>
      <c r="U116" s="2056"/>
      <c r="V116" s="1965"/>
      <c r="W116" s="680">
        <f>O116+P116+T116</f>
        <v>30822.275000000001</v>
      </c>
      <c r="X116" s="2006">
        <f>U115+Q115</f>
        <v>0</v>
      </c>
      <c r="Y116" s="2006">
        <f>V115+R115</f>
        <v>0</v>
      </c>
      <c r="Z116" s="1970">
        <f>W115*12</f>
        <v>2958938.4000000004</v>
      </c>
      <c r="AA116" s="1971">
        <f>Z116/12/29.33*56</f>
        <v>470793.69928400969</v>
      </c>
      <c r="AB116" s="1971">
        <f>Z116*1.25</f>
        <v>3698673.0000000005</v>
      </c>
      <c r="AC116" s="1971">
        <f>AB116/12/29.33*56</f>
        <v>588492.12410501204</v>
      </c>
      <c r="AD116" s="1971"/>
      <c r="AE116" s="1971"/>
      <c r="AF116" s="1971"/>
      <c r="AG116" s="1971"/>
      <c r="AH116" s="1971"/>
      <c r="AI116" s="1971"/>
      <c r="AJ116" s="1970"/>
      <c r="AK116" s="1970"/>
      <c r="AL116" s="1970"/>
      <c r="AM116" s="1970"/>
      <c r="AN116" s="1970"/>
      <c r="AO116" s="1970"/>
      <c r="AP116" s="1970"/>
      <c r="AQ116" s="1971"/>
      <c r="AR116" s="1971"/>
      <c r="AS116" s="1971"/>
      <c r="AT116" s="1971"/>
      <c r="AU116" s="1971"/>
      <c r="AV116" s="1971"/>
      <c r="AW116" s="1971"/>
      <c r="AX116" s="1971"/>
      <c r="AY116" s="1971"/>
      <c r="AZ116" s="1971"/>
      <c r="BA116" s="1971"/>
      <c r="BB116" s="1971"/>
      <c r="BC116" s="1971"/>
      <c r="BD116" s="1971"/>
      <c r="BE116" s="1971"/>
      <c r="BF116" s="1971"/>
      <c r="BG116" s="1971"/>
      <c r="BH116" s="1971"/>
      <c r="BI116" s="1971"/>
      <c r="BJ116" s="1971"/>
      <c r="BK116" s="1971"/>
      <c r="BL116" s="1971"/>
      <c r="BM116" s="1971"/>
      <c r="BN116" s="1971"/>
      <c r="BO116" s="1971"/>
      <c r="BP116" s="1971"/>
      <c r="BQ116" s="1971"/>
    </row>
    <row r="117" spans="1:69" s="225" customFormat="1" ht="17.25" customHeight="1">
      <c r="A117" s="1991" t="s">
        <v>186</v>
      </c>
      <c r="B117" s="1984" t="s">
        <v>99</v>
      </c>
      <c r="C117" s="1992" t="s">
        <v>25</v>
      </c>
      <c r="D117" s="1985" t="s">
        <v>873</v>
      </c>
      <c r="E117" s="1985" t="s">
        <v>27</v>
      </c>
      <c r="F117" s="1972">
        <v>1</v>
      </c>
      <c r="G117" s="1992" t="s">
        <v>102</v>
      </c>
      <c r="H117" s="1992" t="s">
        <v>103</v>
      </c>
      <c r="I117" s="1999">
        <v>1</v>
      </c>
      <c r="J117" s="1965">
        <v>17697</v>
      </c>
      <c r="K117" s="1988">
        <v>26</v>
      </c>
      <c r="L117" s="1965">
        <f>K117/18</f>
        <v>1.4444444444444444</v>
      </c>
      <c r="M117" s="2000" t="s">
        <v>152</v>
      </c>
      <c r="N117" s="1980">
        <v>4.75</v>
      </c>
      <c r="O117" s="2092">
        <f>N117*J117/18*K117</f>
        <v>121421.08333333334</v>
      </c>
      <c r="P117" s="2121">
        <f>O117*50%</f>
        <v>60710.541666666672</v>
      </c>
      <c r="Q117" s="1981"/>
      <c r="R117" s="1965"/>
      <c r="S117" s="1965">
        <v>0.1</v>
      </c>
      <c r="T117" s="2092">
        <f t="shared" si="17"/>
        <v>18213.162500000002</v>
      </c>
      <c r="U117" s="1982"/>
      <c r="V117" s="1965"/>
      <c r="W117" s="680">
        <f>O117+P117+T117</f>
        <v>200344.78750000001</v>
      </c>
      <c r="X117" s="141">
        <f>U117+Q117</f>
        <v>0</v>
      </c>
      <c r="Y117" s="141">
        <f>V117+R117</f>
        <v>0</v>
      </c>
      <c r="Z117" s="1970">
        <f>W117*12</f>
        <v>2404137.4500000002</v>
      </c>
      <c r="AA117" s="1971">
        <f>Z117/12/29.33*56</f>
        <v>382519.88066825783</v>
      </c>
      <c r="AB117" s="1971">
        <f>Z117*1.25</f>
        <v>3005171.8125</v>
      </c>
      <c r="AC117" s="1971">
        <f>AB117/12/29.33*56</f>
        <v>478149.85083532229</v>
      </c>
      <c r="AD117" s="1971"/>
      <c r="AE117" s="1971"/>
      <c r="AF117" s="1971"/>
      <c r="AG117" s="1971"/>
      <c r="AH117" s="1971"/>
      <c r="AI117" s="1971"/>
      <c r="AJ117" s="1970"/>
      <c r="AK117" s="1970"/>
      <c r="AL117" s="1970"/>
      <c r="AM117" s="1970"/>
      <c r="AN117" s="1970"/>
      <c r="AO117" s="1970"/>
      <c r="AP117" s="1970"/>
      <c r="AQ117" s="1971"/>
      <c r="AR117" s="1971"/>
      <c r="AS117" s="1971"/>
      <c r="AT117" s="1971"/>
      <c r="AU117" s="1971"/>
      <c r="AV117" s="1971"/>
      <c r="AW117" s="1971"/>
      <c r="AX117" s="1971"/>
      <c r="AY117" s="1971"/>
      <c r="AZ117" s="1971"/>
      <c r="BA117" s="1971"/>
      <c r="BB117" s="1971"/>
      <c r="BC117" s="1971"/>
      <c r="BD117" s="1971"/>
      <c r="BE117" s="1971"/>
      <c r="BF117" s="1971"/>
      <c r="BG117" s="1971"/>
      <c r="BH117" s="1971"/>
      <c r="BI117" s="1971"/>
      <c r="BJ117" s="1971"/>
      <c r="BK117" s="1971"/>
      <c r="BL117" s="1971"/>
      <c r="BM117" s="1971"/>
      <c r="BN117" s="1971"/>
      <c r="BO117" s="1971"/>
      <c r="BP117" s="1971"/>
      <c r="BQ117" s="1971"/>
    </row>
    <row r="118" spans="1:69" s="377" customFormat="1" ht="15.75">
      <c r="A118" s="1991" t="s">
        <v>810</v>
      </c>
      <c r="B118" s="1984" t="s">
        <v>99</v>
      </c>
      <c r="C118" s="1992" t="s">
        <v>25</v>
      </c>
      <c r="D118" s="2009" t="s">
        <v>874</v>
      </c>
      <c r="E118" s="1985" t="s">
        <v>34</v>
      </c>
      <c r="F118" s="1972">
        <v>1</v>
      </c>
      <c r="G118" s="1992" t="s">
        <v>102</v>
      </c>
      <c r="H118" s="1992" t="s">
        <v>103</v>
      </c>
      <c r="I118" s="1999">
        <v>1</v>
      </c>
      <c r="J118" s="1965">
        <v>17697</v>
      </c>
      <c r="K118" s="1988">
        <v>22</v>
      </c>
      <c r="L118" s="1965">
        <f>K118/18</f>
        <v>1.2222222222222223</v>
      </c>
      <c r="M118" s="2000" t="s">
        <v>152</v>
      </c>
      <c r="N118" s="1980">
        <v>4.75</v>
      </c>
      <c r="O118" s="2092">
        <f>N118*J118/18*K118</f>
        <v>102740.91666666667</v>
      </c>
      <c r="P118" s="2121">
        <f>O118*50%</f>
        <v>51370.458333333336</v>
      </c>
      <c r="Q118" s="1981"/>
      <c r="R118" s="1965"/>
      <c r="S118" s="1965">
        <v>0.1</v>
      </c>
      <c r="T118" s="2092">
        <f t="shared" si="17"/>
        <v>15411.137500000001</v>
      </c>
      <c r="U118" s="1982"/>
      <c r="V118" s="1965"/>
      <c r="W118" s="680">
        <f>O118+P118+T118</f>
        <v>169522.51250000001</v>
      </c>
      <c r="X118" s="141">
        <f>U118+Q118</f>
        <v>0</v>
      </c>
      <c r="Y118" s="141">
        <f>V118+R118</f>
        <v>0</v>
      </c>
      <c r="Z118" s="1970">
        <f>W118*12</f>
        <v>2034270.1500000001</v>
      </c>
      <c r="AA118" s="1971">
        <f>Z118/12/29.33*56</f>
        <v>323670.66825775662</v>
      </c>
      <c r="AB118" s="1971">
        <f>Z118*1.25</f>
        <v>2542837.6875</v>
      </c>
      <c r="AC118" s="1971">
        <f>AB118/12/29.33*56</f>
        <v>404588.33532219572</v>
      </c>
      <c r="AD118" s="1971"/>
      <c r="AE118" s="1971"/>
      <c r="AF118" s="1971"/>
      <c r="AG118" s="1971"/>
      <c r="AH118" s="1971"/>
      <c r="AI118" s="1971"/>
      <c r="AJ118" s="1970"/>
      <c r="AK118" s="1970"/>
      <c r="AL118" s="1970"/>
      <c r="AM118" s="1970"/>
      <c r="AN118" s="1970"/>
      <c r="AO118" s="1970"/>
      <c r="AP118" s="1970"/>
      <c r="AQ118" s="1971"/>
      <c r="AR118" s="1971"/>
      <c r="AS118" s="1971"/>
      <c r="AT118" s="1971"/>
      <c r="AU118" s="1971"/>
      <c r="AV118" s="1971"/>
      <c r="AW118" s="1971"/>
      <c r="AX118" s="1971"/>
      <c r="AY118" s="1971"/>
      <c r="AZ118" s="1971"/>
      <c r="BA118" s="1971"/>
      <c r="BB118" s="1971"/>
      <c r="BC118" s="1971"/>
      <c r="BD118" s="1971"/>
      <c r="BE118" s="1971"/>
      <c r="BF118" s="1971"/>
      <c r="BG118" s="1971"/>
      <c r="BH118" s="1971"/>
      <c r="BI118" s="1971"/>
      <c r="BJ118" s="1971"/>
      <c r="BK118" s="1971"/>
      <c r="BL118" s="1971"/>
      <c r="BM118" s="1971"/>
      <c r="BN118" s="1971"/>
      <c r="BO118" s="1971"/>
      <c r="BP118" s="1971"/>
      <c r="BQ118" s="1971"/>
    </row>
    <row r="119" spans="1:69" s="377" customFormat="1" ht="17.25" customHeight="1">
      <c r="A119" s="1991" t="s">
        <v>345</v>
      </c>
      <c r="B119" s="1984" t="s">
        <v>784</v>
      </c>
      <c r="C119" s="1972" t="s">
        <v>64</v>
      </c>
      <c r="D119" s="1992"/>
      <c r="E119" s="2089"/>
      <c r="F119" s="2102">
        <v>1</v>
      </c>
      <c r="G119" s="1992"/>
      <c r="H119" s="2091"/>
      <c r="I119" s="1992">
        <v>1</v>
      </c>
      <c r="J119" s="1965">
        <v>17697</v>
      </c>
      <c r="K119" s="1965"/>
      <c r="L119" s="2092">
        <v>1</v>
      </c>
      <c r="M119" s="1965"/>
      <c r="N119" s="1965">
        <v>2.77</v>
      </c>
      <c r="O119" s="2092">
        <f>J119*N119*L119</f>
        <v>49020.69</v>
      </c>
      <c r="P119" s="2121"/>
      <c r="Q119" s="1965">
        <f>J119*O120*M119</f>
        <v>0</v>
      </c>
      <c r="R119" s="1981"/>
      <c r="S119" s="1981">
        <v>0.1</v>
      </c>
      <c r="T119" s="1965">
        <f>S119*O119</f>
        <v>4902.0690000000004</v>
      </c>
      <c r="U119" s="2106">
        <v>0.5</v>
      </c>
      <c r="V119" s="2032">
        <v>12439.34</v>
      </c>
      <c r="W119" s="680">
        <f>O119+T119+V119</f>
        <v>66362.099000000002</v>
      </c>
      <c r="X119" s="141">
        <f>Q118+U118+W118</f>
        <v>169522.51250000001</v>
      </c>
      <c r="Y119" s="141">
        <f>R118+V118+X119</f>
        <v>169522.51250000001</v>
      </c>
      <c r="Z119" s="1970">
        <f>W118*12</f>
        <v>2034270.1500000001</v>
      </c>
      <c r="AA119" s="2094">
        <f>Z119/12/29.33*24</f>
        <v>138716.0006818957</v>
      </c>
      <c r="AB119" s="1970"/>
      <c r="AC119" s="1970"/>
      <c r="AD119" s="2107"/>
      <c r="AE119" s="2098"/>
      <c r="AF119" s="1970"/>
      <c r="AG119" s="1971"/>
      <c r="AH119" s="1971"/>
      <c r="AI119" s="1971"/>
      <c r="AJ119" s="1970"/>
      <c r="AK119" s="1970"/>
      <c r="AL119" s="1970"/>
      <c r="AM119" s="1970"/>
      <c r="AN119" s="1970"/>
      <c r="AO119" s="1970"/>
      <c r="AP119" s="1970"/>
      <c r="AQ119" s="1971"/>
      <c r="AR119" s="1971"/>
      <c r="AS119" s="1971"/>
      <c r="AT119" s="1971"/>
      <c r="AU119" s="1971"/>
      <c r="AV119" s="1971"/>
      <c r="AW119" s="1971"/>
      <c r="AX119" s="1971"/>
      <c r="AY119" s="1971"/>
      <c r="AZ119" s="1971"/>
      <c r="BA119" s="1971"/>
      <c r="BB119" s="1971"/>
      <c r="BC119" s="1971"/>
      <c r="BD119" s="1971"/>
      <c r="BE119" s="1971"/>
      <c r="BF119" s="1971"/>
      <c r="BG119" s="1971"/>
      <c r="BH119" s="1971"/>
      <c r="BI119" s="1971"/>
      <c r="BJ119" s="1971"/>
      <c r="BK119" s="1971"/>
      <c r="BL119" s="1971"/>
      <c r="BM119" s="1971"/>
      <c r="BN119" s="1971"/>
      <c r="BO119" s="1971"/>
      <c r="BP119" s="1971"/>
      <c r="BQ119" s="1971"/>
    </row>
    <row r="120" spans="1:69" s="377" customFormat="1" ht="15.75">
      <c r="A120" s="1991" t="s">
        <v>243</v>
      </c>
      <c r="B120" s="1984" t="s">
        <v>99</v>
      </c>
      <c r="C120" s="1992" t="s">
        <v>25</v>
      </c>
      <c r="D120" s="1985" t="s">
        <v>930</v>
      </c>
      <c r="E120" s="1985" t="s">
        <v>239</v>
      </c>
      <c r="F120" s="2116">
        <v>1</v>
      </c>
      <c r="G120" s="1994" t="s">
        <v>102</v>
      </c>
      <c r="H120" s="1994" t="s">
        <v>103</v>
      </c>
      <c r="I120" s="2000">
        <v>2</v>
      </c>
      <c r="J120" s="1965">
        <v>17697</v>
      </c>
      <c r="K120" s="2120">
        <v>36</v>
      </c>
      <c r="L120" s="1965">
        <f>K120/18</f>
        <v>2</v>
      </c>
      <c r="M120" s="1979" t="s">
        <v>596</v>
      </c>
      <c r="N120" s="1997">
        <v>4.2300000000000004</v>
      </c>
      <c r="O120" s="2092">
        <f>N120*J120/18*K120</f>
        <v>149716.62000000002</v>
      </c>
      <c r="P120" s="2121">
        <f>O120*50%</f>
        <v>74858.310000000012</v>
      </c>
      <c r="Q120" s="1981"/>
      <c r="R120" s="1965"/>
      <c r="S120" s="1965">
        <v>0.1</v>
      </c>
      <c r="T120" s="2092">
        <f>(O120+P120)*S120</f>
        <v>22457.493000000006</v>
      </c>
      <c r="U120" s="2056">
        <v>0.4</v>
      </c>
      <c r="V120" s="1965">
        <f>(J120*N120)*1.5/100*40/18*36</f>
        <v>89829.972000000009</v>
      </c>
      <c r="W120" s="680">
        <f>O120+P120+T120+V120</f>
        <v>336862.39500000008</v>
      </c>
      <c r="X120" s="141">
        <f>U119+Q119</f>
        <v>0.5</v>
      </c>
      <c r="Y120" s="141">
        <f>V119+R119</f>
        <v>12439.34</v>
      </c>
      <c r="Z120" s="1970">
        <f>W119*12</f>
        <v>796345.18800000008</v>
      </c>
      <c r="AA120" s="1971">
        <f>Z120/12/29.33*56</f>
        <v>126705.67828162294</v>
      </c>
      <c r="AB120" s="1971">
        <f>Z120*1.25</f>
        <v>995431.4850000001</v>
      </c>
      <c r="AC120" s="1971">
        <f>AB120/12/29.33*56</f>
        <v>158382.09785202867</v>
      </c>
      <c r="AD120" s="1971"/>
      <c r="AE120" s="1971"/>
      <c r="AF120" s="1971"/>
      <c r="AG120" s="1971"/>
      <c r="AH120" s="1971"/>
      <c r="AI120" s="1971"/>
      <c r="AJ120" s="1970"/>
      <c r="AK120" s="1970"/>
      <c r="AL120" s="1970"/>
      <c r="AM120" s="1970"/>
      <c r="AN120" s="1970"/>
      <c r="AO120" s="1970"/>
      <c r="AP120" s="1970"/>
      <c r="AQ120" s="1971"/>
      <c r="AR120" s="1971"/>
      <c r="AS120" s="1971"/>
      <c r="AT120" s="1971"/>
      <c r="AU120" s="1971"/>
      <c r="AV120" s="1971"/>
      <c r="AW120" s="1971"/>
      <c r="AX120" s="1971"/>
      <c r="AY120" s="1971"/>
      <c r="AZ120" s="1971"/>
      <c r="BA120" s="1971"/>
      <c r="BB120" s="1971"/>
      <c r="BC120" s="1971"/>
      <c r="BD120" s="1971"/>
      <c r="BE120" s="1971"/>
      <c r="BF120" s="1971"/>
      <c r="BG120" s="1971"/>
      <c r="BH120" s="1971"/>
      <c r="BI120" s="1971"/>
      <c r="BJ120" s="1971"/>
      <c r="BK120" s="1971"/>
      <c r="BL120" s="1971"/>
      <c r="BM120" s="1971"/>
      <c r="BN120" s="1971"/>
      <c r="BO120" s="1971"/>
      <c r="BP120" s="1971"/>
      <c r="BQ120" s="1971"/>
    </row>
    <row r="121" spans="1:69" s="986" customFormat="1" ht="17.25" customHeight="1">
      <c r="A121" s="690" t="s">
        <v>732</v>
      </c>
      <c r="B121" s="6" t="s">
        <v>86</v>
      </c>
      <c r="C121" s="20" t="s">
        <v>25</v>
      </c>
      <c r="D121" s="1637" t="s">
        <v>707</v>
      </c>
      <c r="E121" s="742" t="s">
        <v>159</v>
      </c>
      <c r="F121" s="738">
        <v>1</v>
      </c>
      <c r="G121" s="5" t="s">
        <v>56</v>
      </c>
      <c r="H121" s="5" t="s">
        <v>56</v>
      </c>
      <c r="I121" s="731" t="s">
        <v>57</v>
      </c>
      <c r="J121" s="7">
        <v>17697</v>
      </c>
      <c r="K121" s="7"/>
      <c r="L121" s="10">
        <v>0.5</v>
      </c>
      <c r="M121" s="7"/>
      <c r="N121" s="10">
        <v>4.0999999999999996</v>
      </c>
      <c r="O121" s="18">
        <f>N121*J121*L121</f>
        <v>36278.85</v>
      </c>
      <c r="P121" s="894"/>
      <c r="Q121" s="8"/>
      <c r="R121" s="7"/>
      <c r="S121" s="7">
        <v>0.1</v>
      </c>
      <c r="T121" s="7">
        <f>(O121+P121)*S121</f>
        <v>3627.8850000000002</v>
      </c>
      <c r="U121" s="9"/>
      <c r="V121" s="7"/>
      <c r="W121" s="10">
        <f>O121+R121+T121+V121+P121</f>
        <v>39906.735000000001</v>
      </c>
      <c r="X121" s="1268">
        <f>Q121+S121+U121</f>
        <v>0.1</v>
      </c>
      <c r="Y121" s="1268">
        <f>R121+T121+V121</f>
        <v>3627.8850000000002</v>
      </c>
      <c r="Z121" s="1264">
        <f>W121*12</f>
        <v>478880.82</v>
      </c>
      <c r="AA121" s="1382">
        <f>Z121/12/29.33*30</f>
        <v>40818.344698261171</v>
      </c>
      <c r="AB121" s="1265"/>
      <c r="AC121" s="1265"/>
      <c r="AD121" s="1265"/>
      <c r="AE121" s="1265"/>
      <c r="AF121" s="1265"/>
      <c r="AG121" s="1265"/>
      <c r="AH121" s="1265"/>
      <c r="AI121" s="1265"/>
      <c r="AJ121" s="23"/>
      <c r="AK121" s="23"/>
      <c r="AL121" s="23"/>
      <c r="AM121" s="23"/>
      <c r="AN121" s="23"/>
      <c r="AO121" s="23"/>
      <c r="AP121" s="23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1265"/>
    </row>
    <row r="122" spans="1:69" s="377" customFormat="1" ht="17.25" customHeight="1">
      <c r="A122" s="1991" t="s">
        <v>332</v>
      </c>
      <c r="B122" s="2058" t="s">
        <v>338</v>
      </c>
      <c r="C122" s="1972" t="s">
        <v>64</v>
      </c>
      <c r="D122" s="1992"/>
      <c r="E122" s="2089"/>
      <c r="F122" s="2090">
        <v>0.5</v>
      </c>
      <c r="G122" s="1992"/>
      <c r="H122" s="2091"/>
      <c r="I122" s="1992">
        <v>2</v>
      </c>
      <c r="J122" s="1965">
        <v>17697</v>
      </c>
      <c r="K122" s="1965"/>
      <c r="L122" s="1965">
        <v>0.5</v>
      </c>
      <c r="M122" s="2004"/>
      <c r="N122" s="2004">
        <v>2.81</v>
      </c>
      <c r="O122" s="2092">
        <f>J122*N122*L122</f>
        <v>24864.285</v>
      </c>
      <c r="P122" s="2121"/>
      <c r="Q122" s="1965">
        <f>J122*O123*M122</f>
        <v>0</v>
      </c>
      <c r="R122" s="1981"/>
      <c r="S122" s="1981">
        <v>0.1</v>
      </c>
      <c r="T122" s="1965">
        <f>S122*O122</f>
        <v>2486.4285</v>
      </c>
      <c r="U122" s="1965"/>
      <c r="V122" s="1965"/>
      <c r="W122" s="680">
        <f>O122+T122+V122</f>
        <v>27350.713499999998</v>
      </c>
      <c r="X122" s="141">
        <f>Q121+U121+W121</f>
        <v>39906.735000000001</v>
      </c>
      <c r="Y122" s="141">
        <f>R121+V121+X122</f>
        <v>39906.735000000001</v>
      </c>
      <c r="Z122" s="1970">
        <f>W121*12</f>
        <v>478880.82</v>
      </c>
      <c r="AA122" s="2094">
        <f>Z122/12/29.33*24</f>
        <v>32654.675758608937</v>
      </c>
      <c r="AB122" s="2094"/>
      <c r="AC122" s="2094"/>
      <c r="AD122" s="2094"/>
      <c r="AE122" s="2094"/>
      <c r="AF122" s="2094"/>
      <c r="AG122" s="2094"/>
      <c r="AH122" s="2094"/>
      <c r="AI122" s="2094"/>
      <c r="AJ122" s="2094"/>
      <c r="AK122" s="2094"/>
      <c r="AL122" s="2094"/>
      <c r="AM122" s="2094"/>
      <c r="AN122" s="2094"/>
      <c r="AO122" s="2094"/>
      <c r="AP122" s="2094"/>
      <c r="AQ122" s="2095"/>
      <c r="AR122" s="2095"/>
      <c r="AS122" s="2095"/>
      <c r="AT122" s="2095"/>
      <c r="AU122" s="2095"/>
      <c r="AV122" s="2095"/>
      <c r="AW122" s="2095"/>
      <c r="AX122" s="2095"/>
      <c r="AY122" s="2095"/>
      <c r="AZ122" s="2095"/>
      <c r="BA122" s="2095"/>
      <c r="BB122" s="2095"/>
      <c r="BC122" s="2095"/>
      <c r="BD122" s="2095"/>
      <c r="BE122" s="2095"/>
      <c r="BF122" s="2095"/>
      <c r="BG122" s="2095"/>
      <c r="BH122" s="2095"/>
      <c r="BI122" s="2095"/>
      <c r="BJ122" s="2095"/>
      <c r="BK122" s="2095"/>
      <c r="BL122" s="2095"/>
      <c r="BM122" s="2095"/>
      <c r="BN122" s="2095"/>
      <c r="BO122" s="2095"/>
      <c r="BP122" s="2095"/>
      <c r="BQ122" s="2095"/>
    </row>
    <row r="123" spans="1:69" s="377" customFormat="1" ht="17.25" customHeight="1">
      <c r="A123" s="1991" t="s">
        <v>245</v>
      </c>
      <c r="B123" s="1984" t="s">
        <v>99</v>
      </c>
      <c r="C123" s="1992" t="s">
        <v>25</v>
      </c>
      <c r="D123" s="1985" t="s">
        <v>931</v>
      </c>
      <c r="E123" s="1985" t="s">
        <v>40</v>
      </c>
      <c r="F123" s="2119">
        <v>1</v>
      </c>
      <c r="G123" s="1994" t="s">
        <v>102</v>
      </c>
      <c r="H123" s="1994" t="s">
        <v>103</v>
      </c>
      <c r="I123" s="2000">
        <v>1</v>
      </c>
      <c r="J123" s="1965">
        <v>17697</v>
      </c>
      <c r="K123" s="2120">
        <v>36</v>
      </c>
      <c r="L123" s="1965">
        <f t="shared" ref="L123:L131" si="18">K123/18</f>
        <v>2</v>
      </c>
      <c r="M123" s="2010" t="s">
        <v>152</v>
      </c>
      <c r="N123" s="2123">
        <v>4.75</v>
      </c>
      <c r="O123" s="2092">
        <f t="shared" ref="O123:O130" si="19">N123*J123/18*K123</f>
        <v>168121.5</v>
      </c>
      <c r="P123" s="2121">
        <f t="shared" ref="P123:P131" si="20">O123*50%</f>
        <v>84060.75</v>
      </c>
      <c r="Q123" s="1981"/>
      <c r="R123" s="1965"/>
      <c r="S123" s="1965">
        <v>0.1</v>
      </c>
      <c r="T123" s="2092">
        <f t="shared" ref="T123:T130" si="21">(O123+P123)*S123</f>
        <v>25218.225000000002</v>
      </c>
      <c r="U123" s="2056"/>
      <c r="V123" s="1965"/>
      <c r="W123" s="680">
        <f>O123+P123+T123</f>
        <v>277400.47499999998</v>
      </c>
      <c r="X123" s="2012">
        <f>U122+Q122</f>
        <v>0</v>
      </c>
      <c r="Y123" s="2012">
        <f>V122+R122</f>
        <v>0</v>
      </c>
      <c r="Z123" s="1970">
        <f>W122*12</f>
        <v>328208.56199999998</v>
      </c>
      <c r="AA123" s="1971">
        <f>Z123/12/29.33*56</f>
        <v>52220.932696897376</v>
      </c>
      <c r="AB123" s="1971">
        <f>Z123*1.25</f>
        <v>410260.70249999996</v>
      </c>
      <c r="AC123" s="1971">
        <f>AB123/12/29.33*56</f>
        <v>65276.16587112171</v>
      </c>
      <c r="AD123" s="1971"/>
      <c r="AE123" s="1971"/>
      <c r="AF123" s="1971"/>
      <c r="AG123" s="1971"/>
      <c r="AH123" s="1971"/>
      <c r="AI123" s="1971"/>
      <c r="AJ123" s="1970"/>
      <c r="AK123" s="1970"/>
      <c r="AL123" s="1970"/>
      <c r="AM123" s="1970"/>
      <c r="AN123" s="1970"/>
      <c r="AO123" s="1970"/>
      <c r="AP123" s="1970"/>
      <c r="AQ123" s="1971"/>
      <c r="AR123" s="1971"/>
      <c r="AS123" s="1971"/>
      <c r="AT123" s="1971"/>
      <c r="AU123" s="1971"/>
      <c r="AV123" s="1971"/>
      <c r="AW123" s="1971"/>
      <c r="AX123" s="1971"/>
      <c r="AY123" s="1971"/>
      <c r="AZ123" s="1971"/>
      <c r="BA123" s="1971"/>
      <c r="BB123" s="1971"/>
      <c r="BC123" s="1971"/>
      <c r="BD123" s="1971"/>
      <c r="BE123" s="1971"/>
      <c r="BF123" s="1971"/>
      <c r="BG123" s="1971"/>
      <c r="BH123" s="1971"/>
      <c r="BI123" s="1971"/>
      <c r="BJ123" s="1971"/>
      <c r="BK123" s="1971"/>
      <c r="BL123" s="1971"/>
      <c r="BM123" s="1971"/>
      <c r="BN123" s="1971"/>
      <c r="BO123" s="1971"/>
      <c r="BP123" s="1971"/>
      <c r="BQ123" s="1971"/>
    </row>
    <row r="124" spans="1:69" s="377" customFormat="1" ht="17.25" customHeight="1">
      <c r="A124" s="2058" t="s">
        <v>762</v>
      </c>
      <c r="B124" s="2058" t="s">
        <v>763</v>
      </c>
      <c r="C124" s="1992" t="s">
        <v>152</v>
      </c>
      <c r="D124" s="2024" t="s">
        <v>904</v>
      </c>
      <c r="E124" s="1985" t="s">
        <v>367</v>
      </c>
      <c r="F124" s="1972"/>
      <c r="G124" s="1992" t="s">
        <v>102</v>
      </c>
      <c r="H124" s="1992" t="s">
        <v>103</v>
      </c>
      <c r="I124" s="2070">
        <v>3</v>
      </c>
      <c r="J124" s="1965">
        <v>17697</v>
      </c>
      <c r="K124" s="2176">
        <v>32</v>
      </c>
      <c r="L124" s="1965">
        <f t="shared" si="18"/>
        <v>1.7777777777777777</v>
      </c>
      <c r="M124" s="2068" t="s">
        <v>109</v>
      </c>
      <c r="N124" s="2069">
        <v>4.3600000000000003</v>
      </c>
      <c r="O124" s="2092">
        <f t="shared" si="19"/>
        <v>137171.41333333336</v>
      </c>
      <c r="P124" s="2121">
        <f t="shared" si="20"/>
        <v>68585.70666666668</v>
      </c>
      <c r="Q124" s="1981"/>
      <c r="R124" s="1965"/>
      <c r="S124" s="1965">
        <v>0.1</v>
      </c>
      <c r="T124" s="2092">
        <f t="shared" si="21"/>
        <v>20575.712000000007</v>
      </c>
      <c r="U124" s="2056"/>
      <c r="V124" s="1965"/>
      <c r="W124" s="680">
        <f>O124+P124+T124</f>
        <v>226332.83200000005</v>
      </c>
      <c r="X124" s="2006"/>
      <c r="Y124" s="2006"/>
      <c r="Z124" s="1970">
        <f>W119*12</f>
        <v>796345.18800000008</v>
      </c>
      <c r="AA124" s="1971">
        <f>Z124/12/29.33*56</f>
        <v>126705.67828162294</v>
      </c>
      <c r="AB124" s="1971">
        <f>Z124*1.25</f>
        <v>995431.4850000001</v>
      </c>
      <c r="AC124" s="1971">
        <f>AB124/12/29.33*56</f>
        <v>158382.09785202867</v>
      </c>
      <c r="AD124" s="1971"/>
      <c r="AE124" s="1971"/>
      <c r="AF124" s="1971"/>
      <c r="AG124" s="1971"/>
      <c r="AH124" s="1971"/>
      <c r="AI124" s="1971"/>
      <c r="AJ124" s="1970"/>
      <c r="AK124" s="1970"/>
      <c r="AL124" s="1970"/>
      <c r="AM124" s="1970"/>
      <c r="AN124" s="1970"/>
      <c r="AO124" s="1970"/>
      <c r="AP124" s="1970"/>
      <c r="AQ124" s="1971"/>
      <c r="AR124" s="1971"/>
      <c r="AS124" s="1971"/>
      <c r="AT124" s="1971"/>
      <c r="AU124" s="1971"/>
      <c r="AV124" s="1971"/>
      <c r="AW124" s="1971"/>
      <c r="AX124" s="1971"/>
      <c r="AY124" s="1971"/>
      <c r="AZ124" s="1971"/>
      <c r="BA124" s="1971"/>
      <c r="BB124" s="1971"/>
      <c r="BC124" s="1971"/>
      <c r="BD124" s="1971"/>
      <c r="BE124" s="1971"/>
      <c r="BF124" s="1971"/>
      <c r="BG124" s="1971"/>
      <c r="BH124" s="1971"/>
      <c r="BI124" s="1971"/>
      <c r="BJ124" s="1971"/>
      <c r="BK124" s="1971"/>
      <c r="BL124" s="1971"/>
      <c r="BM124" s="1971"/>
      <c r="BN124" s="1971"/>
      <c r="BO124" s="1971"/>
      <c r="BP124" s="1971"/>
      <c r="BQ124" s="1971"/>
    </row>
    <row r="125" spans="1:69" s="377" customFormat="1" ht="17.25" customHeight="1">
      <c r="A125" s="2034" t="s">
        <v>188</v>
      </c>
      <c r="B125" s="2035" t="s">
        <v>99</v>
      </c>
      <c r="C125" s="2036" t="s">
        <v>25</v>
      </c>
      <c r="D125" s="2150" t="s">
        <v>875</v>
      </c>
      <c r="E125" s="2029" t="s">
        <v>51</v>
      </c>
      <c r="F125" s="1972">
        <v>1</v>
      </c>
      <c r="G125" s="2028" t="s">
        <v>102</v>
      </c>
      <c r="H125" s="2028" t="s">
        <v>103</v>
      </c>
      <c r="I125" s="1999">
        <v>1</v>
      </c>
      <c r="J125" s="1965">
        <v>17697</v>
      </c>
      <c r="K125" s="1964">
        <v>34</v>
      </c>
      <c r="L125" s="2004">
        <f t="shared" si="18"/>
        <v>1.8888888888888888</v>
      </c>
      <c r="M125" s="2010" t="s">
        <v>152</v>
      </c>
      <c r="N125" s="2011">
        <v>4.6900000000000004</v>
      </c>
      <c r="O125" s="2092">
        <f t="shared" si="19"/>
        <v>156775.75666666668</v>
      </c>
      <c r="P125" s="2121">
        <f t="shared" si="20"/>
        <v>78387.878333333341</v>
      </c>
      <c r="Q125" s="2003"/>
      <c r="R125" s="1965"/>
      <c r="S125" s="2004">
        <v>0.1</v>
      </c>
      <c r="T125" s="2092">
        <f t="shared" si="21"/>
        <v>23516.363500000003</v>
      </c>
      <c r="U125" s="2005"/>
      <c r="V125" s="1963"/>
      <c r="W125" s="680">
        <f>O125+P125+T125</f>
        <v>258679.99850000002</v>
      </c>
      <c r="X125" s="2012"/>
      <c r="Y125" s="2012"/>
      <c r="Z125" s="1970"/>
      <c r="AA125" s="1971"/>
      <c r="AB125" s="1971"/>
      <c r="AC125" s="1971"/>
      <c r="AD125" s="1971"/>
      <c r="AE125" s="1971"/>
      <c r="AF125" s="1971"/>
      <c r="AG125" s="1971"/>
      <c r="AH125" s="1971"/>
      <c r="AI125" s="1971"/>
      <c r="AJ125" s="1970"/>
      <c r="AK125" s="1970"/>
      <c r="AL125" s="1970"/>
      <c r="AM125" s="1970"/>
      <c r="AN125" s="1970"/>
      <c r="AO125" s="1970"/>
      <c r="AP125" s="1970"/>
      <c r="AQ125" s="1971"/>
      <c r="AR125" s="1971"/>
      <c r="AS125" s="1971"/>
      <c r="AT125" s="1971"/>
      <c r="AU125" s="1971"/>
      <c r="AV125" s="1971"/>
      <c r="AW125" s="1971"/>
      <c r="AX125" s="1971"/>
      <c r="AY125" s="1971"/>
      <c r="AZ125" s="1971"/>
      <c r="BA125" s="1971"/>
      <c r="BB125" s="1971"/>
      <c r="BC125" s="1971"/>
      <c r="BD125" s="1971"/>
      <c r="BE125" s="1971"/>
      <c r="BF125" s="1971"/>
      <c r="BG125" s="1971"/>
      <c r="BH125" s="1971"/>
      <c r="BI125" s="1971"/>
      <c r="BJ125" s="1971"/>
      <c r="BK125" s="1971"/>
      <c r="BL125" s="1971"/>
      <c r="BM125" s="1971"/>
      <c r="BN125" s="1971"/>
      <c r="BO125" s="1971"/>
      <c r="BP125" s="1971"/>
      <c r="BQ125" s="1971"/>
    </row>
    <row r="126" spans="1:69" s="377" customFormat="1" ht="17.25" customHeight="1">
      <c r="A126" s="2034" t="s">
        <v>450</v>
      </c>
      <c r="B126" s="2027" t="s">
        <v>99</v>
      </c>
      <c r="C126" s="2036" t="s">
        <v>25</v>
      </c>
      <c r="D126" s="2150" t="s">
        <v>876</v>
      </c>
      <c r="E126" s="2029" t="s">
        <v>34</v>
      </c>
      <c r="F126" s="1972">
        <v>1</v>
      </c>
      <c r="G126" s="2028" t="s">
        <v>102</v>
      </c>
      <c r="H126" s="2028" t="s">
        <v>103</v>
      </c>
      <c r="I126" s="1993">
        <v>1</v>
      </c>
      <c r="J126" s="1965">
        <v>17697</v>
      </c>
      <c r="K126" s="2180">
        <v>25</v>
      </c>
      <c r="L126" s="1965">
        <f t="shared" si="18"/>
        <v>1.3888888888888888</v>
      </c>
      <c r="M126" s="2010" t="s">
        <v>152</v>
      </c>
      <c r="N126" s="2037">
        <v>4.75</v>
      </c>
      <c r="O126" s="2092">
        <f t="shared" si="19"/>
        <v>116751.04166666667</v>
      </c>
      <c r="P126" s="2121">
        <f t="shared" si="20"/>
        <v>58375.520833333336</v>
      </c>
      <c r="Q126" s="2031"/>
      <c r="R126" s="2032"/>
      <c r="S126" s="2032">
        <v>0.1</v>
      </c>
      <c r="T126" s="2092">
        <f t="shared" si="21"/>
        <v>17512.65625</v>
      </c>
      <c r="U126" s="2039"/>
      <c r="V126" s="2202"/>
      <c r="W126" s="680">
        <f>O126+P126+T126</f>
        <v>192639.21875</v>
      </c>
      <c r="X126" s="141">
        <f>U126+Q126</f>
        <v>0</v>
      </c>
      <c r="Y126" s="141">
        <f>V126+R126</f>
        <v>0</v>
      </c>
      <c r="Z126" s="1970">
        <f>W126*12</f>
        <v>2311670.625</v>
      </c>
      <c r="AA126" s="1971">
        <f>Z126/12/29.33*56</f>
        <v>367807.57756563247</v>
      </c>
      <c r="AB126" s="1971">
        <f>Z126*1.25</f>
        <v>2889588.28125</v>
      </c>
      <c r="AC126" s="1971">
        <f>AB126/12/29.33*56</f>
        <v>459759.4719570406</v>
      </c>
      <c r="AD126" s="1971"/>
      <c r="AE126" s="1971"/>
      <c r="AF126" s="1971"/>
      <c r="AG126" s="1971"/>
      <c r="AH126" s="1971"/>
      <c r="AI126" s="1971"/>
      <c r="AJ126" s="1970"/>
      <c r="AK126" s="1970"/>
      <c r="AL126" s="1970"/>
      <c r="AM126" s="1970"/>
      <c r="AN126" s="1970"/>
      <c r="AO126" s="1970"/>
      <c r="AP126" s="1970"/>
      <c r="AQ126" s="1971"/>
      <c r="AR126" s="1971"/>
      <c r="AS126" s="1971"/>
      <c r="AT126" s="1971"/>
      <c r="AU126" s="1971"/>
      <c r="AV126" s="1971"/>
      <c r="AW126" s="1971"/>
      <c r="AX126" s="1971"/>
      <c r="AY126" s="1971"/>
      <c r="AZ126" s="1971"/>
      <c r="BA126" s="1971"/>
      <c r="BB126" s="1971"/>
      <c r="BC126" s="1971"/>
      <c r="BD126" s="1971"/>
      <c r="BE126" s="1971"/>
      <c r="BF126" s="1971"/>
      <c r="BG126" s="1971"/>
      <c r="BH126" s="1971"/>
      <c r="BI126" s="1971"/>
      <c r="BJ126" s="1971"/>
      <c r="BK126" s="1971"/>
      <c r="BL126" s="1971"/>
      <c r="BM126" s="1971"/>
      <c r="BN126" s="1971"/>
      <c r="BO126" s="1971"/>
      <c r="BP126" s="1971"/>
      <c r="BQ126" s="1971"/>
    </row>
    <row r="127" spans="1:69" s="377" customFormat="1" ht="17.25" customHeight="1">
      <c r="A127" s="2026" t="s">
        <v>454</v>
      </c>
      <c r="B127" s="2027" t="s">
        <v>834</v>
      </c>
      <c r="C127" s="2028" t="s">
        <v>152</v>
      </c>
      <c r="D127" s="1972" t="s">
        <v>877</v>
      </c>
      <c r="E127" s="1985" t="s">
        <v>77</v>
      </c>
      <c r="F127" s="1972">
        <v>1</v>
      </c>
      <c r="G127" s="1992" t="s">
        <v>102</v>
      </c>
      <c r="H127" s="1992" t="s">
        <v>103</v>
      </c>
      <c r="I127" s="1993">
        <v>4</v>
      </c>
      <c r="J127" s="1965">
        <v>17697</v>
      </c>
      <c r="K127" s="2030">
        <v>30</v>
      </c>
      <c r="L127" s="1965">
        <f t="shared" si="18"/>
        <v>1.6666666666666667</v>
      </c>
      <c r="M127" s="2010" t="s">
        <v>112</v>
      </c>
      <c r="N127" s="2037">
        <v>3.71</v>
      </c>
      <c r="O127" s="2092">
        <f t="shared" si="19"/>
        <v>109426.45</v>
      </c>
      <c r="P127" s="2121">
        <f t="shared" si="20"/>
        <v>54713.224999999999</v>
      </c>
      <c r="Q127" s="2031"/>
      <c r="R127" s="2032"/>
      <c r="S127" s="2032">
        <v>0.1</v>
      </c>
      <c r="T127" s="2092">
        <f t="shared" si="21"/>
        <v>16413.967499999999</v>
      </c>
      <c r="U127" s="2033">
        <v>0.3</v>
      </c>
      <c r="V127" s="2032">
        <f>(J127*N127)*1.5/100*30/18*30</f>
        <v>49241.902499999997</v>
      </c>
      <c r="W127" s="680">
        <f>O127+P127+T127+V127</f>
        <v>229795.54499999998</v>
      </c>
      <c r="X127" s="2012"/>
      <c r="Y127" s="2012"/>
      <c r="Z127" s="1970">
        <f>W127*12</f>
        <v>2757546.54</v>
      </c>
      <c r="AA127" s="1971">
        <f>Z127/12/29.33*56</f>
        <v>438750.4439140812</v>
      </c>
      <c r="AB127" s="1971">
        <f>Z127*1.25</f>
        <v>3446933.1749999998</v>
      </c>
      <c r="AC127" s="1971">
        <f>AB127/12/29.33*56</f>
        <v>548438.05489260145</v>
      </c>
      <c r="AD127" s="1971"/>
      <c r="AE127" s="1971"/>
      <c r="AF127" s="1971"/>
      <c r="AG127" s="1971"/>
      <c r="AH127" s="1971"/>
      <c r="AI127" s="1971"/>
      <c r="AJ127" s="1970"/>
      <c r="AK127" s="1970"/>
      <c r="AL127" s="1970"/>
      <c r="AM127" s="1970"/>
      <c r="AN127" s="1970"/>
      <c r="AO127" s="1970"/>
      <c r="AP127" s="1970"/>
      <c r="AQ127" s="1971"/>
      <c r="AR127" s="1971"/>
      <c r="AS127" s="1971"/>
      <c r="AT127" s="1971"/>
      <c r="AU127" s="1971"/>
      <c r="AV127" s="1971"/>
      <c r="AW127" s="1971"/>
      <c r="AX127" s="1971"/>
      <c r="AY127" s="1971"/>
      <c r="AZ127" s="1971"/>
      <c r="BA127" s="1971"/>
      <c r="BB127" s="1971"/>
      <c r="BC127" s="1971"/>
      <c r="BD127" s="1971"/>
      <c r="BE127" s="1971"/>
      <c r="BF127" s="1971"/>
      <c r="BG127" s="1971"/>
      <c r="BH127" s="1971"/>
      <c r="BI127" s="1971"/>
      <c r="BJ127" s="1971"/>
      <c r="BK127" s="1971"/>
      <c r="BL127" s="1971"/>
      <c r="BM127" s="1971"/>
      <c r="BN127" s="1971"/>
      <c r="BO127" s="1971"/>
      <c r="BP127" s="1971"/>
      <c r="BQ127" s="1971"/>
    </row>
    <row r="128" spans="1:69" s="986" customFormat="1" ht="17.25" customHeight="1">
      <c r="A128" s="1973" t="s">
        <v>586</v>
      </c>
      <c r="B128" s="1984" t="s">
        <v>99</v>
      </c>
      <c r="C128" s="1977" t="s">
        <v>25</v>
      </c>
      <c r="D128" s="2152" t="s">
        <v>932</v>
      </c>
      <c r="E128" s="1976" t="s">
        <v>259</v>
      </c>
      <c r="F128" s="2119">
        <v>1</v>
      </c>
      <c r="G128" s="2164" t="s">
        <v>102</v>
      </c>
      <c r="H128" s="1994" t="s">
        <v>103</v>
      </c>
      <c r="I128" s="2000">
        <v>3</v>
      </c>
      <c r="J128" s="1965">
        <v>17697</v>
      </c>
      <c r="K128" s="2117">
        <v>27</v>
      </c>
      <c r="L128" s="1965">
        <f t="shared" si="18"/>
        <v>1.5</v>
      </c>
      <c r="M128" s="2008" t="s">
        <v>109</v>
      </c>
      <c r="N128" s="2123">
        <v>4.1399999999999997</v>
      </c>
      <c r="O128" s="2092">
        <f t="shared" si="19"/>
        <v>109898.36999999998</v>
      </c>
      <c r="P128" s="2121">
        <f t="shared" si="20"/>
        <v>54949.18499999999</v>
      </c>
      <c r="Q128" s="1981"/>
      <c r="R128" s="1965"/>
      <c r="S128" s="1965">
        <v>0.1</v>
      </c>
      <c r="T128" s="2092">
        <f t="shared" si="21"/>
        <v>16484.755499999996</v>
      </c>
      <c r="U128" s="2067"/>
      <c r="V128" s="1963"/>
      <c r="W128" s="680">
        <f>O128+P128+T128</f>
        <v>181332.31049999996</v>
      </c>
      <c r="X128" s="2012"/>
      <c r="Y128" s="2012"/>
      <c r="Z128" s="1970">
        <f>W127*12</f>
        <v>2757546.54</v>
      </c>
      <c r="AA128" s="1971">
        <f>Z128/12/29.33*56</f>
        <v>438750.4439140812</v>
      </c>
      <c r="AB128" s="1971">
        <f>Z128*1.25</f>
        <v>3446933.1749999998</v>
      </c>
      <c r="AC128" s="1971">
        <f>AB128/12/29.33*56</f>
        <v>548438.05489260145</v>
      </c>
      <c r="AD128" s="1971"/>
      <c r="AE128" s="1971"/>
      <c r="AF128" s="1971"/>
      <c r="AG128" s="1971"/>
      <c r="AH128" s="1971"/>
      <c r="AI128" s="1971"/>
      <c r="AJ128" s="1970"/>
      <c r="AK128" s="1970"/>
      <c r="AL128" s="1970"/>
      <c r="AM128" s="1970"/>
      <c r="AN128" s="1970"/>
      <c r="AO128" s="1970"/>
      <c r="AP128" s="1970"/>
      <c r="AQ128" s="1971"/>
      <c r="AR128" s="1971"/>
      <c r="AS128" s="1971"/>
      <c r="AT128" s="1971"/>
      <c r="AU128" s="1971"/>
      <c r="AV128" s="1971"/>
      <c r="AW128" s="1971"/>
      <c r="AX128" s="1971"/>
      <c r="AY128" s="1971"/>
      <c r="AZ128" s="1971"/>
      <c r="BA128" s="1971"/>
      <c r="BB128" s="1971"/>
      <c r="BC128" s="1971"/>
      <c r="BD128" s="1971"/>
      <c r="BE128" s="1971"/>
      <c r="BF128" s="1971"/>
      <c r="BG128" s="1971"/>
      <c r="BH128" s="1971"/>
      <c r="BI128" s="1971"/>
      <c r="BJ128" s="1971"/>
      <c r="BK128" s="1971"/>
      <c r="BL128" s="1971"/>
      <c r="BM128" s="1971"/>
      <c r="BN128" s="1971"/>
      <c r="BO128" s="1971"/>
      <c r="BP128" s="1971"/>
      <c r="BQ128" s="1971"/>
    </row>
    <row r="129" spans="1:69" s="986" customFormat="1" ht="17.25" customHeight="1">
      <c r="A129" s="2063" t="s">
        <v>287</v>
      </c>
      <c r="B129" s="2063" t="s">
        <v>99</v>
      </c>
      <c r="C129" s="2064" t="s">
        <v>25</v>
      </c>
      <c r="D129" s="2065" t="s">
        <v>905</v>
      </c>
      <c r="E129" s="1976" t="s">
        <v>40</v>
      </c>
      <c r="F129" s="1975">
        <v>1</v>
      </c>
      <c r="G129" s="1977" t="s">
        <v>102</v>
      </c>
      <c r="H129" s="1977" t="s">
        <v>103</v>
      </c>
      <c r="I129" s="2019">
        <v>1</v>
      </c>
      <c r="J129" s="2004">
        <v>17697</v>
      </c>
      <c r="K129" s="2054">
        <v>26</v>
      </c>
      <c r="L129" s="2004">
        <f t="shared" si="18"/>
        <v>1.4444444444444444</v>
      </c>
      <c r="M129" s="2010" t="s">
        <v>152</v>
      </c>
      <c r="N129" s="2066">
        <v>4.75</v>
      </c>
      <c r="O129" s="2092">
        <f t="shared" si="19"/>
        <v>121421.08333333334</v>
      </c>
      <c r="P129" s="2121">
        <f t="shared" si="20"/>
        <v>60710.541666666672</v>
      </c>
      <c r="Q129" s="2003"/>
      <c r="R129" s="1965"/>
      <c r="S129" s="2004">
        <v>0.1</v>
      </c>
      <c r="T129" s="2092">
        <f t="shared" si="21"/>
        <v>18213.162500000002</v>
      </c>
      <c r="U129" s="2067"/>
      <c r="V129" s="1963"/>
      <c r="W129" s="680">
        <f>O129+P129+T129</f>
        <v>200344.78750000001</v>
      </c>
      <c r="X129" s="2012"/>
      <c r="Y129" s="2012"/>
      <c r="Z129" s="1970"/>
      <c r="AA129" s="1971"/>
      <c r="AB129" s="1971"/>
      <c r="AC129" s="1971"/>
      <c r="AD129" s="1971"/>
      <c r="AE129" s="1971"/>
      <c r="AF129" s="1971"/>
      <c r="AG129" s="1971"/>
      <c r="AH129" s="1971"/>
      <c r="AI129" s="1971"/>
      <c r="AJ129" s="1970"/>
      <c r="AK129" s="1970"/>
      <c r="AL129" s="1970"/>
      <c r="AM129" s="1970"/>
      <c r="AN129" s="1970"/>
      <c r="AO129" s="1970"/>
      <c r="AP129" s="1970"/>
      <c r="AQ129" s="1971"/>
      <c r="AR129" s="1971"/>
      <c r="AS129" s="1971"/>
      <c r="AT129" s="1971"/>
      <c r="AU129" s="1971"/>
      <c r="AV129" s="1971"/>
      <c r="AW129" s="1971"/>
      <c r="AX129" s="1971"/>
      <c r="AY129" s="1971"/>
      <c r="AZ129" s="1971"/>
      <c r="BA129" s="1971"/>
      <c r="BB129" s="1971"/>
      <c r="BC129" s="1971"/>
      <c r="BD129" s="1971"/>
      <c r="BE129" s="1971"/>
      <c r="BF129" s="1971"/>
      <c r="BG129" s="1971"/>
      <c r="BH129" s="1971"/>
      <c r="BI129" s="1971"/>
      <c r="BJ129" s="1971"/>
      <c r="BK129" s="1971"/>
      <c r="BL129" s="1971"/>
      <c r="BM129" s="1971"/>
      <c r="BN129" s="1971"/>
      <c r="BO129" s="1971"/>
      <c r="BP129" s="1971"/>
      <c r="BQ129" s="1971"/>
    </row>
    <row r="130" spans="1:69" s="986" customFormat="1" ht="17.25" customHeight="1">
      <c r="A130" s="1991" t="s">
        <v>253</v>
      </c>
      <c r="B130" s="1984" t="s">
        <v>148</v>
      </c>
      <c r="C130" s="1992" t="s">
        <v>25</v>
      </c>
      <c r="D130" s="1985" t="s">
        <v>933</v>
      </c>
      <c r="E130" s="1985" t="s">
        <v>712</v>
      </c>
      <c r="F130" s="2157">
        <v>1</v>
      </c>
      <c r="G130" s="1992" t="s">
        <v>102</v>
      </c>
      <c r="H130" s="1992" t="s">
        <v>103</v>
      </c>
      <c r="I130" s="2060">
        <v>1</v>
      </c>
      <c r="J130" s="1965">
        <v>17697</v>
      </c>
      <c r="K130" s="2120">
        <v>36</v>
      </c>
      <c r="L130" s="1965">
        <f t="shared" si="18"/>
        <v>2</v>
      </c>
      <c r="M130" s="1979" t="s">
        <v>152</v>
      </c>
      <c r="N130" s="1997">
        <v>4.75</v>
      </c>
      <c r="O130" s="2092">
        <f t="shared" si="19"/>
        <v>168121.5</v>
      </c>
      <c r="P130" s="2121">
        <f t="shared" si="20"/>
        <v>84060.75</v>
      </c>
      <c r="Q130" s="1981"/>
      <c r="R130" s="1965"/>
      <c r="S130" s="1965">
        <v>0.1</v>
      </c>
      <c r="T130" s="2092">
        <f t="shared" si="21"/>
        <v>25218.225000000002</v>
      </c>
      <c r="U130" s="2056"/>
      <c r="V130" s="1965"/>
      <c r="W130" s="680">
        <f>O130+P130+T130</f>
        <v>277400.47499999998</v>
      </c>
      <c r="X130" s="2012"/>
      <c r="Y130" s="2012"/>
      <c r="Z130" s="1970"/>
      <c r="AA130" s="1971"/>
      <c r="AB130" s="1971"/>
      <c r="AC130" s="1971"/>
      <c r="AD130" s="1971"/>
      <c r="AE130" s="1971"/>
      <c r="AF130" s="1971"/>
      <c r="AG130" s="1971"/>
      <c r="AH130" s="1971"/>
      <c r="AI130" s="1971"/>
      <c r="AJ130" s="1970"/>
      <c r="AK130" s="1970"/>
      <c r="AL130" s="1970"/>
      <c r="AM130" s="1970"/>
      <c r="AN130" s="1970"/>
      <c r="AO130" s="1970"/>
      <c r="AP130" s="1970"/>
      <c r="AQ130" s="1971"/>
      <c r="AR130" s="1971"/>
      <c r="AS130" s="1971"/>
      <c r="AT130" s="1971"/>
      <c r="AU130" s="1971"/>
      <c r="AV130" s="1971"/>
      <c r="AW130" s="1971"/>
      <c r="AX130" s="1971"/>
      <c r="AY130" s="1971"/>
      <c r="AZ130" s="1971"/>
      <c r="BA130" s="1971"/>
      <c r="BB130" s="1971"/>
      <c r="BC130" s="1971"/>
      <c r="BD130" s="1971"/>
      <c r="BE130" s="1971"/>
      <c r="BF130" s="1971"/>
      <c r="BG130" s="1971"/>
      <c r="BH130" s="1971"/>
      <c r="BI130" s="1971"/>
      <c r="BJ130" s="1971"/>
      <c r="BK130" s="1971"/>
      <c r="BL130" s="1971"/>
      <c r="BM130" s="1971"/>
      <c r="BN130" s="1971"/>
      <c r="BO130" s="1971"/>
      <c r="BP130" s="1971"/>
      <c r="BQ130" s="1971"/>
    </row>
    <row r="131" spans="1:69" s="986" customFormat="1" ht="18" customHeight="1">
      <c r="A131" s="2132" t="s">
        <v>524</v>
      </c>
      <c r="B131" s="2058" t="s">
        <v>99</v>
      </c>
      <c r="C131" s="2080" t="s">
        <v>25</v>
      </c>
      <c r="D131" s="2081" t="s">
        <v>913</v>
      </c>
      <c r="E131" s="2081" t="s">
        <v>366</v>
      </c>
      <c r="F131" s="2085">
        <v>1</v>
      </c>
      <c r="G131" s="2085" t="s">
        <v>102</v>
      </c>
      <c r="H131" s="2085" t="s">
        <v>103</v>
      </c>
      <c r="I131" s="2086">
        <v>1</v>
      </c>
      <c r="J131" s="1965">
        <v>17697</v>
      </c>
      <c r="K131" s="696">
        <v>17</v>
      </c>
      <c r="L131" s="567">
        <f t="shared" si="18"/>
        <v>0.94444444444444442</v>
      </c>
      <c r="M131" s="1004" t="s">
        <v>152</v>
      </c>
      <c r="N131" s="1612">
        <v>4.6900000000000004</v>
      </c>
      <c r="O131" s="567">
        <f>J131*N131/18*K131</f>
        <v>78387.878333333341</v>
      </c>
      <c r="P131" s="697">
        <f t="shared" si="20"/>
        <v>39193.939166666671</v>
      </c>
      <c r="Q131" s="666">
        <v>0.25</v>
      </c>
      <c r="R131" s="554">
        <f>(O131+P131)*Q131</f>
        <v>29395.454375000001</v>
      </c>
      <c r="S131" s="554">
        <v>0.1</v>
      </c>
      <c r="T131" s="567">
        <f>(O131+P131+R131)*S131</f>
        <v>14697.727187500001</v>
      </c>
      <c r="U131" s="1541"/>
      <c r="V131" s="700"/>
      <c r="W131" s="570">
        <f>O131+P131+R131+T131</f>
        <v>161674.99906250002</v>
      </c>
      <c r="X131" s="984"/>
      <c r="Y131" s="984"/>
      <c r="Z131" s="81"/>
      <c r="AA131" s="80"/>
      <c r="AB131" s="80"/>
      <c r="AC131" s="80"/>
      <c r="AJ131" s="906"/>
      <c r="AK131" s="23"/>
      <c r="AL131" s="23"/>
      <c r="AM131" s="23"/>
      <c r="AN131" s="23"/>
      <c r="AO131" s="23"/>
      <c r="AP131" s="23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</row>
    <row r="132" spans="1:69" s="1971" customFormat="1" ht="17.25" customHeight="1">
      <c r="A132" s="1961" t="s">
        <v>343</v>
      </c>
      <c r="B132" s="2058" t="s">
        <v>340</v>
      </c>
      <c r="C132" s="1960" t="s">
        <v>64</v>
      </c>
      <c r="D132" s="2113"/>
      <c r="E132" s="2114"/>
      <c r="F132" s="2156">
        <v>1</v>
      </c>
      <c r="G132" s="1986"/>
      <c r="H132" s="2115"/>
      <c r="I132" s="1986">
        <v>2</v>
      </c>
      <c r="J132" s="1963">
        <v>17697</v>
      </c>
      <c r="K132" s="1963"/>
      <c r="L132" s="1963">
        <v>1</v>
      </c>
      <c r="M132" s="1963"/>
      <c r="N132" s="1963">
        <v>2.81</v>
      </c>
      <c r="O132" s="2092">
        <f>J132*N132*L132</f>
        <v>49728.57</v>
      </c>
      <c r="P132" s="1966"/>
      <c r="Q132" s="1963">
        <f>J132*O133*M132</f>
        <v>0</v>
      </c>
      <c r="R132" s="1967"/>
      <c r="S132" s="2093">
        <v>0.1</v>
      </c>
      <c r="T132" s="1963">
        <f>S132*O132</f>
        <v>4972.857</v>
      </c>
      <c r="U132" s="1968">
        <v>0.3</v>
      </c>
      <c r="V132" s="1963">
        <f>U132*J132</f>
        <v>5309.0999999999995</v>
      </c>
      <c r="W132" s="940">
        <f>O132+T132+V132</f>
        <v>60010.526999999995</v>
      </c>
      <c r="X132" s="141">
        <f>Q131+U131+W131</f>
        <v>161675.24906250002</v>
      </c>
      <c r="Y132" s="141">
        <f>R131+V131+X132</f>
        <v>191070.70343750002</v>
      </c>
      <c r="Z132" s="1970">
        <f>W131*12</f>
        <v>1940099.9887500003</v>
      </c>
      <c r="AA132" s="2094">
        <f>Z132/12/29.33*24</f>
        <v>132294.5781622912</v>
      </c>
      <c r="AB132" s="2094"/>
      <c r="AC132" s="2094"/>
      <c r="AD132" s="2094"/>
      <c r="AE132" s="2094"/>
      <c r="AF132" s="2094"/>
      <c r="AG132" s="2094"/>
      <c r="AH132" s="2094"/>
      <c r="AI132" s="2094"/>
      <c r="AJ132" s="2094"/>
      <c r="AK132" s="2094"/>
      <c r="AL132" s="2094"/>
      <c r="AM132" s="2094"/>
      <c r="AN132" s="2094"/>
      <c r="AO132" s="2094"/>
      <c r="AP132" s="2094"/>
      <c r="AQ132" s="2095"/>
      <c r="AR132" s="2095"/>
      <c r="AS132" s="2095"/>
      <c r="AT132" s="2095"/>
      <c r="AU132" s="2095"/>
      <c r="AV132" s="2095"/>
      <c r="AW132" s="2095"/>
      <c r="AX132" s="2095"/>
      <c r="AY132" s="2095"/>
      <c r="AZ132" s="2095"/>
      <c r="BA132" s="2095"/>
      <c r="BB132" s="2095"/>
      <c r="BC132" s="2095"/>
      <c r="BD132" s="2095"/>
      <c r="BE132" s="2095"/>
      <c r="BF132" s="2095"/>
      <c r="BG132" s="2095"/>
      <c r="BH132" s="2095"/>
      <c r="BI132" s="2095"/>
      <c r="BJ132" s="2095"/>
      <c r="BK132" s="2095"/>
      <c r="BL132" s="2095"/>
      <c r="BM132" s="2095"/>
      <c r="BN132" s="2095"/>
      <c r="BO132" s="2095"/>
      <c r="BP132" s="2095"/>
      <c r="BQ132" s="2095"/>
    </row>
    <row r="133" spans="1:69" s="2095" customFormat="1" ht="18" customHeight="1">
      <c r="A133" s="2058" t="s">
        <v>289</v>
      </c>
      <c r="B133" s="2058" t="s">
        <v>99</v>
      </c>
      <c r="C133" s="1992" t="s">
        <v>64</v>
      </c>
      <c r="D133" s="2144" t="s">
        <v>906</v>
      </c>
      <c r="E133" s="2007" t="s">
        <v>77</v>
      </c>
      <c r="F133" s="1972">
        <v>1</v>
      </c>
      <c r="G133" s="1992" t="s">
        <v>102</v>
      </c>
      <c r="H133" s="1992" t="s">
        <v>118</v>
      </c>
      <c r="I133" s="2070">
        <v>4</v>
      </c>
      <c r="J133" s="1965">
        <v>17697</v>
      </c>
      <c r="K133" s="2176">
        <v>13</v>
      </c>
      <c r="L133" s="1963">
        <f>K133/18</f>
        <v>0.72222222222222221</v>
      </c>
      <c r="M133" s="2068" t="s">
        <v>112</v>
      </c>
      <c r="N133" s="2190">
        <v>3.45</v>
      </c>
      <c r="O133" s="2092">
        <f>N133*J133/18*K133</f>
        <v>44095.025000000001</v>
      </c>
      <c r="P133" s="1966">
        <f>O133*50%</f>
        <v>22047.512500000001</v>
      </c>
      <c r="Q133" s="1967"/>
      <c r="R133" s="1965"/>
      <c r="S133" s="2196">
        <v>0.1</v>
      </c>
      <c r="T133" s="1966">
        <f>(O133+P133)*S133</f>
        <v>6614.2537500000008</v>
      </c>
      <c r="U133" s="2056"/>
      <c r="V133" s="1965"/>
      <c r="W133" s="940">
        <f>O133+P133+T133</f>
        <v>72756.791250000009</v>
      </c>
      <c r="X133" s="2203">
        <f>U132+Q132</f>
        <v>0.3</v>
      </c>
      <c r="Y133" s="2203">
        <f>V132+R132</f>
        <v>5309.0999999999995</v>
      </c>
      <c r="Z133" s="1970">
        <f>W132*12</f>
        <v>720126.32399999991</v>
      </c>
      <c r="AA133" s="1971">
        <f>Z133/12/29.33*56</f>
        <v>114578.57183770882</v>
      </c>
      <c r="AB133" s="1971">
        <f>Z133*1.25</f>
        <v>900157.90499999991</v>
      </c>
      <c r="AC133" s="1971">
        <f>AB133/12/29.33*56</f>
        <v>143223.21479713602</v>
      </c>
      <c r="AD133" s="1971"/>
      <c r="AE133" s="1971"/>
      <c r="AF133" s="1971"/>
      <c r="AG133" s="1971"/>
      <c r="AH133" s="1971"/>
      <c r="AI133" s="1971"/>
      <c r="AJ133" s="1970"/>
      <c r="AK133" s="1970"/>
      <c r="AL133" s="1970"/>
      <c r="AM133" s="1970"/>
      <c r="AN133" s="1970"/>
      <c r="AO133" s="1970"/>
      <c r="AP133" s="1970"/>
      <c r="AQ133" s="1971"/>
      <c r="AR133" s="1971"/>
      <c r="AS133" s="1971"/>
      <c r="AT133" s="1971"/>
      <c r="AU133" s="1971"/>
      <c r="AV133" s="1971"/>
      <c r="AW133" s="1971"/>
      <c r="AX133" s="1971"/>
      <c r="AY133" s="1971"/>
      <c r="AZ133" s="1971"/>
      <c r="BA133" s="1971"/>
      <c r="BB133" s="1971"/>
      <c r="BC133" s="1971"/>
      <c r="BD133" s="1971"/>
      <c r="BE133" s="1971"/>
      <c r="BF133" s="1971"/>
      <c r="BG133" s="1971"/>
      <c r="BH133" s="1971"/>
      <c r="BI133" s="1971"/>
      <c r="BJ133" s="1971"/>
      <c r="BK133" s="1971"/>
      <c r="BL133" s="1971"/>
      <c r="BM133" s="1971"/>
      <c r="BN133" s="1971"/>
      <c r="BO133" s="1971"/>
      <c r="BP133" s="1971"/>
      <c r="BQ133" s="1971"/>
    </row>
    <row r="134" spans="1:69" s="2095" customFormat="1" ht="15.75" customHeight="1">
      <c r="A134" s="1991" t="s">
        <v>255</v>
      </c>
      <c r="B134" s="1984" t="s">
        <v>99</v>
      </c>
      <c r="C134" s="1992" t="s">
        <v>25</v>
      </c>
      <c r="D134" s="2146" t="s">
        <v>934</v>
      </c>
      <c r="E134" s="1985" t="s">
        <v>40</v>
      </c>
      <c r="F134" s="2119">
        <v>1</v>
      </c>
      <c r="G134" s="1994" t="s">
        <v>102</v>
      </c>
      <c r="H134" s="1994" t="s">
        <v>103</v>
      </c>
      <c r="I134" s="2000">
        <v>1</v>
      </c>
      <c r="J134" s="1965">
        <v>17697</v>
      </c>
      <c r="K134" s="2120">
        <v>32</v>
      </c>
      <c r="L134" s="1965">
        <f>K134/18</f>
        <v>1.7777777777777777</v>
      </c>
      <c r="M134" s="2000" t="s">
        <v>152</v>
      </c>
      <c r="N134" s="1980">
        <v>4.75</v>
      </c>
      <c r="O134" s="2092">
        <f>N134*J134/18*K134</f>
        <v>149441.33333333334</v>
      </c>
      <c r="P134" s="1966">
        <f>O134*50%</f>
        <v>74720.666666666672</v>
      </c>
      <c r="Q134" s="1967"/>
      <c r="R134" s="1965"/>
      <c r="S134" s="2196">
        <v>0.1</v>
      </c>
      <c r="T134" s="1966">
        <f>(O134+P134)*S134</f>
        <v>22416.2</v>
      </c>
      <c r="U134" s="2056"/>
      <c r="V134" s="1965"/>
      <c r="W134" s="940">
        <f>O134+P134+T134</f>
        <v>246578.2</v>
      </c>
      <c r="X134" s="1969"/>
      <c r="Y134" s="1969"/>
      <c r="Z134" s="1970"/>
      <c r="AA134" s="1971"/>
      <c r="AB134" s="1971"/>
      <c r="AC134" s="1971"/>
      <c r="AD134" s="1971"/>
      <c r="AE134" s="1971"/>
      <c r="AF134" s="1971"/>
      <c r="AG134" s="1971"/>
      <c r="AH134" s="1971"/>
      <c r="AI134" s="1971"/>
      <c r="AJ134" s="1970"/>
      <c r="AK134" s="1970"/>
      <c r="AL134" s="1970"/>
      <c r="AM134" s="1970"/>
      <c r="AN134" s="1970"/>
      <c r="AO134" s="1970"/>
      <c r="AP134" s="1970"/>
      <c r="AQ134" s="1971"/>
      <c r="AR134" s="1971"/>
      <c r="AS134" s="1971"/>
      <c r="AT134" s="1971"/>
      <c r="AU134" s="1971"/>
      <c r="AV134" s="1971"/>
      <c r="AW134" s="1971"/>
      <c r="AX134" s="1971"/>
      <c r="AY134" s="1971"/>
      <c r="AZ134" s="1971"/>
      <c r="BA134" s="1971"/>
      <c r="BB134" s="1971"/>
      <c r="BC134" s="1971"/>
      <c r="BD134" s="1971"/>
      <c r="BE134" s="1971"/>
      <c r="BF134" s="1971"/>
      <c r="BG134" s="1971"/>
      <c r="BH134" s="1971"/>
      <c r="BI134" s="1971"/>
      <c r="BJ134" s="1971"/>
      <c r="BK134" s="1971"/>
      <c r="BL134" s="1971"/>
      <c r="BM134" s="1971"/>
      <c r="BN134" s="1971"/>
      <c r="BO134" s="1971"/>
      <c r="BP134" s="1971"/>
      <c r="BQ134" s="1971"/>
    </row>
    <row r="135" spans="1:69" s="1971" customFormat="1" ht="15.75">
      <c r="A135" s="1991" t="s">
        <v>735</v>
      </c>
      <c r="B135" s="2058" t="s">
        <v>338</v>
      </c>
      <c r="C135" s="1972" t="s">
        <v>64</v>
      </c>
      <c r="D135" s="2088"/>
      <c r="E135" s="1972"/>
      <c r="F135" s="2090">
        <v>0.5</v>
      </c>
      <c r="G135" s="1992"/>
      <c r="H135" s="2091"/>
      <c r="I135" s="1992">
        <v>2</v>
      </c>
      <c r="J135" s="1965">
        <v>17697</v>
      </c>
      <c r="K135" s="1965"/>
      <c r="L135" s="1965">
        <v>0.5</v>
      </c>
      <c r="M135" s="1965"/>
      <c r="N135" s="1965">
        <v>2.81</v>
      </c>
      <c r="O135" s="2092">
        <f>J135*N135*L135</f>
        <v>24864.285</v>
      </c>
      <c r="P135" s="1966"/>
      <c r="Q135" s="1963">
        <f>J135*O136*M135</f>
        <v>0</v>
      </c>
      <c r="R135" s="1965"/>
      <c r="S135" s="2093">
        <v>0.1</v>
      </c>
      <c r="T135" s="1963">
        <f>S135*O135</f>
        <v>2486.4285</v>
      </c>
      <c r="U135" s="1965"/>
      <c r="V135" s="1965"/>
      <c r="W135" s="940">
        <f>O135+T135+V135</f>
        <v>27350.713499999998</v>
      </c>
      <c r="X135" s="1969">
        <f>Q134+U134+W134</f>
        <v>246578.2</v>
      </c>
      <c r="Y135" s="1969">
        <f>R134+V134+X135</f>
        <v>246578.2</v>
      </c>
      <c r="Z135" s="1970">
        <f>W134*12</f>
        <v>2958938.4000000004</v>
      </c>
      <c r="AA135" s="2094">
        <f>Z135/12/29.33*24</f>
        <v>201768.72826457559</v>
      </c>
      <c r="AB135" s="2094"/>
      <c r="AC135" s="2094"/>
      <c r="AD135" s="2094"/>
      <c r="AE135" s="2094"/>
      <c r="AF135" s="2094"/>
      <c r="AG135" s="2094"/>
      <c r="AH135" s="2094"/>
      <c r="AI135" s="2094"/>
      <c r="AJ135" s="2094"/>
      <c r="AK135" s="2094"/>
      <c r="AL135" s="2094"/>
      <c r="AM135" s="2094"/>
      <c r="AN135" s="2094"/>
      <c r="AO135" s="2094"/>
      <c r="AP135" s="2094"/>
      <c r="AQ135" s="2095"/>
      <c r="AR135" s="2095"/>
      <c r="AS135" s="2095"/>
      <c r="AT135" s="2095"/>
      <c r="AU135" s="2095"/>
      <c r="AV135" s="2095"/>
      <c r="AW135" s="2095"/>
      <c r="AX135" s="2095"/>
      <c r="AY135" s="2095"/>
      <c r="AZ135" s="2095"/>
      <c r="BA135" s="2095"/>
      <c r="BB135" s="2095"/>
      <c r="BC135" s="2095"/>
      <c r="BD135" s="2095"/>
      <c r="BE135" s="2095"/>
      <c r="BF135" s="2095"/>
      <c r="BG135" s="2095"/>
      <c r="BH135" s="2095"/>
      <c r="BI135" s="2095"/>
      <c r="BJ135" s="2095"/>
      <c r="BK135" s="2095"/>
      <c r="BL135" s="2095"/>
      <c r="BM135" s="2095"/>
      <c r="BN135" s="2095"/>
      <c r="BO135" s="2095"/>
      <c r="BP135" s="2095"/>
      <c r="BQ135" s="2095"/>
    </row>
    <row r="136" spans="1:69" s="1971" customFormat="1" ht="19.5" customHeight="1">
      <c r="A136" s="1991" t="s">
        <v>735</v>
      </c>
      <c r="B136" s="2108" t="s">
        <v>785</v>
      </c>
      <c r="C136" s="1972" t="s">
        <v>64</v>
      </c>
      <c r="D136" s="2088"/>
      <c r="E136" s="1972"/>
      <c r="F136" s="2102">
        <v>1</v>
      </c>
      <c r="G136" s="1992"/>
      <c r="H136" s="2091"/>
      <c r="I136" s="1992">
        <v>1</v>
      </c>
      <c r="J136" s="1965">
        <v>17697</v>
      </c>
      <c r="K136" s="1965"/>
      <c r="L136" s="1965">
        <v>1</v>
      </c>
      <c r="M136" s="1965"/>
      <c r="N136" s="1963">
        <v>2.77</v>
      </c>
      <c r="O136" s="2092">
        <f>J136*N136*L136</f>
        <v>49020.69</v>
      </c>
      <c r="P136" s="1966"/>
      <c r="Q136" s="1963">
        <f>J136*O137*M136</f>
        <v>0</v>
      </c>
      <c r="R136" s="1965"/>
      <c r="S136" s="2093">
        <v>0.1</v>
      </c>
      <c r="T136" s="1963">
        <f>S136*O136</f>
        <v>4902.0690000000004</v>
      </c>
      <c r="U136" s="2106">
        <v>0.5</v>
      </c>
      <c r="V136" s="2032">
        <v>12439.34</v>
      </c>
      <c r="W136" s="940">
        <f>O136+T136+V136</f>
        <v>66362.099000000002</v>
      </c>
      <c r="X136" s="1969">
        <f>Q135+U135+W135</f>
        <v>27350.713499999998</v>
      </c>
      <c r="Y136" s="1969">
        <f>R135+V135+X136</f>
        <v>27350.713499999998</v>
      </c>
      <c r="Z136" s="1970">
        <f>W135*12</f>
        <v>328208.56199999998</v>
      </c>
      <c r="AA136" s="2094">
        <f>Z136/12/29.33*24</f>
        <v>22380.399727241733</v>
      </c>
      <c r="AB136" s="2094"/>
      <c r="AC136" s="2094"/>
      <c r="AD136" s="2094"/>
      <c r="AE136" s="2094"/>
      <c r="AF136" s="2094"/>
      <c r="AG136" s="2094"/>
      <c r="AH136" s="2094"/>
      <c r="AI136" s="2094"/>
      <c r="AJ136" s="2094"/>
      <c r="AK136" s="2103"/>
      <c r="AL136" s="2094"/>
      <c r="AM136" s="2094"/>
      <c r="AN136" s="2094"/>
      <c r="AO136" s="2094"/>
      <c r="AP136" s="2094"/>
      <c r="AQ136" s="2095"/>
      <c r="AR136" s="2095"/>
      <c r="AS136" s="2095"/>
      <c r="AT136" s="2095"/>
      <c r="AU136" s="2095"/>
      <c r="AV136" s="2095"/>
      <c r="AW136" s="2095"/>
      <c r="AX136" s="2095"/>
      <c r="AY136" s="2095"/>
      <c r="AZ136" s="2095"/>
      <c r="BA136" s="2095"/>
      <c r="BB136" s="2095"/>
      <c r="BC136" s="2095"/>
      <c r="BD136" s="2095"/>
      <c r="BE136" s="2095"/>
      <c r="BF136" s="2095"/>
      <c r="BG136" s="2095"/>
      <c r="BH136" s="2095"/>
      <c r="BI136" s="2095"/>
      <c r="BJ136" s="2095"/>
      <c r="BK136" s="2095"/>
      <c r="BL136" s="2095"/>
      <c r="BM136" s="2095"/>
      <c r="BN136" s="2095"/>
      <c r="BO136" s="2095"/>
      <c r="BP136" s="2095"/>
      <c r="BQ136" s="2095"/>
    </row>
    <row r="137" spans="1:69" s="2099" customFormat="1" ht="15.75">
      <c r="A137" s="1991" t="s">
        <v>257</v>
      </c>
      <c r="B137" s="1984" t="s">
        <v>99</v>
      </c>
      <c r="C137" s="1992" t="s">
        <v>25</v>
      </c>
      <c r="D137" s="2146" t="s">
        <v>935</v>
      </c>
      <c r="E137" s="1985" t="s">
        <v>239</v>
      </c>
      <c r="F137" s="2119">
        <v>1</v>
      </c>
      <c r="G137" s="1994" t="s">
        <v>102</v>
      </c>
      <c r="H137" s="1994" t="s">
        <v>103</v>
      </c>
      <c r="I137" s="2000">
        <v>2</v>
      </c>
      <c r="J137" s="1965">
        <v>17697</v>
      </c>
      <c r="K137" s="2120">
        <v>34</v>
      </c>
      <c r="L137" s="1965">
        <f>K137/18</f>
        <v>1.8888888888888888</v>
      </c>
      <c r="M137" s="1979" t="s">
        <v>104</v>
      </c>
      <c r="N137" s="2118">
        <v>4.2300000000000004</v>
      </c>
      <c r="O137" s="2092">
        <f>N137*J137/18*K137</f>
        <v>141399.03000000003</v>
      </c>
      <c r="P137" s="1966">
        <f>O137*50%</f>
        <v>70699.515000000014</v>
      </c>
      <c r="Q137" s="1967"/>
      <c r="R137" s="1965"/>
      <c r="S137" s="2196">
        <v>0.1</v>
      </c>
      <c r="T137" s="1966">
        <f>(O137+P137)*S137</f>
        <v>21209.854500000005</v>
      </c>
      <c r="U137" s="2056"/>
      <c r="V137" s="1965"/>
      <c r="W137" s="940">
        <f>O137+P137+T137</f>
        <v>233308.39950000006</v>
      </c>
      <c r="X137" s="1969">
        <f>U136+Q136</f>
        <v>0.5</v>
      </c>
      <c r="Y137" s="1969">
        <f>V136+R136</f>
        <v>12439.34</v>
      </c>
      <c r="Z137" s="1970">
        <f>W136*12</f>
        <v>796345.18800000008</v>
      </c>
      <c r="AA137" s="1971">
        <f>Z137/12/29.33*56</f>
        <v>126705.67828162294</v>
      </c>
      <c r="AB137" s="1971">
        <f>Z137*1.25</f>
        <v>995431.4850000001</v>
      </c>
      <c r="AC137" s="1971">
        <f>AB137/12/29.33*56</f>
        <v>158382.09785202867</v>
      </c>
      <c r="AD137" s="1971"/>
      <c r="AE137" s="1971"/>
      <c r="AF137" s="1971"/>
      <c r="AG137" s="1971"/>
      <c r="AH137" s="1971"/>
      <c r="AI137" s="1971"/>
      <c r="AJ137" s="1970"/>
      <c r="AK137" s="1970"/>
      <c r="AL137" s="1970"/>
      <c r="AM137" s="1970"/>
      <c r="AN137" s="1970"/>
      <c r="AO137" s="1970"/>
      <c r="AP137" s="1970"/>
      <c r="AQ137" s="1971"/>
      <c r="AR137" s="1971"/>
      <c r="AS137" s="1971"/>
      <c r="AT137" s="1971"/>
      <c r="AU137" s="1971"/>
      <c r="AV137" s="1971"/>
      <c r="AW137" s="1971"/>
      <c r="AX137" s="1971"/>
      <c r="AY137" s="1971"/>
      <c r="AZ137" s="1971"/>
      <c r="BA137" s="1971"/>
      <c r="BB137" s="1971"/>
      <c r="BC137" s="1971"/>
      <c r="BD137" s="1971"/>
      <c r="BE137" s="1971"/>
      <c r="BF137" s="1971"/>
      <c r="BG137" s="1971"/>
      <c r="BH137" s="1971"/>
      <c r="BI137" s="1971"/>
      <c r="BJ137" s="1971"/>
      <c r="BK137" s="1971"/>
      <c r="BL137" s="1971"/>
      <c r="BM137" s="1971"/>
      <c r="BN137" s="1971"/>
      <c r="BO137" s="1971"/>
      <c r="BP137" s="1971"/>
      <c r="BQ137" s="1971"/>
    </row>
    <row r="138" spans="1:69" s="2099" customFormat="1" ht="15.75">
      <c r="A138" s="1991" t="s">
        <v>193</v>
      </c>
      <c r="B138" s="1984" t="s">
        <v>99</v>
      </c>
      <c r="C138" s="1992" t="s">
        <v>64</v>
      </c>
      <c r="D138" s="2147" t="s">
        <v>878</v>
      </c>
      <c r="E138" s="1985" t="s">
        <v>403</v>
      </c>
      <c r="F138" s="1972">
        <v>1</v>
      </c>
      <c r="G138" s="1992" t="s">
        <v>102</v>
      </c>
      <c r="H138" s="1992" t="s">
        <v>118</v>
      </c>
      <c r="I138" s="1999">
        <v>3</v>
      </c>
      <c r="J138" s="1965">
        <v>17697</v>
      </c>
      <c r="K138" s="2030">
        <v>35</v>
      </c>
      <c r="L138" s="1965">
        <f>K138/18</f>
        <v>1.9444444444444444</v>
      </c>
      <c r="M138" s="1995" t="s">
        <v>152</v>
      </c>
      <c r="N138" s="2192">
        <v>3.97</v>
      </c>
      <c r="O138" s="2092">
        <f>N138*J138/18*K138</f>
        <v>136611.00833333333</v>
      </c>
      <c r="P138" s="1966">
        <f>O138*50%</f>
        <v>68305.504166666666</v>
      </c>
      <c r="Q138" s="2195"/>
      <c r="R138" s="2032"/>
      <c r="S138" s="2197">
        <v>0.1</v>
      </c>
      <c r="T138" s="1966">
        <f>(O138+P138)*S138</f>
        <v>20491.651250000003</v>
      </c>
      <c r="U138" s="2033"/>
      <c r="V138" s="2032"/>
      <c r="W138" s="940">
        <f>O138+P138+T138</f>
        <v>225408.16375000001</v>
      </c>
      <c r="X138" s="2203">
        <f>U138+Q138</f>
        <v>0</v>
      </c>
      <c r="Y138" s="2203">
        <f>V138+R138</f>
        <v>0</v>
      </c>
      <c r="Z138" s="1970">
        <f>W138*12</f>
        <v>2704897.9649999999</v>
      </c>
      <c r="AA138" s="1971">
        <f>Z138/12/29.33*56</f>
        <v>430373.58233890217</v>
      </c>
      <c r="AB138" s="1971">
        <f>Z138*1.25</f>
        <v>3381122.4562499998</v>
      </c>
      <c r="AC138" s="1971">
        <f>AB138/12/29.33*56</f>
        <v>537966.97792362771</v>
      </c>
      <c r="AD138" s="1971"/>
      <c r="AE138" s="1971"/>
      <c r="AF138" s="1971"/>
      <c r="AG138" s="1971"/>
      <c r="AH138" s="1971"/>
      <c r="AI138" s="1971"/>
      <c r="AJ138" s="1970"/>
      <c r="AK138" s="1970"/>
      <c r="AL138" s="1970"/>
      <c r="AM138" s="1970"/>
      <c r="AN138" s="1970"/>
      <c r="AO138" s="1970"/>
      <c r="AP138" s="1970"/>
      <c r="AQ138" s="1971"/>
      <c r="AR138" s="1971"/>
      <c r="AS138" s="1971"/>
      <c r="AT138" s="1971"/>
      <c r="AU138" s="1971"/>
      <c r="AV138" s="1971"/>
      <c r="AW138" s="1971"/>
      <c r="AX138" s="1971"/>
      <c r="AY138" s="1971"/>
      <c r="AZ138" s="1971"/>
      <c r="BA138" s="1971"/>
      <c r="BB138" s="1971"/>
      <c r="BC138" s="1971"/>
      <c r="BD138" s="1971"/>
      <c r="BE138" s="1971"/>
      <c r="BF138" s="1971"/>
      <c r="BG138" s="1971"/>
      <c r="BH138" s="1971"/>
      <c r="BI138" s="1971"/>
      <c r="BJ138" s="1971"/>
      <c r="BK138" s="1971"/>
      <c r="BL138" s="1971"/>
      <c r="BM138" s="1971"/>
      <c r="BN138" s="1971"/>
      <c r="BO138" s="1971"/>
      <c r="BP138" s="1971"/>
      <c r="BQ138" s="1971"/>
    </row>
    <row r="139" spans="1:69" s="2099" customFormat="1" ht="15.75">
      <c r="A139" s="1991" t="s">
        <v>606</v>
      </c>
      <c r="B139" s="1984" t="s">
        <v>784</v>
      </c>
      <c r="C139" s="1972" t="s">
        <v>64</v>
      </c>
      <c r="D139" s="1992"/>
      <c r="E139" s="1972"/>
      <c r="F139" s="2102">
        <v>1</v>
      </c>
      <c r="G139" s="1992"/>
      <c r="H139" s="2091"/>
      <c r="I139" s="1992">
        <v>1</v>
      </c>
      <c r="J139" s="1965">
        <v>17697</v>
      </c>
      <c r="K139" s="1965"/>
      <c r="L139" s="1965">
        <v>1</v>
      </c>
      <c r="M139" s="1965"/>
      <c r="N139" s="1963">
        <v>2.77</v>
      </c>
      <c r="O139" s="2092">
        <f>J139*N139*L139</f>
        <v>49020.69</v>
      </c>
      <c r="P139" s="1966"/>
      <c r="Q139" s="1963">
        <f>J139*O140*M139</f>
        <v>0</v>
      </c>
      <c r="R139" s="1981"/>
      <c r="S139" s="2093">
        <v>0.1</v>
      </c>
      <c r="T139" s="1963">
        <f>S139*O139</f>
        <v>4902.0690000000004</v>
      </c>
      <c r="U139" s="2106">
        <v>0.5</v>
      </c>
      <c r="V139" s="2032">
        <v>12439.34</v>
      </c>
      <c r="W139" s="940">
        <f>O139+T139+V139</f>
        <v>66362.099000000002</v>
      </c>
      <c r="X139" s="1969">
        <f>Q138+U138+W138</f>
        <v>225408.16375000001</v>
      </c>
      <c r="Y139" s="1969">
        <f>R138+V138+X139</f>
        <v>225408.16375000001</v>
      </c>
      <c r="Z139" s="1970">
        <f>W138*12</f>
        <v>2704897.9649999999</v>
      </c>
      <c r="AA139" s="2094">
        <f>Z139/12/29.33*24</f>
        <v>184445.82100238663</v>
      </c>
      <c r="AB139" s="2094"/>
      <c r="AC139" s="2094"/>
      <c r="AD139" s="2094"/>
      <c r="AE139" s="2094"/>
      <c r="AF139" s="2094"/>
      <c r="AG139" s="2094"/>
      <c r="AH139" s="2094"/>
      <c r="AI139" s="2094"/>
      <c r="AJ139" s="2094"/>
      <c r="AK139" s="2094"/>
      <c r="AL139" s="2094"/>
      <c r="AM139" s="2094"/>
      <c r="AN139" s="2094"/>
      <c r="AO139" s="2094"/>
      <c r="AP139" s="2094"/>
      <c r="AQ139" s="2095"/>
      <c r="AR139" s="2095"/>
      <c r="AS139" s="2095"/>
      <c r="AT139" s="2095"/>
      <c r="AU139" s="2095"/>
      <c r="AV139" s="2095"/>
      <c r="AW139" s="2095"/>
      <c r="AX139" s="2095"/>
      <c r="AY139" s="2095"/>
      <c r="AZ139" s="2095"/>
      <c r="BA139" s="2095"/>
      <c r="BB139" s="2095"/>
      <c r="BC139" s="2095"/>
      <c r="BD139" s="2095"/>
      <c r="BE139" s="2095"/>
      <c r="BF139" s="2095"/>
      <c r="BG139" s="2095"/>
      <c r="BH139" s="2095"/>
      <c r="BI139" s="2095"/>
      <c r="BJ139" s="2095"/>
      <c r="BK139" s="2095"/>
      <c r="BL139" s="2095"/>
      <c r="BM139" s="2095"/>
      <c r="BN139" s="2095"/>
      <c r="BO139" s="2095"/>
      <c r="BP139" s="2095"/>
      <c r="BQ139" s="2095"/>
    </row>
    <row r="140" spans="1:69" s="2095" customFormat="1" ht="15">
      <c r="A140" s="730" t="s">
        <v>48</v>
      </c>
      <c r="B140" s="6" t="s">
        <v>49</v>
      </c>
      <c r="C140" s="5" t="s">
        <v>25</v>
      </c>
      <c r="D140" s="57" t="s">
        <v>777</v>
      </c>
      <c r="E140" s="5" t="s">
        <v>51</v>
      </c>
      <c r="F140" s="5">
        <v>1</v>
      </c>
      <c r="G140" s="20" t="s">
        <v>28</v>
      </c>
      <c r="H140" s="20" t="s">
        <v>35</v>
      </c>
      <c r="I140" s="731" t="s">
        <v>30</v>
      </c>
      <c r="J140" s="7">
        <v>17697</v>
      </c>
      <c r="K140" s="7"/>
      <c r="L140" s="10">
        <v>1</v>
      </c>
      <c r="M140" s="7"/>
      <c r="N140" s="1751" t="s">
        <v>370</v>
      </c>
      <c r="O140" s="18">
        <f>N140*J140*L140</f>
        <v>99280.170000000013</v>
      </c>
      <c r="P140" s="44"/>
      <c r="Q140" s="44"/>
      <c r="R140" s="8"/>
      <c r="S140" s="1755">
        <v>0.1</v>
      </c>
      <c r="T140" s="44">
        <f>(O140+P140)*S140</f>
        <v>9928.0170000000016</v>
      </c>
      <c r="U140" s="7"/>
      <c r="V140" s="9"/>
      <c r="W140" s="70">
        <f>O140+R140+T140+V140+P140</f>
        <v>109208.18700000002</v>
      </c>
      <c r="X140" s="1762">
        <f>Q140+S140+U140</f>
        <v>0.1</v>
      </c>
      <c r="Y140" s="1762">
        <f>R140+T140+V140</f>
        <v>9928.0170000000016</v>
      </c>
      <c r="Z140" s="1264">
        <f>W140*12</f>
        <v>1310498.2440000002</v>
      </c>
      <c r="AA140" s="1382">
        <f>Z140/12/29.33*30</f>
        <v>111702.88475963179</v>
      </c>
      <c r="AB140" s="1264"/>
      <c r="AC140" s="1264"/>
      <c r="AD140" s="1264"/>
      <c r="AE140" s="1264"/>
      <c r="AF140" s="1264"/>
      <c r="AG140" s="1264"/>
      <c r="AH140" s="1264"/>
      <c r="AI140" s="1264"/>
      <c r="AJ140" s="23"/>
      <c r="AK140" s="23"/>
      <c r="AL140" s="23"/>
      <c r="AM140" s="23"/>
      <c r="AN140" s="23"/>
      <c r="AO140" s="23"/>
      <c r="AP140" s="23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1265"/>
    </row>
    <row r="141" spans="1:69" s="2095" customFormat="1" ht="15.75">
      <c r="A141" s="1991" t="s">
        <v>197</v>
      </c>
      <c r="B141" s="1984" t="s">
        <v>99</v>
      </c>
      <c r="C141" s="1992" t="s">
        <v>25</v>
      </c>
      <c r="D141" s="2013" t="s">
        <v>880</v>
      </c>
      <c r="E141" s="1985" t="s">
        <v>34</v>
      </c>
      <c r="F141" s="1972">
        <v>1</v>
      </c>
      <c r="G141" s="1992" t="s">
        <v>102</v>
      </c>
      <c r="H141" s="1992" t="s">
        <v>103</v>
      </c>
      <c r="I141" s="1993">
        <v>1</v>
      </c>
      <c r="J141" s="1965">
        <v>17697</v>
      </c>
      <c r="K141" s="1988">
        <v>30</v>
      </c>
      <c r="L141" s="1965">
        <f>K141/18</f>
        <v>1.6666666666666667</v>
      </c>
      <c r="M141" s="1979" t="s">
        <v>109</v>
      </c>
      <c r="N141" s="2001">
        <v>4.75</v>
      </c>
      <c r="O141" s="2092">
        <f>N141*J141/18*K141</f>
        <v>140101.25</v>
      </c>
      <c r="P141" s="1966">
        <f>O141*50%</f>
        <v>70050.625</v>
      </c>
      <c r="Q141" s="1967"/>
      <c r="R141" s="1965"/>
      <c r="S141" s="2196">
        <v>0.1</v>
      </c>
      <c r="T141" s="1966">
        <f>(O141+P141)*S141</f>
        <v>21015.1875</v>
      </c>
      <c r="U141" s="1982"/>
      <c r="V141" s="1965"/>
      <c r="W141" s="940">
        <f>O141+P141+T141</f>
        <v>231167.0625</v>
      </c>
      <c r="X141" s="1969"/>
      <c r="Y141" s="1969"/>
      <c r="Z141" s="1970">
        <f>W141*12</f>
        <v>2774004.75</v>
      </c>
      <c r="AA141" s="1971">
        <f>Z141/12/29.33*56</f>
        <v>441369.09307875898</v>
      </c>
      <c r="AB141" s="1971">
        <f>Z141*1.25</f>
        <v>3467505.9375</v>
      </c>
      <c r="AC141" s="1971">
        <f>AB141/12/29.33*56</f>
        <v>551711.36634844868</v>
      </c>
      <c r="AD141" s="1971"/>
      <c r="AE141" s="1971"/>
      <c r="AF141" s="1971"/>
      <c r="AG141" s="1971"/>
      <c r="AH141" s="1971"/>
      <c r="AI141" s="1971"/>
      <c r="AJ141" s="1970"/>
      <c r="AK141" s="1970"/>
      <c r="AL141" s="1970"/>
      <c r="AM141" s="1970"/>
      <c r="AN141" s="1970"/>
      <c r="AO141" s="1970"/>
      <c r="AP141" s="1970"/>
      <c r="AQ141" s="1971"/>
      <c r="AR141" s="1971"/>
      <c r="AS141" s="1971"/>
      <c r="AT141" s="1971"/>
      <c r="AU141" s="1971"/>
      <c r="AV141" s="1971"/>
      <c r="AW141" s="1971"/>
      <c r="AX141" s="1971"/>
      <c r="AY141" s="1971"/>
      <c r="AZ141" s="1971"/>
      <c r="BA141" s="1971"/>
      <c r="BB141" s="1971"/>
      <c r="BC141" s="1971"/>
      <c r="BD141" s="1971"/>
      <c r="BE141" s="1971"/>
      <c r="BF141" s="1971"/>
      <c r="BG141" s="1971"/>
      <c r="BH141" s="1971"/>
      <c r="BI141" s="1971"/>
      <c r="BJ141" s="1971"/>
      <c r="BK141" s="1971"/>
      <c r="BL141" s="1971"/>
      <c r="BM141" s="1971"/>
      <c r="BN141" s="1971"/>
      <c r="BO141" s="1971"/>
      <c r="BP141" s="1971"/>
      <c r="BQ141" s="1971"/>
    </row>
    <row r="142" spans="1:69" s="2095" customFormat="1" ht="15.75">
      <c r="A142" s="1991" t="s">
        <v>388</v>
      </c>
      <c r="B142" s="1984" t="s">
        <v>99</v>
      </c>
      <c r="C142" s="1992" t="s">
        <v>189</v>
      </c>
      <c r="D142" s="1985" t="s">
        <v>936</v>
      </c>
      <c r="E142" s="1985" t="s">
        <v>34</v>
      </c>
      <c r="F142" s="2119">
        <v>1</v>
      </c>
      <c r="G142" s="1994" t="s">
        <v>102</v>
      </c>
      <c r="H142" s="1994" t="s">
        <v>103</v>
      </c>
      <c r="I142" s="2000">
        <v>1</v>
      </c>
      <c r="J142" s="1965">
        <v>17697</v>
      </c>
      <c r="K142" s="2120">
        <v>9</v>
      </c>
      <c r="L142" s="1965">
        <f>K142/18</f>
        <v>0.5</v>
      </c>
      <c r="M142" s="2000" t="s">
        <v>152</v>
      </c>
      <c r="N142" s="2118">
        <v>4.75</v>
      </c>
      <c r="O142" s="2092">
        <f>N142*J142/18*K142</f>
        <v>42030.375</v>
      </c>
      <c r="P142" s="1966">
        <f>O142*50%</f>
        <v>21015.1875</v>
      </c>
      <c r="Q142" s="1967"/>
      <c r="R142" s="1965"/>
      <c r="S142" s="2196">
        <v>0.1</v>
      </c>
      <c r="T142" s="1966">
        <f>(O142+P142)*S142</f>
        <v>6304.5562500000005</v>
      </c>
      <c r="U142" s="2056"/>
      <c r="V142" s="1965"/>
      <c r="W142" s="940">
        <f>O142+P142+T142</f>
        <v>69350.118749999994</v>
      </c>
      <c r="X142" s="1969"/>
      <c r="Y142" s="1969"/>
      <c r="Z142" s="1970">
        <f>W141*12</f>
        <v>2774004.75</v>
      </c>
      <c r="AA142" s="1971">
        <f>Z142/12/29.33*56</f>
        <v>441369.09307875898</v>
      </c>
      <c r="AB142" s="1971">
        <f>Z142*1.25</f>
        <v>3467505.9375</v>
      </c>
      <c r="AC142" s="1971">
        <f>AB142/12/29.33*56</f>
        <v>551711.36634844868</v>
      </c>
      <c r="AD142" s="1971"/>
      <c r="AE142" s="1971"/>
      <c r="AF142" s="1971"/>
      <c r="AG142" s="1971"/>
      <c r="AH142" s="1971"/>
      <c r="AI142" s="1971"/>
      <c r="AJ142" s="1970"/>
      <c r="AK142" s="1970"/>
      <c r="AL142" s="1970"/>
      <c r="AM142" s="1970"/>
      <c r="AN142" s="1970"/>
      <c r="AO142" s="1970"/>
      <c r="AP142" s="1970"/>
      <c r="AQ142" s="1971"/>
      <c r="AR142" s="1971"/>
      <c r="AS142" s="1971"/>
      <c r="AT142" s="1971"/>
      <c r="AU142" s="1971"/>
      <c r="AV142" s="1971"/>
      <c r="AW142" s="1971"/>
      <c r="AX142" s="1971"/>
      <c r="AY142" s="1971"/>
      <c r="AZ142" s="1971"/>
      <c r="BA142" s="1971"/>
      <c r="BB142" s="1971"/>
      <c r="BC142" s="1971"/>
      <c r="BD142" s="1971"/>
      <c r="BE142" s="1971"/>
      <c r="BF142" s="1971"/>
      <c r="BG142" s="1971"/>
      <c r="BH142" s="1971"/>
      <c r="BI142" s="1971"/>
      <c r="BJ142" s="1971"/>
      <c r="BK142" s="1971"/>
      <c r="BL142" s="1971"/>
      <c r="BM142" s="1971"/>
      <c r="BN142" s="1971"/>
      <c r="BO142" s="1971"/>
      <c r="BP142" s="1971"/>
      <c r="BQ142" s="1971"/>
    </row>
    <row r="143" spans="1:69" s="2095" customFormat="1" ht="28.5">
      <c r="A143" s="730" t="s">
        <v>31</v>
      </c>
      <c r="B143" s="6" t="s">
        <v>32</v>
      </c>
      <c r="C143" s="5" t="s">
        <v>25</v>
      </c>
      <c r="D143" s="45" t="s">
        <v>772</v>
      </c>
      <c r="E143" s="12" t="s">
        <v>34</v>
      </c>
      <c r="F143" s="5">
        <v>1</v>
      </c>
      <c r="G143" s="5" t="s">
        <v>28</v>
      </c>
      <c r="H143" s="5" t="s">
        <v>35</v>
      </c>
      <c r="I143" s="733" t="s">
        <v>30</v>
      </c>
      <c r="J143" s="7">
        <v>17697</v>
      </c>
      <c r="K143" s="7"/>
      <c r="L143" s="10">
        <v>1</v>
      </c>
      <c r="M143" s="7"/>
      <c r="N143" s="1745">
        <v>5.77</v>
      </c>
      <c r="O143" s="7">
        <f>N143*J143</f>
        <v>102111.68999999999</v>
      </c>
      <c r="P143" s="44">
        <f>O143*50%</f>
        <v>51055.844999999994</v>
      </c>
      <c r="Q143" s="68"/>
      <c r="R143" s="7"/>
      <c r="S143" s="1755">
        <v>0.1</v>
      </c>
      <c r="T143" s="44">
        <f>(O143+P143)*S143</f>
        <v>15316.753499999999</v>
      </c>
      <c r="U143" s="9"/>
      <c r="V143" s="7"/>
      <c r="W143" s="70">
        <f>O143+R143+T143+V143+P143</f>
        <v>168484.2885</v>
      </c>
      <c r="X143" s="1762">
        <f>Q143+S143+U143</f>
        <v>0.1</v>
      </c>
      <c r="Y143" s="1762">
        <f>R143+T143+V143</f>
        <v>15316.753499999999</v>
      </c>
      <c r="Z143" s="1264">
        <f>W143*12</f>
        <v>2021811.4619999998</v>
      </c>
      <c r="AA143" s="1382">
        <f>Z143/12/29.33*30</f>
        <v>172333.06017729288</v>
      </c>
      <c r="AB143" s="1265"/>
      <c r="AC143" s="1265"/>
      <c r="AD143" s="1265"/>
      <c r="AE143" s="1265"/>
      <c r="AF143" s="1265"/>
      <c r="AG143" s="1388"/>
      <c r="AH143" s="1389"/>
      <c r="AI143" s="1265"/>
      <c r="AJ143" s="23"/>
      <c r="AK143" s="23"/>
      <c r="AL143" s="23"/>
      <c r="AM143" s="23"/>
      <c r="AN143" s="23"/>
      <c r="AO143" s="23"/>
      <c r="AP143" s="23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1265"/>
    </row>
    <row r="144" spans="1:69" s="1971" customFormat="1" ht="15.75">
      <c r="A144" s="1991" t="s">
        <v>333</v>
      </c>
      <c r="B144" s="2108" t="s">
        <v>785</v>
      </c>
      <c r="C144" s="1972" t="s">
        <v>64</v>
      </c>
      <c r="D144" s="1992"/>
      <c r="E144" s="1972"/>
      <c r="F144" s="2102">
        <v>1</v>
      </c>
      <c r="G144" s="1992"/>
      <c r="H144" s="2091"/>
      <c r="I144" s="1992">
        <v>1</v>
      </c>
      <c r="J144" s="1965">
        <v>17697</v>
      </c>
      <c r="K144" s="1965"/>
      <c r="L144" s="1965">
        <v>1</v>
      </c>
      <c r="M144" s="1965"/>
      <c r="N144" s="1963">
        <v>2.77</v>
      </c>
      <c r="O144" s="2092">
        <f>J144*N144*L144</f>
        <v>49020.69</v>
      </c>
      <c r="P144" s="1966"/>
      <c r="Q144" s="1963">
        <f>J144*O145*M144</f>
        <v>0</v>
      </c>
      <c r="R144" s="1965"/>
      <c r="S144" s="2093">
        <v>0.1</v>
      </c>
      <c r="T144" s="1963">
        <f>S144*O144</f>
        <v>4902.0690000000004</v>
      </c>
      <c r="U144" s="2106">
        <v>0.5</v>
      </c>
      <c r="V144" s="2032">
        <v>12439.34</v>
      </c>
      <c r="W144" s="940">
        <f>O144+T144+V144</f>
        <v>66362.099000000002</v>
      </c>
      <c r="X144" s="1969">
        <f>Q143+U143+W143</f>
        <v>168484.2885</v>
      </c>
      <c r="Y144" s="1969">
        <f>R143+V143+X144</f>
        <v>168484.2885</v>
      </c>
      <c r="Z144" s="1970">
        <f>W143*12</f>
        <v>2021811.4619999998</v>
      </c>
      <c r="AA144" s="2094">
        <f>Z144/12/29.33*24</f>
        <v>137866.44814183429</v>
      </c>
      <c r="AJ144" s="1970"/>
      <c r="AK144" s="1970"/>
      <c r="AL144" s="1970"/>
      <c r="AM144" s="1970"/>
      <c r="AN144" s="1970"/>
      <c r="AO144" s="1970"/>
      <c r="AP144" s="1970"/>
    </row>
    <row r="145" spans="1:69" s="1971" customFormat="1" ht="15.75">
      <c r="A145" s="2082" t="s">
        <v>938</v>
      </c>
      <c r="B145" s="2058" t="s">
        <v>99</v>
      </c>
      <c r="C145" s="2074"/>
      <c r="D145" s="2154"/>
      <c r="E145" s="2075"/>
      <c r="F145" s="2085"/>
      <c r="G145" s="1992"/>
      <c r="H145" s="1992"/>
      <c r="I145" s="2070"/>
      <c r="J145" s="1965"/>
      <c r="K145" s="665">
        <v>9</v>
      </c>
      <c r="L145" s="567">
        <f>K145/18</f>
        <v>0.5</v>
      </c>
      <c r="M145" s="574"/>
      <c r="N145" s="1804"/>
      <c r="O145" s="567">
        <f>J145*N145/18*K145</f>
        <v>0</v>
      </c>
      <c r="P145" s="556">
        <f>O145*50%</f>
        <v>0</v>
      </c>
      <c r="Q145" s="1754"/>
      <c r="R145" s="554">
        <f>(O145+P145)*Q145</f>
        <v>0</v>
      </c>
      <c r="S145" s="1756"/>
      <c r="T145" s="556">
        <f>(O145+P145+R145)*S145</f>
        <v>0</v>
      </c>
      <c r="U145" s="19"/>
      <c r="V145" s="554"/>
      <c r="W145" s="559">
        <f>O145+P145+R145+T145</f>
        <v>0</v>
      </c>
      <c r="X145" s="1763"/>
      <c r="Y145" s="1763"/>
      <c r="Z145" s="81"/>
      <c r="AA145" s="80"/>
      <c r="AB145" s="80"/>
      <c r="AC145" s="80"/>
      <c r="AD145" s="986"/>
      <c r="AE145" s="986"/>
      <c r="AF145" s="986"/>
      <c r="AG145" s="986"/>
      <c r="AH145" s="986"/>
      <c r="AI145" s="986"/>
      <c r="AJ145" s="906"/>
      <c r="AK145" s="23"/>
      <c r="AL145" s="23"/>
      <c r="AM145" s="23"/>
      <c r="AN145" s="23"/>
      <c r="AO145" s="23"/>
      <c r="AP145" s="23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986"/>
    </row>
    <row r="146" spans="1:69" s="2099" customFormat="1" ht="15.75">
      <c r="A146" s="2136" t="s">
        <v>350</v>
      </c>
      <c r="B146" s="2140" t="s">
        <v>785</v>
      </c>
      <c r="C146" s="2142" t="s">
        <v>64</v>
      </c>
      <c r="D146" s="2148"/>
      <c r="E146" s="2142"/>
      <c r="F146" s="2161">
        <v>1</v>
      </c>
      <c r="G146" s="2148"/>
      <c r="H146" s="2167"/>
      <c r="I146" s="2104">
        <v>1</v>
      </c>
      <c r="J146" s="2175">
        <v>17697</v>
      </c>
      <c r="K146" s="2175"/>
      <c r="L146" s="1965">
        <v>1</v>
      </c>
      <c r="M146" s="2175"/>
      <c r="N146" s="1963">
        <v>2.77</v>
      </c>
      <c r="O146" s="2092">
        <f>J146*N146*L146</f>
        <v>49020.69</v>
      </c>
      <c r="P146" s="1966"/>
      <c r="Q146" s="1963">
        <f>J146*O147*M146</f>
        <v>0</v>
      </c>
      <c r="R146" s="2175"/>
      <c r="S146" s="2093">
        <v>0.1</v>
      </c>
      <c r="T146" s="1963">
        <f>S146*O146</f>
        <v>4902.0690000000004</v>
      </c>
      <c r="U146" s="2200">
        <v>0.5</v>
      </c>
      <c r="V146" s="2201">
        <v>12439.34</v>
      </c>
      <c r="W146" s="940">
        <f>O146+T146+V146</f>
        <v>66362.099000000002</v>
      </c>
      <c r="X146" s="1969">
        <f>Q145+U145+W145</f>
        <v>0</v>
      </c>
      <c r="Y146" s="1969">
        <f>R145+V145+X146</f>
        <v>0</v>
      </c>
      <c r="Z146" s="1970">
        <f>W145*12</f>
        <v>0</v>
      </c>
      <c r="AA146" s="2094">
        <f>Z146/12/29.33*24</f>
        <v>0</v>
      </c>
      <c r="AB146" s="1971"/>
      <c r="AC146" s="1971"/>
      <c r="AD146" s="1971"/>
      <c r="AE146" s="1971"/>
      <c r="AF146" s="1971"/>
      <c r="AG146" s="1971"/>
      <c r="AH146" s="1971"/>
      <c r="AI146" s="1971"/>
      <c r="AJ146" s="1970"/>
      <c r="AK146" s="2098"/>
      <c r="AL146" s="2098"/>
      <c r="AM146" s="2098"/>
      <c r="AN146" s="1970"/>
      <c r="AO146" s="1970"/>
      <c r="AP146" s="1970"/>
      <c r="AQ146" s="1971"/>
      <c r="AR146" s="1971"/>
      <c r="AS146" s="1971"/>
      <c r="AT146" s="1971"/>
      <c r="AU146" s="1971"/>
      <c r="AV146" s="1971"/>
      <c r="AW146" s="1971"/>
      <c r="AX146" s="1971"/>
      <c r="AY146" s="1971"/>
      <c r="AZ146" s="1971"/>
      <c r="BA146" s="1971"/>
      <c r="BB146" s="1971"/>
      <c r="BC146" s="1971"/>
      <c r="BD146" s="1971"/>
      <c r="BE146" s="1971"/>
      <c r="BF146" s="1971"/>
      <c r="BG146" s="1971"/>
      <c r="BH146" s="1971"/>
      <c r="BI146" s="1971"/>
      <c r="BJ146" s="1971"/>
      <c r="BK146" s="1971"/>
      <c r="BL146" s="1971"/>
      <c r="BM146" s="1971"/>
      <c r="BN146" s="1971"/>
      <c r="BO146" s="1971"/>
      <c r="BP146" s="1971"/>
      <c r="BQ146" s="1971"/>
    </row>
    <row r="147" spans="1:69" s="1971" customFormat="1" ht="15.75">
      <c r="A147" s="1991" t="s">
        <v>199</v>
      </c>
      <c r="B147" s="1984" t="s">
        <v>99</v>
      </c>
      <c r="C147" s="1992" t="s">
        <v>64</v>
      </c>
      <c r="D147" s="2013" t="s">
        <v>879</v>
      </c>
      <c r="E147" s="1985" t="s">
        <v>108</v>
      </c>
      <c r="F147" s="1972">
        <v>1</v>
      </c>
      <c r="G147" s="1992" t="s">
        <v>102</v>
      </c>
      <c r="H147" s="1992" t="s">
        <v>118</v>
      </c>
      <c r="I147" s="1999">
        <v>4</v>
      </c>
      <c r="J147" s="1965">
        <v>17697</v>
      </c>
      <c r="K147" s="1988">
        <v>27</v>
      </c>
      <c r="L147" s="2175">
        <f>K147/18</f>
        <v>1.5</v>
      </c>
      <c r="M147" s="1995" t="s">
        <v>152</v>
      </c>
      <c r="N147" s="1980">
        <v>3.41</v>
      </c>
      <c r="O147" s="2092">
        <f>N147*J147/18*K147</f>
        <v>90520.154999999999</v>
      </c>
      <c r="P147" s="1966">
        <f>O147*50%</f>
        <v>45260.077499999999</v>
      </c>
      <c r="Q147" s="1967"/>
      <c r="R147" s="1965"/>
      <c r="S147" s="2196">
        <v>0.1</v>
      </c>
      <c r="T147" s="1966">
        <f>(O147+P147)*S147</f>
        <v>13578.023249999998</v>
      </c>
      <c r="U147" s="1982">
        <v>0.3</v>
      </c>
      <c r="V147" s="1965">
        <f>(J147*N147)*1.5/100*30/18*27</f>
        <v>40734.069749999995</v>
      </c>
      <c r="W147" s="940">
        <f>O147+P147+T147+V147</f>
        <v>190092.32549999998</v>
      </c>
      <c r="X147" s="2203">
        <f>U147+Q147</f>
        <v>0.3</v>
      </c>
      <c r="Y147" s="2203">
        <f>V147+R147</f>
        <v>40734.069749999995</v>
      </c>
      <c r="Z147" s="1970">
        <f>W147*12</f>
        <v>2281107.9059999995</v>
      </c>
      <c r="AA147" s="1971">
        <f>Z147/12/29.33*56</f>
        <v>362944.77422434359</v>
      </c>
      <c r="AB147" s="1971">
        <f>Z147*1.25</f>
        <v>2851384.8824999994</v>
      </c>
      <c r="AC147" s="1971">
        <f>AB147/12/29.33*56</f>
        <v>453680.96778042952</v>
      </c>
      <c r="AJ147" s="1970"/>
      <c r="AK147" s="1970"/>
      <c r="AL147" s="1970"/>
      <c r="AM147" s="1970"/>
      <c r="AN147" s="1970"/>
      <c r="AO147" s="1970"/>
      <c r="AP147" s="1970"/>
    </row>
    <row r="148" spans="1:69" s="2095" customFormat="1" ht="15.75">
      <c r="A148" s="1991" t="s">
        <v>883</v>
      </c>
      <c r="B148" s="1984" t="s">
        <v>99</v>
      </c>
      <c r="C148" s="1992" t="s">
        <v>25</v>
      </c>
      <c r="D148" s="2013" t="s">
        <v>888</v>
      </c>
      <c r="E148" s="1985" t="s">
        <v>366</v>
      </c>
      <c r="F148" s="1972">
        <v>1</v>
      </c>
      <c r="G148" s="1992" t="s">
        <v>102</v>
      </c>
      <c r="H148" s="1992" t="s">
        <v>103</v>
      </c>
      <c r="I148" s="1993">
        <v>1</v>
      </c>
      <c r="J148" s="1965">
        <v>17697</v>
      </c>
      <c r="K148" s="1988">
        <v>6</v>
      </c>
      <c r="L148" s="1965">
        <f>K148/18</f>
        <v>0.33333333333333331</v>
      </c>
      <c r="M148" s="1995" t="s">
        <v>152</v>
      </c>
      <c r="N148" s="1980">
        <v>4.6900000000000004</v>
      </c>
      <c r="O148" s="2092">
        <f>N148*J148/18*K148</f>
        <v>27666.310000000005</v>
      </c>
      <c r="P148" s="1966">
        <f>O148*50%</f>
        <v>13833.155000000002</v>
      </c>
      <c r="Q148" s="1967"/>
      <c r="R148" s="1965"/>
      <c r="S148" s="2196">
        <v>0.1</v>
      </c>
      <c r="T148" s="1966">
        <f>(O148+P148)*S148</f>
        <v>4149.9465000000009</v>
      </c>
      <c r="U148" s="1982"/>
      <c r="V148" s="1965"/>
      <c r="W148" s="940">
        <f>O148+P148+T148</f>
        <v>45649.411500000009</v>
      </c>
      <c r="X148" s="2203"/>
      <c r="Y148" s="2203"/>
      <c r="Z148" s="1970">
        <f>W148*12</f>
        <v>547792.93800000008</v>
      </c>
      <c r="AA148" s="1971">
        <f>Z148/12/29.33*56</f>
        <v>87158.780906921267</v>
      </c>
      <c r="AB148" s="1971">
        <f>Z148*1.25</f>
        <v>684741.1725000001</v>
      </c>
      <c r="AC148" s="1971">
        <f>AB148/12/29.33*56</f>
        <v>108948.47613365157</v>
      </c>
      <c r="AD148" s="1971"/>
      <c r="AE148" s="1971"/>
      <c r="AF148" s="1971"/>
      <c r="AG148" s="1971"/>
      <c r="AH148" s="1971"/>
      <c r="AI148" s="1971"/>
      <c r="AJ148" s="1970"/>
      <c r="AK148" s="1970"/>
      <c r="AL148" s="1970"/>
      <c r="AM148" s="1970"/>
      <c r="AN148" s="1970"/>
      <c r="AO148" s="1970"/>
      <c r="AP148" s="1970"/>
      <c r="AQ148" s="1971"/>
      <c r="AR148" s="1971"/>
      <c r="AS148" s="1971"/>
      <c r="AT148" s="1971"/>
      <c r="AU148" s="1971"/>
      <c r="AV148" s="1971"/>
      <c r="AW148" s="1971"/>
      <c r="AX148" s="1971"/>
      <c r="AY148" s="1971"/>
      <c r="AZ148" s="1971"/>
      <c r="BA148" s="1971"/>
      <c r="BB148" s="1971"/>
      <c r="BC148" s="1971"/>
      <c r="BD148" s="1971"/>
      <c r="BE148" s="1971"/>
      <c r="BF148" s="1971"/>
      <c r="BG148" s="1971"/>
      <c r="BH148" s="1971"/>
      <c r="BI148" s="1971"/>
      <c r="BJ148" s="1971"/>
      <c r="BK148" s="1971"/>
      <c r="BL148" s="1971"/>
      <c r="BM148" s="1971"/>
      <c r="BN148" s="1971"/>
      <c r="BO148" s="1971"/>
      <c r="BP148" s="1971"/>
      <c r="BQ148" s="1971"/>
    </row>
    <row r="149" spans="1:69" s="2095" customFormat="1" ht="15.75">
      <c r="A149" s="1991" t="s">
        <v>836</v>
      </c>
      <c r="B149" s="1984" t="s">
        <v>99</v>
      </c>
      <c r="C149" s="1992" t="s">
        <v>25</v>
      </c>
      <c r="D149" s="1972" t="s">
        <v>881</v>
      </c>
      <c r="E149" s="1985" t="s">
        <v>77</v>
      </c>
      <c r="F149" s="1972">
        <v>1</v>
      </c>
      <c r="G149" s="1992" t="s">
        <v>102</v>
      </c>
      <c r="H149" s="1992" t="s">
        <v>103</v>
      </c>
      <c r="I149" s="1999">
        <v>3</v>
      </c>
      <c r="J149" s="1965">
        <v>17697</v>
      </c>
      <c r="K149" s="1988">
        <v>15</v>
      </c>
      <c r="L149" s="1965">
        <f>K149/18</f>
        <v>0.83333333333333337</v>
      </c>
      <c r="M149" s="1995" t="s">
        <v>109</v>
      </c>
      <c r="N149" s="1980">
        <v>4</v>
      </c>
      <c r="O149" s="2092">
        <f>N149*J149/18*K149</f>
        <v>58990</v>
      </c>
      <c r="P149" s="1966">
        <f>O149*50%</f>
        <v>29495</v>
      </c>
      <c r="Q149" s="1967"/>
      <c r="R149" s="1965"/>
      <c r="S149" s="2196">
        <v>0.1</v>
      </c>
      <c r="T149" s="1966">
        <f>(O149+P149)*S149</f>
        <v>8848.5</v>
      </c>
      <c r="U149" s="1982"/>
      <c r="V149" s="1965"/>
      <c r="W149" s="940">
        <f>O149+P149+T149</f>
        <v>97333.5</v>
      </c>
      <c r="X149" s="2203"/>
      <c r="Y149" s="2203"/>
      <c r="Z149" s="1970"/>
      <c r="AA149" s="1971"/>
      <c r="AB149" s="1971"/>
      <c r="AC149" s="1971"/>
      <c r="AD149" s="1971"/>
      <c r="AE149" s="1971"/>
      <c r="AF149" s="1971"/>
      <c r="AG149" s="1971"/>
      <c r="AH149" s="1971"/>
      <c r="AI149" s="1971"/>
      <c r="AJ149" s="1970"/>
      <c r="AK149" s="1970"/>
      <c r="AL149" s="1970"/>
      <c r="AM149" s="1970"/>
      <c r="AN149" s="1970"/>
      <c r="AO149" s="1970"/>
      <c r="AP149" s="1970"/>
      <c r="AQ149" s="1971"/>
      <c r="AR149" s="1971"/>
      <c r="AS149" s="1971"/>
      <c r="AT149" s="1971"/>
      <c r="AU149" s="1971"/>
      <c r="AV149" s="1971"/>
      <c r="AW149" s="1971"/>
      <c r="AX149" s="1971"/>
      <c r="AY149" s="1971"/>
      <c r="AZ149" s="1971"/>
      <c r="BA149" s="1971"/>
      <c r="BB149" s="1971"/>
      <c r="BC149" s="1971"/>
      <c r="BD149" s="1971"/>
      <c r="BE149" s="1971"/>
      <c r="BF149" s="1971"/>
      <c r="BG149" s="1971"/>
      <c r="BH149" s="1971"/>
      <c r="BI149" s="1971"/>
      <c r="BJ149" s="1971"/>
      <c r="BK149" s="1971"/>
      <c r="BL149" s="1971"/>
      <c r="BM149" s="1971"/>
      <c r="BN149" s="1971"/>
      <c r="BO149" s="1971"/>
      <c r="BP149" s="1971"/>
      <c r="BQ149" s="1971"/>
    </row>
    <row r="150" spans="1:69" s="2095" customFormat="1" ht="15.75">
      <c r="A150" s="2109" t="s">
        <v>351</v>
      </c>
      <c r="B150" s="2079" t="s">
        <v>786</v>
      </c>
      <c r="C150" s="2074" t="s">
        <v>75</v>
      </c>
      <c r="D150" s="2074"/>
      <c r="E150" s="2110"/>
      <c r="F150" s="2074">
        <v>1</v>
      </c>
      <c r="G150" s="2111"/>
      <c r="H150" s="2111"/>
      <c r="I150" s="2074">
        <v>1</v>
      </c>
      <c r="J150" s="2092">
        <v>17697</v>
      </c>
      <c r="K150" s="2092"/>
      <c r="L150" s="1965">
        <v>1</v>
      </c>
      <c r="M150" s="2092"/>
      <c r="N150" s="1965">
        <v>2.77</v>
      </c>
      <c r="O150" s="2092">
        <f>J150*N150*L150</f>
        <v>49020.69</v>
      </c>
      <c r="P150" s="1966"/>
      <c r="Q150" s="1963">
        <f>J150*O151*M150</f>
        <v>0</v>
      </c>
      <c r="R150" s="2092"/>
      <c r="S150" s="2093">
        <v>0.1</v>
      </c>
      <c r="T150" s="1963">
        <f>S150*O150</f>
        <v>4902.0690000000004</v>
      </c>
      <c r="U150" s="2092">
        <v>0</v>
      </c>
      <c r="V150" s="2032">
        <v>12439.34</v>
      </c>
      <c r="W150" s="940">
        <f>O150+T150+V150</f>
        <v>66362.099000000002</v>
      </c>
      <c r="X150" s="1969">
        <f>Q149+U149+W149</f>
        <v>97333.5</v>
      </c>
      <c r="Y150" s="1969">
        <f>R149+V149+X150</f>
        <v>97333.5</v>
      </c>
      <c r="Z150" s="1970">
        <f>W149*12</f>
        <v>1168002</v>
      </c>
      <c r="AA150" s="2094">
        <f>Z150/12/29.33*24</f>
        <v>79645.550630753511</v>
      </c>
      <c r="AB150" s="1971"/>
      <c r="AC150" s="1971"/>
      <c r="AD150" s="1971"/>
      <c r="AE150" s="1971"/>
      <c r="AF150" s="1971"/>
      <c r="AG150" s="1971"/>
      <c r="AH150" s="1971"/>
      <c r="AI150" s="1971"/>
      <c r="AJ150" s="1970"/>
      <c r="AK150" s="2098"/>
      <c r="AL150" s="2098"/>
      <c r="AM150" s="1970"/>
      <c r="AN150" s="1970"/>
      <c r="AO150" s="1970"/>
      <c r="AP150" s="1970"/>
      <c r="AQ150" s="1971"/>
      <c r="AR150" s="1971"/>
      <c r="AS150" s="1971"/>
      <c r="AT150" s="1971"/>
      <c r="AU150" s="1971"/>
      <c r="AV150" s="1971"/>
      <c r="AW150" s="1971"/>
      <c r="AX150" s="1971"/>
      <c r="AY150" s="1971"/>
      <c r="AZ150" s="1971"/>
      <c r="BA150" s="1971"/>
      <c r="BB150" s="1971"/>
      <c r="BC150" s="1971"/>
      <c r="BD150" s="1971"/>
      <c r="BE150" s="1971"/>
      <c r="BF150" s="1971"/>
      <c r="BG150" s="1971"/>
      <c r="BH150" s="1971"/>
      <c r="BI150" s="1971"/>
      <c r="BJ150" s="1971"/>
      <c r="BK150" s="1971"/>
      <c r="BL150" s="1971"/>
      <c r="BM150" s="1971"/>
      <c r="BN150" s="1971"/>
      <c r="BO150" s="1971"/>
      <c r="BP150" s="1971"/>
      <c r="BQ150" s="1971"/>
    </row>
    <row r="151" spans="1:69" s="1971" customFormat="1" ht="15.75">
      <c r="A151" s="2133" t="s">
        <v>329</v>
      </c>
      <c r="B151" s="2058" t="s">
        <v>99</v>
      </c>
      <c r="C151" s="2074" t="s">
        <v>75</v>
      </c>
      <c r="D151" s="2075" t="s">
        <v>244</v>
      </c>
      <c r="E151" s="2075" t="s">
        <v>239</v>
      </c>
      <c r="F151" s="2085">
        <v>1</v>
      </c>
      <c r="G151" s="1992" t="s">
        <v>102</v>
      </c>
      <c r="H151" s="1992" t="s">
        <v>118</v>
      </c>
      <c r="I151" s="1993">
        <v>3</v>
      </c>
      <c r="J151" s="1965">
        <v>17697</v>
      </c>
      <c r="K151" s="665">
        <v>18</v>
      </c>
      <c r="L151" s="567">
        <f>K151/18</f>
        <v>1</v>
      </c>
      <c r="M151" s="574" t="s">
        <v>109</v>
      </c>
      <c r="N151" s="1608">
        <v>4.03</v>
      </c>
      <c r="O151" s="567">
        <f>J151*N151/18*K151</f>
        <v>71318.91</v>
      </c>
      <c r="P151" s="556">
        <f>O151*50%</f>
        <v>35659.455000000002</v>
      </c>
      <c r="Q151" s="1754">
        <v>0.25</v>
      </c>
      <c r="R151" s="554">
        <f>(O151+P151)*Q151</f>
        <v>26744.591250000001</v>
      </c>
      <c r="S151" s="1756">
        <v>0.1</v>
      </c>
      <c r="T151" s="556">
        <f>(O151+P151+R151)*S151</f>
        <v>13372.295625000002</v>
      </c>
      <c r="U151" s="19"/>
      <c r="V151" s="554"/>
      <c r="W151" s="559">
        <f>O151+P151+R151+T151</f>
        <v>147095.25187500002</v>
      </c>
      <c r="X151" s="1764">
        <f>U150+S150+Q150</f>
        <v>0.1</v>
      </c>
      <c r="Y151" s="1764">
        <f>V150+T150+R150</f>
        <v>17341.409</v>
      </c>
      <c r="Z151" s="81">
        <f>W150*12</f>
        <v>796345.18800000008</v>
      </c>
      <c r="AA151" s="80">
        <f>Z151/12/29.33*56</f>
        <v>126705.67828162294</v>
      </c>
      <c r="AB151" s="80">
        <f>Z151*1.25</f>
        <v>995431.4850000001</v>
      </c>
      <c r="AC151" s="80">
        <f>AB151/12/29.33*56</f>
        <v>158382.09785202867</v>
      </c>
      <c r="AD151" s="986"/>
      <c r="AE151" s="986"/>
      <c r="AF151" s="986"/>
      <c r="AG151" s="986"/>
      <c r="AH151" s="986"/>
      <c r="AI151" s="986"/>
      <c r="AJ151" s="906"/>
      <c r="AK151" s="23"/>
      <c r="AL151" s="23"/>
      <c r="AM151" s="23"/>
      <c r="AN151" s="23"/>
      <c r="AO151" s="23"/>
      <c r="AP151" s="23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986"/>
    </row>
    <row r="152" spans="1:69" s="1971" customFormat="1" ht="15.75">
      <c r="A152" s="2057" t="s">
        <v>355</v>
      </c>
      <c r="B152" s="2058" t="s">
        <v>356</v>
      </c>
      <c r="C152" s="2074" t="s">
        <v>75</v>
      </c>
      <c r="D152" s="2057"/>
      <c r="E152" s="2057"/>
      <c r="F152" s="2059">
        <v>1</v>
      </c>
      <c r="G152" s="2096"/>
      <c r="H152" s="2097"/>
      <c r="I152" s="2059">
        <v>1</v>
      </c>
      <c r="J152" s="2097">
        <v>17697</v>
      </c>
      <c r="K152" s="2097"/>
      <c r="L152" s="1965">
        <v>1</v>
      </c>
      <c r="M152" s="1965"/>
      <c r="N152" s="1965">
        <v>2.77</v>
      </c>
      <c r="O152" s="2092">
        <f>J152*N152*L152</f>
        <v>49020.69</v>
      </c>
      <c r="P152" s="1966"/>
      <c r="Q152" s="1963">
        <f>J152*O153*M152</f>
        <v>0</v>
      </c>
      <c r="R152" s="1965"/>
      <c r="S152" s="2093">
        <v>0.1</v>
      </c>
      <c r="T152" s="1963">
        <f>S152*O152</f>
        <v>4902.0690000000004</v>
      </c>
      <c r="U152" s="2092">
        <v>0</v>
      </c>
      <c r="V152" s="2092">
        <v>0</v>
      </c>
      <c r="W152" s="940">
        <f>O152+T152+V152</f>
        <v>53922.759000000005</v>
      </c>
      <c r="X152" s="1969">
        <f>Q151+U151+W151</f>
        <v>147095.50187500002</v>
      </c>
      <c r="Y152" s="1969">
        <f>R151+V151+X152</f>
        <v>173840.09312500001</v>
      </c>
      <c r="Z152" s="1970">
        <f>W151*12</f>
        <v>1765143.0225000002</v>
      </c>
      <c r="AA152" s="2094">
        <f>Z152/12/29.33*24</f>
        <v>120364.33839072625</v>
      </c>
      <c r="AB152" s="1970"/>
      <c r="AC152" s="1970"/>
      <c r="AD152" s="2107"/>
      <c r="AE152" s="2098"/>
      <c r="AF152" s="1970"/>
      <c r="AJ152" s="1970"/>
      <c r="AK152" s="1970"/>
      <c r="AL152" s="1970"/>
      <c r="AM152" s="1970"/>
      <c r="AN152" s="1970"/>
      <c r="AO152" s="1970"/>
      <c r="AP152" s="1970"/>
    </row>
    <row r="153" spans="1:69" s="1971" customFormat="1" ht="15.75">
      <c r="A153" s="2057" t="s">
        <v>382</v>
      </c>
      <c r="B153" s="2058" t="s">
        <v>338</v>
      </c>
      <c r="C153" s="1972" t="s">
        <v>64</v>
      </c>
      <c r="D153" s="2057"/>
      <c r="E153" s="2057"/>
      <c r="F153" s="2059">
        <v>0.5</v>
      </c>
      <c r="G153" s="2096"/>
      <c r="H153" s="2097"/>
      <c r="I153" s="2059">
        <v>2</v>
      </c>
      <c r="J153" s="2097">
        <v>17697</v>
      </c>
      <c r="K153" s="2097"/>
      <c r="L153" s="1965">
        <v>0.5</v>
      </c>
      <c r="M153" s="1965"/>
      <c r="N153" s="1965">
        <v>2.81</v>
      </c>
      <c r="O153" s="2092">
        <f>J153*N153*L153</f>
        <v>24864.285</v>
      </c>
      <c r="P153" s="1966"/>
      <c r="Q153" s="1963">
        <f>J153*O155*M153</f>
        <v>0</v>
      </c>
      <c r="R153" s="1965"/>
      <c r="S153" s="2093">
        <v>0.1</v>
      </c>
      <c r="T153" s="1963">
        <f>S153*O153</f>
        <v>2486.4285</v>
      </c>
      <c r="U153" s="1965"/>
      <c r="V153" s="1965"/>
      <c r="W153" s="940">
        <f>O153+T153+V153</f>
        <v>27350.713499999998</v>
      </c>
      <c r="X153" s="1969">
        <f>Q152+U152+W152</f>
        <v>53922.759000000005</v>
      </c>
      <c r="Y153" s="1969">
        <f>R152+V152+X153</f>
        <v>53922.759000000005</v>
      </c>
      <c r="Z153" s="1970">
        <f>W152*12</f>
        <v>647073.10800000001</v>
      </c>
      <c r="AA153" s="2094">
        <f>Z153/12/29.33*24</f>
        <v>44123.635049437435</v>
      </c>
      <c r="AB153" s="2099"/>
      <c r="AC153" s="2099"/>
      <c r="AD153" s="2099"/>
      <c r="AE153" s="2099"/>
      <c r="AF153" s="2099"/>
      <c r="AG153" s="2099"/>
      <c r="AH153" s="2099"/>
      <c r="AI153" s="2099"/>
      <c r="AJ153" s="2100"/>
      <c r="AK153" s="2100"/>
      <c r="AL153" s="2100"/>
      <c r="AM153" s="2100"/>
      <c r="AN153" s="2100"/>
      <c r="AO153" s="2100"/>
      <c r="AP153" s="2100"/>
      <c r="AQ153" s="2099"/>
      <c r="AR153" s="2099"/>
      <c r="AS153" s="2099"/>
      <c r="AT153" s="2099"/>
      <c r="AU153" s="2099"/>
      <c r="AV153" s="2099"/>
      <c r="AW153" s="2099"/>
      <c r="AX153" s="2099"/>
      <c r="AY153" s="2099"/>
      <c r="AZ153" s="2099"/>
      <c r="BA153" s="2099"/>
      <c r="BB153" s="2099"/>
      <c r="BC153" s="2099"/>
      <c r="BD153" s="2099"/>
      <c r="BE153" s="2099"/>
      <c r="BF153" s="2099"/>
      <c r="BG153" s="2099"/>
      <c r="BH153" s="2099"/>
      <c r="BI153" s="2099"/>
      <c r="BJ153" s="2099"/>
      <c r="BK153" s="2099"/>
      <c r="BL153" s="2099"/>
      <c r="BM153" s="2099"/>
      <c r="BN153" s="2099"/>
      <c r="BO153" s="2099"/>
      <c r="BP153" s="2099"/>
      <c r="BQ153" s="2099"/>
    </row>
    <row r="154" spans="1:69" s="1971" customFormat="1" ht="15.75">
      <c r="A154" s="1991" t="s">
        <v>835</v>
      </c>
      <c r="B154" s="1984" t="s">
        <v>99</v>
      </c>
      <c r="C154" s="1992" t="s">
        <v>25</v>
      </c>
      <c r="D154" s="1972" t="s">
        <v>882</v>
      </c>
      <c r="E154" s="2029" t="s">
        <v>34</v>
      </c>
      <c r="F154" s="1972">
        <v>1</v>
      </c>
      <c r="G154" s="1992" t="s">
        <v>102</v>
      </c>
      <c r="H154" s="1992" t="s">
        <v>103</v>
      </c>
      <c r="I154" s="1999">
        <v>2</v>
      </c>
      <c r="J154" s="1965">
        <v>17697</v>
      </c>
      <c r="K154" s="1988">
        <v>18</v>
      </c>
      <c r="L154" s="1965">
        <f>K154/18</f>
        <v>1</v>
      </c>
      <c r="M154" s="1995" t="s">
        <v>104</v>
      </c>
      <c r="N154" s="1980">
        <v>4.51</v>
      </c>
      <c r="O154" s="2092">
        <f>N154*J154/18*K154</f>
        <v>79813.47</v>
      </c>
      <c r="P154" s="1966">
        <f>O154*50%</f>
        <v>39906.735000000001</v>
      </c>
      <c r="Q154" s="1967"/>
      <c r="R154" s="1965"/>
      <c r="S154" s="2196">
        <v>0.1</v>
      </c>
      <c r="T154" s="1966">
        <f>(O154+P154)*S154</f>
        <v>11972.020500000001</v>
      </c>
      <c r="U154" s="1982"/>
      <c r="V154" s="1965"/>
      <c r="W154" s="940">
        <f>O154+P154+T154</f>
        <v>131692.2255</v>
      </c>
      <c r="X154" s="2203"/>
      <c r="Y154" s="2203"/>
      <c r="Z154" s="1970"/>
      <c r="AJ154" s="1970"/>
      <c r="AK154" s="1970"/>
      <c r="AL154" s="1970"/>
      <c r="AM154" s="1970"/>
      <c r="AN154" s="1970"/>
      <c r="AO154" s="1970"/>
      <c r="AP154" s="1970"/>
    </row>
    <row r="155" spans="1:69" s="1971" customFormat="1" ht="15.75">
      <c r="A155" s="2057" t="s">
        <v>507</v>
      </c>
      <c r="B155" s="2058" t="s">
        <v>340</v>
      </c>
      <c r="C155" s="1972" t="s">
        <v>64</v>
      </c>
      <c r="D155" s="2057"/>
      <c r="E155" s="2059"/>
      <c r="F155" s="2102" t="s">
        <v>563</v>
      </c>
      <c r="G155" s="2096"/>
      <c r="H155" s="2097"/>
      <c r="I155" s="1992">
        <v>2</v>
      </c>
      <c r="J155" s="2097">
        <v>17697</v>
      </c>
      <c r="K155" s="2097"/>
      <c r="L155" s="1965">
        <v>1.3</v>
      </c>
      <c r="M155" s="1965"/>
      <c r="N155" s="1965">
        <v>2.81</v>
      </c>
      <c r="O155" s="2092">
        <f>J155*N155*L155</f>
        <v>64647.141000000003</v>
      </c>
      <c r="P155" s="1966"/>
      <c r="Q155" s="1963">
        <f>J155*O156*M155</f>
        <v>0</v>
      </c>
      <c r="R155" s="1965"/>
      <c r="S155" s="2093">
        <v>0.1</v>
      </c>
      <c r="T155" s="1963">
        <f>S155*O155</f>
        <v>6464.7141000000011</v>
      </c>
      <c r="U155" s="1982">
        <v>0.3</v>
      </c>
      <c r="V155" s="1965">
        <f>U155*J155/1*1.3</f>
        <v>6901.83</v>
      </c>
      <c r="W155" s="940">
        <f>O155+T155+V155</f>
        <v>78013.685100000002</v>
      </c>
      <c r="X155" s="1969">
        <f>Q154+U154+W154</f>
        <v>131692.2255</v>
      </c>
      <c r="Y155" s="1969">
        <f>R154+V154+X155</f>
        <v>131692.2255</v>
      </c>
      <c r="Z155" s="1970">
        <f>W154*12</f>
        <v>1580306.706</v>
      </c>
      <c r="AA155" s="2094">
        <f>Z155/12/29.33*24</f>
        <v>107760.43000340949</v>
      </c>
      <c r="AJ155" s="1970"/>
      <c r="AK155" s="1970"/>
      <c r="AL155" s="1970"/>
      <c r="AM155" s="1970"/>
      <c r="AN155" s="1970"/>
      <c r="AO155" s="1970"/>
      <c r="AP155" s="1970"/>
    </row>
    <row r="156" spans="1:69" s="1971" customFormat="1" ht="15.75">
      <c r="A156" s="1991" t="s">
        <v>812</v>
      </c>
      <c r="B156" s="1984" t="s">
        <v>99</v>
      </c>
      <c r="C156" s="1992" t="s">
        <v>25</v>
      </c>
      <c r="D156" s="2013" t="s">
        <v>884</v>
      </c>
      <c r="E156" s="1985" t="s">
        <v>34</v>
      </c>
      <c r="F156" s="1972">
        <v>1</v>
      </c>
      <c r="G156" s="1992" t="s">
        <v>102</v>
      </c>
      <c r="H156" s="1992" t="s">
        <v>103</v>
      </c>
      <c r="I156" s="1999">
        <v>2</v>
      </c>
      <c r="J156" s="1965">
        <v>17697</v>
      </c>
      <c r="K156" s="1988">
        <v>18</v>
      </c>
      <c r="L156" s="1965">
        <f>K156/18</f>
        <v>1</v>
      </c>
      <c r="M156" s="2000" t="s">
        <v>104</v>
      </c>
      <c r="N156" s="1980">
        <v>4.51</v>
      </c>
      <c r="O156" s="2092">
        <f>N156*J156/18*K156</f>
        <v>79813.47</v>
      </c>
      <c r="P156" s="1966">
        <f>O156*50%</f>
        <v>39906.735000000001</v>
      </c>
      <c r="Q156" s="1967"/>
      <c r="R156" s="1965"/>
      <c r="S156" s="2196">
        <v>0.1</v>
      </c>
      <c r="T156" s="1966">
        <f>(O156+P156)*S156</f>
        <v>11972.020500000001</v>
      </c>
      <c r="U156" s="1982"/>
      <c r="V156" s="1965"/>
      <c r="W156" s="940">
        <f>O156+P156+T156</f>
        <v>131692.2255</v>
      </c>
      <c r="X156" s="2203"/>
      <c r="Y156" s="2203"/>
      <c r="Z156" s="1970">
        <f>W156*12</f>
        <v>1580306.706</v>
      </c>
      <c r="AA156" s="1971">
        <f>Z156/12/29.33*56</f>
        <v>251441.00334128883</v>
      </c>
      <c r="AB156" s="1971">
        <f>Z156*1.25</f>
        <v>1975383.3825000001</v>
      </c>
      <c r="AC156" s="1971">
        <f>AB156/12/29.33*56</f>
        <v>314301.25417661102</v>
      </c>
      <c r="AJ156" s="1970"/>
      <c r="AK156" s="1970"/>
      <c r="AL156" s="1970"/>
      <c r="AM156" s="1970"/>
      <c r="AN156" s="1970"/>
      <c r="AO156" s="1970"/>
      <c r="AP156" s="1970"/>
    </row>
    <row r="157" spans="1:69" s="2099" customFormat="1" ht="15.75">
      <c r="A157" s="1991" t="s">
        <v>202</v>
      </c>
      <c r="B157" s="1984" t="s">
        <v>99</v>
      </c>
      <c r="C157" s="1992" t="s">
        <v>75</v>
      </c>
      <c r="D157" s="2013" t="s">
        <v>885</v>
      </c>
      <c r="E157" s="1985" t="s">
        <v>93</v>
      </c>
      <c r="F157" s="1972">
        <v>1</v>
      </c>
      <c r="G157" s="1992" t="s">
        <v>102</v>
      </c>
      <c r="H157" s="1992" t="s">
        <v>103</v>
      </c>
      <c r="I157" s="1999">
        <v>2</v>
      </c>
      <c r="J157" s="1965">
        <v>17697</v>
      </c>
      <c r="K157" s="1988">
        <v>34</v>
      </c>
      <c r="L157" s="1965">
        <f>K157/18</f>
        <v>1.8888888888888888</v>
      </c>
      <c r="M157" s="2000" t="s">
        <v>104</v>
      </c>
      <c r="N157" s="1980">
        <v>4.37</v>
      </c>
      <c r="O157" s="2092">
        <f>N157*J157/18*K157</f>
        <v>146078.90333333335</v>
      </c>
      <c r="P157" s="1966">
        <f>O157*50%</f>
        <v>73039.451666666675</v>
      </c>
      <c r="Q157" s="1967"/>
      <c r="R157" s="1965"/>
      <c r="S157" s="2196">
        <v>0.1</v>
      </c>
      <c r="T157" s="1966">
        <f>(O157+P157)*S157</f>
        <v>21911.835500000005</v>
      </c>
      <c r="U157" s="1982"/>
      <c r="V157" s="1965"/>
      <c r="W157" s="940">
        <f>O157+P157+T157</f>
        <v>241030.19050000006</v>
      </c>
      <c r="X157" s="2203"/>
      <c r="Y157" s="2203"/>
      <c r="Z157" s="1970"/>
      <c r="AA157" s="1971"/>
      <c r="AB157" s="1971"/>
      <c r="AC157" s="1971"/>
      <c r="AD157" s="1971"/>
      <c r="AE157" s="1971"/>
      <c r="AF157" s="1971"/>
      <c r="AG157" s="1971"/>
      <c r="AH157" s="1971"/>
      <c r="AI157" s="1971"/>
      <c r="AJ157" s="1970"/>
      <c r="AK157" s="1970"/>
      <c r="AL157" s="1970"/>
      <c r="AM157" s="1970"/>
      <c r="AN157" s="1970"/>
      <c r="AO157" s="1970"/>
      <c r="AP157" s="1970"/>
      <c r="AQ157" s="1971"/>
      <c r="AR157" s="1971"/>
      <c r="AS157" s="1971"/>
      <c r="AT157" s="1971"/>
      <c r="AU157" s="1971"/>
      <c r="AV157" s="1971"/>
      <c r="AW157" s="1971"/>
      <c r="AX157" s="1971"/>
      <c r="AY157" s="1971"/>
      <c r="AZ157" s="1971"/>
      <c r="BA157" s="1971"/>
      <c r="BB157" s="1971"/>
      <c r="BC157" s="1971"/>
      <c r="BD157" s="1971"/>
      <c r="BE157" s="1971"/>
      <c r="BF157" s="1971"/>
      <c r="BG157" s="1971"/>
      <c r="BH157" s="1971"/>
      <c r="BI157" s="1971"/>
      <c r="BJ157" s="1971"/>
      <c r="BK157" s="1971"/>
      <c r="BL157" s="1971"/>
      <c r="BM157" s="1971"/>
      <c r="BN157" s="1971"/>
      <c r="BO157" s="1971"/>
      <c r="BP157" s="1971"/>
      <c r="BQ157" s="1971"/>
    </row>
    <row r="158" spans="1:69" s="84" customFormat="1" ht="22.5" customHeight="1">
      <c r="A158" s="24"/>
      <c r="B158" s="89"/>
      <c r="C158" s="24"/>
      <c r="D158" s="24"/>
      <c r="E158" s="24"/>
      <c r="F158" s="24"/>
      <c r="G158" s="24"/>
      <c r="H158" s="24"/>
      <c r="I158" s="24"/>
      <c r="J158" s="262"/>
      <c r="K158" s="262"/>
      <c r="L158" s="262"/>
      <c r="M158" s="262"/>
      <c r="N158" s="262"/>
      <c r="O158" s="262"/>
      <c r="P158" s="262"/>
      <c r="Q158" s="262"/>
      <c r="R158" s="262"/>
      <c r="S158" s="262"/>
      <c r="T158" s="262"/>
      <c r="U158" s="262"/>
      <c r="V158" s="262"/>
      <c r="W158" s="262"/>
      <c r="X158" s="141" t="e">
        <f>SUM(X1:X157)</f>
        <v>#REF!</v>
      </c>
      <c r="Y158" s="141" t="e">
        <f>SUM(Y1:Y157)</f>
        <v>#REF!</v>
      </c>
      <c r="Z158" s="262"/>
      <c r="AA158" s="1026" t="e">
        <f>SUM(AA1:AA157)</f>
        <v>#REF!</v>
      </c>
      <c r="AB158" s="262"/>
      <c r="AC158" s="262" t="e">
        <f>SUM(AC21:AC157)</f>
        <v>#REF!</v>
      </c>
      <c r="AD158" s="262"/>
      <c r="AE158" s="262"/>
      <c r="AF158" s="262"/>
      <c r="AG158" s="262"/>
      <c r="AH158" s="262"/>
      <c r="AI158" s="262"/>
      <c r="AJ158" s="1785"/>
      <c r="AK158" s="1785"/>
      <c r="AL158" s="1786"/>
      <c r="AM158" s="1786"/>
      <c r="AN158" s="1786"/>
      <c r="AO158" s="1786"/>
      <c r="AP158" s="1786"/>
      <c r="AQ158" s="262"/>
      <c r="AR158" s="262"/>
      <c r="AS158" s="262"/>
      <c r="AT158" s="262"/>
      <c r="AU158" s="262"/>
      <c r="AV158" s="262"/>
      <c r="AW158" s="262"/>
      <c r="AX158" s="262"/>
      <c r="AY158" s="262"/>
      <c r="AZ158" s="262"/>
      <c r="BA158" s="262"/>
      <c r="BB158" s="262"/>
      <c r="BC158" s="262"/>
      <c r="BD158" s="262"/>
      <c r="BE158" s="262"/>
      <c r="BF158" s="262"/>
      <c r="BG158" s="262"/>
      <c r="BH158" s="262"/>
      <c r="BI158" s="262"/>
      <c r="BJ158" s="262"/>
      <c r="BK158" s="262"/>
      <c r="BL158" s="262"/>
      <c r="BM158" s="262"/>
      <c r="BN158" s="262"/>
      <c r="BO158" s="262"/>
      <c r="BP158" s="262"/>
    </row>
    <row r="159" spans="1:69" ht="25.5" customHeight="1">
      <c r="L159" s="85"/>
      <c r="M159" s="86"/>
      <c r="N159" s="23"/>
      <c r="O159" s="87"/>
      <c r="P159" s="87"/>
      <c r="Q159" s="88"/>
      <c r="AC159" s="1027" t="e">
        <f>SUM(AA1:AA19)</f>
        <v>#REF!</v>
      </c>
      <c r="AJ159" s="906"/>
      <c r="AK159" s="906"/>
    </row>
    <row r="160" spans="1:69" s="24" customFormat="1">
      <c r="A160" s="1"/>
      <c r="B160" s="2131"/>
      <c r="C160" s="1"/>
      <c r="D160" s="1"/>
      <c r="E160" s="1"/>
      <c r="F160" s="1"/>
      <c r="G160" s="1"/>
      <c r="H160" s="1"/>
      <c r="I160" s="1"/>
      <c r="J160" s="982" t="s">
        <v>604</v>
      </c>
      <c r="K160" s="983">
        <f>SUM(L132:L157)</f>
        <v>27.855555555555554</v>
      </c>
      <c r="L160" s="22">
        <f>SUM(W132:W157)</f>
        <v>2919305.2347250003</v>
      </c>
      <c r="M160" s="89"/>
      <c r="Q160" s="1"/>
      <c r="R160" s="1"/>
      <c r="S160" s="1"/>
      <c r="T160" s="1"/>
      <c r="U160" s="1"/>
      <c r="V160" s="1"/>
      <c r="W160" s="3"/>
      <c r="X160" s="3"/>
      <c r="Y160" s="3"/>
      <c r="AA160" s="24">
        <f>SUM(AA133:AA157)</f>
        <v>3565037.5515172179</v>
      </c>
      <c r="AC160" s="24">
        <f>SUM(AA133:AA157)</f>
        <v>3565037.5515172179</v>
      </c>
      <c r="AJ160" s="906"/>
      <c r="AK160" s="23"/>
      <c r="AL160" s="23"/>
      <c r="AM160" s="23"/>
      <c r="AN160" s="23"/>
      <c r="AO160" s="23"/>
      <c r="AP160" s="23"/>
    </row>
    <row r="161" spans="1:42" s="24" customFormat="1">
      <c r="A161" s="1"/>
      <c r="B161" s="2131"/>
      <c r="C161" s="1"/>
      <c r="D161" s="1"/>
      <c r="E161" s="1"/>
      <c r="F161" s="1"/>
      <c r="G161" s="1"/>
      <c r="H161" s="1"/>
      <c r="I161" s="1"/>
      <c r="J161" s="1"/>
      <c r="K161" s="1"/>
      <c r="L161" s="3"/>
      <c r="M161" s="2131"/>
      <c r="N161" s="1"/>
      <c r="O161" s="1"/>
      <c r="P161" s="1"/>
      <c r="Q161" s="1"/>
      <c r="R161" s="1"/>
      <c r="S161" s="1"/>
      <c r="T161" s="1"/>
      <c r="U161" s="3"/>
      <c r="V161" s="3"/>
      <c r="W161" s="3"/>
      <c r="X161" s="3"/>
      <c r="Y161" s="3"/>
      <c r="AC161" s="24" t="e">
        <f>SUM(AC158:AC160)</f>
        <v>#REF!</v>
      </c>
      <c r="AJ161" s="23"/>
      <c r="AK161" s="23"/>
      <c r="AL161" s="23"/>
      <c r="AM161" s="23"/>
      <c r="AN161" s="23"/>
      <c r="AO161" s="23"/>
      <c r="AP161" s="23"/>
    </row>
    <row r="162" spans="1:42" s="24" customFormat="1" ht="20.25">
      <c r="A162" s="1"/>
      <c r="B162" s="2131"/>
      <c r="C162" s="1"/>
      <c r="D162" s="1"/>
      <c r="E162" s="1"/>
      <c r="F162" s="1"/>
      <c r="G162" s="1"/>
      <c r="H162" s="1"/>
      <c r="I162" s="1"/>
      <c r="J162" s="983" t="s">
        <v>638</v>
      </c>
      <c r="K162" s="983">
        <f>SUM(L21:L131)</f>
        <v>125.88888888888886</v>
      </c>
      <c r="L162" s="3">
        <f>SUM(K162)</f>
        <v>125.88888888888886</v>
      </c>
      <c r="M162" s="995">
        <f>SUM(W21:W131)</f>
        <v>15955305.90356249</v>
      </c>
      <c r="N162" s="1"/>
      <c r="O162" s="1"/>
      <c r="P162" s="1"/>
      <c r="Q162" s="90"/>
      <c r="R162" s="90"/>
      <c r="S162" s="1"/>
      <c r="T162" s="1"/>
      <c r="U162" s="1"/>
      <c r="V162" s="1"/>
      <c r="W162" s="3"/>
      <c r="X162" s="1"/>
      <c r="Y162" s="1"/>
      <c r="AJ162" s="1958"/>
      <c r="AK162" s="23"/>
      <c r="AL162" s="23"/>
      <c r="AM162" s="23"/>
      <c r="AN162" s="23"/>
      <c r="AO162" s="23"/>
      <c r="AP162" s="23"/>
    </row>
    <row r="163" spans="1:42" s="24" customFormat="1" ht="20.25">
      <c r="A163" s="1"/>
      <c r="B163" s="2131"/>
      <c r="C163" s="1"/>
      <c r="D163" s="1"/>
      <c r="E163" s="1"/>
      <c r="F163" s="1"/>
      <c r="G163" s="1"/>
      <c r="H163" s="3"/>
      <c r="I163" s="1"/>
      <c r="J163" s="3"/>
      <c r="K163" s="3" t="e">
        <f>#REF!</f>
        <v>#REF!</v>
      </c>
      <c r="L163" s="3"/>
      <c r="M163" s="995"/>
      <c r="N163" s="1"/>
      <c r="O163" s="1"/>
      <c r="P163" s="3"/>
      <c r="Q163" s="996"/>
      <c r="R163" s="1"/>
      <c r="S163" s="1"/>
      <c r="T163" s="1"/>
      <c r="U163" s="1"/>
      <c r="V163" s="1"/>
      <c r="W163" s="3"/>
      <c r="X163" s="1"/>
      <c r="Y163" s="1"/>
      <c r="AJ163" s="1958"/>
      <c r="AK163" s="23"/>
      <c r="AL163" s="23"/>
      <c r="AM163" s="23"/>
      <c r="AN163" s="23"/>
      <c r="AO163" s="23"/>
      <c r="AP163" s="23"/>
    </row>
    <row r="164" spans="1:42" s="24" customFormat="1" ht="20.25">
      <c r="A164" s="1"/>
      <c r="B164" s="2131"/>
      <c r="C164" s="1"/>
      <c r="D164" s="1"/>
      <c r="E164" s="1"/>
      <c r="F164" s="1"/>
      <c r="G164" s="1"/>
      <c r="H164" s="1"/>
      <c r="I164" s="1"/>
      <c r="J164" s="3"/>
      <c r="K164" s="3" t="e">
        <f>SUM(K160:K163)</f>
        <v>#REF!</v>
      </c>
      <c r="L164" s="3"/>
      <c r="M164" s="213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22"/>
      <c r="AJ164" s="1958"/>
      <c r="AK164" s="23"/>
      <c r="AL164" s="23"/>
      <c r="AM164" s="23"/>
      <c r="AN164" s="23"/>
      <c r="AO164" s="23"/>
      <c r="AP164" s="23"/>
    </row>
    <row r="165" spans="1:42" s="24" customFormat="1" ht="20.25">
      <c r="A165" s="1"/>
      <c r="B165" s="2131"/>
      <c r="C165" s="1"/>
      <c r="D165" s="1"/>
      <c r="E165" s="1"/>
      <c r="F165" s="1"/>
      <c r="G165" s="1"/>
      <c r="H165" s="1"/>
      <c r="I165" s="1"/>
      <c r="J165" s="3"/>
      <c r="K165" s="1"/>
      <c r="L165" s="1"/>
      <c r="M165" s="213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AJ165" s="1959">
        <f>SUM(P21:P131)</f>
        <v>4179603.7224999988</v>
      </c>
      <c r="AK165" s="23"/>
      <c r="AL165" s="23"/>
      <c r="AM165" s="23"/>
      <c r="AN165" s="23"/>
      <c r="AO165" s="23"/>
      <c r="AP165" s="23"/>
    </row>
    <row r="166" spans="1:42" s="24" customFormat="1" ht="20.25">
      <c r="A166" s="1"/>
      <c r="B166" s="2131"/>
      <c r="C166" s="1"/>
      <c r="D166" s="1"/>
      <c r="E166" s="1"/>
      <c r="F166" s="1"/>
      <c r="G166" s="1"/>
      <c r="H166" s="1"/>
      <c r="I166" s="1"/>
      <c r="J166" s="88"/>
      <c r="K166" s="88"/>
      <c r="L166" s="3"/>
      <c r="M166" s="213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AJ166" s="1959">
        <f>SUM(O21:O131)</f>
        <v>9495885.7550000008</v>
      </c>
      <c r="AK166" s="23"/>
      <c r="AL166" s="23"/>
      <c r="AM166" s="23"/>
      <c r="AN166" s="23"/>
      <c r="AO166" s="23"/>
      <c r="AP166" s="23"/>
    </row>
    <row r="167" spans="1:42" s="24" customFormat="1" ht="20.25">
      <c r="A167" s="1"/>
      <c r="B167" s="2131"/>
      <c r="C167" s="1"/>
      <c r="D167" s="1"/>
      <c r="E167" s="1"/>
      <c r="F167" s="1"/>
      <c r="G167" s="1"/>
      <c r="H167" s="1"/>
      <c r="I167" s="1"/>
      <c r="J167" s="982" t="s">
        <v>564</v>
      </c>
      <c r="K167" s="983">
        <f>SUM(L1:L20)</f>
        <v>23.499999999999996</v>
      </c>
      <c r="L167" s="3">
        <f>SUM(W1:W20)</f>
        <v>2585539.4424375002</v>
      </c>
      <c r="M167" s="213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22"/>
      <c r="AJ167" s="1959">
        <f>SUM(T21:T131)</f>
        <v>1399035.2289374997</v>
      </c>
      <c r="AK167" s="23"/>
      <c r="AL167" s="23"/>
      <c r="AM167" s="23"/>
      <c r="AN167" s="23"/>
      <c r="AO167" s="23"/>
      <c r="AP167" s="23"/>
    </row>
    <row r="168" spans="1:42" s="24" customFormat="1" ht="20.25">
      <c r="A168" s="1"/>
      <c r="B168" s="2131"/>
      <c r="C168" s="1"/>
      <c r="D168" s="1"/>
      <c r="E168" s="1"/>
      <c r="F168" s="1"/>
      <c r="G168" s="1"/>
      <c r="H168" s="1"/>
      <c r="I168" s="1"/>
      <c r="J168" s="1"/>
      <c r="K168" s="1"/>
      <c r="L168" s="3"/>
      <c r="M168" s="2131"/>
      <c r="N168" s="3"/>
      <c r="O168" s="1"/>
      <c r="P168" s="1"/>
      <c r="Q168" s="1"/>
      <c r="R168" s="1"/>
      <c r="S168" s="1"/>
      <c r="T168" s="3"/>
      <c r="U168" s="1"/>
      <c r="V168" s="1"/>
      <c r="W168" s="1"/>
      <c r="X168" s="1"/>
      <c r="Y168" s="1"/>
      <c r="AJ168" s="1959">
        <f>AJ165+AJ166</f>
        <v>13675489.477499999</v>
      </c>
      <c r="AK168" s="23"/>
      <c r="AL168" s="23"/>
      <c r="AM168" s="23"/>
      <c r="AN168" s="23"/>
      <c r="AO168" s="23"/>
      <c r="AP168" s="23"/>
    </row>
    <row r="169" spans="1:42" s="24" customFormat="1" ht="20.25">
      <c r="A169" s="1"/>
      <c r="B169" s="2131"/>
      <c r="C169" s="1"/>
      <c r="D169" s="1"/>
      <c r="E169" s="1"/>
      <c r="F169" s="1"/>
      <c r="G169" s="1"/>
      <c r="H169" s="1"/>
      <c r="I169" s="1"/>
      <c r="J169" s="1"/>
      <c r="K169" s="3"/>
      <c r="L169" s="3"/>
      <c r="M169" s="213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AJ169" s="1958"/>
      <c r="AK169" s="23"/>
      <c r="AL169" s="23"/>
      <c r="AM169" s="23"/>
      <c r="AN169" s="23"/>
      <c r="AO169" s="23"/>
      <c r="AP169" s="23"/>
    </row>
    <row r="170" spans="1:42" s="24" customFormat="1" ht="20.25">
      <c r="A170" s="1"/>
      <c r="B170" s="213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213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AJ170" s="1958"/>
      <c r="AK170" s="23"/>
      <c r="AL170" s="23"/>
      <c r="AM170" s="23"/>
      <c r="AN170" s="23"/>
      <c r="AO170" s="23"/>
      <c r="AP170" s="23"/>
    </row>
    <row r="171" spans="1:42" s="24" customFormat="1" ht="20.25">
      <c r="A171" s="1"/>
      <c r="B171" s="2131"/>
      <c r="C171" s="1"/>
      <c r="D171" s="1"/>
      <c r="E171" s="1"/>
      <c r="F171" s="1"/>
      <c r="G171" s="1"/>
      <c r="H171" s="1"/>
      <c r="I171" s="1"/>
      <c r="J171" s="1"/>
      <c r="K171" s="1"/>
      <c r="L171" s="3">
        <f>L167+L160</f>
        <v>5504844.6771625001</v>
      </c>
      <c r="M171" s="213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AJ171" s="1959">
        <f>SUM(W21:W131)</f>
        <v>15955305.90356249</v>
      </c>
      <c r="AK171" s="23"/>
      <c r="AL171" s="23"/>
      <c r="AM171" s="23"/>
      <c r="AN171" s="23"/>
      <c r="AO171" s="23"/>
      <c r="AP171" s="23"/>
    </row>
    <row r="172" spans="1:42" s="24" customFormat="1" ht="20.25">
      <c r="A172" s="1"/>
      <c r="B172" s="213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213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AJ172" s="1958"/>
      <c r="AK172" s="23"/>
      <c r="AL172" s="23"/>
      <c r="AM172" s="23"/>
      <c r="AN172" s="23"/>
      <c r="AO172" s="23"/>
      <c r="AP172" s="23"/>
    </row>
    <row r="173" spans="1:42" s="24" customFormat="1" ht="20.25">
      <c r="A173" s="1"/>
      <c r="B173" s="213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213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AJ173" s="1958"/>
      <c r="AK173" s="23"/>
      <c r="AL173" s="23"/>
      <c r="AM173" s="23"/>
      <c r="AN173" s="23"/>
      <c r="AO173" s="23"/>
      <c r="AP173" s="23"/>
    </row>
    <row r="174" spans="1:42" s="24" customFormat="1" ht="20.25">
      <c r="A174" s="1"/>
      <c r="B174" s="213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213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AJ174" s="1958"/>
      <c r="AK174" s="23"/>
      <c r="AL174" s="23"/>
      <c r="AM174" s="23"/>
      <c r="AN174" s="23"/>
      <c r="AO174" s="23"/>
      <c r="AP174" s="23"/>
    </row>
    <row r="175" spans="1:42" s="24" customFormat="1" ht="20.25">
      <c r="A175" s="1"/>
      <c r="B175" s="213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213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AJ175" s="1958"/>
      <c r="AK175" s="23"/>
      <c r="AL175" s="23"/>
      <c r="AM175" s="23"/>
      <c r="AN175" s="23"/>
      <c r="AO175" s="23"/>
      <c r="AP175" s="23"/>
    </row>
  </sheetData>
  <sortState ref="A1:BQ157">
    <sortCondition ref="A1"/>
  </sortState>
  <pageMargins left="0" right="0" top="0.62992125984251968" bottom="0" header="0.43307086614173229" footer="0.31496062992125984"/>
  <pageSetup paperSize="9" scale="5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7">
    <tabColor rgb="FF00B050"/>
  </sheetPr>
  <dimension ref="A1:AC58"/>
  <sheetViews>
    <sheetView view="pageBreakPreview" topLeftCell="A25" zoomScaleNormal="100" zoomScaleSheetLayoutView="100" workbookViewId="0">
      <selection activeCell="P38" sqref="P38"/>
    </sheetView>
  </sheetViews>
  <sheetFormatPr defaultRowHeight="12.75"/>
  <cols>
    <col min="1" max="1" width="5" style="745" customWidth="1"/>
    <col min="2" max="2" width="29.85546875" style="749" customWidth="1"/>
    <col min="3" max="3" width="6" style="749" customWidth="1"/>
    <col min="4" max="4" width="5.7109375" style="749" customWidth="1"/>
    <col min="5" max="5" width="5.85546875" style="745" customWidth="1"/>
    <col min="6" max="6" width="12.42578125" style="807" customWidth="1"/>
    <col min="7" max="7" width="6.140625" style="807" customWidth="1"/>
    <col min="8" max="8" width="9.42578125" style="807" customWidth="1"/>
    <col min="9" max="9" width="13.85546875" style="807" customWidth="1"/>
    <col min="10" max="10" width="6.28515625" style="807" customWidth="1"/>
    <col min="11" max="11" width="13.7109375" style="807" customWidth="1"/>
    <col min="12" max="12" width="6.85546875" style="807" customWidth="1"/>
    <col min="13" max="13" width="12.140625" style="807" customWidth="1"/>
    <col min="14" max="14" width="5.7109375" style="807" customWidth="1"/>
    <col min="15" max="15" width="11.140625" style="807" customWidth="1"/>
    <col min="16" max="16" width="15.42578125" style="807" customWidth="1"/>
    <col min="17" max="17" width="16.28515625" style="745" customWidth="1"/>
    <col min="18" max="18" width="16.42578125" style="745" customWidth="1"/>
    <col min="19" max="19" width="15" style="745" customWidth="1"/>
    <col min="20" max="20" width="25.28515625" style="745" customWidth="1"/>
    <col min="21" max="21" width="25.7109375" style="745" customWidth="1"/>
    <col min="22" max="256" width="9.140625" style="745"/>
    <col min="257" max="257" width="5" style="745" customWidth="1"/>
    <col min="258" max="258" width="29.85546875" style="745" customWidth="1"/>
    <col min="259" max="259" width="6" style="745" customWidth="1"/>
    <col min="260" max="260" width="5.7109375" style="745" customWidth="1"/>
    <col min="261" max="261" width="5.85546875" style="745" customWidth="1"/>
    <col min="262" max="262" width="12.42578125" style="745" customWidth="1"/>
    <col min="263" max="263" width="6.140625" style="745" customWidth="1"/>
    <col min="264" max="264" width="9.42578125" style="745" customWidth="1"/>
    <col min="265" max="265" width="12.5703125" style="745" customWidth="1"/>
    <col min="266" max="266" width="6.28515625" style="745" customWidth="1"/>
    <col min="267" max="267" width="11.42578125" style="745" customWidth="1"/>
    <col min="268" max="268" width="6.85546875" style="745" customWidth="1"/>
    <col min="269" max="269" width="12.140625" style="745" customWidth="1"/>
    <col min="270" max="270" width="5.7109375" style="745" customWidth="1"/>
    <col min="271" max="271" width="11.140625" style="745" customWidth="1"/>
    <col min="272" max="272" width="15.42578125" style="745" customWidth="1"/>
    <col min="273" max="273" width="14.7109375" style="745" customWidth="1"/>
    <col min="274" max="274" width="13.42578125" style="745" customWidth="1"/>
    <col min="275" max="275" width="15" style="745" customWidth="1"/>
    <col min="276" max="276" width="25.28515625" style="745" customWidth="1"/>
    <col min="277" max="277" width="25.7109375" style="745" customWidth="1"/>
    <col min="278" max="512" width="9.140625" style="745"/>
    <col min="513" max="513" width="5" style="745" customWidth="1"/>
    <col min="514" max="514" width="29.85546875" style="745" customWidth="1"/>
    <col min="515" max="515" width="6" style="745" customWidth="1"/>
    <col min="516" max="516" width="5.7109375" style="745" customWidth="1"/>
    <col min="517" max="517" width="5.85546875" style="745" customWidth="1"/>
    <col min="518" max="518" width="12.42578125" style="745" customWidth="1"/>
    <col min="519" max="519" width="6.140625" style="745" customWidth="1"/>
    <col min="520" max="520" width="9.42578125" style="745" customWidth="1"/>
    <col min="521" max="521" width="12.5703125" style="745" customWidth="1"/>
    <col min="522" max="522" width="6.28515625" style="745" customWidth="1"/>
    <col min="523" max="523" width="11.42578125" style="745" customWidth="1"/>
    <col min="524" max="524" width="6.85546875" style="745" customWidth="1"/>
    <col min="525" max="525" width="12.140625" style="745" customWidth="1"/>
    <col min="526" max="526" width="5.7109375" style="745" customWidth="1"/>
    <col min="527" max="527" width="11.140625" style="745" customWidth="1"/>
    <col min="528" max="528" width="15.42578125" style="745" customWidth="1"/>
    <col min="529" max="529" width="14.7109375" style="745" customWidth="1"/>
    <col min="530" max="530" width="13.42578125" style="745" customWidth="1"/>
    <col min="531" max="531" width="15" style="745" customWidth="1"/>
    <col min="532" max="532" width="25.28515625" style="745" customWidth="1"/>
    <col min="533" max="533" width="25.7109375" style="745" customWidth="1"/>
    <col min="534" max="768" width="9.140625" style="745"/>
    <col min="769" max="769" width="5" style="745" customWidth="1"/>
    <col min="770" max="770" width="29.85546875" style="745" customWidth="1"/>
    <col min="771" max="771" width="6" style="745" customWidth="1"/>
    <col min="772" max="772" width="5.7109375" style="745" customWidth="1"/>
    <col min="773" max="773" width="5.85546875" style="745" customWidth="1"/>
    <col min="774" max="774" width="12.42578125" style="745" customWidth="1"/>
    <col min="775" max="775" width="6.140625" style="745" customWidth="1"/>
    <col min="776" max="776" width="9.42578125" style="745" customWidth="1"/>
    <col min="777" max="777" width="12.5703125" style="745" customWidth="1"/>
    <col min="778" max="778" width="6.28515625" style="745" customWidth="1"/>
    <col min="779" max="779" width="11.42578125" style="745" customWidth="1"/>
    <col min="780" max="780" width="6.85546875" style="745" customWidth="1"/>
    <col min="781" max="781" width="12.140625" style="745" customWidth="1"/>
    <col min="782" max="782" width="5.7109375" style="745" customWidth="1"/>
    <col min="783" max="783" width="11.140625" style="745" customWidth="1"/>
    <col min="784" max="784" width="15.42578125" style="745" customWidth="1"/>
    <col min="785" max="785" width="14.7109375" style="745" customWidth="1"/>
    <col min="786" max="786" width="13.42578125" style="745" customWidth="1"/>
    <col min="787" max="787" width="15" style="745" customWidth="1"/>
    <col min="788" max="788" width="25.28515625" style="745" customWidth="1"/>
    <col min="789" max="789" width="25.7109375" style="745" customWidth="1"/>
    <col min="790" max="1024" width="9.140625" style="745"/>
    <col min="1025" max="1025" width="5" style="745" customWidth="1"/>
    <col min="1026" max="1026" width="29.85546875" style="745" customWidth="1"/>
    <col min="1027" max="1027" width="6" style="745" customWidth="1"/>
    <col min="1028" max="1028" width="5.7109375" style="745" customWidth="1"/>
    <col min="1029" max="1029" width="5.85546875" style="745" customWidth="1"/>
    <col min="1030" max="1030" width="12.42578125" style="745" customWidth="1"/>
    <col min="1031" max="1031" width="6.140625" style="745" customWidth="1"/>
    <col min="1032" max="1032" width="9.42578125" style="745" customWidth="1"/>
    <col min="1033" max="1033" width="12.5703125" style="745" customWidth="1"/>
    <col min="1034" max="1034" width="6.28515625" style="745" customWidth="1"/>
    <col min="1035" max="1035" width="11.42578125" style="745" customWidth="1"/>
    <col min="1036" max="1036" width="6.85546875" style="745" customWidth="1"/>
    <col min="1037" max="1037" width="12.140625" style="745" customWidth="1"/>
    <col min="1038" max="1038" width="5.7109375" style="745" customWidth="1"/>
    <col min="1039" max="1039" width="11.140625" style="745" customWidth="1"/>
    <col min="1040" max="1040" width="15.42578125" style="745" customWidth="1"/>
    <col min="1041" max="1041" width="14.7109375" style="745" customWidth="1"/>
    <col min="1042" max="1042" width="13.42578125" style="745" customWidth="1"/>
    <col min="1043" max="1043" width="15" style="745" customWidth="1"/>
    <col min="1044" max="1044" width="25.28515625" style="745" customWidth="1"/>
    <col min="1045" max="1045" width="25.7109375" style="745" customWidth="1"/>
    <col min="1046" max="1280" width="9.140625" style="745"/>
    <col min="1281" max="1281" width="5" style="745" customWidth="1"/>
    <col min="1282" max="1282" width="29.85546875" style="745" customWidth="1"/>
    <col min="1283" max="1283" width="6" style="745" customWidth="1"/>
    <col min="1284" max="1284" width="5.7109375" style="745" customWidth="1"/>
    <col min="1285" max="1285" width="5.85546875" style="745" customWidth="1"/>
    <col min="1286" max="1286" width="12.42578125" style="745" customWidth="1"/>
    <col min="1287" max="1287" width="6.140625" style="745" customWidth="1"/>
    <col min="1288" max="1288" width="9.42578125" style="745" customWidth="1"/>
    <col min="1289" max="1289" width="12.5703125" style="745" customWidth="1"/>
    <col min="1290" max="1290" width="6.28515625" style="745" customWidth="1"/>
    <col min="1291" max="1291" width="11.42578125" style="745" customWidth="1"/>
    <col min="1292" max="1292" width="6.85546875" style="745" customWidth="1"/>
    <col min="1293" max="1293" width="12.140625" style="745" customWidth="1"/>
    <col min="1294" max="1294" width="5.7109375" style="745" customWidth="1"/>
    <col min="1295" max="1295" width="11.140625" style="745" customWidth="1"/>
    <col min="1296" max="1296" width="15.42578125" style="745" customWidth="1"/>
    <col min="1297" max="1297" width="14.7109375" style="745" customWidth="1"/>
    <col min="1298" max="1298" width="13.42578125" style="745" customWidth="1"/>
    <col min="1299" max="1299" width="15" style="745" customWidth="1"/>
    <col min="1300" max="1300" width="25.28515625" style="745" customWidth="1"/>
    <col min="1301" max="1301" width="25.7109375" style="745" customWidth="1"/>
    <col min="1302" max="1536" width="9.140625" style="745"/>
    <col min="1537" max="1537" width="5" style="745" customWidth="1"/>
    <col min="1538" max="1538" width="29.85546875" style="745" customWidth="1"/>
    <col min="1539" max="1539" width="6" style="745" customWidth="1"/>
    <col min="1540" max="1540" width="5.7109375" style="745" customWidth="1"/>
    <col min="1541" max="1541" width="5.85546875" style="745" customWidth="1"/>
    <col min="1542" max="1542" width="12.42578125" style="745" customWidth="1"/>
    <col min="1543" max="1543" width="6.140625" style="745" customWidth="1"/>
    <col min="1544" max="1544" width="9.42578125" style="745" customWidth="1"/>
    <col min="1545" max="1545" width="12.5703125" style="745" customWidth="1"/>
    <col min="1546" max="1546" width="6.28515625" style="745" customWidth="1"/>
    <col min="1547" max="1547" width="11.42578125" style="745" customWidth="1"/>
    <col min="1548" max="1548" width="6.85546875" style="745" customWidth="1"/>
    <col min="1549" max="1549" width="12.140625" style="745" customWidth="1"/>
    <col min="1550" max="1550" width="5.7109375" style="745" customWidth="1"/>
    <col min="1551" max="1551" width="11.140625" style="745" customWidth="1"/>
    <col min="1552" max="1552" width="15.42578125" style="745" customWidth="1"/>
    <col min="1553" max="1553" width="14.7109375" style="745" customWidth="1"/>
    <col min="1554" max="1554" width="13.42578125" style="745" customWidth="1"/>
    <col min="1555" max="1555" width="15" style="745" customWidth="1"/>
    <col min="1556" max="1556" width="25.28515625" style="745" customWidth="1"/>
    <col min="1557" max="1557" width="25.7109375" style="745" customWidth="1"/>
    <col min="1558" max="1792" width="9.140625" style="745"/>
    <col min="1793" max="1793" width="5" style="745" customWidth="1"/>
    <col min="1794" max="1794" width="29.85546875" style="745" customWidth="1"/>
    <col min="1795" max="1795" width="6" style="745" customWidth="1"/>
    <col min="1796" max="1796" width="5.7109375" style="745" customWidth="1"/>
    <col min="1797" max="1797" width="5.85546875" style="745" customWidth="1"/>
    <col min="1798" max="1798" width="12.42578125" style="745" customWidth="1"/>
    <col min="1799" max="1799" width="6.140625" style="745" customWidth="1"/>
    <col min="1800" max="1800" width="9.42578125" style="745" customWidth="1"/>
    <col min="1801" max="1801" width="12.5703125" style="745" customWidth="1"/>
    <col min="1802" max="1802" width="6.28515625" style="745" customWidth="1"/>
    <col min="1803" max="1803" width="11.42578125" style="745" customWidth="1"/>
    <col min="1804" max="1804" width="6.85546875" style="745" customWidth="1"/>
    <col min="1805" max="1805" width="12.140625" style="745" customWidth="1"/>
    <col min="1806" max="1806" width="5.7109375" style="745" customWidth="1"/>
    <col min="1807" max="1807" width="11.140625" style="745" customWidth="1"/>
    <col min="1808" max="1808" width="15.42578125" style="745" customWidth="1"/>
    <col min="1809" max="1809" width="14.7109375" style="745" customWidth="1"/>
    <col min="1810" max="1810" width="13.42578125" style="745" customWidth="1"/>
    <col min="1811" max="1811" width="15" style="745" customWidth="1"/>
    <col min="1812" max="1812" width="25.28515625" style="745" customWidth="1"/>
    <col min="1813" max="1813" width="25.7109375" style="745" customWidth="1"/>
    <col min="1814" max="2048" width="9.140625" style="745"/>
    <col min="2049" max="2049" width="5" style="745" customWidth="1"/>
    <col min="2050" max="2050" width="29.85546875" style="745" customWidth="1"/>
    <col min="2051" max="2051" width="6" style="745" customWidth="1"/>
    <col min="2052" max="2052" width="5.7109375" style="745" customWidth="1"/>
    <col min="2053" max="2053" width="5.85546875" style="745" customWidth="1"/>
    <col min="2054" max="2054" width="12.42578125" style="745" customWidth="1"/>
    <col min="2055" max="2055" width="6.140625" style="745" customWidth="1"/>
    <col min="2056" max="2056" width="9.42578125" style="745" customWidth="1"/>
    <col min="2057" max="2057" width="12.5703125" style="745" customWidth="1"/>
    <col min="2058" max="2058" width="6.28515625" style="745" customWidth="1"/>
    <col min="2059" max="2059" width="11.42578125" style="745" customWidth="1"/>
    <col min="2060" max="2060" width="6.85546875" style="745" customWidth="1"/>
    <col min="2061" max="2061" width="12.140625" style="745" customWidth="1"/>
    <col min="2062" max="2062" width="5.7109375" style="745" customWidth="1"/>
    <col min="2063" max="2063" width="11.140625" style="745" customWidth="1"/>
    <col min="2064" max="2064" width="15.42578125" style="745" customWidth="1"/>
    <col min="2065" max="2065" width="14.7109375" style="745" customWidth="1"/>
    <col min="2066" max="2066" width="13.42578125" style="745" customWidth="1"/>
    <col min="2067" max="2067" width="15" style="745" customWidth="1"/>
    <col min="2068" max="2068" width="25.28515625" style="745" customWidth="1"/>
    <col min="2069" max="2069" width="25.7109375" style="745" customWidth="1"/>
    <col min="2070" max="2304" width="9.140625" style="745"/>
    <col min="2305" max="2305" width="5" style="745" customWidth="1"/>
    <col min="2306" max="2306" width="29.85546875" style="745" customWidth="1"/>
    <col min="2307" max="2307" width="6" style="745" customWidth="1"/>
    <col min="2308" max="2308" width="5.7109375" style="745" customWidth="1"/>
    <col min="2309" max="2309" width="5.85546875" style="745" customWidth="1"/>
    <col min="2310" max="2310" width="12.42578125" style="745" customWidth="1"/>
    <col min="2311" max="2311" width="6.140625" style="745" customWidth="1"/>
    <col min="2312" max="2312" width="9.42578125" style="745" customWidth="1"/>
    <col min="2313" max="2313" width="12.5703125" style="745" customWidth="1"/>
    <col min="2314" max="2314" width="6.28515625" style="745" customWidth="1"/>
    <col min="2315" max="2315" width="11.42578125" style="745" customWidth="1"/>
    <col min="2316" max="2316" width="6.85546875" style="745" customWidth="1"/>
    <col min="2317" max="2317" width="12.140625" style="745" customWidth="1"/>
    <col min="2318" max="2318" width="5.7109375" style="745" customWidth="1"/>
    <col min="2319" max="2319" width="11.140625" style="745" customWidth="1"/>
    <col min="2320" max="2320" width="15.42578125" style="745" customWidth="1"/>
    <col min="2321" max="2321" width="14.7109375" style="745" customWidth="1"/>
    <col min="2322" max="2322" width="13.42578125" style="745" customWidth="1"/>
    <col min="2323" max="2323" width="15" style="745" customWidth="1"/>
    <col min="2324" max="2324" width="25.28515625" style="745" customWidth="1"/>
    <col min="2325" max="2325" width="25.7109375" style="745" customWidth="1"/>
    <col min="2326" max="2560" width="9.140625" style="745"/>
    <col min="2561" max="2561" width="5" style="745" customWidth="1"/>
    <col min="2562" max="2562" width="29.85546875" style="745" customWidth="1"/>
    <col min="2563" max="2563" width="6" style="745" customWidth="1"/>
    <col min="2564" max="2564" width="5.7109375" style="745" customWidth="1"/>
    <col min="2565" max="2565" width="5.85546875" style="745" customWidth="1"/>
    <col min="2566" max="2566" width="12.42578125" style="745" customWidth="1"/>
    <col min="2567" max="2567" width="6.140625" style="745" customWidth="1"/>
    <col min="2568" max="2568" width="9.42578125" style="745" customWidth="1"/>
    <col min="2569" max="2569" width="12.5703125" style="745" customWidth="1"/>
    <col min="2570" max="2570" width="6.28515625" style="745" customWidth="1"/>
    <col min="2571" max="2571" width="11.42578125" style="745" customWidth="1"/>
    <col min="2572" max="2572" width="6.85546875" style="745" customWidth="1"/>
    <col min="2573" max="2573" width="12.140625" style="745" customWidth="1"/>
    <col min="2574" max="2574" width="5.7109375" style="745" customWidth="1"/>
    <col min="2575" max="2575" width="11.140625" style="745" customWidth="1"/>
    <col min="2576" max="2576" width="15.42578125" style="745" customWidth="1"/>
    <col min="2577" max="2577" width="14.7109375" style="745" customWidth="1"/>
    <col min="2578" max="2578" width="13.42578125" style="745" customWidth="1"/>
    <col min="2579" max="2579" width="15" style="745" customWidth="1"/>
    <col min="2580" max="2580" width="25.28515625" style="745" customWidth="1"/>
    <col min="2581" max="2581" width="25.7109375" style="745" customWidth="1"/>
    <col min="2582" max="2816" width="9.140625" style="745"/>
    <col min="2817" max="2817" width="5" style="745" customWidth="1"/>
    <col min="2818" max="2818" width="29.85546875" style="745" customWidth="1"/>
    <col min="2819" max="2819" width="6" style="745" customWidth="1"/>
    <col min="2820" max="2820" width="5.7109375" style="745" customWidth="1"/>
    <col min="2821" max="2821" width="5.85546875" style="745" customWidth="1"/>
    <col min="2822" max="2822" width="12.42578125" style="745" customWidth="1"/>
    <col min="2823" max="2823" width="6.140625" style="745" customWidth="1"/>
    <col min="2824" max="2824" width="9.42578125" style="745" customWidth="1"/>
    <col min="2825" max="2825" width="12.5703125" style="745" customWidth="1"/>
    <col min="2826" max="2826" width="6.28515625" style="745" customWidth="1"/>
    <col min="2827" max="2827" width="11.42578125" style="745" customWidth="1"/>
    <col min="2828" max="2828" width="6.85546875" style="745" customWidth="1"/>
    <col min="2829" max="2829" width="12.140625" style="745" customWidth="1"/>
    <col min="2830" max="2830" width="5.7109375" style="745" customWidth="1"/>
    <col min="2831" max="2831" width="11.140625" style="745" customWidth="1"/>
    <col min="2832" max="2832" width="15.42578125" style="745" customWidth="1"/>
    <col min="2833" max="2833" width="14.7109375" style="745" customWidth="1"/>
    <col min="2834" max="2834" width="13.42578125" style="745" customWidth="1"/>
    <col min="2835" max="2835" width="15" style="745" customWidth="1"/>
    <col min="2836" max="2836" width="25.28515625" style="745" customWidth="1"/>
    <col min="2837" max="2837" width="25.7109375" style="745" customWidth="1"/>
    <col min="2838" max="3072" width="9.140625" style="745"/>
    <col min="3073" max="3073" width="5" style="745" customWidth="1"/>
    <col min="3074" max="3074" width="29.85546875" style="745" customWidth="1"/>
    <col min="3075" max="3075" width="6" style="745" customWidth="1"/>
    <col min="3076" max="3076" width="5.7109375" style="745" customWidth="1"/>
    <col min="3077" max="3077" width="5.85546875" style="745" customWidth="1"/>
    <col min="3078" max="3078" width="12.42578125" style="745" customWidth="1"/>
    <col min="3079" max="3079" width="6.140625" style="745" customWidth="1"/>
    <col min="3080" max="3080" width="9.42578125" style="745" customWidth="1"/>
    <col min="3081" max="3081" width="12.5703125" style="745" customWidth="1"/>
    <col min="3082" max="3082" width="6.28515625" style="745" customWidth="1"/>
    <col min="3083" max="3083" width="11.42578125" style="745" customWidth="1"/>
    <col min="3084" max="3084" width="6.85546875" style="745" customWidth="1"/>
    <col min="3085" max="3085" width="12.140625" style="745" customWidth="1"/>
    <col min="3086" max="3086" width="5.7109375" style="745" customWidth="1"/>
    <col min="3087" max="3087" width="11.140625" style="745" customWidth="1"/>
    <col min="3088" max="3088" width="15.42578125" style="745" customWidth="1"/>
    <col min="3089" max="3089" width="14.7109375" style="745" customWidth="1"/>
    <col min="3090" max="3090" width="13.42578125" style="745" customWidth="1"/>
    <col min="3091" max="3091" width="15" style="745" customWidth="1"/>
    <col min="3092" max="3092" width="25.28515625" style="745" customWidth="1"/>
    <col min="3093" max="3093" width="25.7109375" style="745" customWidth="1"/>
    <col min="3094" max="3328" width="9.140625" style="745"/>
    <col min="3329" max="3329" width="5" style="745" customWidth="1"/>
    <col min="3330" max="3330" width="29.85546875" style="745" customWidth="1"/>
    <col min="3331" max="3331" width="6" style="745" customWidth="1"/>
    <col min="3332" max="3332" width="5.7109375" style="745" customWidth="1"/>
    <col min="3333" max="3333" width="5.85546875" style="745" customWidth="1"/>
    <col min="3334" max="3334" width="12.42578125" style="745" customWidth="1"/>
    <col min="3335" max="3335" width="6.140625" style="745" customWidth="1"/>
    <col min="3336" max="3336" width="9.42578125" style="745" customWidth="1"/>
    <col min="3337" max="3337" width="12.5703125" style="745" customWidth="1"/>
    <col min="3338" max="3338" width="6.28515625" style="745" customWidth="1"/>
    <col min="3339" max="3339" width="11.42578125" style="745" customWidth="1"/>
    <col min="3340" max="3340" width="6.85546875" style="745" customWidth="1"/>
    <col min="3341" max="3341" width="12.140625" style="745" customWidth="1"/>
    <col min="3342" max="3342" width="5.7109375" style="745" customWidth="1"/>
    <col min="3343" max="3343" width="11.140625" style="745" customWidth="1"/>
    <col min="3344" max="3344" width="15.42578125" style="745" customWidth="1"/>
    <col min="3345" max="3345" width="14.7109375" style="745" customWidth="1"/>
    <col min="3346" max="3346" width="13.42578125" style="745" customWidth="1"/>
    <col min="3347" max="3347" width="15" style="745" customWidth="1"/>
    <col min="3348" max="3348" width="25.28515625" style="745" customWidth="1"/>
    <col min="3349" max="3349" width="25.7109375" style="745" customWidth="1"/>
    <col min="3350" max="3584" width="9.140625" style="745"/>
    <col min="3585" max="3585" width="5" style="745" customWidth="1"/>
    <col min="3586" max="3586" width="29.85546875" style="745" customWidth="1"/>
    <col min="3587" max="3587" width="6" style="745" customWidth="1"/>
    <col min="3588" max="3588" width="5.7109375" style="745" customWidth="1"/>
    <col min="3589" max="3589" width="5.85546875" style="745" customWidth="1"/>
    <col min="3590" max="3590" width="12.42578125" style="745" customWidth="1"/>
    <col min="3591" max="3591" width="6.140625" style="745" customWidth="1"/>
    <col min="3592" max="3592" width="9.42578125" style="745" customWidth="1"/>
    <col min="3593" max="3593" width="12.5703125" style="745" customWidth="1"/>
    <col min="3594" max="3594" width="6.28515625" style="745" customWidth="1"/>
    <col min="3595" max="3595" width="11.42578125" style="745" customWidth="1"/>
    <col min="3596" max="3596" width="6.85546875" style="745" customWidth="1"/>
    <col min="3597" max="3597" width="12.140625" style="745" customWidth="1"/>
    <col min="3598" max="3598" width="5.7109375" style="745" customWidth="1"/>
    <col min="3599" max="3599" width="11.140625" style="745" customWidth="1"/>
    <col min="3600" max="3600" width="15.42578125" style="745" customWidth="1"/>
    <col min="3601" max="3601" width="14.7109375" style="745" customWidth="1"/>
    <col min="3602" max="3602" width="13.42578125" style="745" customWidth="1"/>
    <col min="3603" max="3603" width="15" style="745" customWidth="1"/>
    <col min="3604" max="3604" width="25.28515625" style="745" customWidth="1"/>
    <col min="3605" max="3605" width="25.7109375" style="745" customWidth="1"/>
    <col min="3606" max="3840" width="9.140625" style="745"/>
    <col min="3841" max="3841" width="5" style="745" customWidth="1"/>
    <col min="3842" max="3842" width="29.85546875" style="745" customWidth="1"/>
    <col min="3843" max="3843" width="6" style="745" customWidth="1"/>
    <col min="3844" max="3844" width="5.7109375" style="745" customWidth="1"/>
    <col min="3845" max="3845" width="5.85546875" style="745" customWidth="1"/>
    <col min="3846" max="3846" width="12.42578125" style="745" customWidth="1"/>
    <col min="3847" max="3847" width="6.140625" style="745" customWidth="1"/>
    <col min="3848" max="3848" width="9.42578125" style="745" customWidth="1"/>
    <col min="3849" max="3849" width="12.5703125" style="745" customWidth="1"/>
    <col min="3850" max="3850" width="6.28515625" style="745" customWidth="1"/>
    <col min="3851" max="3851" width="11.42578125" style="745" customWidth="1"/>
    <col min="3852" max="3852" width="6.85546875" style="745" customWidth="1"/>
    <col min="3853" max="3853" width="12.140625" style="745" customWidth="1"/>
    <col min="3854" max="3854" width="5.7109375" style="745" customWidth="1"/>
    <col min="3855" max="3855" width="11.140625" style="745" customWidth="1"/>
    <col min="3856" max="3856" width="15.42578125" style="745" customWidth="1"/>
    <col min="3857" max="3857" width="14.7109375" style="745" customWidth="1"/>
    <col min="3858" max="3858" width="13.42578125" style="745" customWidth="1"/>
    <col min="3859" max="3859" width="15" style="745" customWidth="1"/>
    <col min="3860" max="3860" width="25.28515625" style="745" customWidth="1"/>
    <col min="3861" max="3861" width="25.7109375" style="745" customWidth="1"/>
    <col min="3862" max="4096" width="9.140625" style="745"/>
    <col min="4097" max="4097" width="5" style="745" customWidth="1"/>
    <col min="4098" max="4098" width="29.85546875" style="745" customWidth="1"/>
    <col min="4099" max="4099" width="6" style="745" customWidth="1"/>
    <col min="4100" max="4100" width="5.7109375" style="745" customWidth="1"/>
    <col min="4101" max="4101" width="5.85546875" style="745" customWidth="1"/>
    <col min="4102" max="4102" width="12.42578125" style="745" customWidth="1"/>
    <col min="4103" max="4103" width="6.140625" style="745" customWidth="1"/>
    <col min="4104" max="4104" width="9.42578125" style="745" customWidth="1"/>
    <col min="4105" max="4105" width="12.5703125" style="745" customWidth="1"/>
    <col min="4106" max="4106" width="6.28515625" style="745" customWidth="1"/>
    <col min="4107" max="4107" width="11.42578125" style="745" customWidth="1"/>
    <col min="4108" max="4108" width="6.85546875" style="745" customWidth="1"/>
    <col min="4109" max="4109" width="12.140625" style="745" customWidth="1"/>
    <col min="4110" max="4110" width="5.7109375" style="745" customWidth="1"/>
    <col min="4111" max="4111" width="11.140625" style="745" customWidth="1"/>
    <col min="4112" max="4112" width="15.42578125" style="745" customWidth="1"/>
    <col min="4113" max="4113" width="14.7109375" style="745" customWidth="1"/>
    <col min="4114" max="4114" width="13.42578125" style="745" customWidth="1"/>
    <col min="4115" max="4115" width="15" style="745" customWidth="1"/>
    <col min="4116" max="4116" width="25.28515625" style="745" customWidth="1"/>
    <col min="4117" max="4117" width="25.7109375" style="745" customWidth="1"/>
    <col min="4118" max="4352" width="9.140625" style="745"/>
    <col min="4353" max="4353" width="5" style="745" customWidth="1"/>
    <col min="4354" max="4354" width="29.85546875" style="745" customWidth="1"/>
    <col min="4355" max="4355" width="6" style="745" customWidth="1"/>
    <col min="4356" max="4356" width="5.7109375" style="745" customWidth="1"/>
    <col min="4357" max="4357" width="5.85546875" style="745" customWidth="1"/>
    <col min="4358" max="4358" width="12.42578125" style="745" customWidth="1"/>
    <col min="4359" max="4359" width="6.140625" style="745" customWidth="1"/>
    <col min="4360" max="4360" width="9.42578125" style="745" customWidth="1"/>
    <col min="4361" max="4361" width="12.5703125" style="745" customWidth="1"/>
    <col min="4362" max="4362" width="6.28515625" style="745" customWidth="1"/>
    <col min="4363" max="4363" width="11.42578125" style="745" customWidth="1"/>
    <col min="4364" max="4364" width="6.85546875" style="745" customWidth="1"/>
    <col min="4365" max="4365" width="12.140625" style="745" customWidth="1"/>
    <col min="4366" max="4366" width="5.7109375" style="745" customWidth="1"/>
    <col min="4367" max="4367" width="11.140625" style="745" customWidth="1"/>
    <col min="4368" max="4368" width="15.42578125" style="745" customWidth="1"/>
    <col min="4369" max="4369" width="14.7109375" style="745" customWidth="1"/>
    <col min="4370" max="4370" width="13.42578125" style="745" customWidth="1"/>
    <col min="4371" max="4371" width="15" style="745" customWidth="1"/>
    <col min="4372" max="4372" width="25.28515625" style="745" customWidth="1"/>
    <col min="4373" max="4373" width="25.7109375" style="745" customWidth="1"/>
    <col min="4374" max="4608" width="9.140625" style="745"/>
    <col min="4609" max="4609" width="5" style="745" customWidth="1"/>
    <col min="4610" max="4610" width="29.85546875" style="745" customWidth="1"/>
    <col min="4611" max="4611" width="6" style="745" customWidth="1"/>
    <col min="4612" max="4612" width="5.7109375" style="745" customWidth="1"/>
    <col min="4613" max="4613" width="5.85546875" style="745" customWidth="1"/>
    <col min="4614" max="4614" width="12.42578125" style="745" customWidth="1"/>
    <col min="4615" max="4615" width="6.140625" style="745" customWidth="1"/>
    <col min="4616" max="4616" width="9.42578125" style="745" customWidth="1"/>
    <col min="4617" max="4617" width="12.5703125" style="745" customWidth="1"/>
    <col min="4618" max="4618" width="6.28515625" style="745" customWidth="1"/>
    <col min="4619" max="4619" width="11.42578125" style="745" customWidth="1"/>
    <col min="4620" max="4620" width="6.85546875" style="745" customWidth="1"/>
    <col min="4621" max="4621" width="12.140625" style="745" customWidth="1"/>
    <col min="4622" max="4622" width="5.7109375" style="745" customWidth="1"/>
    <col min="4623" max="4623" width="11.140625" style="745" customWidth="1"/>
    <col min="4624" max="4624" width="15.42578125" style="745" customWidth="1"/>
    <col min="4625" max="4625" width="14.7109375" style="745" customWidth="1"/>
    <col min="4626" max="4626" width="13.42578125" style="745" customWidth="1"/>
    <col min="4627" max="4627" width="15" style="745" customWidth="1"/>
    <col min="4628" max="4628" width="25.28515625" style="745" customWidth="1"/>
    <col min="4629" max="4629" width="25.7109375" style="745" customWidth="1"/>
    <col min="4630" max="4864" width="9.140625" style="745"/>
    <col min="4865" max="4865" width="5" style="745" customWidth="1"/>
    <col min="4866" max="4866" width="29.85546875" style="745" customWidth="1"/>
    <col min="4867" max="4867" width="6" style="745" customWidth="1"/>
    <col min="4868" max="4868" width="5.7109375" style="745" customWidth="1"/>
    <col min="4869" max="4869" width="5.85546875" style="745" customWidth="1"/>
    <col min="4870" max="4870" width="12.42578125" style="745" customWidth="1"/>
    <col min="4871" max="4871" width="6.140625" style="745" customWidth="1"/>
    <col min="4872" max="4872" width="9.42578125" style="745" customWidth="1"/>
    <col min="4873" max="4873" width="12.5703125" style="745" customWidth="1"/>
    <col min="4874" max="4874" width="6.28515625" style="745" customWidth="1"/>
    <col min="4875" max="4875" width="11.42578125" style="745" customWidth="1"/>
    <col min="4876" max="4876" width="6.85546875" style="745" customWidth="1"/>
    <col min="4877" max="4877" width="12.140625" style="745" customWidth="1"/>
    <col min="4878" max="4878" width="5.7109375" style="745" customWidth="1"/>
    <col min="4879" max="4879" width="11.140625" style="745" customWidth="1"/>
    <col min="4880" max="4880" width="15.42578125" style="745" customWidth="1"/>
    <col min="4881" max="4881" width="14.7109375" style="745" customWidth="1"/>
    <col min="4882" max="4882" width="13.42578125" style="745" customWidth="1"/>
    <col min="4883" max="4883" width="15" style="745" customWidth="1"/>
    <col min="4884" max="4884" width="25.28515625" style="745" customWidth="1"/>
    <col min="4885" max="4885" width="25.7109375" style="745" customWidth="1"/>
    <col min="4886" max="5120" width="9.140625" style="745"/>
    <col min="5121" max="5121" width="5" style="745" customWidth="1"/>
    <col min="5122" max="5122" width="29.85546875" style="745" customWidth="1"/>
    <col min="5123" max="5123" width="6" style="745" customWidth="1"/>
    <col min="5124" max="5124" width="5.7109375" style="745" customWidth="1"/>
    <col min="5125" max="5125" width="5.85546875" style="745" customWidth="1"/>
    <col min="5126" max="5126" width="12.42578125" style="745" customWidth="1"/>
    <col min="5127" max="5127" width="6.140625" style="745" customWidth="1"/>
    <col min="5128" max="5128" width="9.42578125" style="745" customWidth="1"/>
    <col min="5129" max="5129" width="12.5703125" style="745" customWidth="1"/>
    <col min="5130" max="5130" width="6.28515625" style="745" customWidth="1"/>
    <col min="5131" max="5131" width="11.42578125" style="745" customWidth="1"/>
    <col min="5132" max="5132" width="6.85546875" style="745" customWidth="1"/>
    <col min="5133" max="5133" width="12.140625" style="745" customWidth="1"/>
    <col min="5134" max="5134" width="5.7109375" style="745" customWidth="1"/>
    <col min="5135" max="5135" width="11.140625" style="745" customWidth="1"/>
    <col min="5136" max="5136" width="15.42578125" style="745" customWidth="1"/>
    <col min="5137" max="5137" width="14.7109375" style="745" customWidth="1"/>
    <col min="5138" max="5138" width="13.42578125" style="745" customWidth="1"/>
    <col min="5139" max="5139" width="15" style="745" customWidth="1"/>
    <col min="5140" max="5140" width="25.28515625" style="745" customWidth="1"/>
    <col min="5141" max="5141" width="25.7109375" style="745" customWidth="1"/>
    <col min="5142" max="5376" width="9.140625" style="745"/>
    <col min="5377" max="5377" width="5" style="745" customWidth="1"/>
    <col min="5378" max="5378" width="29.85546875" style="745" customWidth="1"/>
    <col min="5379" max="5379" width="6" style="745" customWidth="1"/>
    <col min="5380" max="5380" width="5.7109375" style="745" customWidth="1"/>
    <col min="5381" max="5381" width="5.85546875" style="745" customWidth="1"/>
    <col min="5382" max="5382" width="12.42578125" style="745" customWidth="1"/>
    <col min="5383" max="5383" width="6.140625" style="745" customWidth="1"/>
    <col min="5384" max="5384" width="9.42578125" style="745" customWidth="1"/>
    <col min="5385" max="5385" width="12.5703125" style="745" customWidth="1"/>
    <col min="5386" max="5386" width="6.28515625" style="745" customWidth="1"/>
    <col min="5387" max="5387" width="11.42578125" style="745" customWidth="1"/>
    <col min="5388" max="5388" width="6.85546875" style="745" customWidth="1"/>
    <col min="5389" max="5389" width="12.140625" style="745" customWidth="1"/>
    <col min="5390" max="5390" width="5.7109375" style="745" customWidth="1"/>
    <col min="5391" max="5391" width="11.140625" style="745" customWidth="1"/>
    <col min="5392" max="5392" width="15.42578125" style="745" customWidth="1"/>
    <col min="5393" max="5393" width="14.7109375" style="745" customWidth="1"/>
    <col min="5394" max="5394" width="13.42578125" style="745" customWidth="1"/>
    <col min="5395" max="5395" width="15" style="745" customWidth="1"/>
    <col min="5396" max="5396" width="25.28515625" style="745" customWidth="1"/>
    <col min="5397" max="5397" width="25.7109375" style="745" customWidth="1"/>
    <col min="5398" max="5632" width="9.140625" style="745"/>
    <col min="5633" max="5633" width="5" style="745" customWidth="1"/>
    <col min="5634" max="5634" width="29.85546875" style="745" customWidth="1"/>
    <col min="5635" max="5635" width="6" style="745" customWidth="1"/>
    <col min="5636" max="5636" width="5.7109375" style="745" customWidth="1"/>
    <col min="5637" max="5637" width="5.85546875" style="745" customWidth="1"/>
    <col min="5638" max="5638" width="12.42578125" style="745" customWidth="1"/>
    <col min="5639" max="5639" width="6.140625" style="745" customWidth="1"/>
    <col min="5640" max="5640" width="9.42578125" style="745" customWidth="1"/>
    <col min="5641" max="5641" width="12.5703125" style="745" customWidth="1"/>
    <col min="5642" max="5642" width="6.28515625" style="745" customWidth="1"/>
    <col min="5643" max="5643" width="11.42578125" style="745" customWidth="1"/>
    <col min="5644" max="5644" width="6.85546875" style="745" customWidth="1"/>
    <col min="5645" max="5645" width="12.140625" style="745" customWidth="1"/>
    <col min="5646" max="5646" width="5.7109375" style="745" customWidth="1"/>
    <col min="5647" max="5647" width="11.140625" style="745" customWidth="1"/>
    <col min="5648" max="5648" width="15.42578125" style="745" customWidth="1"/>
    <col min="5649" max="5649" width="14.7109375" style="745" customWidth="1"/>
    <col min="5650" max="5650" width="13.42578125" style="745" customWidth="1"/>
    <col min="5651" max="5651" width="15" style="745" customWidth="1"/>
    <col min="5652" max="5652" width="25.28515625" style="745" customWidth="1"/>
    <col min="5653" max="5653" width="25.7109375" style="745" customWidth="1"/>
    <col min="5654" max="5888" width="9.140625" style="745"/>
    <col min="5889" max="5889" width="5" style="745" customWidth="1"/>
    <col min="5890" max="5890" width="29.85546875" style="745" customWidth="1"/>
    <col min="5891" max="5891" width="6" style="745" customWidth="1"/>
    <col min="5892" max="5892" width="5.7109375" style="745" customWidth="1"/>
    <col min="5893" max="5893" width="5.85546875" style="745" customWidth="1"/>
    <col min="5894" max="5894" width="12.42578125" style="745" customWidth="1"/>
    <col min="5895" max="5895" width="6.140625" style="745" customWidth="1"/>
    <col min="5896" max="5896" width="9.42578125" style="745" customWidth="1"/>
    <col min="5897" max="5897" width="12.5703125" style="745" customWidth="1"/>
    <col min="5898" max="5898" width="6.28515625" style="745" customWidth="1"/>
    <col min="5899" max="5899" width="11.42578125" style="745" customWidth="1"/>
    <col min="5900" max="5900" width="6.85546875" style="745" customWidth="1"/>
    <col min="5901" max="5901" width="12.140625" style="745" customWidth="1"/>
    <col min="5902" max="5902" width="5.7109375" style="745" customWidth="1"/>
    <col min="5903" max="5903" width="11.140625" style="745" customWidth="1"/>
    <col min="5904" max="5904" width="15.42578125" style="745" customWidth="1"/>
    <col min="5905" max="5905" width="14.7109375" style="745" customWidth="1"/>
    <col min="5906" max="5906" width="13.42578125" style="745" customWidth="1"/>
    <col min="5907" max="5907" width="15" style="745" customWidth="1"/>
    <col min="5908" max="5908" width="25.28515625" style="745" customWidth="1"/>
    <col min="5909" max="5909" width="25.7109375" style="745" customWidth="1"/>
    <col min="5910" max="6144" width="9.140625" style="745"/>
    <col min="6145" max="6145" width="5" style="745" customWidth="1"/>
    <col min="6146" max="6146" width="29.85546875" style="745" customWidth="1"/>
    <col min="6147" max="6147" width="6" style="745" customWidth="1"/>
    <col min="6148" max="6148" width="5.7109375" style="745" customWidth="1"/>
    <col min="6149" max="6149" width="5.85546875" style="745" customWidth="1"/>
    <col min="6150" max="6150" width="12.42578125" style="745" customWidth="1"/>
    <col min="6151" max="6151" width="6.140625" style="745" customWidth="1"/>
    <col min="6152" max="6152" width="9.42578125" style="745" customWidth="1"/>
    <col min="6153" max="6153" width="12.5703125" style="745" customWidth="1"/>
    <col min="6154" max="6154" width="6.28515625" style="745" customWidth="1"/>
    <col min="6155" max="6155" width="11.42578125" style="745" customWidth="1"/>
    <col min="6156" max="6156" width="6.85546875" style="745" customWidth="1"/>
    <col min="6157" max="6157" width="12.140625" style="745" customWidth="1"/>
    <col min="6158" max="6158" width="5.7109375" style="745" customWidth="1"/>
    <col min="6159" max="6159" width="11.140625" style="745" customWidth="1"/>
    <col min="6160" max="6160" width="15.42578125" style="745" customWidth="1"/>
    <col min="6161" max="6161" width="14.7109375" style="745" customWidth="1"/>
    <col min="6162" max="6162" width="13.42578125" style="745" customWidth="1"/>
    <col min="6163" max="6163" width="15" style="745" customWidth="1"/>
    <col min="6164" max="6164" width="25.28515625" style="745" customWidth="1"/>
    <col min="6165" max="6165" width="25.7109375" style="745" customWidth="1"/>
    <col min="6166" max="6400" width="9.140625" style="745"/>
    <col min="6401" max="6401" width="5" style="745" customWidth="1"/>
    <col min="6402" max="6402" width="29.85546875" style="745" customWidth="1"/>
    <col min="6403" max="6403" width="6" style="745" customWidth="1"/>
    <col min="6404" max="6404" width="5.7109375" style="745" customWidth="1"/>
    <col min="6405" max="6405" width="5.85546875" style="745" customWidth="1"/>
    <col min="6406" max="6406" width="12.42578125" style="745" customWidth="1"/>
    <col min="6407" max="6407" width="6.140625" style="745" customWidth="1"/>
    <col min="6408" max="6408" width="9.42578125" style="745" customWidth="1"/>
    <col min="6409" max="6409" width="12.5703125" style="745" customWidth="1"/>
    <col min="6410" max="6410" width="6.28515625" style="745" customWidth="1"/>
    <col min="6411" max="6411" width="11.42578125" style="745" customWidth="1"/>
    <col min="6412" max="6412" width="6.85546875" style="745" customWidth="1"/>
    <col min="6413" max="6413" width="12.140625" style="745" customWidth="1"/>
    <col min="6414" max="6414" width="5.7109375" style="745" customWidth="1"/>
    <col min="6415" max="6415" width="11.140625" style="745" customWidth="1"/>
    <col min="6416" max="6416" width="15.42578125" style="745" customWidth="1"/>
    <col min="6417" max="6417" width="14.7109375" style="745" customWidth="1"/>
    <col min="6418" max="6418" width="13.42578125" style="745" customWidth="1"/>
    <col min="6419" max="6419" width="15" style="745" customWidth="1"/>
    <col min="6420" max="6420" width="25.28515625" style="745" customWidth="1"/>
    <col min="6421" max="6421" width="25.7109375" style="745" customWidth="1"/>
    <col min="6422" max="6656" width="9.140625" style="745"/>
    <col min="6657" max="6657" width="5" style="745" customWidth="1"/>
    <col min="6658" max="6658" width="29.85546875" style="745" customWidth="1"/>
    <col min="6659" max="6659" width="6" style="745" customWidth="1"/>
    <col min="6660" max="6660" width="5.7109375" style="745" customWidth="1"/>
    <col min="6661" max="6661" width="5.85546875" style="745" customWidth="1"/>
    <col min="6662" max="6662" width="12.42578125" style="745" customWidth="1"/>
    <col min="6663" max="6663" width="6.140625" style="745" customWidth="1"/>
    <col min="6664" max="6664" width="9.42578125" style="745" customWidth="1"/>
    <col min="6665" max="6665" width="12.5703125" style="745" customWidth="1"/>
    <col min="6666" max="6666" width="6.28515625" style="745" customWidth="1"/>
    <col min="6667" max="6667" width="11.42578125" style="745" customWidth="1"/>
    <col min="6668" max="6668" width="6.85546875" style="745" customWidth="1"/>
    <col min="6669" max="6669" width="12.140625" style="745" customWidth="1"/>
    <col min="6670" max="6670" width="5.7109375" style="745" customWidth="1"/>
    <col min="6671" max="6671" width="11.140625" style="745" customWidth="1"/>
    <col min="6672" max="6672" width="15.42578125" style="745" customWidth="1"/>
    <col min="6673" max="6673" width="14.7109375" style="745" customWidth="1"/>
    <col min="6674" max="6674" width="13.42578125" style="745" customWidth="1"/>
    <col min="6675" max="6675" width="15" style="745" customWidth="1"/>
    <col min="6676" max="6676" width="25.28515625" style="745" customWidth="1"/>
    <col min="6677" max="6677" width="25.7109375" style="745" customWidth="1"/>
    <col min="6678" max="6912" width="9.140625" style="745"/>
    <col min="6913" max="6913" width="5" style="745" customWidth="1"/>
    <col min="6914" max="6914" width="29.85546875" style="745" customWidth="1"/>
    <col min="6915" max="6915" width="6" style="745" customWidth="1"/>
    <col min="6916" max="6916" width="5.7109375" style="745" customWidth="1"/>
    <col min="6917" max="6917" width="5.85546875" style="745" customWidth="1"/>
    <col min="6918" max="6918" width="12.42578125" style="745" customWidth="1"/>
    <col min="6919" max="6919" width="6.140625" style="745" customWidth="1"/>
    <col min="6920" max="6920" width="9.42578125" style="745" customWidth="1"/>
    <col min="6921" max="6921" width="12.5703125" style="745" customWidth="1"/>
    <col min="6922" max="6922" width="6.28515625" style="745" customWidth="1"/>
    <col min="6923" max="6923" width="11.42578125" style="745" customWidth="1"/>
    <col min="6924" max="6924" width="6.85546875" style="745" customWidth="1"/>
    <col min="6925" max="6925" width="12.140625" style="745" customWidth="1"/>
    <col min="6926" max="6926" width="5.7109375" style="745" customWidth="1"/>
    <col min="6927" max="6927" width="11.140625" style="745" customWidth="1"/>
    <col min="6928" max="6928" width="15.42578125" style="745" customWidth="1"/>
    <col min="6929" max="6929" width="14.7109375" style="745" customWidth="1"/>
    <col min="6930" max="6930" width="13.42578125" style="745" customWidth="1"/>
    <col min="6931" max="6931" width="15" style="745" customWidth="1"/>
    <col min="6932" max="6932" width="25.28515625" style="745" customWidth="1"/>
    <col min="6933" max="6933" width="25.7109375" style="745" customWidth="1"/>
    <col min="6934" max="7168" width="9.140625" style="745"/>
    <col min="7169" max="7169" width="5" style="745" customWidth="1"/>
    <col min="7170" max="7170" width="29.85546875" style="745" customWidth="1"/>
    <col min="7171" max="7171" width="6" style="745" customWidth="1"/>
    <col min="7172" max="7172" width="5.7109375" style="745" customWidth="1"/>
    <col min="7173" max="7173" width="5.85546875" style="745" customWidth="1"/>
    <col min="7174" max="7174" width="12.42578125" style="745" customWidth="1"/>
    <col min="7175" max="7175" width="6.140625" style="745" customWidth="1"/>
    <col min="7176" max="7176" width="9.42578125" style="745" customWidth="1"/>
    <col min="7177" max="7177" width="12.5703125" style="745" customWidth="1"/>
    <col min="7178" max="7178" width="6.28515625" style="745" customWidth="1"/>
    <col min="7179" max="7179" width="11.42578125" style="745" customWidth="1"/>
    <col min="7180" max="7180" width="6.85546875" style="745" customWidth="1"/>
    <col min="7181" max="7181" width="12.140625" style="745" customWidth="1"/>
    <col min="7182" max="7182" width="5.7109375" style="745" customWidth="1"/>
    <col min="7183" max="7183" width="11.140625" style="745" customWidth="1"/>
    <col min="7184" max="7184" width="15.42578125" style="745" customWidth="1"/>
    <col min="7185" max="7185" width="14.7109375" style="745" customWidth="1"/>
    <col min="7186" max="7186" width="13.42578125" style="745" customWidth="1"/>
    <col min="7187" max="7187" width="15" style="745" customWidth="1"/>
    <col min="7188" max="7188" width="25.28515625" style="745" customWidth="1"/>
    <col min="7189" max="7189" width="25.7109375" style="745" customWidth="1"/>
    <col min="7190" max="7424" width="9.140625" style="745"/>
    <col min="7425" max="7425" width="5" style="745" customWidth="1"/>
    <col min="7426" max="7426" width="29.85546875" style="745" customWidth="1"/>
    <col min="7427" max="7427" width="6" style="745" customWidth="1"/>
    <col min="7428" max="7428" width="5.7109375" style="745" customWidth="1"/>
    <col min="7429" max="7429" width="5.85546875" style="745" customWidth="1"/>
    <col min="7430" max="7430" width="12.42578125" style="745" customWidth="1"/>
    <col min="7431" max="7431" width="6.140625" style="745" customWidth="1"/>
    <col min="7432" max="7432" width="9.42578125" style="745" customWidth="1"/>
    <col min="7433" max="7433" width="12.5703125" style="745" customWidth="1"/>
    <col min="7434" max="7434" width="6.28515625" style="745" customWidth="1"/>
    <col min="7435" max="7435" width="11.42578125" style="745" customWidth="1"/>
    <col min="7436" max="7436" width="6.85546875" style="745" customWidth="1"/>
    <col min="7437" max="7437" width="12.140625" style="745" customWidth="1"/>
    <col min="7438" max="7438" width="5.7109375" style="745" customWidth="1"/>
    <col min="7439" max="7439" width="11.140625" style="745" customWidth="1"/>
    <col min="7440" max="7440" width="15.42578125" style="745" customWidth="1"/>
    <col min="7441" max="7441" width="14.7109375" style="745" customWidth="1"/>
    <col min="7442" max="7442" width="13.42578125" style="745" customWidth="1"/>
    <col min="7443" max="7443" width="15" style="745" customWidth="1"/>
    <col min="7444" max="7444" width="25.28515625" style="745" customWidth="1"/>
    <col min="7445" max="7445" width="25.7109375" style="745" customWidth="1"/>
    <col min="7446" max="7680" width="9.140625" style="745"/>
    <col min="7681" max="7681" width="5" style="745" customWidth="1"/>
    <col min="7682" max="7682" width="29.85546875" style="745" customWidth="1"/>
    <col min="7683" max="7683" width="6" style="745" customWidth="1"/>
    <col min="7684" max="7684" width="5.7109375" style="745" customWidth="1"/>
    <col min="7685" max="7685" width="5.85546875" style="745" customWidth="1"/>
    <col min="7686" max="7686" width="12.42578125" style="745" customWidth="1"/>
    <col min="7687" max="7687" width="6.140625" style="745" customWidth="1"/>
    <col min="7688" max="7688" width="9.42578125" style="745" customWidth="1"/>
    <col min="7689" max="7689" width="12.5703125" style="745" customWidth="1"/>
    <col min="7690" max="7690" width="6.28515625" style="745" customWidth="1"/>
    <col min="7691" max="7691" width="11.42578125" style="745" customWidth="1"/>
    <col min="7692" max="7692" width="6.85546875" style="745" customWidth="1"/>
    <col min="7693" max="7693" width="12.140625" style="745" customWidth="1"/>
    <col min="7694" max="7694" width="5.7109375" style="745" customWidth="1"/>
    <col min="7695" max="7695" width="11.140625" style="745" customWidth="1"/>
    <col min="7696" max="7696" width="15.42578125" style="745" customWidth="1"/>
    <col min="7697" max="7697" width="14.7109375" style="745" customWidth="1"/>
    <col min="7698" max="7698" width="13.42578125" style="745" customWidth="1"/>
    <col min="7699" max="7699" width="15" style="745" customWidth="1"/>
    <col min="7700" max="7700" width="25.28515625" style="745" customWidth="1"/>
    <col min="7701" max="7701" width="25.7109375" style="745" customWidth="1"/>
    <col min="7702" max="7936" width="9.140625" style="745"/>
    <col min="7937" max="7937" width="5" style="745" customWidth="1"/>
    <col min="7938" max="7938" width="29.85546875" style="745" customWidth="1"/>
    <col min="7939" max="7939" width="6" style="745" customWidth="1"/>
    <col min="7940" max="7940" width="5.7109375" style="745" customWidth="1"/>
    <col min="7941" max="7941" width="5.85546875" style="745" customWidth="1"/>
    <col min="7942" max="7942" width="12.42578125" style="745" customWidth="1"/>
    <col min="7943" max="7943" width="6.140625" style="745" customWidth="1"/>
    <col min="7944" max="7944" width="9.42578125" style="745" customWidth="1"/>
    <col min="7945" max="7945" width="12.5703125" style="745" customWidth="1"/>
    <col min="7946" max="7946" width="6.28515625" style="745" customWidth="1"/>
    <col min="7947" max="7947" width="11.42578125" style="745" customWidth="1"/>
    <col min="7948" max="7948" width="6.85546875" style="745" customWidth="1"/>
    <col min="7949" max="7949" width="12.140625" style="745" customWidth="1"/>
    <col min="7950" max="7950" width="5.7109375" style="745" customWidth="1"/>
    <col min="7951" max="7951" width="11.140625" style="745" customWidth="1"/>
    <col min="7952" max="7952" width="15.42578125" style="745" customWidth="1"/>
    <col min="7953" max="7953" width="14.7109375" style="745" customWidth="1"/>
    <col min="7954" max="7954" width="13.42578125" style="745" customWidth="1"/>
    <col min="7955" max="7955" width="15" style="745" customWidth="1"/>
    <col min="7956" max="7956" width="25.28515625" style="745" customWidth="1"/>
    <col min="7957" max="7957" width="25.7109375" style="745" customWidth="1"/>
    <col min="7958" max="8192" width="9.140625" style="745"/>
    <col min="8193" max="8193" width="5" style="745" customWidth="1"/>
    <col min="8194" max="8194" width="29.85546875" style="745" customWidth="1"/>
    <col min="8195" max="8195" width="6" style="745" customWidth="1"/>
    <col min="8196" max="8196" width="5.7109375" style="745" customWidth="1"/>
    <col min="8197" max="8197" width="5.85546875" style="745" customWidth="1"/>
    <col min="8198" max="8198" width="12.42578125" style="745" customWidth="1"/>
    <col min="8199" max="8199" width="6.140625" style="745" customWidth="1"/>
    <col min="8200" max="8200" width="9.42578125" style="745" customWidth="1"/>
    <col min="8201" max="8201" width="12.5703125" style="745" customWidth="1"/>
    <col min="8202" max="8202" width="6.28515625" style="745" customWidth="1"/>
    <col min="8203" max="8203" width="11.42578125" style="745" customWidth="1"/>
    <col min="8204" max="8204" width="6.85546875" style="745" customWidth="1"/>
    <col min="8205" max="8205" width="12.140625" style="745" customWidth="1"/>
    <col min="8206" max="8206" width="5.7109375" style="745" customWidth="1"/>
    <col min="8207" max="8207" width="11.140625" style="745" customWidth="1"/>
    <col min="8208" max="8208" width="15.42578125" style="745" customWidth="1"/>
    <col min="8209" max="8209" width="14.7109375" style="745" customWidth="1"/>
    <col min="8210" max="8210" width="13.42578125" style="745" customWidth="1"/>
    <col min="8211" max="8211" width="15" style="745" customWidth="1"/>
    <col min="8212" max="8212" width="25.28515625" style="745" customWidth="1"/>
    <col min="8213" max="8213" width="25.7109375" style="745" customWidth="1"/>
    <col min="8214" max="8448" width="9.140625" style="745"/>
    <col min="8449" max="8449" width="5" style="745" customWidth="1"/>
    <col min="8450" max="8450" width="29.85546875" style="745" customWidth="1"/>
    <col min="8451" max="8451" width="6" style="745" customWidth="1"/>
    <col min="8452" max="8452" width="5.7109375" style="745" customWidth="1"/>
    <col min="8453" max="8453" width="5.85546875" style="745" customWidth="1"/>
    <col min="8454" max="8454" width="12.42578125" style="745" customWidth="1"/>
    <col min="8455" max="8455" width="6.140625" style="745" customWidth="1"/>
    <col min="8456" max="8456" width="9.42578125" style="745" customWidth="1"/>
    <col min="8457" max="8457" width="12.5703125" style="745" customWidth="1"/>
    <col min="8458" max="8458" width="6.28515625" style="745" customWidth="1"/>
    <col min="8459" max="8459" width="11.42578125" style="745" customWidth="1"/>
    <col min="8460" max="8460" width="6.85546875" style="745" customWidth="1"/>
    <col min="8461" max="8461" width="12.140625" style="745" customWidth="1"/>
    <col min="8462" max="8462" width="5.7109375" style="745" customWidth="1"/>
    <col min="8463" max="8463" width="11.140625" style="745" customWidth="1"/>
    <col min="8464" max="8464" width="15.42578125" style="745" customWidth="1"/>
    <col min="8465" max="8465" width="14.7109375" style="745" customWidth="1"/>
    <col min="8466" max="8466" width="13.42578125" style="745" customWidth="1"/>
    <col min="8467" max="8467" width="15" style="745" customWidth="1"/>
    <col min="8468" max="8468" width="25.28515625" style="745" customWidth="1"/>
    <col min="8469" max="8469" width="25.7109375" style="745" customWidth="1"/>
    <col min="8470" max="8704" width="9.140625" style="745"/>
    <col min="8705" max="8705" width="5" style="745" customWidth="1"/>
    <col min="8706" max="8706" width="29.85546875" style="745" customWidth="1"/>
    <col min="8707" max="8707" width="6" style="745" customWidth="1"/>
    <col min="8708" max="8708" width="5.7109375" style="745" customWidth="1"/>
    <col min="8709" max="8709" width="5.85546875" style="745" customWidth="1"/>
    <col min="8710" max="8710" width="12.42578125" style="745" customWidth="1"/>
    <col min="8711" max="8711" width="6.140625" style="745" customWidth="1"/>
    <col min="8712" max="8712" width="9.42578125" style="745" customWidth="1"/>
    <col min="8713" max="8713" width="12.5703125" style="745" customWidth="1"/>
    <col min="8714" max="8714" width="6.28515625" style="745" customWidth="1"/>
    <col min="8715" max="8715" width="11.42578125" style="745" customWidth="1"/>
    <col min="8716" max="8716" width="6.85546875" style="745" customWidth="1"/>
    <col min="8717" max="8717" width="12.140625" style="745" customWidth="1"/>
    <col min="8718" max="8718" width="5.7109375" style="745" customWidth="1"/>
    <col min="8719" max="8719" width="11.140625" style="745" customWidth="1"/>
    <col min="8720" max="8720" width="15.42578125" style="745" customWidth="1"/>
    <col min="8721" max="8721" width="14.7109375" style="745" customWidth="1"/>
    <col min="8722" max="8722" width="13.42578125" style="745" customWidth="1"/>
    <col min="8723" max="8723" width="15" style="745" customWidth="1"/>
    <col min="8724" max="8724" width="25.28515625" style="745" customWidth="1"/>
    <col min="8725" max="8725" width="25.7109375" style="745" customWidth="1"/>
    <col min="8726" max="8960" width="9.140625" style="745"/>
    <col min="8961" max="8961" width="5" style="745" customWidth="1"/>
    <col min="8962" max="8962" width="29.85546875" style="745" customWidth="1"/>
    <col min="8963" max="8963" width="6" style="745" customWidth="1"/>
    <col min="8964" max="8964" width="5.7109375" style="745" customWidth="1"/>
    <col min="8965" max="8965" width="5.85546875" style="745" customWidth="1"/>
    <col min="8966" max="8966" width="12.42578125" style="745" customWidth="1"/>
    <col min="8967" max="8967" width="6.140625" style="745" customWidth="1"/>
    <col min="8968" max="8968" width="9.42578125" style="745" customWidth="1"/>
    <col min="8969" max="8969" width="12.5703125" style="745" customWidth="1"/>
    <col min="8970" max="8970" width="6.28515625" style="745" customWidth="1"/>
    <col min="8971" max="8971" width="11.42578125" style="745" customWidth="1"/>
    <col min="8972" max="8972" width="6.85546875" style="745" customWidth="1"/>
    <col min="8973" max="8973" width="12.140625" style="745" customWidth="1"/>
    <col min="8974" max="8974" width="5.7109375" style="745" customWidth="1"/>
    <col min="8975" max="8975" width="11.140625" style="745" customWidth="1"/>
    <col min="8976" max="8976" width="15.42578125" style="745" customWidth="1"/>
    <col min="8977" max="8977" width="14.7109375" style="745" customWidth="1"/>
    <col min="8978" max="8978" width="13.42578125" style="745" customWidth="1"/>
    <col min="8979" max="8979" width="15" style="745" customWidth="1"/>
    <col min="8980" max="8980" width="25.28515625" style="745" customWidth="1"/>
    <col min="8981" max="8981" width="25.7109375" style="745" customWidth="1"/>
    <col min="8982" max="9216" width="9.140625" style="745"/>
    <col min="9217" max="9217" width="5" style="745" customWidth="1"/>
    <col min="9218" max="9218" width="29.85546875" style="745" customWidth="1"/>
    <col min="9219" max="9219" width="6" style="745" customWidth="1"/>
    <col min="9220" max="9220" width="5.7109375" style="745" customWidth="1"/>
    <col min="9221" max="9221" width="5.85546875" style="745" customWidth="1"/>
    <col min="9222" max="9222" width="12.42578125" style="745" customWidth="1"/>
    <col min="9223" max="9223" width="6.140625" style="745" customWidth="1"/>
    <col min="9224" max="9224" width="9.42578125" style="745" customWidth="1"/>
    <col min="9225" max="9225" width="12.5703125" style="745" customWidth="1"/>
    <col min="9226" max="9226" width="6.28515625" style="745" customWidth="1"/>
    <col min="9227" max="9227" width="11.42578125" style="745" customWidth="1"/>
    <col min="9228" max="9228" width="6.85546875" style="745" customWidth="1"/>
    <col min="9229" max="9229" width="12.140625" style="745" customWidth="1"/>
    <col min="9230" max="9230" width="5.7109375" style="745" customWidth="1"/>
    <col min="9231" max="9231" width="11.140625" style="745" customWidth="1"/>
    <col min="9232" max="9232" width="15.42578125" style="745" customWidth="1"/>
    <col min="9233" max="9233" width="14.7109375" style="745" customWidth="1"/>
    <col min="9234" max="9234" width="13.42578125" style="745" customWidth="1"/>
    <col min="9235" max="9235" width="15" style="745" customWidth="1"/>
    <col min="9236" max="9236" width="25.28515625" style="745" customWidth="1"/>
    <col min="9237" max="9237" width="25.7109375" style="745" customWidth="1"/>
    <col min="9238" max="9472" width="9.140625" style="745"/>
    <col min="9473" max="9473" width="5" style="745" customWidth="1"/>
    <col min="9474" max="9474" width="29.85546875" style="745" customWidth="1"/>
    <col min="9475" max="9475" width="6" style="745" customWidth="1"/>
    <col min="9476" max="9476" width="5.7109375" style="745" customWidth="1"/>
    <col min="9477" max="9477" width="5.85546875" style="745" customWidth="1"/>
    <col min="9478" max="9478" width="12.42578125" style="745" customWidth="1"/>
    <col min="9479" max="9479" width="6.140625" style="745" customWidth="1"/>
    <col min="9480" max="9480" width="9.42578125" style="745" customWidth="1"/>
    <col min="9481" max="9481" width="12.5703125" style="745" customWidth="1"/>
    <col min="9482" max="9482" width="6.28515625" style="745" customWidth="1"/>
    <col min="9483" max="9483" width="11.42578125" style="745" customWidth="1"/>
    <col min="9484" max="9484" width="6.85546875" style="745" customWidth="1"/>
    <col min="9485" max="9485" width="12.140625" style="745" customWidth="1"/>
    <col min="9486" max="9486" width="5.7109375" style="745" customWidth="1"/>
    <col min="9487" max="9487" width="11.140625" style="745" customWidth="1"/>
    <col min="9488" max="9488" width="15.42578125" style="745" customWidth="1"/>
    <col min="9489" max="9489" width="14.7109375" style="745" customWidth="1"/>
    <col min="9490" max="9490" width="13.42578125" style="745" customWidth="1"/>
    <col min="9491" max="9491" width="15" style="745" customWidth="1"/>
    <col min="9492" max="9492" width="25.28515625" style="745" customWidth="1"/>
    <col min="9493" max="9493" width="25.7109375" style="745" customWidth="1"/>
    <col min="9494" max="9728" width="9.140625" style="745"/>
    <col min="9729" max="9729" width="5" style="745" customWidth="1"/>
    <col min="9730" max="9730" width="29.85546875" style="745" customWidth="1"/>
    <col min="9731" max="9731" width="6" style="745" customWidth="1"/>
    <col min="9732" max="9732" width="5.7109375" style="745" customWidth="1"/>
    <col min="9733" max="9733" width="5.85546875" style="745" customWidth="1"/>
    <col min="9734" max="9734" width="12.42578125" style="745" customWidth="1"/>
    <col min="9735" max="9735" width="6.140625" style="745" customWidth="1"/>
    <col min="9736" max="9736" width="9.42578125" style="745" customWidth="1"/>
    <col min="9737" max="9737" width="12.5703125" style="745" customWidth="1"/>
    <col min="9738" max="9738" width="6.28515625" style="745" customWidth="1"/>
    <col min="9739" max="9739" width="11.42578125" style="745" customWidth="1"/>
    <col min="9740" max="9740" width="6.85546875" style="745" customWidth="1"/>
    <col min="9741" max="9741" width="12.140625" style="745" customWidth="1"/>
    <col min="9742" max="9742" width="5.7109375" style="745" customWidth="1"/>
    <col min="9743" max="9743" width="11.140625" style="745" customWidth="1"/>
    <col min="9744" max="9744" width="15.42578125" style="745" customWidth="1"/>
    <col min="9745" max="9745" width="14.7109375" style="745" customWidth="1"/>
    <col min="9746" max="9746" width="13.42578125" style="745" customWidth="1"/>
    <col min="9747" max="9747" width="15" style="745" customWidth="1"/>
    <col min="9748" max="9748" width="25.28515625" style="745" customWidth="1"/>
    <col min="9749" max="9749" width="25.7109375" style="745" customWidth="1"/>
    <col min="9750" max="9984" width="9.140625" style="745"/>
    <col min="9985" max="9985" width="5" style="745" customWidth="1"/>
    <col min="9986" max="9986" width="29.85546875" style="745" customWidth="1"/>
    <col min="9987" max="9987" width="6" style="745" customWidth="1"/>
    <col min="9988" max="9988" width="5.7109375" style="745" customWidth="1"/>
    <col min="9989" max="9989" width="5.85546875" style="745" customWidth="1"/>
    <col min="9990" max="9990" width="12.42578125" style="745" customWidth="1"/>
    <col min="9991" max="9991" width="6.140625" style="745" customWidth="1"/>
    <col min="9992" max="9992" width="9.42578125" style="745" customWidth="1"/>
    <col min="9993" max="9993" width="12.5703125" style="745" customWidth="1"/>
    <col min="9994" max="9994" width="6.28515625" style="745" customWidth="1"/>
    <col min="9995" max="9995" width="11.42578125" style="745" customWidth="1"/>
    <col min="9996" max="9996" width="6.85546875" style="745" customWidth="1"/>
    <col min="9997" max="9997" width="12.140625" style="745" customWidth="1"/>
    <col min="9998" max="9998" width="5.7109375" style="745" customWidth="1"/>
    <col min="9999" max="9999" width="11.140625" style="745" customWidth="1"/>
    <col min="10000" max="10000" width="15.42578125" style="745" customWidth="1"/>
    <col min="10001" max="10001" width="14.7109375" style="745" customWidth="1"/>
    <col min="10002" max="10002" width="13.42578125" style="745" customWidth="1"/>
    <col min="10003" max="10003" width="15" style="745" customWidth="1"/>
    <col min="10004" max="10004" width="25.28515625" style="745" customWidth="1"/>
    <col min="10005" max="10005" width="25.7109375" style="745" customWidth="1"/>
    <col min="10006" max="10240" width="9.140625" style="745"/>
    <col min="10241" max="10241" width="5" style="745" customWidth="1"/>
    <col min="10242" max="10242" width="29.85546875" style="745" customWidth="1"/>
    <col min="10243" max="10243" width="6" style="745" customWidth="1"/>
    <col min="10244" max="10244" width="5.7109375" style="745" customWidth="1"/>
    <col min="10245" max="10245" width="5.85546875" style="745" customWidth="1"/>
    <col min="10246" max="10246" width="12.42578125" style="745" customWidth="1"/>
    <col min="10247" max="10247" width="6.140625" style="745" customWidth="1"/>
    <col min="10248" max="10248" width="9.42578125" style="745" customWidth="1"/>
    <col min="10249" max="10249" width="12.5703125" style="745" customWidth="1"/>
    <col min="10250" max="10250" width="6.28515625" style="745" customWidth="1"/>
    <col min="10251" max="10251" width="11.42578125" style="745" customWidth="1"/>
    <col min="10252" max="10252" width="6.85546875" style="745" customWidth="1"/>
    <col min="10253" max="10253" width="12.140625" style="745" customWidth="1"/>
    <col min="10254" max="10254" width="5.7109375" style="745" customWidth="1"/>
    <col min="10255" max="10255" width="11.140625" style="745" customWidth="1"/>
    <col min="10256" max="10256" width="15.42578125" style="745" customWidth="1"/>
    <col min="10257" max="10257" width="14.7109375" style="745" customWidth="1"/>
    <col min="10258" max="10258" width="13.42578125" style="745" customWidth="1"/>
    <col min="10259" max="10259" width="15" style="745" customWidth="1"/>
    <col min="10260" max="10260" width="25.28515625" style="745" customWidth="1"/>
    <col min="10261" max="10261" width="25.7109375" style="745" customWidth="1"/>
    <col min="10262" max="10496" width="9.140625" style="745"/>
    <col min="10497" max="10497" width="5" style="745" customWidth="1"/>
    <col min="10498" max="10498" width="29.85546875" style="745" customWidth="1"/>
    <col min="10499" max="10499" width="6" style="745" customWidth="1"/>
    <col min="10500" max="10500" width="5.7109375" style="745" customWidth="1"/>
    <col min="10501" max="10501" width="5.85546875" style="745" customWidth="1"/>
    <col min="10502" max="10502" width="12.42578125" style="745" customWidth="1"/>
    <col min="10503" max="10503" width="6.140625" style="745" customWidth="1"/>
    <col min="10504" max="10504" width="9.42578125" style="745" customWidth="1"/>
    <col min="10505" max="10505" width="12.5703125" style="745" customWidth="1"/>
    <col min="10506" max="10506" width="6.28515625" style="745" customWidth="1"/>
    <col min="10507" max="10507" width="11.42578125" style="745" customWidth="1"/>
    <col min="10508" max="10508" width="6.85546875" style="745" customWidth="1"/>
    <col min="10509" max="10509" width="12.140625" style="745" customWidth="1"/>
    <col min="10510" max="10510" width="5.7109375" style="745" customWidth="1"/>
    <col min="10511" max="10511" width="11.140625" style="745" customWidth="1"/>
    <col min="10512" max="10512" width="15.42578125" style="745" customWidth="1"/>
    <col min="10513" max="10513" width="14.7109375" style="745" customWidth="1"/>
    <col min="10514" max="10514" width="13.42578125" style="745" customWidth="1"/>
    <col min="10515" max="10515" width="15" style="745" customWidth="1"/>
    <col min="10516" max="10516" width="25.28515625" style="745" customWidth="1"/>
    <col min="10517" max="10517" width="25.7109375" style="745" customWidth="1"/>
    <col min="10518" max="10752" width="9.140625" style="745"/>
    <col min="10753" max="10753" width="5" style="745" customWidth="1"/>
    <col min="10754" max="10754" width="29.85546875" style="745" customWidth="1"/>
    <col min="10755" max="10755" width="6" style="745" customWidth="1"/>
    <col min="10756" max="10756" width="5.7109375" style="745" customWidth="1"/>
    <col min="10757" max="10757" width="5.85546875" style="745" customWidth="1"/>
    <col min="10758" max="10758" width="12.42578125" style="745" customWidth="1"/>
    <col min="10759" max="10759" width="6.140625" style="745" customWidth="1"/>
    <col min="10760" max="10760" width="9.42578125" style="745" customWidth="1"/>
    <col min="10761" max="10761" width="12.5703125" style="745" customWidth="1"/>
    <col min="10762" max="10762" width="6.28515625" style="745" customWidth="1"/>
    <col min="10763" max="10763" width="11.42578125" style="745" customWidth="1"/>
    <col min="10764" max="10764" width="6.85546875" style="745" customWidth="1"/>
    <col min="10765" max="10765" width="12.140625" style="745" customWidth="1"/>
    <col min="10766" max="10766" width="5.7109375" style="745" customWidth="1"/>
    <col min="10767" max="10767" width="11.140625" style="745" customWidth="1"/>
    <col min="10768" max="10768" width="15.42578125" style="745" customWidth="1"/>
    <col min="10769" max="10769" width="14.7109375" style="745" customWidth="1"/>
    <col min="10770" max="10770" width="13.42578125" style="745" customWidth="1"/>
    <col min="10771" max="10771" width="15" style="745" customWidth="1"/>
    <col min="10772" max="10772" width="25.28515625" style="745" customWidth="1"/>
    <col min="10773" max="10773" width="25.7109375" style="745" customWidth="1"/>
    <col min="10774" max="11008" width="9.140625" style="745"/>
    <col min="11009" max="11009" width="5" style="745" customWidth="1"/>
    <col min="11010" max="11010" width="29.85546875" style="745" customWidth="1"/>
    <col min="11011" max="11011" width="6" style="745" customWidth="1"/>
    <col min="11012" max="11012" width="5.7109375" style="745" customWidth="1"/>
    <col min="11013" max="11013" width="5.85546875" style="745" customWidth="1"/>
    <col min="11014" max="11014" width="12.42578125" style="745" customWidth="1"/>
    <col min="11015" max="11015" width="6.140625" style="745" customWidth="1"/>
    <col min="11016" max="11016" width="9.42578125" style="745" customWidth="1"/>
    <col min="11017" max="11017" width="12.5703125" style="745" customWidth="1"/>
    <col min="11018" max="11018" width="6.28515625" style="745" customWidth="1"/>
    <col min="11019" max="11019" width="11.42578125" style="745" customWidth="1"/>
    <col min="11020" max="11020" width="6.85546875" style="745" customWidth="1"/>
    <col min="11021" max="11021" width="12.140625" style="745" customWidth="1"/>
    <col min="11022" max="11022" width="5.7109375" style="745" customWidth="1"/>
    <col min="11023" max="11023" width="11.140625" style="745" customWidth="1"/>
    <col min="11024" max="11024" width="15.42578125" style="745" customWidth="1"/>
    <col min="11025" max="11025" width="14.7109375" style="745" customWidth="1"/>
    <col min="11026" max="11026" width="13.42578125" style="745" customWidth="1"/>
    <col min="11027" max="11027" width="15" style="745" customWidth="1"/>
    <col min="11028" max="11028" width="25.28515625" style="745" customWidth="1"/>
    <col min="11029" max="11029" width="25.7109375" style="745" customWidth="1"/>
    <col min="11030" max="11264" width="9.140625" style="745"/>
    <col min="11265" max="11265" width="5" style="745" customWidth="1"/>
    <col min="11266" max="11266" width="29.85546875" style="745" customWidth="1"/>
    <col min="11267" max="11267" width="6" style="745" customWidth="1"/>
    <col min="11268" max="11268" width="5.7109375" style="745" customWidth="1"/>
    <col min="11269" max="11269" width="5.85546875" style="745" customWidth="1"/>
    <col min="11270" max="11270" width="12.42578125" style="745" customWidth="1"/>
    <col min="11271" max="11271" width="6.140625" style="745" customWidth="1"/>
    <col min="11272" max="11272" width="9.42578125" style="745" customWidth="1"/>
    <col min="11273" max="11273" width="12.5703125" style="745" customWidth="1"/>
    <col min="11274" max="11274" width="6.28515625" style="745" customWidth="1"/>
    <col min="11275" max="11275" width="11.42578125" style="745" customWidth="1"/>
    <col min="11276" max="11276" width="6.85546875" style="745" customWidth="1"/>
    <col min="11277" max="11277" width="12.140625" style="745" customWidth="1"/>
    <col min="11278" max="11278" width="5.7109375" style="745" customWidth="1"/>
    <col min="11279" max="11279" width="11.140625" style="745" customWidth="1"/>
    <col min="11280" max="11280" width="15.42578125" style="745" customWidth="1"/>
    <col min="11281" max="11281" width="14.7109375" style="745" customWidth="1"/>
    <col min="11282" max="11282" width="13.42578125" style="745" customWidth="1"/>
    <col min="11283" max="11283" width="15" style="745" customWidth="1"/>
    <col min="11284" max="11284" width="25.28515625" style="745" customWidth="1"/>
    <col min="11285" max="11285" width="25.7109375" style="745" customWidth="1"/>
    <col min="11286" max="11520" width="9.140625" style="745"/>
    <col min="11521" max="11521" width="5" style="745" customWidth="1"/>
    <col min="11522" max="11522" width="29.85546875" style="745" customWidth="1"/>
    <col min="11523" max="11523" width="6" style="745" customWidth="1"/>
    <col min="11524" max="11524" width="5.7109375" style="745" customWidth="1"/>
    <col min="11525" max="11525" width="5.85546875" style="745" customWidth="1"/>
    <col min="11526" max="11526" width="12.42578125" style="745" customWidth="1"/>
    <col min="11527" max="11527" width="6.140625" style="745" customWidth="1"/>
    <col min="11528" max="11528" width="9.42578125" style="745" customWidth="1"/>
    <col min="11529" max="11529" width="12.5703125" style="745" customWidth="1"/>
    <col min="11530" max="11530" width="6.28515625" style="745" customWidth="1"/>
    <col min="11531" max="11531" width="11.42578125" style="745" customWidth="1"/>
    <col min="11532" max="11532" width="6.85546875" style="745" customWidth="1"/>
    <col min="11533" max="11533" width="12.140625" style="745" customWidth="1"/>
    <col min="11534" max="11534" width="5.7109375" style="745" customWidth="1"/>
    <col min="11535" max="11535" width="11.140625" style="745" customWidth="1"/>
    <col min="11536" max="11536" width="15.42578125" style="745" customWidth="1"/>
    <col min="11537" max="11537" width="14.7109375" style="745" customWidth="1"/>
    <col min="11538" max="11538" width="13.42578125" style="745" customWidth="1"/>
    <col min="11539" max="11539" width="15" style="745" customWidth="1"/>
    <col min="11540" max="11540" width="25.28515625" style="745" customWidth="1"/>
    <col min="11541" max="11541" width="25.7109375" style="745" customWidth="1"/>
    <col min="11542" max="11776" width="9.140625" style="745"/>
    <col min="11777" max="11777" width="5" style="745" customWidth="1"/>
    <col min="11778" max="11778" width="29.85546875" style="745" customWidth="1"/>
    <col min="11779" max="11779" width="6" style="745" customWidth="1"/>
    <col min="11780" max="11780" width="5.7109375" style="745" customWidth="1"/>
    <col min="11781" max="11781" width="5.85546875" style="745" customWidth="1"/>
    <col min="11782" max="11782" width="12.42578125" style="745" customWidth="1"/>
    <col min="11783" max="11783" width="6.140625" style="745" customWidth="1"/>
    <col min="11784" max="11784" width="9.42578125" style="745" customWidth="1"/>
    <col min="11785" max="11785" width="12.5703125" style="745" customWidth="1"/>
    <col min="11786" max="11786" width="6.28515625" style="745" customWidth="1"/>
    <col min="11787" max="11787" width="11.42578125" style="745" customWidth="1"/>
    <col min="11788" max="11788" width="6.85546875" style="745" customWidth="1"/>
    <col min="11789" max="11789" width="12.140625" style="745" customWidth="1"/>
    <col min="11790" max="11790" width="5.7109375" style="745" customWidth="1"/>
    <col min="11791" max="11791" width="11.140625" style="745" customWidth="1"/>
    <col min="11792" max="11792" width="15.42578125" style="745" customWidth="1"/>
    <col min="11793" max="11793" width="14.7109375" style="745" customWidth="1"/>
    <col min="11794" max="11794" width="13.42578125" style="745" customWidth="1"/>
    <col min="11795" max="11795" width="15" style="745" customWidth="1"/>
    <col min="11796" max="11796" width="25.28515625" style="745" customWidth="1"/>
    <col min="11797" max="11797" width="25.7109375" style="745" customWidth="1"/>
    <col min="11798" max="12032" width="9.140625" style="745"/>
    <col min="12033" max="12033" width="5" style="745" customWidth="1"/>
    <col min="12034" max="12034" width="29.85546875" style="745" customWidth="1"/>
    <col min="12035" max="12035" width="6" style="745" customWidth="1"/>
    <col min="12036" max="12036" width="5.7109375" style="745" customWidth="1"/>
    <col min="12037" max="12037" width="5.85546875" style="745" customWidth="1"/>
    <col min="12038" max="12038" width="12.42578125" style="745" customWidth="1"/>
    <col min="12039" max="12039" width="6.140625" style="745" customWidth="1"/>
    <col min="12040" max="12040" width="9.42578125" style="745" customWidth="1"/>
    <col min="12041" max="12041" width="12.5703125" style="745" customWidth="1"/>
    <col min="12042" max="12042" width="6.28515625" style="745" customWidth="1"/>
    <col min="12043" max="12043" width="11.42578125" style="745" customWidth="1"/>
    <col min="12044" max="12044" width="6.85546875" style="745" customWidth="1"/>
    <col min="12045" max="12045" width="12.140625" style="745" customWidth="1"/>
    <col min="12046" max="12046" width="5.7109375" style="745" customWidth="1"/>
    <col min="12047" max="12047" width="11.140625" style="745" customWidth="1"/>
    <col min="12048" max="12048" width="15.42578125" style="745" customWidth="1"/>
    <col min="12049" max="12049" width="14.7109375" style="745" customWidth="1"/>
    <col min="12050" max="12050" width="13.42578125" style="745" customWidth="1"/>
    <col min="12051" max="12051" width="15" style="745" customWidth="1"/>
    <col min="12052" max="12052" width="25.28515625" style="745" customWidth="1"/>
    <col min="12053" max="12053" width="25.7109375" style="745" customWidth="1"/>
    <col min="12054" max="12288" width="9.140625" style="745"/>
    <col min="12289" max="12289" width="5" style="745" customWidth="1"/>
    <col min="12290" max="12290" width="29.85546875" style="745" customWidth="1"/>
    <col min="12291" max="12291" width="6" style="745" customWidth="1"/>
    <col min="12292" max="12292" width="5.7109375" style="745" customWidth="1"/>
    <col min="12293" max="12293" width="5.85546875" style="745" customWidth="1"/>
    <col min="12294" max="12294" width="12.42578125" style="745" customWidth="1"/>
    <col min="12295" max="12295" width="6.140625" style="745" customWidth="1"/>
    <col min="12296" max="12296" width="9.42578125" style="745" customWidth="1"/>
    <col min="12297" max="12297" width="12.5703125" style="745" customWidth="1"/>
    <col min="12298" max="12298" width="6.28515625" style="745" customWidth="1"/>
    <col min="12299" max="12299" width="11.42578125" style="745" customWidth="1"/>
    <col min="12300" max="12300" width="6.85546875" style="745" customWidth="1"/>
    <col min="12301" max="12301" width="12.140625" style="745" customWidth="1"/>
    <col min="12302" max="12302" width="5.7109375" style="745" customWidth="1"/>
    <col min="12303" max="12303" width="11.140625" style="745" customWidth="1"/>
    <col min="12304" max="12304" width="15.42578125" style="745" customWidth="1"/>
    <col min="12305" max="12305" width="14.7109375" style="745" customWidth="1"/>
    <col min="12306" max="12306" width="13.42578125" style="745" customWidth="1"/>
    <col min="12307" max="12307" width="15" style="745" customWidth="1"/>
    <col min="12308" max="12308" width="25.28515625" style="745" customWidth="1"/>
    <col min="12309" max="12309" width="25.7109375" style="745" customWidth="1"/>
    <col min="12310" max="12544" width="9.140625" style="745"/>
    <col min="12545" max="12545" width="5" style="745" customWidth="1"/>
    <col min="12546" max="12546" width="29.85546875" style="745" customWidth="1"/>
    <col min="12547" max="12547" width="6" style="745" customWidth="1"/>
    <col min="12548" max="12548" width="5.7109375" style="745" customWidth="1"/>
    <col min="12549" max="12549" width="5.85546875" style="745" customWidth="1"/>
    <col min="12550" max="12550" width="12.42578125" style="745" customWidth="1"/>
    <col min="12551" max="12551" width="6.140625" style="745" customWidth="1"/>
    <col min="12552" max="12552" width="9.42578125" style="745" customWidth="1"/>
    <col min="12553" max="12553" width="12.5703125" style="745" customWidth="1"/>
    <col min="12554" max="12554" width="6.28515625" style="745" customWidth="1"/>
    <col min="12555" max="12555" width="11.42578125" style="745" customWidth="1"/>
    <col min="12556" max="12556" width="6.85546875" style="745" customWidth="1"/>
    <col min="12557" max="12557" width="12.140625" style="745" customWidth="1"/>
    <col min="12558" max="12558" width="5.7109375" style="745" customWidth="1"/>
    <col min="12559" max="12559" width="11.140625" style="745" customWidth="1"/>
    <col min="12560" max="12560" width="15.42578125" style="745" customWidth="1"/>
    <col min="12561" max="12561" width="14.7109375" style="745" customWidth="1"/>
    <col min="12562" max="12562" width="13.42578125" style="745" customWidth="1"/>
    <col min="12563" max="12563" width="15" style="745" customWidth="1"/>
    <col min="12564" max="12564" width="25.28515625" style="745" customWidth="1"/>
    <col min="12565" max="12565" width="25.7109375" style="745" customWidth="1"/>
    <col min="12566" max="12800" width="9.140625" style="745"/>
    <col min="12801" max="12801" width="5" style="745" customWidth="1"/>
    <col min="12802" max="12802" width="29.85546875" style="745" customWidth="1"/>
    <col min="12803" max="12803" width="6" style="745" customWidth="1"/>
    <col min="12804" max="12804" width="5.7109375" style="745" customWidth="1"/>
    <col min="12805" max="12805" width="5.85546875" style="745" customWidth="1"/>
    <col min="12806" max="12806" width="12.42578125" style="745" customWidth="1"/>
    <col min="12807" max="12807" width="6.140625" style="745" customWidth="1"/>
    <col min="12808" max="12808" width="9.42578125" style="745" customWidth="1"/>
    <col min="12809" max="12809" width="12.5703125" style="745" customWidth="1"/>
    <col min="12810" max="12810" width="6.28515625" style="745" customWidth="1"/>
    <col min="12811" max="12811" width="11.42578125" style="745" customWidth="1"/>
    <col min="12812" max="12812" width="6.85546875" style="745" customWidth="1"/>
    <col min="12813" max="12813" width="12.140625" style="745" customWidth="1"/>
    <col min="12814" max="12814" width="5.7109375" style="745" customWidth="1"/>
    <col min="12815" max="12815" width="11.140625" style="745" customWidth="1"/>
    <col min="12816" max="12816" width="15.42578125" style="745" customWidth="1"/>
    <col min="12817" max="12817" width="14.7109375" style="745" customWidth="1"/>
    <col min="12818" max="12818" width="13.42578125" style="745" customWidth="1"/>
    <col min="12819" max="12819" width="15" style="745" customWidth="1"/>
    <col min="12820" max="12820" width="25.28515625" style="745" customWidth="1"/>
    <col min="12821" max="12821" width="25.7109375" style="745" customWidth="1"/>
    <col min="12822" max="13056" width="9.140625" style="745"/>
    <col min="13057" max="13057" width="5" style="745" customWidth="1"/>
    <col min="13058" max="13058" width="29.85546875" style="745" customWidth="1"/>
    <col min="13059" max="13059" width="6" style="745" customWidth="1"/>
    <col min="13060" max="13060" width="5.7109375" style="745" customWidth="1"/>
    <col min="13061" max="13061" width="5.85546875" style="745" customWidth="1"/>
    <col min="13062" max="13062" width="12.42578125" style="745" customWidth="1"/>
    <col min="13063" max="13063" width="6.140625" style="745" customWidth="1"/>
    <col min="13064" max="13064" width="9.42578125" style="745" customWidth="1"/>
    <col min="13065" max="13065" width="12.5703125" style="745" customWidth="1"/>
    <col min="13066" max="13066" width="6.28515625" style="745" customWidth="1"/>
    <col min="13067" max="13067" width="11.42578125" style="745" customWidth="1"/>
    <col min="13068" max="13068" width="6.85546875" style="745" customWidth="1"/>
    <col min="13069" max="13069" width="12.140625" style="745" customWidth="1"/>
    <col min="13070" max="13070" width="5.7109375" style="745" customWidth="1"/>
    <col min="13071" max="13071" width="11.140625" style="745" customWidth="1"/>
    <col min="13072" max="13072" width="15.42578125" style="745" customWidth="1"/>
    <col min="13073" max="13073" width="14.7109375" style="745" customWidth="1"/>
    <col min="13074" max="13074" width="13.42578125" style="745" customWidth="1"/>
    <col min="13075" max="13075" width="15" style="745" customWidth="1"/>
    <col min="13076" max="13076" width="25.28515625" style="745" customWidth="1"/>
    <col min="13077" max="13077" width="25.7109375" style="745" customWidth="1"/>
    <col min="13078" max="13312" width="9.140625" style="745"/>
    <col min="13313" max="13313" width="5" style="745" customWidth="1"/>
    <col min="13314" max="13314" width="29.85546875" style="745" customWidth="1"/>
    <col min="13315" max="13315" width="6" style="745" customWidth="1"/>
    <col min="13316" max="13316" width="5.7109375" style="745" customWidth="1"/>
    <col min="13317" max="13317" width="5.85546875" style="745" customWidth="1"/>
    <col min="13318" max="13318" width="12.42578125" style="745" customWidth="1"/>
    <col min="13319" max="13319" width="6.140625" style="745" customWidth="1"/>
    <col min="13320" max="13320" width="9.42578125" style="745" customWidth="1"/>
    <col min="13321" max="13321" width="12.5703125" style="745" customWidth="1"/>
    <col min="13322" max="13322" width="6.28515625" style="745" customWidth="1"/>
    <col min="13323" max="13323" width="11.42578125" style="745" customWidth="1"/>
    <col min="13324" max="13324" width="6.85546875" style="745" customWidth="1"/>
    <col min="13325" max="13325" width="12.140625" style="745" customWidth="1"/>
    <col min="13326" max="13326" width="5.7109375" style="745" customWidth="1"/>
    <col min="13327" max="13327" width="11.140625" style="745" customWidth="1"/>
    <col min="13328" max="13328" width="15.42578125" style="745" customWidth="1"/>
    <col min="13329" max="13329" width="14.7109375" style="745" customWidth="1"/>
    <col min="13330" max="13330" width="13.42578125" style="745" customWidth="1"/>
    <col min="13331" max="13331" width="15" style="745" customWidth="1"/>
    <col min="13332" max="13332" width="25.28515625" style="745" customWidth="1"/>
    <col min="13333" max="13333" width="25.7109375" style="745" customWidth="1"/>
    <col min="13334" max="13568" width="9.140625" style="745"/>
    <col min="13569" max="13569" width="5" style="745" customWidth="1"/>
    <col min="13570" max="13570" width="29.85546875" style="745" customWidth="1"/>
    <col min="13571" max="13571" width="6" style="745" customWidth="1"/>
    <col min="13572" max="13572" width="5.7109375" style="745" customWidth="1"/>
    <col min="13573" max="13573" width="5.85546875" style="745" customWidth="1"/>
    <col min="13574" max="13574" width="12.42578125" style="745" customWidth="1"/>
    <col min="13575" max="13575" width="6.140625" style="745" customWidth="1"/>
    <col min="13576" max="13576" width="9.42578125" style="745" customWidth="1"/>
    <col min="13577" max="13577" width="12.5703125" style="745" customWidth="1"/>
    <col min="13578" max="13578" width="6.28515625" style="745" customWidth="1"/>
    <col min="13579" max="13579" width="11.42578125" style="745" customWidth="1"/>
    <col min="13580" max="13580" width="6.85546875" style="745" customWidth="1"/>
    <col min="13581" max="13581" width="12.140625" style="745" customWidth="1"/>
    <col min="13582" max="13582" width="5.7109375" style="745" customWidth="1"/>
    <col min="13583" max="13583" width="11.140625" style="745" customWidth="1"/>
    <col min="13584" max="13584" width="15.42578125" style="745" customWidth="1"/>
    <col min="13585" max="13585" width="14.7109375" style="745" customWidth="1"/>
    <col min="13586" max="13586" width="13.42578125" style="745" customWidth="1"/>
    <col min="13587" max="13587" width="15" style="745" customWidth="1"/>
    <col min="13588" max="13588" width="25.28515625" style="745" customWidth="1"/>
    <col min="13589" max="13589" width="25.7109375" style="745" customWidth="1"/>
    <col min="13590" max="13824" width="9.140625" style="745"/>
    <col min="13825" max="13825" width="5" style="745" customWidth="1"/>
    <col min="13826" max="13826" width="29.85546875" style="745" customWidth="1"/>
    <col min="13827" max="13827" width="6" style="745" customWidth="1"/>
    <col min="13828" max="13828" width="5.7109375" style="745" customWidth="1"/>
    <col min="13829" max="13829" width="5.85546875" style="745" customWidth="1"/>
    <col min="13830" max="13830" width="12.42578125" style="745" customWidth="1"/>
    <col min="13831" max="13831" width="6.140625" style="745" customWidth="1"/>
    <col min="13832" max="13832" width="9.42578125" style="745" customWidth="1"/>
    <col min="13833" max="13833" width="12.5703125" style="745" customWidth="1"/>
    <col min="13834" max="13834" width="6.28515625" style="745" customWidth="1"/>
    <col min="13835" max="13835" width="11.42578125" style="745" customWidth="1"/>
    <col min="13836" max="13836" width="6.85546875" style="745" customWidth="1"/>
    <col min="13837" max="13837" width="12.140625" style="745" customWidth="1"/>
    <col min="13838" max="13838" width="5.7109375" style="745" customWidth="1"/>
    <col min="13839" max="13839" width="11.140625" style="745" customWidth="1"/>
    <col min="13840" max="13840" width="15.42578125" style="745" customWidth="1"/>
    <col min="13841" max="13841" width="14.7109375" style="745" customWidth="1"/>
    <col min="13842" max="13842" width="13.42578125" style="745" customWidth="1"/>
    <col min="13843" max="13843" width="15" style="745" customWidth="1"/>
    <col min="13844" max="13844" width="25.28515625" style="745" customWidth="1"/>
    <col min="13845" max="13845" width="25.7109375" style="745" customWidth="1"/>
    <col min="13846" max="14080" width="9.140625" style="745"/>
    <col min="14081" max="14081" width="5" style="745" customWidth="1"/>
    <col min="14082" max="14082" width="29.85546875" style="745" customWidth="1"/>
    <col min="14083" max="14083" width="6" style="745" customWidth="1"/>
    <col min="14084" max="14084" width="5.7109375" style="745" customWidth="1"/>
    <col min="14085" max="14085" width="5.85546875" style="745" customWidth="1"/>
    <col min="14086" max="14086" width="12.42578125" style="745" customWidth="1"/>
    <col min="14087" max="14087" width="6.140625" style="745" customWidth="1"/>
    <col min="14088" max="14088" width="9.42578125" style="745" customWidth="1"/>
    <col min="14089" max="14089" width="12.5703125" style="745" customWidth="1"/>
    <col min="14090" max="14090" width="6.28515625" style="745" customWidth="1"/>
    <col min="14091" max="14091" width="11.42578125" style="745" customWidth="1"/>
    <col min="14092" max="14092" width="6.85546875" style="745" customWidth="1"/>
    <col min="14093" max="14093" width="12.140625" style="745" customWidth="1"/>
    <col min="14094" max="14094" width="5.7109375" style="745" customWidth="1"/>
    <col min="14095" max="14095" width="11.140625" style="745" customWidth="1"/>
    <col min="14096" max="14096" width="15.42578125" style="745" customWidth="1"/>
    <col min="14097" max="14097" width="14.7109375" style="745" customWidth="1"/>
    <col min="14098" max="14098" width="13.42578125" style="745" customWidth="1"/>
    <col min="14099" max="14099" width="15" style="745" customWidth="1"/>
    <col min="14100" max="14100" width="25.28515625" style="745" customWidth="1"/>
    <col min="14101" max="14101" width="25.7109375" style="745" customWidth="1"/>
    <col min="14102" max="14336" width="9.140625" style="745"/>
    <col min="14337" max="14337" width="5" style="745" customWidth="1"/>
    <col min="14338" max="14338" width="29.85546875" style="745" customWidth="1"/>
    <col min="14339" max="14339" width="6" style="745" customWidth="1"/>
    <col min="14340" max="14340" width="5.7109375" style="745" customWidth="1"/>
    <col min="14341" max="14341" width="5.85546875" style="745" customWidth="1"/>
    <col min="14342" max="14342" width="12.42578125" style="745" customWidth="1"/>
    <col min="14343" max="14343" width="6.140625" style="745" customWidth="1"/>
    <col min="14344" max="14344" width="9.42578125" style="745" customWidth="1"/>
    <col min="14345" max="14345" width="12.5703125" style="745" customWidth="1"/>
    <col min="14346" max="14346" width="6.28515625" style="745" customWidth="1"/>
    <col min="14347" max="14347" width="11.42578125" style="745" customWidth="1"/>
    <col min="14348" max="14348" width="6.85546875" style="745" customWidth="1"/>
    <col min="14349" max="14349" width="12.140625" style="745" customWidth="1"/>
    <col min="14350" max="14350" width="5.7109375" style="745" customWidth="1"/>
    <col min="14351" max="14351" width="11.140625" style="745" customWidth="1"/>
    <col min="14352" max="14352" width="15.42578125" style="745" customWidth="1"/>
    <col min="14353" max="14353" width="14.7109375" style="745" customWidth="1"/>
    <col min="14354" max="14354" width="13.42578125" style="745" customWidth="1"/>
    <col min="14355" max="14355" width="15" style="745" customWidth="1"/>
    <col min="14356" max="14356" width="25.28515625" style="745" customWidth="1"/>
    <col min="14357" max="14357" width="25.7109375" style="745" customWidth="1"/>
    <col min="14358" max="14592" width="9.140625" style="745"/>
    <col min="14593" max="14593" width="5" style="745" customWidth="1"/>
    <col min="14594" max="14594" width="29.85546875" style="745" customWidth="1"/>
    <col min="14595" max="14595" width="6" style="745" customWidth="1"/>
    <col min="14596" max="14596" width="5.7109375" style="745" customWidth="1"/>
    <col min="14597" max="14597" width="5.85546875" style="745" customWidth="1"/>
    <col min="14598" max="14598" width="12.42578125" style="745" customWidth="1"/>
    <col min="14599" max="14599" width="6.140625" style="745" customWidth="1"/>
    <col min="14600" max="14600" width="9.42578125" style="745" customWidth="1"/>
    <col min="14601" max="14601" width="12.5703125" style="745" customWidth="1"/>
    <col min="14602" max="14602" width="6.28515625" style="745" customWidth="1"/>
    <col min="14603" max="14603" width="11.42578125" style="745" customWidth="1"/>
    <col min="14604" max="14604" width="6.85546875" style="745" customWidth="1"/>
    <col min="14605" max="14605" width="12.140625" style="745" customWidth="1"/>
    <col min="14606" max="14606" width="5.7109375" style="745" customWidth="1"/>
    <col min="14607" max="14607" width="11.140625" style="745" customWidth="1"/>
    <col min="14608" max="14608" width="15.42578125" style="745" customWidth="1"/>
    <col min="14609" max="14609" width="14.7109375" style="745" customWidth="1"/>
    <col min="14610" max="14610" width="13.42578125" style="745" customWidth="1"/>
    <col min="14611" max="14611" width="15" style="745" customWidth="1"/>
    <col min="14612" max="14612" width="25.28515625" style="745" customWidth="1"/>
    <col min="14613" max="14613" width="25.7109375" style="745" customWidth="1"/>
    <col min="14614" max="14848" width="9.140625" style="745"/>
    <col min="14849" max="14849" width="5" style="745" customWidth="1"/>
    <col min="14850" max="14850" width="29.85546875" style="745" customWidth="1"/>
    <col min="14851" max="14851" width="6" style="745" customWidth="1"/>
    <col min="14852" max="14852" width="5.7109375" style="745" customWidth="1"/>
    <col min="14853" max="14853" width="5.85546875" style="745" customWidth="1"/>
    <col min="14854" max="14854" width="12.42578125" style="745" customWidth="1"/>
    <col min="14855" max="14855" width="6.140625" style="745" customWidth="1"/>
    <col min="14856" max="14856" width="9.42578125" style="745" customWidth="1"/>
    <col min="14857" max="14857" width="12.5703125" style="745" customWidth="1"/>
    <col min="14858" max="14858" width="6.28515625" style="745" customWidth="1"/>
    <col min="14859" max="14859" width="11.42578125" style="745" customWidth="1"/>
    <col min="14860" max="14860" width="6.85546875" style="745" customWidth="1"/>
    <col min="14861" max="14861" width="12.140625" style="745" customWidth="1"/>
    <col min="14862" max="14862" width="5.7109375" style="745" customWidth="1"/>
    <col min="14863" max="14863" width="11.140625" style="745" customWidth="1"/>
    <col min="14864" max="14864" width="15.42578125" style="745" customWidth="1"/>
    <col min="14865" max="14865" width="14.7109375" style="745" customWidth="1"/>
    <col min="14866" max="14866" width="13.42578125" style="745" customWidth="1"/>
    <col min="14867" max="14867" width="15" style="745" customWidth="1"/>
    <col min="14868" max="14868" width="25.28515625" style="745" customWidth="1"/>
    <col min="14869" max="14869" width="25.7109375" style="745" customWidth="1"/>
    <col min="14870" max="15104" width="9.140625" style="745"/>
    <col min="15105" max="15105" width="5" style="745" customWidth="1"/>
    <col min="15106" max="15106" width="29.85546875" style="745" customWidth="1"/>
    <col min="15107" max="15107" width="6" style="745" customWidth="1"/>
    <col min="15108" max="15108" width="5.7109375" style="745" customWidth="1"/>
    <col min="15109" max="15109" width="5.85546875" style="745" customWidth="1"/>
    <col min="15110" max="15110" width="12.42578125" style="745" customWidth="1"/>
    <col min="15111" max="15111" width="6.140625" style="745" customWidth="1"/>
    <col min="15112" max="15112" width="9.42578125" style="745" customWidth="1"/>
    <col min="15113" max="15113" width="12.5703125" style="745" customWidth="1"/>
    <col min="15114" max="15114" width="6.28515625" style="745" customWidth="1"/>
    <col min="15115" max="15115" width="11.42578125" style="745" customWidth="1"/>
    <col min="15116" max="15116" width="6.85546875" style="745" customWidth="1"/>
    <col min="15117" max="15117" width="12.140625" style="745" customWidth="1"/>
    <col min="15118" max="15118" width="5.7109375" style="745" customWidth="1"/>
    <col min="15119" max="15119" width="11.140625" style="745" customWidth="1"/>
    <col min="15120" max="15120" width="15.42578125" style="745" customWidth="1"/>
    <col min="15121" max="15121" width="14.7109375" style="745" customWidth="1"/>
    <col min="15122" max="15122" width="13.42578125" style="745" customWidth="1"/>
    <col min="15123" max="15123" width="15" style="745" customWidth="1"/>
    <col min="15124" max="15124" width="25.28515625" style="745" customWidth="1"/>
    <col min="15125" max="15125" width="25.7109375" style="745" customWidth="1"/>
    <col min="15126" max="15360" width="9.140625" style="745"/>
    <col min="15361" max="15361" width="5" style="745" customWidth="1"/>
    <col min="15362" max="15362" width="29.85546875" style="745" customWidth="1"/>
    <col min="15363" max="15363" width="6" style="745" customWidth="1"/>
    <col min="15364" max="15364" width="5.7109375" style="745" customWidth="1"/>
    <col min="15365" max="15365" width="5.85546875" style="745" customWidth="1"/>
    <col min="15366" max="15366" width="12.42578125" style="745" customWidth="1"/>
    <col min="15367" max="15367" width="6.140625" style="745" customWidth="1"/>
    <col min="15368" max="15368" width="9.42578125" style="745" customWidth="1"/>
    <col min="15369" max="15369" width="12.5703125" style="745" customWidth="1"/>
    <col min="15370" max="15370" width="6.28515625" style="745" customWidth="1"/>
    <col min="15371" max="15371" width="11.42578125" style="745" customWidth="1"/>
    <col min="15372" max="15372" width="6.85546875" style="745" customWidth="1"/>
    <col min="15373" max="15373" width="12.140625" style="745" customWidth="1"/>
    <col min="15374" max="15374" width="5.7109375" style="745" customWidth="1"/>
    <col min="15375" max="15375" width="11.140625" style="745" customWidth="1"/>
    <col min="15376" max="15376" width="15.42578125" style="745" customWidth="1"/>
    <col min="15377" max="15377" width="14.7109375" style="745" customWidth="1"/>
    <col min="15378" max="15378" width="13.42578125" style="745" customWidth="1"/>
    <col min="15379" max="15379" width="15" style="745" customWidth="1"/>
    <col min="15380" max="15380" width="25.28515625" style="745" customWidth="1"/>
    <col min="15381" max="15381" width="25.7109375" style="745" customWidth="1"/>
    <col min="15382" max="15616" width="9.140625" style="745"/>
    <col min="15617" max="15617" width="5" style="745" customWidth="1"/>
    <col min="15618" max="15618" width="29.85546875" style="745" customWidth="1"/>
    <col min="15619" max="15619" width="6" style="745" customWidth="1"/>
    <col min="15620" max="15620" width="5.7109375" style="745" customWidth="1"/>
    <col min="15621" max="15621" width="5.85546875" style="745" customWidth="1"/>
    <col min="15622" max="15622" width="12.42578125" style="745" customWidth="1"/>
    <col min="15623" max="15623" width="6.140625" style="745" customWidth="1"/>
    <col min="15624" max="15624" width="9.42578125" style="745" customWidth="1"/>
    <col min="15625" max="15625" width="12.5703125" style="745" customWidth="1"/>
    <col min="15626" max="15626" width="6.28515625" style="745" customWidth="1"/>
    <col min="15627" max="15627" width="11.42578125" style="745" customWidth="1"/>
    <col min="15628" max="15628" width="6.85546875" style="745" customWidth="1"/>
    <col min="15629" max="15629" width="12.140625" style="745" customWidth="1"/>
    <col min="15630" max="15630" width="5.7109375" style="745" customWidth="1"/>
    <col min="15631" max="15631" width="11.140625" style="745" customWidth="1"/>
    <col min="15632" max="15632" width="15.42578125" style="745" customWidth="1"/>
    <col min="15633" max="15633" width="14.7109375" style="745" customWidth="1"/>
    <col min="15634" max="15634" width="13.42578125" style="745" customWidth="1"/>
    <col min="15635" max="15635" width="15" style="745" customWidth="1"/>
    <col min="15636" max="15636" width="25.28515625" style="745" customWidth="1"/>
    <col min="15637" max="15637" width="25.7109375" style="745" customWidth="1"/>
    <col min="15638" max="15872" width="9.140625" style="745"/>
    <col min="15873" max="15873" width="5" style="745" customWidth="1"/>
    <col min="15874" max="15874" width="29.85546875" style="745" customWidth="1"/>
    <col min="15875" max="15875" width="6" style="745" customWidth="1"/>
    <col min="15876" max="15876" width="5.7109375" style="745" customWidth="1"/>
    <col min="15877" max="15877" width="5.85546875" style="745" customWidth="1"/>
    <col min="15878" max="15878" width="12.42578125" style="745" customWidth="1"/>
    <col min="15879" max="15879" width="6.140625" style="745" customWidth="1"/>
    <col min="15880" max="15880" width="9.42578125" style="745" customWidth="1"/>
    <col min="15881" max="15881" width="12.5703125" style="745" customWidth="1"/>
    <col min="15882" max="15882" width="6.28515625" style="745" customWidth="1"/>
    <col min="15883" max="15883" width="11.42578125" style="745" customWidth="1"/>
    <col min="15884" max="15884" width="6.85546875" style="745" customWidth="1"/>
    <col min="15885" max="15885" width="12.140625" style="745" customWidth="1"/>
    <col min="15886" max="15886" width="5.7109375" style="745" customWidth="1"/>
    <col min="15887" max="15887" width="11.140625" style="745" customWidth="1"/>
    <col min="15888" max="15888" width="15.42578125" style="745" customWidth="1"/>
    <col min="15889" max="15889" width="14.7109375" style="745" customWidth="1"/>
    <col min="15890" max="15890" width="13.42578125" style="745" customWidth="1"/>
    <col min="15891" max="15891" width="15" style="745" customWidth="1"/>
    <col min="15892" max="15892" width="25.28515625" style="745" customWidth="1"/>
    <col min="15893" max="15893" width="25.7109375" style="745" customWidth="1"/>
    <col min="15894" max="16128" width="9.140625" style="745"/>
    <col min="16129" max="16129" width="5" style="745" customWidth="1"/>
    <col min="16130" max="16130" width="29.85546875" style="745" customWidth="1"/>
    <col min="16131" max="16131" width="6" style="745" customWidth="1"/>
    <col min="16132" max="16132" width="5.7109375" style="745" customWidth="1"/>
    <col min="16133" max="16133" width="5.85546875" style="745" customWidth="1"/>
    <col min="16134" max="16134" width="12.42578125" style="745" customWidth="1"/>
    <col min="16135" max="16135" width="6.140625" style="745" customWidth="1"/>
    <col min="16136" max="16136" width="9.42578125" style="745" customWidth="1"/>
    <col min="16137" max="16137" width="12.5703125" style="745" customWidth="1"/>
    <col min="16138" max="16138" width="6.28515625" style="745" customWidth="1"/>
    <col min="16139" max="16139" width="11.42578125" style="745" customWidth="1"/>
    <col min="16140" max="16140" width="6.85546875" style="745" customWidth="1"/>
    <col min="16141" max="16141" width="12.140625" style="745" customWidth="1"/>
    <col min="16142" max="16142" width="5.7109375" style="745" customWidth="1"/>
    <col min="16143" max="16143" width="11.140625" style="745" customWidth="1"/>
    <col min="16144" max="16144" width="15.42578125" style="745" customWidth="1"/>
    <col min="16145" max="16145" width="14.7109375" style="745" customWidth="1"/>
    <col min="16146" max="16146" width="13.42578125" style="745" customWidth="1"/>
    <col min="16147" max="16147" width="15" style="745" customWidth="1"/>
    <col min="16148" max="16148" width="25.28515625" style="745" customWidth="1"/>
    <col min="16149" max="16149" width="25.7109375" style="745" customWidth="1"/>
    <col min="16150" max="16384" width="9.140625" style="745"/>
  </cols>
  <sheetData>
    <row r="1" spans="1:29" ht="14.25" customHeight="1">
      <c r="B1" s="1879"/>
      <c r="C1" s="1879"/>
      <c r="D1" s="1879"/>
      <c r="E1" s="747"/>
      <c r="F1" s="748"/>
      <c r="G1" s="2263" t="s">
        <v>529</v>
      </c>
      <c r="H1" s="2263"/>
      <c r="I1" s="2263"/>
      <c r="J1" s="2263"/>
      <c r="K1" s="2263"/>
      <c r="L1" s="2263"/>
      <c r="M1" s="2263"/>
      <c r="N1" s="2263"/>
      <c r="O1" s="2263"/>
      <c r="P1" s="2263"/>
      <c r="Q1" s="2263"/>
    </row>
    <row r="2" spans="1:29" ht="25.5" customHeight="1">
      <c r="B2" s="2259" t="s">
        <v>530</v>
      </c>
      <c r="C2" s="2259"/>
      <c r="D2" s="2259"/>
      <c r="E2" s="2259"/>
      <c r="F2" s="748"/>
      <c r="G2" s="2264" t="s">
        <v>562</v>
      </c>
      <c r="H2" s="2264"/>
      <c r="I2" s="2264"/>
      <c r="J2" s="2264"/>
      <c r="K2" s="2264"/>
      <c r="L2" s="2264"/>
      <c r="M2" s="2264"/>
      <c r="N2" s="2264"/>
      <c r="O2" s="2264"/>
      <c r="P2" s="2264"/>
      <c r="Q2" s="2264"/>
    </row>
    <row r="3" spans="1:29" ht="12" customHeight="1">
      <c r="E3" s="747"/>
      <c r="F3" s="748"/>
      <c r="G3" s="2264" t="s">
        <v>531</v>
      </c>
      <c r="H3" s="2264"/>
      <c r="I3" s="2264"/>
      <c r="J3" s="2264"/>
      <c r="K3" s="2264"/>
      <c r="L3" s="2264"/>
      <c r="M3" s="2264"/>
      <c r="N3" s="2264"/>
      <c r="O3" s="2265"/>
      <c r="P3" s="2265"/>
      <c r="Q3" s="750"/>
    </row>
    <row r="4" spans="1:29" ht="13.5" customHeight="1">
      <c r="E4" s="747"/>
      <c r="F4" s="748"/>
      <c r="G4" s="748"/>
      <c r="H4" s="748"/>
      <c r="I4" s="2261" t="s">
        <v>823</v>
      </c>
      <c r="J4" s="2261"/>
      <c r="K4" s="2261"/>
      <c r="L4" s="2261"/>
      <c r="M4" s="2261"/>
      <c r="N4" s="2266"/>
      <c r="O4" s="2266"/>
      <c r="P4" s="2266"/>
      <c r="Q4" s="2266"/>
    </row>
    <row r="5" spans="1:29" ht="13.5" customHeight="1">
      <c r="E5" s="747"/>
      <c r="F5" s="748"/>
      <c r="G5" s="2261" t="s">
        <v>532</v>
      </c>
      <c r="H5" s="2261"/>
      <c r="I5" s="2261"/>
      <c r="J5" s="2261"/>
      <c r="K5" s="2261"/>
      <c r="L5" s="2261"/>
      <c r="M5" s="2261"/>
      <c r="N5" s="2262"/>
      <c r="O5" s="2262"/>
      <c r="P5" s="2262"/>
      <c r="Q5" s="2262"/>
    </row>
    <row r="6" spans="1:29" ht="22.5" customHeight="1">
      <c r="E6" s="747"/>
      <c r="F6" s="2312" t="s">
        <v>830</v>
      </c>
      <c r="G6" s="2312"/>
      <c r="H6" s="2312"/>
      <c r="I6" s="2312"/>
      <c r="J6" s="2312"/>
      <c r="K6" s="2312"/>
      <c r="L6" s="2312"/>
      <c r="M6" s="2312"/>
      <c r="N6" s="2313"/>
      <c r="O6" s="2313"/>
      <c r="P6" s="2313"/>
      <c r="Q6" s="2313"/>
    </row>
    <row r="7" spans="1:29" s="751" customFormat="1" ht="11.25" customHeight="1">
      <c r="B7" s="752"/>
      <c r="C7" s="752"/>
      <c r="D7" s="752"/>
      <c r="E7" s="752"/>
      <c r="F7" s="753"/>
      <c r="G7" s="2314" t="s">
        <v>533</v>
      </c>
      <c r="H7" s="2314"/>
      <c r="I7" s="2314"/>
      <c r="J7" s="2314"/>
      <c r="K7" s="2314"/>
      <c r="L7" s="2314"/>
      <c r="M7" s="2314"/>
      <c r="N7" s="2315"/>
      <c r="O7" s="2315"/>
      <c r="P7" s="2315"/>
      <c r="Q7" s="2315"/>
    </row>
    <row r="8" spans="1:29" s="751" customFormat="1" ht="14.25" customHeight="1">
      <c r="B8" s="752"/>
      <c r="C8" s="752"/>
      <c r="D8" s="752"/>
      <c r="E8" s="752"/>
      <c r="F8" s="752"/>
      <c r="G8" s="1872"/>
      <c r="H8" s="1872"/>
      <c r="I8" s="1872"/>
      <c r="J8" s="1872"/>
      <c r="K8" s="1872"/>
      <c r="L8" s="1872"/>
      <c r="M8" s="1872"/>
    </row>
    <row r="9" spans="1:29" ht="12.75" customHeight="1">
      <c r="B9" s="2263"/>
      <c r="C9" s="2263"/>
      <c r="D9" s="2263"/>
      <c r="E9" s="2263"/>
      <c r="F9" s="2263"/>
      <c r="G9" s="2263"/>
      <c r="H9" s="2263"/>
      <c r="I9" s="2263"/>
      <c r="J9" s="2263"/>
      <c r="K9" s="2263"/>
      <c r="L9" s="2263"/>
      <c r="M9" s="2263"/>
      <c r="N9" s="2263"/>
      <c r="O9" s="2263"/>
      <c r="P9" s="2263"/>
      <c r="Q9" s="2263"/>
    </row>
    <row r="10" spans="1:29" ht="15" customHeight="1">
      <c r="A10" s="2316" t="s">
        <v>826</v>
      </c>
      <c r="B10" s="2316"/>
      <c r="C10" s="2316"/>
      <c r="D10" s="2316"/>
      <c r="E10" s="2316"/>
      <c r="F10" s="2316"/>
      <c r="G10" s="2316"/>
      <c r="H10" s="2316"/>
      <c r="I10" s="2316"/>
      <c r="J10" s="2316"/>
      <c r="K10" s="2316"/>
      <c r="L10" s="2316"/>
      <c r="M10" s="2316"/>
      <c r="N10" s="2316"/>
      <c r="O10" s="2316"/>
      <c r="P10" s="2316"/>
      <c r="Q10" s="2316"/>
      <c r="T10" s="755"/>
    </row>
    <row r="11" spans="1:29" ht="12.75" customHeight="1">
      <c r="A11" s="2270"/>
      <c r="B11" s="2271"/>
      <c r="C11" s="2271"/>
      <c r="D11" s="2271"/>
      <c r="E11" s="2271"/>
      <c r="F11" s="2271"/>
      <c r="G11" s="2271"/>
      <c r="H11" s="2271"/>
      <c r="I11" s="2271"/>
      <c r="J11" s="2271"/>
      <c r="K11" s="2271"/>
      <c r="L11" s="2271"/>
      <c r="M11" s="2271"/>
      <c r="N11" s="2271"/>
      <c r="O11" s="2271"/>
      <c r="P11" s="2271"/>
      <c r="Q11" s="2271"/>
    </row>
    <row r="12" spans="1:29">
      <c r="A12" s="2264" t="s">
        <v>561</v>
      </c>
      <c r="B12" s="2264"/>
      <c r="C12" s="2264"/>
      <c r="D12" s="2264"/>
      <c r="E12" s="2264"/>
      <c r="F12" s="2264"/>
      <c r="G12" s="2264"/>
      <c r="H12" s="2264"/>
      <c r="I12" s="2264"/>
      <c r="J12" s="2264"/>
      <c r="K12" s="2264"/>
      <c r="L12" s="2264"/>
      <c r="M12" s="2264"/>
      <c r="N12" s="2264"/>
      <c r="O12" s="2264"/>
      <c r="P12" s="2264"/>
      <c r="Q12" s="2264"/>
      <c r="T12" s="748"/>
      <c r="U12" s="748"/>
      <c r="V12" s="748"/>
      <c r="W12" s="2263"/>
      <c r="X12" s="2263"/>
      <c r="Y12" s="2263"/>
      <c r="Z12" s="2263"/>
      <c r="AA12" s="2263"/>
      <c r="AB12" s="2263"/>
      <c r="AC12" s="2263"/>
    </row>
    <row r="13" spans="1:29" ht="13.5" thickBot="1">
      <c r="B13" s="1870"/>
      <c r="C13" s="1870"/>
      <c r="D13" s="1870"/>
      <c r="E13" s="1870"/>
      <c r="F13" s="1870"/>
      <c r="G13" s="1870"/>
      <c r="H13" s="1870"/>
      <c r="I13" s="1870"/>
      <c r="J13" s="1870"/>
      <c r="K13" s="1870"/>
      <c r="L13" s="1870"/>
      <c r="M13" s="1870"/>
      <c r="N13" s="1870"/>
      <c r="O13" s="1870"/>
      <c r="P13" s="1870"/>
      <c r="T13" s="748"/>
      <c r="U13" s="2264"/>
      <c r="V13" s="2264"/>
      <c r="W13" s="2272"/>
      <c r="X13" s="2272"/>
      <c r="Y13" s="2272"/>
      <c r="Z13" s="2272"/>
      <c r="AA13" s="2272"/>
      <c r="AB13" s="2272"/>
      <c r="AC13" s="2272"/>
    </row>
    <row r="14" spans="1:29" s="757" customFormat="1" ht="69.75" customHeight="1" thickBot="1">
      <c r="A14" s="2276"/>
      <c r="B14" s="2276" t="s">
        <v>536</v>
      </c>
      <c r="C14" s="2276" t="s">
        <v>8</v>
      </c>
      <c r="D14" s="2276" t="s">
        <v>9</v>
      </c>
      <c r="E14" s="2276" t="s">
        <v>10</v>
      </c>
      <c r="F14" s="2276" t="s">
        <v>537</v>
      </c>
      <c r="G14" s="2276" t="s">
        <v>538</v>
      </c>
      <c r="H14" s="2276" t="s">
        <v>539</v>
      </c>
      <c r="I14" s="2276" t="s">
        <v>540</v>
      </c>
      <c r="J14" s="2278" t="s">
        <v>17</v>
      </c>
      <c r="K14" s="2279"/>
      <c r="L14" s="2278" t="s">
        <v>18</v>
      </c>
      <c r="M14" s="2279"/>
      <c r="N14" s="2278" t="s">
        <v>541</v>
      </c>
      <c r="O14" s="2279"/>
      <c r="P14" s="2276" t="s">
        <v>542</v>
      </c>
      <c r="Q14" s="2273" t="s">
        <v>543</v>
      </c>
      <c r="T14" s="748"/>
      <c r="U14" s="748"/>
      <c r="V14" s="748"/>
      <c r="W14" s="2261"/>
      <c r="X14" s="2261"/>
      <c r="Y14" s="2261"/>
      <c r="Z14" s="2261"/>
      <c r="AA14" s="2261"/>
      <c r="AB14" s="2261"/>
      <c r="AC14" s="2261"/>
    </row>
    <row r="15" spans="1:29" s="757" customFormat="1" ht="58.5" customHeight="1" thickBot="1">
      <c r="A15" s="2277"/>
      <c r="B15" s="2277"/>
      <c r="C15" s="2277"/>
      <c r="D15" s="2277"/>
      <c r="E15" s="2277"/>
      <c r="F15" s="2277"/>
      <c r="G15" s="2277"/>
      <c r="H15" s="2277"/>
      <c r="I15" s="2277"/>
      <c r="J15" s="1871" t="s">
        <v>21</v>
      </c>
      <c r="K15" s="1871" t="s">
        <v>22</v>
      </c>
      <c r="L15" s="1871" t="s">
        <v>21</v>
      </c>
      <c r="M15" s="1871" t="s">
        <v>22</v>
      </c>
      <c r="N15" s="1871" t="s">
        <v>21</v>
      </c>
      <c r="O15" s="1871" t="s">
        <v>544</v>
      </c>
      <c r="P15" s="2277"/>
      <c r="Q15" s="2274"/>
      <c r="T15" s="748"/>
      <c r="U15" s="2275"/>
      <c r="V15" s="2275"/>
      <c r="W15" s="2275"/>
      <c r="X15" s="2275"/>
      <c r="Y15" s="2275"/>
      <c r="Z15" s="2275"/>
      <c r="AA15" s="2275"/>
      <c r="AB15" s="2275"/>
      <c r="AC15" s="2275"/>
    </row>
    <row r="16" spans="1:29" ht="34.5" customHeight="1">
      <c r="A16" s="796"/>
      <c r="B16" s="1807" t="s">
        <v>545</v>
      </c>
      <c r="C16" s="1807"/>
      <c r="D16" s="1807"/>
      <c r="E16" s="1808"/>
      <c r="F16" s="1809"/>
      <c r="G16" s="1809"/>
      <c r="H16" s="1809"/>
      <c r="I16" s="1810"/>
      <c r="J16" s="1810"/>
      <c r="K16" s="1810"/>
      <c r="L16" s="1810"/>
      <c r="M16" s="1810"/>
      <c r="N16" s="1810"/>
      <c r="O16" s="1810"/>
      <c r="P16" s="1811"/>
      <c r="Q16" s="1812"/>
      <c r="T16" s="2280"/>
      <c r="U16" s="2280"/>
      <c r="V16" s="2280"/>
      <c r="W16" s="2280"/>
      <c r="X16" s="2280"/>
      <c r="Y16" s="2280"/>
      <c r="Z16" s="2280"/>
      <c r="AA16" s="2280"/>
      <c r="AB16" s="2280"/>
      <c r="AC16" s="2280"/>
    </row>
    <row r="17" spans="1:29" s="1570" customFormat="1" ht="12.75" customHeight="1">
      <c r="A17" s="824">
        <v>1</v>
      </c>
      <c r="B17" s="760" t="s">
        <v>546</v>
      </c>
      <c r="C17" s="772" t="s">
        <v>28</v>
      </c>
      <c r="D17" s="772" t="s">
        <v>29</v>
      </c>
      <c r="E17" s="1813">
        <v>3</v>
      </c>
      <c r="F17" s="774">
        <v>1</v>
      </c>
      <c r="G17" s="1814">
        <v>7.7750000000000004</v>
      </c>
      <c r="H17" s="775">
        <v>17697</v>
      </c>
      <c r="I17" s="775">
        <f>'разница сент  20'!Q6</f>
        <v>55037.67</v>
      </c>
      <c r="J17" s="776">
        <v>0</v>
      </c>
      <c r="K17" s="777">
        <f>ROUND(I17*J17,2)+(M17*J17)</f>
        <v>0</v>
      </c>
      <c r="L17" s="776">
        <v>0.1</v>
      </c>
      <c r="M17" s="778">
        <f>ROUND(I17*L17*F17,2)</f>
        <v>5503.77</v>
      </c>
      <c r="N17" s="776"/>
      <c r="O17" s="777">
        <f>ROUND(H17*N17,2)*2</f>
        <v>0</v>
      </c>
      <c r="P17" s="775">
        <f>I17+M17</f>
        <v>60541.440000000002</v>
      </c>
      <c r="Q17" s="779">
        <f>P17*12</f>
        <v>726497.28000000003</v>
      </c>
      <c r="S17" s="1571"/>
      <c r="T17" s="1574"/>
      <c r="U17" s="2311"/>
      <c r="V17" s="2311"/>
      <c r="W17" s="2311"/>
      <c r="X17" s="2311"/>
      <c r="Y17" s="2311"/>
      <c r="Z17" s="2311"/>
      <c r="AA17" s="2311"/>
      <c r="AB17" s="2311"/>
      <c r="AC17" s="2311"/>
    </row>
    <row r="18" spans="1:29" s="1570" customFormat="1" ht="12.75" customHeight="1">
      <c r="A18" s="824">
        <v>2</v>
      </c>
      <c r="B18" s="771" t="s">
        <v>32</v>
      </c>
      <c r="C18" s="772" t="s">
        <v>28</v>
      </c>
      <c r="D18" s="772" t="s">
        <v>35</v>
      </c>
      <c r="E18" s="773" t="s">
        <v>645</v>
      </c>
      <c r="F18" s="774">
        <v>2</v>
      </c>
      <c r="G18" s="774">
        <v>7.2125000000000004</v>
      </c>
      <c r="H18" s="775">
        <v>17697</v>
      </c>
      <c r="I18" s="775">
        <f>'разница сент  20'!Q7*2</f>
        <v>102111.68999999999</v>
      </c>
      <c r="J18" s="776">
        <v>0</v>
      </c>
      <c r="K18" s="777">
        <f>ROUND(I18*J18,2)+(M18*J18)</f>
        <v>0</v>
      </c>
      <c r="L18" s="776">
        <v>0.1</v>
      </c>
      <c r="M18" s="778">
        <v>5105.58</v>
      </c>
      <c r="N18" s="776"/>
      <c r="O18" s="777">
        <f t="shared" ref="O18:O32" si="0">ROUND(H18*N18,2)</f>
        <v>0</v>
      </c>
      <c r="P18" s="775">
        <f t="shared" ref="P18:P34" si="1">I18+M18</f>
        <v>107217.26999999999</v>
      </c>
      <c r="Q18" s="779">
        <f t="shared" ref="Q18:Q34" si="2">P18*12</f>
        <v>1286607.2399999998</v>
      </c>
      <c r="R18" s="1573"/>
      <c r="S18" s="1571"/>
      <c r="T18" s="1574"/>
      <c r="U18" s="1877"/>
      <c r="V18" s="1877"/>
      <c r="W18" s="1877"/>
      <c r="X18" s="1877"/>
      <c r="Y18" s="1877"/>
      <c r="Z18" s="1877"/>
      <c r="AA18" s="1877"/>
      <c r="AB18" s="1877"/>
      <c r="AC18" s="1877"/>
    </row>
    <row r="19" spans="1:29" s="1570" customFormat="1" ht="12.75" customHeight="1">
      <c r="A19" s="824">
        <v>3</v>
      </c>
      <c r="B19" s="771" t="s">
        <v>32</v>
      </c>
      <c r="C19" s="772" t="s">
        <v>28</v>
      </c>
      <c r="D19" s="772" t="s">
        <v>35</v>
      </c>
      <c r="E19" s="773" t="s">
        <v>645</v>
      </c>
      <c r="F19" s="774">
        <v>1</v>
      </c>
      <c r="G19" s="774">
        <v>7.2112499999999997</v>
      </c>
      <c r="H19" s="775">
        <v>17697</v>
      </c>
      <c r="I19" s="775">
        <f>'разница сент  20'!Q8</f>
        <v>51055.844999999994</v>
      </c>
      <c r="J19" s="776">
        <v>0.25</v>
      </c>
      <c r="K19" s="777">
        <v>6381</v>
      </c>
      <c r="L19" s="776">
        <v>0.1</v>
      </c>
      <c r="M19" s="778">
        <v>2551.83</v>
      </c>
      <c r="N19" s="776"/>
      <c r="O19" s="777">
        <f>ROUND(H19*N19,2)</f>
        <v>0</v>
      </c>
      <c r="P19" s="775">
        <f>I19+M19+K19</f>
        <v>59988.674999999996</v>
      </c>
      <c r="Q19" s="779">
        <f t="shared" si="2"/>
        <v>719864.1</v>
      </c>
      <c r="R19" s="1573"/>
      <c r="S19" s="1571"/>
      <c r="T19" s="1574"/>
      <c r="U19" s="1877"/>
      <c r="V19" s="1877"/>
      <c r="W19" s="1877"/>
      <c r="X19" s="1877"/>
      <c r="Y19" s="1877"/>
      <c r="Z19" s="1877"/>
      <c r="AA19" s="1877"/>
      <c r="AB19" s="1877"/>
      <c r="AC19" s="1877"/>
    </row>
    <row r="20" spans="1:29" s="1570" customFormat="1" ht="12.75" customHeight="1">
      <c r="A20" s="824">
        <v>4</v>
      </c>
      <c r="B20" s="771" t="s">
        <v>42</v>
      </c>
      <c r="C20" s="772" t="s">
        <v>28</v>
      </c>
      <c r="D20" s="772" t="s">
        <v>29</v>
      </c>
      <c r="E20" s="773" t="s">
        <v>44</v>
      </c>
      <c r="F20" s="774">
        <v>1</v>
      </c>
      <c r="G20" s="774">
        <v>7.3875000000000002</v>
      </c>
      <c r="H20" s="775">
        <v>17697</v>
      </c>
      <c r="I20" s="775">
        <f>'разница сент  20'!Q10</f>
        <v>49463.114999999998</v>
      </c>
      <c r="J20" s="776">
        <v>0</v>
      </c>
      <c r="K20" s="777">
        <f>ROUND(I20*J20,2)+(M20*J20)</f>
        <v>0</v>
      </c>
      <c r="L20" s="776">
        <v>0.1</v>
      </c>
      <c r="M20" s="778">
        <f t="shared" ref="M20:M34" si="3">ROUND(I20*L20*F20,2)</f>
        <v>4946.3100000000004</v>
      </c>
      <c r="N20" s="1815"/>
      <c r="O20" s="777">
        <f t="shared" si="0"/>
        <v>0</v>
      </c>
      <c r="P20" s="775">
        <f t="shared" si="1"/>
        <v>54409.424999999996</v>
      </c>
      <c r="Q20" s="779">
        <f t="shared" si="2"/>
        <v>652913.1</v>
      </c>
      <c r="R20" s="1573"/>
      <c r="S20" s="1571"/>
      <c r="T20" s="1572"/>
      <c r="U20" s="1571"/>
    </row>
    <row r="21" spans="1:29" s="1570" customFormat="1" ht="12.75" customHeight="1">
      <c r="A21" s="824">
        <v>5</v>
      </c>
      <c r="B21" s="771" t="s">
        <v>46</v>
      </c>
      <c r="C21" s="772" t="s">
        <v>28</v>
      </c>
      <c r="D21" s="772" t="s">
        <v>29</v>
      </c>
      <c r="E21" s="773" t="s">
        <v>44</v>
      </c>
      <c r="F21" s="774">
        <v>1</v>
      </c>
      <c r="G21" s="774">
        <v>6.9874999999999998</v>
      </c>
      <c r="H21" s="775">
        <v>17697</v>
      </c>
      <c r="I21" s="775">
        <f>'разница сент  20'!Q11</f>
        <v>52294.635000000002</v>
      </c>
      <c r="J21" s="1816">
        <v>0</v>
      </c>
      <c r="K21" s="799">
        <v>0</v>
      </c>
      <c r="L21" s="776">
        <v>0.1</v>
      </c>
      <c r="M21" s="778">
        <f t="shared" si="3"/>
        <v>5229.46</v>
      </c>
      <c r="N21" s="1815"/>
      <c r="O21" s="777">
        <f t="shared" si="0"/>
        <v>0</v>
      </c>
      <c r="P21" s="775">
        <f>I21+M21</f>
        <v>57524.095000000001</v>
      </c>
      <c r="Q21" s="779">
        <f t="shared" si="2"/>
        <v>690289.14</v>
      </c>
      <c r="R21" s="1573"/>
      <c r="S21" s="1571"/>
      <c r="T21" s="1572"/>
      <c r="U21" s="1571"/>
    </row>
    <row r="22" spans="1:29" s="1570" customFormat="1" ht="13.5" customHeight="1">
      <c r="A22" s="824">
        <v>6</v>
      </c>
      <c r="B22" s="760" t="s">
        <v>547</v>
      </c>
      <c r="C22" s="772" t="s">
        <v>28</v>
      </c>
      <c r="D22" s="772" t="s">
        <v>35</v>
      </c>
      <c r="E22" s="773" t="s">
        <v>30</v>
      </c>
      <c r="F22" s="774">
        <v>1</v>
      </c>
      <c r="G22" s="774">
        <v>5.61</v>
      </c>
      <c r="H22" s="775">
        <v>17697</v>
      </c>
      <c r="I22" s="775">
        <f>'разница сент  20'!Q12</f>
        <v>0</v>
      </c>
      <c r="J22" s="776">
        <v>0</v>
      </c>
      <c r="K22" s="777">
        <f>ROUND(I22*J22,2)</f>
        <v>0</v>
      </c>
      <c r="L22" s="776">
        <v>0.1</v>
      </c>
      <c r="M22" s="778">
        <f t="shared" si="3"/>
        <v>0</v>
      </c>
      <c r="N22" s="1815"/>
      <c r="O22" s="777">
        <f t="shared" si="0"/>
        <v>0</v>
      </c>
      <c r="P22" s="775">
        <f t="shared" si="1"/>
        <v>0</v>
      </c>
      <c r="Q22" s="779">
        <f t="shared" si="2"/>
        <v>0</v>
      </c>
      <c r="S22" s="1571"/>
      <c r="T22" s="1572"/>
      <c r="U22" s="1571"/>
    </row>
    <row r="23" spans="1:29" s="1570" customFormat="1" ht="13.5" customHeight="1">
      <c r="A23" s="824">
        <v>7</v>
      </c>
      <c r="B23" s="760" t="s">
        <v>548</v>
      </c>
      <c r="C23" s="772" t="s">
        <v>56</v>
      </c>
      <c r="D23" s="1814" t="s">
        <v>56</v>
      </c>
      <c r="E23" s="773" t="s">
        <v>30</v>
      </c>
      <c r="F23" s="774">
        <v>1</v>
      </c>
      <c r="G23" s="774">
        <v>4.43</v>
      </c>
      <c r="H23" s="775">
        <v>17697</v>
      </c>
      <c r="I23" s="775">
        <f>'разница сент  20'!Q13</f>
        <v>0</v>
      </c>
      <c r="J23" s="776">
        <v>0</v>
      </c>
      <c r="K23" s="777">
        <f>ROUND(I23*J23,2)</f>
        <v>0</v>
      </c>
      <c r="L23" s="776">
        <v>0.1</v>
      </c>
      <c r="M23" s="778">
        <f t="shared" si="3"/>
        <v>0</v>
      </c>
      <c r="N23" s="1815"/>
      <c r="O23" s="777">
        <f t="shared" si="0"/>
        <v>0</v>
      </c>
      <c r="P23" s="775">
        <f t="shared" si="1"/>
        <v>0</v>
      </c>
      <c r="Q23" s="779">
        <f t="shared" si="2"/>
        <v>0</v>
      </c>
      <c r="S23" s="1571"/>
      <c r="T23" s="1572"/>
      <c r="U23" s="1571"/>
    </row>
    <row r="24" spans="1:29" s="1570" customFormat="1" ht="13.5" customHeight="1">
      <c r="A24" s="824">
        <v>8</v>
      </c>
      <c r="B24" s="760" t="s">
        <v>59</v>
      </c>
      <c r="C24" s="772" t="s">
        <v>61</v>
      </c>
      <c r="D24" s="1814" t="s">
        <v>61</v>
      </c>
      <c r="E24" s="773" t="s">
        <v>156</v>
      </c>
      <c r="F24" s="774">
        <v>1</v>
      </c>
      <c r="G24" s="774">
        <v>3.04</v>
      </c>
      <c r="H24" s="775">
        <v>17697</v>
      </c>
      <c r="I24" s="775">
        <f>'разница сент  20'!Q14</f>
        <v>0</v>
      </c>
      <c r="J24" s="776">
        <v>0</v>
      </c>
      <c r="K24" s="777">
        <f t="shared" ref="K24:K34" si="4">ROUND(I24*J24,2)</f>
        <v>0</v>
      </c>
      <c r="L24" s="776">
        <v>0.1</v>
      </c>
      <c r="M24" s="778">
        <f t="shared" si="3"/>
        <v>0</v>
      </c>
      <c r="N24" s="1815"/>
      <c r="O24" s="777">
        <f t="shared" si="0"/>
        <v>0</v>
      </c>
      <c r="P24" s="775">
        <f t="shared" si="1"/>
        <v>0</v>
      </c>
      <c r="Q24" s="779">
        <f t="shared" si="2"/>
        <v>0</v>
      </c>
      <c r="S24" s="1571"/>
      <c r="T24" s="1572"/>
      <c r="U24" s="1571"/>
    </row>
    <row r="25" spans="1:29" s="1570" customFormat="1" ht="13.5" customHeight="1">
      <c r="A25" s="824">
        <v>9</v>
      </c>
      <c r="B25" s="760" t="s">
        <v>549</v>
      </c>
      <c r="C25" s="1817" t="s">
        <v>69</v>
      </c>
      <c r="D25" s="1817" t="s">
        <v>69</v>
      </c>
      <c r="E25" s="773" t="s">
        <v>30</v>
      </c>
      <c r="F25" s="774">
        <v>1</v>
      </c>
      <c r="G25" s="12">
        <v>3.61</v>
      </c>
      <c r="H25" s="775">
        <v>17697</v>
      </c>
      <c r="I25" s="775">
        <f>'разница сент  20'!Q15</f>
        <v>0</v>
      </c>
      <c r="J25" s="776">
        <v>0</v>
      </c>
      <c r="K25" s="777">
        <f t="shared" si="4"/>
        <v>0</v>
      </c>
      <c r="L25" s="776">
        <v>0.1</v>
      </c>
      <c r="M25" s="778">
        <f t="shared" si="3"/>
        <v>0</v>
      </c>
      <c r="N25" s="1815"/>
      <c r="O25" s="777">
        <f t="shared" si="0"/>
        <v>0</v>
      </c>
      <c r="P25" s="775">
        <f t="shared" si="1"/>
        <v>0</v>
      </c>
      <c r="Q25" s="779">
        <f t="shared" si="2"/>
        <v>0</v>
      </c>
      <c r="S25" s="1571"/>
      <c r="T25" s="1572"/>
      <c r="U25" s="1571"/>
    </row>
    <row r="26" spans="1:29" s="1570" customFormat="1" ht="13.5" customHeight="1">
      <c r="A26" s="824">
        <v>10</v>
      </c>
      <c r="B26" s="760" t="s">
        <v>549</v>
      </c>
      <c r="C26" s="1817" t="s">
        <v>69</v>
      </c>
      <c r="D26" s="1817" t="s">
        <v>69</v>
      </c>
      <c r="E26" s="773" t="s">
        <v>30</v>
      </c>
      <c r="F26" s="774">
        <v>1.5</v>
      </c>
      <c r="G26" s="12">
        <v>3.35</v>
      </c>
      <c r="H26" s="775">
        <v>17697</v>
      </c>
      <c r="I26" s="775">
        <f>'разница сент  20'!Q16</f>
        <v>0</v>
      </c>
      <c r="J26" s="776">
        <v>0</v>
      </c>
      <c r="K26" s="777">
        <f t="shared" si="4"/>
        <v>0</v>
      </c>
      <c r="L26" s="776">
        <v>0.1</v>
      </c>
      <c r="M26" s="778">
        <f>ROUND(I26*L26*F26,2)</f>
        <v>0</v>
      </c>
      <c r="N26" s="1815"/>
      <c r="O26" s="777">
        <f>ROUND(H26*N26,2)</f>
        <v>0</v>
      </c>
      <c r="P26" s="775">
        <f t="shared" si="1"/>
        <v>0</v>
      </c>
      <c r="Q26" s="779">
        <f t="shared" si="2"/>
        <v>0</v>
      </c>
      <c r="S26" s="1571"/>
      <c r="T26" s="1572"/>
      <c r="U26" s="1571"/>
    </row>
    <row r="27" spans="1:29" s="1570" customFormat="1" ht="13.5" customHeight="1">
      <c r="A27" s="824">
        <v>11</v>
      </c>
      <c r="B27" s="760" t="s">
        <v>549</v>
      </c>
      <c r="C27" s="1817" t="s">
        <v>69</v>
      </c>
      <c r="D27" s="1817" t="s">
        <v>69</v>
      </c>
      <c r="E27" s="773" t="s">
        <v>30</v>
      </c>
      <c r="F27" s="1818">
        <v>0.5</v>
      </c>
      <c r="G27" s="1819">
        <v>3.31</v>
      </c>
      <c r="H27" s="775">
        <v>17697</v>
      </c>
      <c r="I27" s="775">
        <f>'разница сент  20'!Q17</f>
        <v>0</v>
      </c>
      <c r="J27" s="1820"/>
      <c r="K27" s="777">
        <f t="shared" si="4"/>
        <v>0</v>
      </c>
      <c r="L27" s="776">
        <v>0.1</v>
      </c>
      <c r="M27" s="778">
        <f>ROUND(I27*L27*F27,2)</f>
        <v>0</v>
      </c>
      <c r="N27" s="1821"/>
      <c r="O27" s="777">
        <f>ROUND(H27*N27,2)</f>
        <v>0</v>
      </c>
      <c r="P27" s="775">
        <f t="shared" si="1"/>
        <v>0</v>
      </c>
      <c r="Q27" s="779">
        <f t="shared" si="2"/>
        <v>0</v>
      </c>
      <c r="S27" s="1571"/>
      <c r="T27" s="1572"/>
      <c r="U27" s="1571"/>
    </row>
    <row r="28" spans="1:29" s="1570" customFormat="1" ht="13.5" customHeight="1">
      <c r="A28" s="824">
        <v>12</v>
      </c>
      <c r="B28" s="760" t="s">
        <v>86</v>
      </c>
      <c r="C28" s="1814" t="s">
        <v>56</v>
      </c>
      <c r="D28" s="1814" t="s">
        <v>56</v>
      </c>
      <c r="E28" s="773" t="s">
        <v>30</v>
      </c>
      <c r="F28" s="774">
        <v>1</v>
      </c>
      <c r="G28" s="11">
        <v>3.5</v>
      </c>
      <c r="H28" s="775">
        <v>17697</v>
      </c>
      <c r="I28" s="775">
        <f>'разница сент  20'!Q18</f>
        <v>0</v>
      </c>
      <c r="J28" s="776">
        <v>0</v>
      </c>
      <c r="K28" s="777">
        <f t="shared" si="4"/>
        <v>0</v>
      </c>
      <c r="L28" s="776">
        <v>0.1</v>
      </c>
      <c r="M28" s="778">
        <f t="shared" si="3"/>
        <v>0</v>
      </c>
      <c r="N28" s="1815"/>
      <c r="O28" s="777">
        <f t="shared" si="0"/>
        <v>0</v>
      </c>
      <c r="P28" s="775">
        <f t="shared" si="1"/>
        <v>0</v>
      </c>
      <c r="Q28" s="779">
        <f t="shared" si="2"/>
        <v>0</v>
      </c>
      <c r="S28" s="1571"/>
      <c r="T28" s="1572"/>
      <c r="U28" s="1571"/>
    </row>
    <row r="29" spans="1:29" s="1570" customFormat="1" ht="13.5" customHeight="1">
      <c r="A29" s="824">
        <v>13</v>
      </c>
      <c r="B29" s="760" t="s">
        <v>86</v>
      </c>
      <c r="C29" s="1814" t="s">
        <v>56</v>
      </c>
      <c r="D29" s="1814" t="s">
        <v>56</v>
      </c>
      <c r="E29" s="773" t="s">
        <v>57</v>
      </c>
      <c r="F29" s="774">
        <v>1</v>
      </c>
      <c r="G29" s="11">
        <v>4.43</v>
      </c>
      <c r="H29" s="775">
        <v>17697</v>
      </c>
      <c r="I29" s="775">
        <f>'разница сент  20'!Q19</f>
        <v>0</v>
      </c>
      <c r="J29" s="776">
        <v>0</v>
      </c>
      <c r="K29" s="777">
        <f t="shared" si="4"/>
        <v>0</v>
      </c>
      <c r="L29" s="776">
        <v>0.1</v>
      </c>
      <c r="M29" s="778">
        <f>ROUND(I29*L29*F29,2)</f>
        <v>0</v>
      </c>
      <c r="N29" s="1815"/>
      <c r="O29" s="777">
        <f>ROUND(H29*N29,2)</f>
        <v>0</v>
      </c>
      <c r="P29" s="775">
        <f t="shared" si="1"/>
        <v>0</v>
      </c>
      <c r="Q29" s="779">
        <f t="shared" si="2"/>
        <v>0</v>
      </c>
      <c r="S29" s="1571"/>
      <c r="T29" s="1572"/>
      <c r="U29" s="1571"/>
    </row>
    <row r="30" spans="1:29" s="1570" customFormat="1" ht="13.5" customHeight="1">
      <c r="A30" s="824">
        <v>14</v>
      </c>
      <c r="B30" s="760" t="s">
        <v>86</v>
      </c>
      <c r="C30" s="1814" t="s">
        <v>56</v>
      </c>
      <c r="D30" s="1814" t="s">
        <v>56</v>
      </c>
      <c r="E30" s="773" t="s">
        <v>57</v>
      </c>
      <c r="F30" s="1818">
        <v>1</v>
      </c>
      <c r="G30" s="1822">
        <v>4.0999999999999996</v>
      </c>
      <c r="H30" s="775">
        <v>17697</v>
      </c>
      <c r="I30" s="775">
        <f>'разница сент  20'!Q20</f>
        <v>0</v>
      </c>
      <c r="J30" s="776">
        <v>0</v>
      </c>
      <c r="K30" s="777">
        <f>ROUND(I30*J30,2)</f>
        <v>0</v>
      </c>
      <c r="L30" s="776">
        <v>0.1</v>
      </c>
      <c r="M30" s="778">
        <f>ROUND(I30*L30*F30,2)</f>
        <v>0</v>
      </c>
      <c r="N30" s="1815"/>
      <c r="O30" s="777">
        <f>ROUND(H30*N30,2)</f>
        <v>0</v>
      </c>
      <c r="P30" s="775">
        <f t="shared" si="1"/>
        <v>0</v>
      </c>
      <c r="Q30" s="779">
        <f t="shared" si="2"/>
        <v>0</v>
      </c>
      <c r="S30" s="1571"/>
      <c r="T30" s="1572"/>
      <c r="U30" s="1571"/>
    </row>
    <row r="31" spans="1:29" s="1570" customFormat="1" ht="13.5" customHeight="1">
      <c r="A31" s="824">
        <v>15</v>
      </c>
      <c r="B31" s="760" t="s">
        <v>95</v>
      </c>
      <c r="C31" s="772" t="s">
        <v>56</v>
      </c>
      <c r="D31" s="1814" t="s">
        <v>56</v>
      </c>
      <c r="E31" s="773" t="s">
        <v>57</v>
      </c>
      <c r="F31" s="774">
        <v>1</v>
      </c>
      <c r="G31" s="11">
        <v>4.2300000000000004</v>
      </c>
      <c r="H31" s="775">
        <v>17697</v>
      </c>
      <c r="I31" s="775">
        <f>'разница сент  20'!Q21</f>
        <v>0</v>
      </c>
      <c r="J31" s="776">
        <v>0</v>
      </c>
      <c r="K31" s="777">
        <f t="shared" si="4"/>
        <v>0</v>
      </c>
      <c r="L31" s="776">
        <v>0.1</v>
      </c>
      <c r="M31" s="778">
        <f t="shared" si="3"/>
        <v>0</v>
      </c>
      <c r="N31" s="1815"/>
      <c r="O31" s="777">
        <f t="shared" si="0"/>
        <v>0</v>
      </c>
      <c r="P31" s="775">
        <f t="shared" si="1"/>
        <v>0</v>
      </c>
      <c r="Q31" s="779">
        <f t="shared" si="2"/>
        <v>0</v>
      </c>
      <c r="S31" s="1571"/>
      <c r="T31" s="1572"/>
      <c r="U31" s="1571"/>
    </row>
    <row r="32" spans="1:29" s="1570" customFormat="1" ht="13.5" customHeight="1">
      <c r="A32" s="824">
        <v>16</v>
      </c>
      <c r="B32" s="791" t="s">
        <v>79</v>
      </c>
      <c r="C32" s="772" t="s">
        <v>56</v>
      </c>
      <c r="D32" s="1814" t="s">
        <v>56</v>
      </c>
      <c r="E32" s="773" t="s">
        <v>57</v>
      </c>
      <c r="F32" s="11">
        <v>0.5</v>
      </c>
      <c r="G32" s="11">
        <v>3.57</v>
      </c>
      <c r="H32" s="775">
        <v>17697</v>
      </c>
      <c r="I32" s="775">
        <f>'разница сент  20'!Q22</f>
        <v>0</v>
      </c>
      <c r="J32" s="776">
        <v>0</v>
      </c>
      <c r="K32" s="777">
        <f t="shared" si="4"/>
        <v>0</v>
      </c>
      <c r="L32" s="776">
        <v>0.1</v>
      </c>
      <c r="M32" s="778">
        <f t="shared" si="3"/>
        <v>0</v>
      </c>
      <c r="N32" s="1815"/>
      <c r="O32" s="777">
        <f t="shared" si="0"/>
        <v>0</v>
      </c>
      <c r="P32" s="775">
        <f t="shared" si="1"/>
        <v>0</v>
      </c>
      <c r="Q32" s="779">
        <f t="shared" si="2"/>
        <v>0</v>
      </c>
      <c r="S32" s="1571"/>
      <c r="T32" s="1572"/>
      <c r="U32" s="1571"/>
    </row>
    <row r="33" spans="1:22" s="1570" customFormat="1" ht="13.5" customHeight="1">
      <c r="A33" s="824">
        <v>17</v>
      </c>
      <c r="B33" s="792" t="s">
        <v>71</v>
      </c>
      <c r="C33" s="772" t="s">
        <v>56</v>
      </c>
      <c r="D33" s="1814" t="s">
        <v>56</v>
      </c>
      <c r="E33" s="773" t="s">
        <v>57</v>
      </c>
      <c r="F33" s="11">
        <v>0.5</v>
      </c>
      <c r="G33" s="11">
        <v>4.0999999999999996</v>
      </c>
      <c r="H33" s="775">
        <v>17697</v>
      </c>
      <c r="I33" s="775">
        <f>'разница сент  20'!Q23</f>
        <v>0</v>
      </c>
      <c r="J33" s="776">
        <v>0</v>
      </c>
      <c r="K33" s="777">
        <f>ROUND(I33*J33,2)</f>
        <v>0</v>
      </c>
      <c r="L33" s="776">
        <v>0.1</v>
      </c>
      <c r="M33" s="778">
        <f>ROUND(I33*L33*F33,2)</f>
        <v>0</v>
      </c>
      <c r="N33" s="1815">
        <v>0.2</v>
      </c>
      <c r="O33" s="777">
        <v>0</v>
      </c>
      <c r="P33" s="775">
        <f t="shared" si="1"/>
        <v>0</v>
      </c>
      <c r="Q33" s="779">
        <f t="shared" si="2"/>
        <v>0</v>
      </c>
      <c r="S33" s="1571"/>
      <c r="T33" s="1572"/>
      <c r="U33" s="1571"/>
    </row>
    <row r="34" spans="1:22" s="1570" customFormat="1" ht="13.5" customHeight="1">
      <c r="A34" s="824">
        <v>18</v>
      </c>
      <c r="B34" s="792" t="s">
        <v>71</v>
      </c>
      <c r="C34" s="772" t="s">
        <v>56</v>
      </c>
      <c r="D34" s="1814" t="s">
        <v>56</v>
      </c>
      <c r="E34" s="773" t="s">
        <v>57</v>
      </c>
      <c r="F34" s="11">
        <v>0.5</v>
      </c>
      <c r="G34" s="11">
        <v>4.46</v>
      </c>
      <c r="H34" s="775">
        <v>17697</v>
      </c>
      <c r="I34" s="775">
        <f>'разница сент  20'!Q24</f>
        <v>0</v>
      </c>
      <c r="J34" s="776">
        <v>0</v>
      </c>
      <c r="K34" s="777">
        <f t="shared" si="4"/>
        <v>0</v>
      </c>
      <c r="L34" s="776">
        <v>0.1</v>
      </c>
      <c r="M34" s="778">
        <f t="shared" si="3"/>
        <v>0</v>
      </c>
      <c r="N34" s="1815">
        <v>0.2</v>
      </c>
      <c r="O34" s="777">
        <v>0</v>
      </c>
      <c r="P34" s="775">
        <f t="shared" si="1"/>
        <v>0</v>
      </c>
      <c r="Q34" s="779">
        <f t="shared" si="2"/>
        <v>0</v>
      </c>
      <c r="S34" s="1571"/>
      <c r="T34" s="1572"/>
      <c r="U34" s="1571"/>
    </row>
    <row r="35" spans="1:22" s="793" customFormat="1" ht="14.25" customHeight="1">
      <c r="A35" s="2293" t="s">
        <v>550</v>
      </c>
      <c r="B35" s="2294"/>
      <c r="C35" s="1873"/>
      <c r="D35" s="1873"/>
      <c r="E35" s="849"/>
      <c r="F35" s="841">
        <f>SUM(F17:F34)</f>
        <v>17.5</v>
      </c>
      <c r="G35" s="850"/>
      <c r="H35" s="850"/>
      <c r="I35" s="841">
        <f>SUM(I17:I34)</f>
        <v>309962.95499999996</v>
      </c>
      <c r="J35" s="850"/>
      <c r="K35" s="841">
        <f>SUM(K17:K34)</f>
        <v>6381</v>
      </c>
      <c r="L35" s="850"/>
      <c r="M35" s="841">
        <f>SUM(M17:M34)</f>
        <v>23336.95</v>
      </c>
      <c r="N35" s="850"/>
      <c r="O35" s="841">
        <f>SUM(O17:O34)</f>
        <v>0</v>
      </c>
      <c r="P35" s="1946">
        <f>ROUND(SUM(P17:P34),2)</f>
        <v>339680.91</v>
      </c>
      <c r="Q35" s="1947">
        <f>SUM(Q17:Q34)</f>
        <v>4076170.86</v>
      </c>
      <c r="S35" s="794"/>
      <c r="T35" s="795"/>
      <c r="U35" s="795"/>
    </row>
    <row r="36" spans="1:22" ht="21.75" customHeight="1">
      <c r="A36" s="856"/>
      <c r="B36" s="869" t="s">
        <v>551</v>
      </c>
      <c r="C36" s="870"/>
      <c r="D36" s="870"/>
      <c r="E36" s="859"/>
      <c r="F36" s="861"/>
      <c r="G36" s="861"/>
      <c r="H36" s="861"/>
      <c r="I36" s="861"/>
      <c r="J36" s="861"/>
      <c r="K36" s="861"/>
      <c r="L36" s="861"/>
      <c r="M36" s="861"/>
      <c r="N36" s="861"/>
      <c r="O36" s="861"/>
      <c r="P36" s="861"/>
      <c r="Q36" s="862"/>
      <c r="R36" s="780"/>
      <c r="S36" s="770"/>
      <c r="U36" s="770"/>
    </row>
    <row r="37" spans="1:22" s="821" customFormat="1" ht="14.25" customHeight="1">
      <c r="A37" s="796">
        <v>20</v>
      </c>
      <c r="B37" s="797" t="s">
        <v>552</v>
      </c>
      <c r="C37" s="156"/>
      <c r="D37" s="156"/>
      <c r="E37" s="55"/>
      <c r="F37" s="798">
        <v>126.7777</v>
      </c>
      <c r="G37" s="11"/>
      <c r="H37" s="775">
        <v>17697</v>
      </c>
      <c r="I37" s="775">
        <v>2460856.34</v>
      </c>
      <c r="J37" s="776">
        <v>0.25</v>
      </c>
      <c r="K37" s="799">
        <v>63586.92</v>
      </c>
      <c r="L37" s="776">
        <v>0.1</v>
      </c>
      <c r="M37" s="800">
        <v>252444.33</v>
      </c>
      <c r="N37" s="776"/>
      <c r="O37" s="799">
        <f>ROUND(H37*N37,2)</f>
        <v>0</v>
      </c>
      <c r="P37" s="828">
        <f>M37+K37+I37+3.77</f>
        <v>2776891.36</v>
      </c>
      <c r="Q37" s="832">
        <f>P37*12</f>
        <v>33322696.32</v>
      </c>
      <c r="R37" s="1034"/>
      <c r="S37" s="823"/>
      <c r="T37" s="822"/>
      <c r="U37" s="823"/>
    </row>
    <row r="38" spans="1:22" s="801" customFormat="1" ht="13.5" customHeight="1">
      <c r="A38" s="2285" t="s">
        <v>553</v>
      </c>
      <c r="B38" s="2286"/>
      <c r="C38" s="1873"/>
      <c r="D38" s="1873"/>
      <c r="E38" s="837"/>
      <c r="F38" s="838">
        <f>SUM(F37:F37)</f>
        <v>126.7777</v>
      </c>
      <c r="G38" s="838"/>
      <c r="H38" s="838"/>
      <c r="I38" s="839">
        <f>SUM(I37:I37)</f>
        <v>2460856.34</v>
      </c>
      <c r="J38" s="839"/>
      <c r="K38" s="839">
        <f>SUM(K37:K37)</f>
        <v>63586.92</v>
      </c>
      <c r="L38" s="839"/>
      <c r="M38" s="839">
        <f t="shared" ref="M38:Q38" si="5">SUM(M37:M37)</f>
        <v>252444.33</v>
      </c>
      <c r="N38" s="839">
        <f t="shared" si="5"/>
        <v>0</v>
      </c>
      <c r="O38" s="839">
        <v>0</v>
      </c>
      <c r="P38" s="1944">
        <f t="shared" si="5"/>
        <v>2776891.36</v>
      </c>
      <c r="Q38" s="1944">
        <f t="shared" si="5"/>
        <v>33322696.32</v>
      </c>
      <c r="S38" s="794"/>
      <c r="T38" s="795"/>
      <c r="U38" s="795"/>
      <c r="V38" s="794"/>
    </row>
    <row r="39" spans="1:22" ht="45.75" customHeight="1">
      <c r="A39" s="856"/>
      <c r="B39" s="857" t="s">
        <v>554</v>
      </c>
      <c r="C39" s="858"/>
      <c r="D39" s="858"/>
      <c r="E39" s="859"/>
      <c r="F39" s="860"/>
      <c r="G39" s="860"/>
      <c r="H39" s="860"/>
      <c r="I39" s="861"/>
      <c r="J39" s="861"/>
      <c r="K39" s="861"/>
      <c r="L39" s="861"/>
      <c r="M39" s="861"/>
      <c r="N39" s="861"/>
      <c r="O39" s="861"/>
      <c r="P39" s="861"/>
      <c r="Q39" s="862"/>
      <c r="R39" s="755"/>
      <c r="S39" s="784"/>
      <c r="T39" s="784"/>
      <c r="U39" s="784"/>
    </row>
    <row r="40" spans="1:22" s="1570" customFormat="1" ht="15.75" customHeight="1">
      <c r="A40" s="824">
        <v>21</v>
      </c>
      <c r="B40" s="791" t="s">
        <v>555</v>
      </c>
      <c r="C40" s="825"/>
      <c r="D40" s="825"/>
      <c r="E40" s="826">
        <v>2</v>
      </c>
      <c r="F40" s="827">
        <v>9.3000000000000007</v>
      </c>
      <c r="G40" s="827">
        <v>2.81</v>
      </c>
      <c r="H40" s="828">
        <v>17697</v>
      </c>
      <c r="I40" s="828">
        <v>0</v>
      </c>
      <c r="J40" s="829">
        <v>0</v>
      </c>
      <c r="K40" s="830">
        <f>ROUND(I40*J40,2)</f>
        <v>0</v>
      </c>
      <c r="L40" s="829">
        <v>0.1</v>
      </c>
      <c r="M40" s="831">
        <f>I40*10%</f>
        <v>0</v>
      </c>
      <c r="N40" s="829">
        <v>0.3</v>
      </c>
      <c r="O40" s="830">
        <v>0</v>
      </c>
      <c r="P40" s="828">
        <f>O40+M40+I40</f>
        <v>0</v>
      </c>
      <c r="Q40" s="832">
        <f t="shared" ref="Q40:Q45" si="6">P40*12</f>
        <v>0</v>
      </c>
      <c r="S40" s="1571"/>
      <c r="T40" s="1572"/>
      <c r="U40" s="1571"/>
    </row>
    <row r="41" spans="1:22" s="1570" customFormat="1" ht="30">
      <c r="A41" s="824">
        <v>22</v>
      </c>
      <c r="B41" s="771" t="s">
        <v>556</v>
      </c>
      <c r="C41" s="825"/>
      <c r="D41" s="825"/>
      <c r="E41" s="826">
        <v>4</v>
      </c>
      <c r="F41" s="827">
        <v>1.5</v>
      </c>
      <c r="G41" s="827">
        <v>2.89</v>
      </c>
      <c r="H41" s="828">
        <v>17697</v>
      </c>
      <c r="I41" s="828">
        <v>0</v>
      </c>
      <c r="J41" s="829">
        <v>0</v>
      </c>
      <c r="K41" s="830">
        <f>ROUND(I41*J41,2)</f>
        <v>0</v>
      </c>
      <c r="L41" s="829">
        <v>0.1</v>
      </c>
      <c r="M41" s="831">
        <f>I41*10%</f>
        <v>0</v>
      </c>
      <c r="N41" s="829"/>
      <c r="O41" s="830">
        <v>0</v>
      </c>
      <c r="P41" s="828">
        <f t="shared" ref="P41:P45" si="7">O41+M41+I41</f>
        <v>0</v>
      </c>
      <c r="Q41" s="832">
        <f t="shared" si="6"/>
        <v>0</v>
      </c>
      <c r="R41" s="1573"/>
      <c r="S41" s="1572"/>
      <c r="T41" s="1572"/>
      <c r="U41" s="1571"/>
    </row>
    <row r="42" spans="1:22" s="1570" customFormat="1" ht="12.75" customHeight="1">
      <c r="A42" s="824">
        <v>23</v>
      </c>
      <c r="B42" s="771" t="s">
        <v>556</v>
      </c>
      <c r="C42" s="825"/>
      <c r="D42" s="825"/>
      <c r="E42" s="826">
        <v>2</v>
      </c>
      <c r="F42" s="827">
        <v>4.5</v>
      </c>
      <c r="G42" s="827">
        <v>2.81</v>
      </c>
      <c r="H42" s="828">
        <v>17697</v>
      </c>
      <c r="I42" s="828">
        <v>0</v>
      </c>
      <c r="J42" s="829"/>
      <c r="K42" s="830"/>
      <c r="L42" s="829">
        <v>0.1</v>
      </c>
      <c r="M42" s="831">
        <f>I42*10%</f>
        <v>0</v>
      </c>
      <c r="N42" s="829"/>
      <c r="O42" s="830">
        <v>0</v>
      </c>
      <c r="P42" s="828">
        <f>O42+M42+I42</f>
        <v>0</v>
      </c>
      <c r="Q42" s="832">
        <f t="shared" si="6"/>
        <v>0</v>
      </c>
      <c r="S42" s="1572"/>
      <c r="T42" s="1572"/>
      <c r="U42" s="1571"/>
    </row>
    <row r="43" spans="1:22" s="1570" customFormat="1" ht="11.25" customHeight="1">
      <c r="A43" s="824">
        <v>24</v>
      </c>
      <c r="B43" s="771" t="s">
        <v>358</v>
      </c>
      <c r="C43" s="825"/>
      <c r="D43" s="825"/>
      <c r="E43" s="826">
        <v>1</v>
      </c>
      <c r="F43" s="827">
        <v>1</v>
      </c>
      <c r="G43" s="827">
        <v>2.77</v>
      </c>
      <c r="H43" s="828">
        <v>17697</v>
      </c>
      <c r="I43" s="828">
        <v>0</v>
      </c>
      <c r="J43" s="829"/>
      <c r="K43" s="830"/>
      <c r="L43" s="829">
        <v>0.1</v>
      </c>
      <c r="M43" s="831">
        <f>ROUND(I43*L43*F43,2)</f>
        <v>0</v>
      </c>
      <c r="N43" s="829"/>
      <c r="O43" s="830">
        <v>0</v>
      </c>
      <c r="P43" s="828">
        <f t="shared" si="7"/>
        <v>0</v>
      </c>
      <c r="Q43" s="832">
        <f t="shared" si="6"/>
        <v>0</v>
      </c>
      <c r="S43" s="1572"/>
      <c r="T43" s="1572"/>
      <c r="U43" s="1571"/>
    </row>
    <row r="44" spans="1:22" s="1570" customFormat="1" ht="11.25" customHeight="1">
      <c r="A44" s="824">
        <v>25</v>
      </c>
      <c r="B44" s="802" t="s">
        <v>346</v>
      </c>
      <c r="C44" s="825"/>
      <c r="D44" s="825"/>
      <c r="E44" s="826">
        <v>1</v>
      </c>
      <c r="F44" s="827">
        <v>9</v>
      </c>
      <c r="G44" s="833">
        <v>2.77</v>
      </c>
      <c r="H44" s="828">
        <v>17697</v>
      </c>
      <c r="I44" s="828">
        <v>0</v>
      </c>
      <c r="J44" s="829"/>
      <c r="K44" s="830"/>
      <c r="L44" s="829">
        <v>0.1</v>
      </c>
      <c r="M44" s="831">
        <v>0</v>
      </c>
      <c r="N44" s="829">
        <v>0.5</v>
      </c>
      <c r="O44" s="830">
        <v>0</v>
      </c>
      <c r="P44" s="828">
        <v>0</v>
      </c>
      <c r="Q44" s="832">
        <f t="shared" si="6"/>
        <v>0</v>
      </c>
      <c r="S44" s="1572"/>
      <c r="T44" s="1572"/>
      <c r="U44" s="1571"/>
    </row>
    <row r="45" spans="1:22" s="1570" customFormat="1" ht="11.25" customHeight="1">
      <c r="A45" s="824">
        <v>26</v>
      </c>
      <c r="B45" s="803" t="s">
        <v>557</v>
      </c>
      <c r="C45" s="825"/>
      <c r="D45" s="825"/>
      <c r="E45" s="834">
        <v>1</v>
      </c>
      <c r="F45" s="835">
        <v>1</v>
      </c>
      <c r="G45" s="833">
        <v>2.77</v>
      </c>
      <c r="H45" s="828">
        <v>17697</v>
      </c>
      <c r="I45" s="828">
        <v>0</v>
      </c>
      <c r="J45" s="829"/>
      <c r="K45" s="830"/>
      <c r="L45" s="829">
        <v>0.1</v>
      </c>
      <c r="M45" s="831">
        <f>ROUND(I45*L45*F45,2)</f>
        <v>0</v>
      </c>
      <c r="N45" s="829"/>
      <c r="O45" s="830">
        <f>ROUND(H45*N45,2)</f>
        <v>0</v>
      </c>
      <c r="P45" s="828">
        <f t="shared" si="7"/>
        <v>0</v>
      </c>
      <c r="Q45" s="832">
        <f t="shared" si="6"/>
        <v>0</v>
      </c>
      <c r="S45" s="1572"/>
      <c r="T45" s="1572"/>
      <c r="U45" s="1571"/>
    </row>
    <row r="46" spans="1:22" s="801" customFormat="1" ht="20.25" customHeight="1" thickBot="1">
      <c r="A46" s="2287" t="s">
        <v>359</v>
      </c>
      <c r="B46" s="2288"/>
      <c r="C46" s="843"/>
      <c r="D46" s="843"/>
      <c r="E46" s="844"/>
      <c r="F46" s="847">
        <f>SUM(F39:F45)</f>
        <v>26.3</v>
      </c>
      <c r="G46" s="846"/>
      <c r="H46" s="845"/>
      <c r="I46" s="845">
        <v>0</v>
      </c>
      <c r="J46" s="845"/>
      <c r="K46" s="845">
        <f>SUM(K39:K45)</f>
        <v>0</v>
      </c>
      <c r="L46" s="845"/>
      <c r="M46" s="847">
        <f>SUM(M39:M45)</f>
        <v>0</v>
      </c>
      <c r="N46" s="845"/>
      <c r="O46" s="847">
        <f>SUM(O39:O45)</f>
        <v>0</v>
      </c>
      <c r="P46" s="847">
        <f>SUM(P39:P45)</f>
        <v>0</v>
      </c>
      <c r="Q46" s="848">
        <f>SUM(Q39:Q45)</f>
        <v>0</v>
      </c>
      <c r="R46" s="1568"/>
      <c r="S46" s="804"/>
      <c r="T46" s="805"/>
      <c r="U46" s="795"/>
    </row>
    <row r="47" spans="1:22" s="801" customFormat="1" ht="19.5" customHeight="1" thickBot="1">
      <c r="A47" s="2289" t="s">
        <v>558</v>
      </c>
      <c r="B47" s="2290"/>
      <c r="C47" s="1874"/>
      <c r="D47" s="1874"/>
      <c r="E47" s="853"/>
      <c r="F47" s="853">
        <f>F35+F38+F46</f>
        <v>170.57769999999999</v>
      </c>
      <c r="G47" s="855"/>
      <c r="H47" s="855"/>
      <c r="I47" s="855"/>
      <c r="J47" s="855"/>
      <c r="K47" s="853">
        <f>K38+K35</f>
        <v>69967.92</v>
      </c>
      <c r="L47" s="855"/>
      <c r="M47" s="853">
        <f>M35+M38+M46</f>
        <v>275781.27999999997</v>
      </c>
      <c r="N47" s="855">
        <f>N35+N38+N46</f>
        <v>0</v>
      </c>
      <c r="O47" s="853">
        <f>O35+O38+O46</f>
        <v>0</v>
      </c>
      <c r="P47" s="1945">
        <f>P35+P38+P46</f>
        <v>3116572.27</v>
      </c>
      <c r="Q47" s="1945">
        <f>Q46+Q38+Q35</f>
        <v>37398867.18</v>
      </c>
      <c r="R47" s="794"/>
      <c r="S47" s="945"/>
      <c r="T47" s="806"/>
      <c r="U47" s="806"/>
    </row>
    <row r="48" spans="1:22">
      <c r="R48" s="755"/>
      <c r="S48" s="2282"/>
      <c r="T48" s="808"/>
      <c r="U48" s="808"/>
    </row>
    <row r="49" spans="1:21" ht="15" customHeight="1">
      <c r="B49" s="1879" t="s">
        <v>53</v>
      </c>
      <c r="C49" s="1879"/>
      <c r="D49" s="1879"/>
      <c r="E49" s="1875"/>
      <c r="F49" s="1875"/>
      <c r="G49" s="1875"/>
      <c r="H49" s="810"/>
      <c r="I49" s="2291"/>
      <c r="J49" s="2291"/>
      <c r="K49" s="2291"/>
      <c r="L49" s="2291"/>
      <c r="M49" s="2291"/>
      <c r="N49" s="2291"/>
      <c r="O49" s="2291"/>
      <c r="P49" s="811"/>
      <c r="S49" s="2282"/>
      <c r="T49" s="812"/>
      <c r="U49" s="812"/>
    </row>
    <row r="50" spans="1:21">
      <c r="F50" s="1876" t="s">
        <v>559</v>
      </c>
      <c r="I50" s="2292" t="s">
        <v>560</v>
      </c>
      <c r="J50" s="2292"/>
      <c r="K50" s="2292"/>
      <c r="L50" s="2292"/>
      <c r="M50" s="2292"/>
      <c r="N50" s="2292"/>
      <c r="O50" s="2292"/>
      <c r="P50" s="811"/>
      <c r="S50" s="814"/>
      <c r="T50" s="815"/>
      <c r="U50" s="815"/>
    </row>
    <row r="51" spans="1:21">
      <c r="N51" s="816"/>
      <c r="P51" s="811"/>
      <c r="Q51" s="780"/>
      <c r="S51" s="784"/>
      <c r="T51" s="784"/>
      <c r="U51" s="784"/>
    </row>
    <row r="52" spans="1:21">
      <c r="A52" s="784"/>
      <c r="P52" s="811"/>
      <c r="S52" s="2282"/>
      <c r="T52" s="808"/>
      <c r="U52" s="808"/>
    </row>
    <row r="53" spans="1:21">
      <c r="A53" s="784"/>
      <c r="N53" s="816"/>
      <c r="S53" s="2282"/>
      <c r="T53" s="812"/>
      <c r="U53" s="812"/>
    </row>
    <row r="54" spans="1:21" s="818" customFormat="1" ht="41.25" customHeight="1">
      <c r="A54" s="817"/>
      <c r="B54" s="2283"/>
      <c r="C54" s="2283"/>
      <c r="D54" s="2283"/>
      <c r="E54" s="2284"/>
      <c r="F54" s="2284"/>
      <c r="G54" s="2284"/>
      <c r="H54" s="2284"/>
      <c r="I54" s="2284"/>
      <c r="J54" s="2284"/>
      <c r="K54" s="2284"/>
      <c r="L54" s="2284"/>
      <c r="M54" s="2284"/>
      <c r="N54" s="2284"/>
      <c r="O54" s="2284"/>
      <c r="P54" s="2284"/>
      <c r="Q54" s="2284"/>
      <c r="S54" s="817"/>
      <c r="T54" s="817"/>
      <c r="U54" s="817"/>
    </row>
    <row r="55" spans="1:21">
      <c r="A55" s="784"/>
      <c r="S55" s="2282"/>
      <c r="T55" s="808"/>
      <c r="U55" s="808"/>
    </row>
    <row r="56" spans="1:21" s="818" customFormat="1">
      <c r="A56" s="817"/>
      <c r="B56" s="2283"/>
      <c r="C56" s="2283"/>
      <c r="D56" s="2283"/>
      <c r="E56" s="2284"/>
      <c r="F56" s="2284"/>
      <c r="G56" s="2284"/>
      <c r="H56" s="2284"/>
      <c r="I56" s="2284"/>
      <c r="J56" s="2284"/>
      <c r="K56" s="2284"/>
      <c r="L56" s="2284"/>
      <c r="M56" s="2284"/>
      <c r="N56" s="819"/>
      <c r="O56" s="819"/>
      <c r="P56" s="819"/>
      <c r="S56" s="2282"/>
      <c r="T56" s="820"/>
      <c r="U56" s="820"/>
    </row>
    <row r="57" spans="1:21">
      <c r="A57" s="784"/>
    </row>
    <row r="58" spans="1:21">
      <c r="M58" s="811"/>
    </row>
  </sheetData>
  <mergeCells count="44">
    <mergeCell ref="G5:Q5"/>
    <mergeCell ref="G1:Q1"/>
    <mergeCell ref="B2:E2"/>
    <mergeCell ref="G2:Q2"/>
    <mergeCell ref="G3:P3"/>
    <mergeCell ref="I4:Q4"/>
    <mergeCell ref="F6:Q6"/>
    <mergeCell ref="G7:Q7"/>
    <mergeCell ref="B9:Q9"/>
    <mergeCell ref="A10:Q10"/>
    <mergeCell ref="A11:Q11"/>
    <mergeCell ref="W12:AC12"/>
    <mergeCell ref="U13:V13"/>
    <mergeCell ref="W13:AC13"/>
    <mergeCell ref="A12:Q12"/>
    <mergeCell ref="Q14:Q15"/>
    <mergeCell ref="W14:AC14"/>
    <mergeCell ref="U15:AC15"/>
    <mergeCell ref="H14:H15"/>
    <mergeCell ref="I14:I15"/>
    <mergeCell ref="J14:K14"/>
    <mergeCell ref="L14:M14"/>
    <mergeCell ref="A14:A15"/>
    <mergeCell ref="B14:B15"/>
    <mergeCell ref="C14:C15"/>
    <mergeCell ref="D14:D15"/>
    <mergeCell ref="E14:E15"/>
    <mergeCell ref="F14:F15"/>
    <mergeCell ref="G14:G15"/>
    <mergeCell ref="T16:AC16"/>
    <mergeCell ref="N14:O14"/>
    <mergeCell ref="P14:P15"/>
    <mergeCell ref="U17:AC17"/>
    <mergeCell ref="S52:S53"/>
    <mergeCell ref="B54:Q54"/>
    <mergeCell ref="S55:S56"/>
    <mergeCell ref="B56:M56"/>
    <mergeCell ref="A38:B38"/>
    <mergeCell ref="A46:B46"/>
    <mergeCell ref="A47:B47"/>
    <mergeCell ref="S48:S49"/>
    <mergeCell ref="I49:O49"/>
    <mergeCell ref="I50:O50"/>
    <mergeCell ref="A35:B35"/>
  </mergeCells>
  <pageMargins left="0.98425196850393704" right="0.19685039370078741" top="0.24" bottom="0.23622047244094491" header="0.23622047244094491" footer="0.23622047244094491"/>
  <pageSetup paperSize="9" scale="65" orientation="landscape" r:id="rId1"/>
  <headerFooter alignWithMargins="0"/>
  <colBreaks count="1" manualBreakCount="1">
    <brk id="1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26">
    <tabColor rgb="FF0070C0"/>
  </sheetPr>
  <dimension ref="A1:BQ179"/>
  <sheetViews>
    <sheetView topLeftCell="A46" zoomScale="80" zoomScaleNormal="80" zoomScaleSheetLayoutView="40" workbookViewId="0">
      <pane xSplit="3" topLeftCell="E1" activePane="topRight" state="frozen"/>
      <selection pane="topRight" activeCell="X166" sqref="X166"/>
    </sheetView>
  </sheetViews>
  <sheetFormatPr defaultRowHeight="12.75"/>
  <cols>
    <col min="1" max="1" width="6.42578125" style="1" customWidth="1"/>
    <col min="2" max="2" width="22.7109375" style="1" customWidth="1"/>
    <col min="3" max="3" width="15.5703125" style="1869" customWidth="1"/>
    <col min="4" max="4" width="12.85546875" style="1" customWidth="1"/>
    <col min="5" max="5" width="14.140625" style="1" customWidth="1"/>
    <col min="6" max="6" width="13.28515625" style="1" customWidth="1"/>
    <col min="7" max="7" width="7.42578125" style="1" customWidth="1"/>
    <col min="8" max="8" width="4.7109375" style="1" customWidth="1"/>
    <col min="9" max="9" width="8.5703125" style="1" customWidth="1"/>
    <col min="10" max="10" width="5.5703125" style="1" customWidth="1"/>
    <col min="11" max="11" width="15.5703125" style="1" customWidth="1"/>
    <col min="12" max="12" width="12.28515625" style="1" customWidth="1"/>
    <col min="13" max="13" width="12.85546875" style="1" customWidth="1"/>
    <col min="14" max="14" width="9.85546875" style="1869" customWidth="1"/>
    <col min="15" max="15" width="8.85546875" style="1" customWidth="1"/>
    <col min="16" max="16" width="14.140625" style="1" customWidth="1"/>
    <col min="17" max="17" width="14.85546875" style="1" customWidth="1"/>
    <col min="18" max="18" width="10.7109375" style="1" customWidth="1"/>
    <col min="19" max="19" width="12.140625" style="1" customWidth="1"/>
    <col min="20" max="20" width="11.85546875" style="1" customWidth="1"/>
    <col min="21" max="21" width="15.140625" style="1" customWidth="1"/>
    <col min="22" max="22" width="8.5703125" style="1" customWidth="1"/>
    <col min="23" max="23" width="9.7109375" style="1" customWidth="1"/>
    <col min="24" max="24" width="16.140625" style="1" customWidth="1"/>
    <col min="25" max="26" width="18.28515625" style="1" hidden="1" customWidth="1"/>
    <col min="27" max="27" width="13" style="24" hidden="1" customWidth="1"/>
    <col min="28" max="28" width="16" style="24" hidden="1" customWidth="1"/>
    <col min="29" max="29" width="13" style="24" hidden="1" customWidth="1"/>
    <col min="30" max="30" width="12" style="24" hidden="1" customWidth="1"/>
    <col min="31" max="33" width="0" style="24" hidden="1" customWidth="1"/>
    <col min="34" max="34" width="11.28515625" style="24" hidden="1" customWidth="1"/>
    <col min="35" max="35" width="1.5703125" style="24" hidden="1" customWidth="1"/>
    <col min="36" max="36" width="1" style="24" hidden="1" customWidth="1"/>
    <col min="37" max="37" width="12" style="23" bestFit="1" customWidth="1"/>
    <col min="38" max="38" width="12.140625" style="23" bestFit="1" customWidth="1"/>
    <col min="39" max="40" width="10.28515625" style="23" bestFit="1" customWidth="1"/>
    <col min="41" max="43" width="9.140625" style="23"/>
    <col min="44" max="69" width="9.140625" style="24"/>
    <col min="70" max="257" width="9.140625" style="1"/>
    <col min="258" max="258" width="6.42578125" style="1" customWidth="1"/>
    <col min="259" max="259" width="20.7109375" style="1" customWidth="1"/>
    <col min="260" max="260" width="24.7109375" style="1" customWidth="1"/>
    <col min="261" max="261" width="11.140625" style="1" customWidth="1"/>
    <col min="262" max="262" width="12.28515625" style="1" customWidth="1"/>
    <col min="263" max="263" width="11.140625" style="1" customWidth="1"/>
    <col min="264" max="264" width="10.42578125" style="1" customWidth="1"/>
    <col min="265" max="265" width="4.7109375" style="1" customWidth="1"/>
    <col min="266" max="266" width="8.5703125" style="1" customWidth="1"/>
    <col min="267" max="267" width="5.5703125" style="1" customWidth="1"/>
    <col min="268" max="269" width="11.5703125" style="1" customWidth="1"/>
    <col min="270" max="270" width="10.85546875" style="1" customWidth="1"/>
    <col min="271" max="271" width="7.7109375" style="1" customWidth="1"/>
    <col min="272" max="272" width="8" style="1" customWidth="1"/>
    <col min="273" max="273" width="16.28515625" style="1" customWidth="1"/>
    <col min="274" max="274" width="10.5703125" style="1" customWidth="1"/>
    <col min="275" max="275" width="14.140625" style="1" customWidth="1"/>
    <col min="276" max="276" width="10.140625" style="1" customWidth="1"/>
    <col min="277" max="277" width="15.140625" style="1" customWidth="1"/>
    <col min="278" max="278" width="8.5703125" style="1" customWidth="1"/>
    <col min="279" max="279" width="14.28515625" style="1" customWidth="1"/>
    <col min="280" max="280" width="18.28515625" style="1" customWidth="1"/>
    <col min="281" max="281" width="13" style="1" bestFit="1" customWidth="1"/>
    <col min="282" max="282" width="11.7109375" style="1" bestFit="1" customWidth="1"/>
    <col min="283" max="289" width="9.140625" style="1"/>
    <col min="290" max="290" width="11.28515625" style="1" bestFit="1" customWidth="1"/>
    <col min="291" max="291" width="10.7109375" style="1" bestFit="1" customWidth="1"/>
    <col min="292" max="513" width="9.140625" style="1"/>
    <col min="514" max="514" width="6.42578125" style="1" customWidth="1"/>
    <col min="515" max="515" width="20.7109375" style="1" customWidth="1"/>
    <col min="516" max="516" width="24.7109375" style="1" customWidth="1"/>
    <col min="517" max="517" width="11.140625" style="1" customWidth="1"/>
    <col min="518" max="518" width="12.28515625" style="1" customWidth="1"/>
    <col min="519" max="519" width="11.140625" style="1" customWidth="1"/>
    <col min="520" max="520" width="10.42578125" style="1" customWidth="1"/>
    <col min="521" max="521" width="4.7109375" style="1" customWidth="1"/>
    <col min="522" max="522" width="8.5703125" style="1" customWidth="1"/>
    <col min="523" max="523" width="5.5703125" style="1" customWidth="1"/>
    <col min="524" max="525" width="11.5703125" style="1" customWidth="1"/>
    <col min="526" max="526" width="10.85546875" style="1" customWidth="1"/>
    <col min="527" max="527" width="7.7109375" style="1" customWidth="1"/>
    <col min="528" max="528" width="8" style="1" customWidth="1"/>
    <col min="529" max="529" width="16.28515625" style="1" customWidth="1"/>
    <col min="530" max="530" width="10.5703125" style="1" customWidth="1"/>
    <col min="531" max="531" width="14.140625" style="1" customWidth="1"/>
    <col min="532" max="532" width="10.140625" style="1" customWidth="1"/>
    <col min="533" max="533" width="15.140625" style="1" customWidth="1"/>
    <col min="534" max="534" width="8.5703125" style="1" customWidth="1"/>
    <col min="535" max="535" width="14.28515625" style="1" customWidth="1"/>
    <col min="536" max="536" width="18.28515625" style="1" customWidth="1"/>
    <col min="537" max="537" width="13" style="1" bestFit="1" customWidth="1"/>
    <col min="538" max="538" width="11.7109375" style="1" bestFit="1" customWidth="1"/>
    <col min="539" max="545" width="9.140625" style="1"/>
    <col min="546" max="546" width="11.28515625" style="1" bestFit="1" customWidth="1"/>
    <col min="547" max="547" width="10.7109375" style="1" bestFit="1" customWidth="1"/>
    <col min="548" max="769" width="9.140625" style="1"/>
    <col min="770" max="770" width="6.42578125" style="1" customWidth="1"/>
    <col min="771" max="771" width="20.7109375" style="1" customWidth="1"/>
    <col min="772" max="772" width="24.7109375" style="1" customWidth="1"/>
    <col min="773" max="773" width="11.140625" style="1" customWidth="1"/>
    <col min="774" max="774" width="12.28515625" style="1" customWidth="1"/>
    <col min="775" max="775" width="11.140625" style="1" customWidth="1"/>
    <col min="776" max="776" width="10.42578125" style="1" customWidth="1"/>
    <col min="777" max="777" width="4.7109375" style="1" customWidth="1"/>
    <col min="778" max="778" width="8.5703125" style="1" customWidth="1"/>
    <col min="779" max="779" width="5.5703125" style="1" customWidth="1"/>
    <col min="780" max="781" width="11.5703125" style="1" customWidth="1"/>
    <col min="782" max="782" width="10.85546875" style="1" customWidth="1"/>
    <col min="783" max="783" width="7.7109375" style="1" customWidth="1"/>
    <col min="784" max="784" width="8" style="1" customWidth="1"/>
    <col min="785" max="785" width="16.28515625" style="1" customWidth="1"/>
    <col min="786" max="786" width="10.5703125" style="1" customWidth="1"/>
    <col min="787" max="787" width="14.140625" style="1" customWidth="1"/>
    <col min="788" max="788" width="10.140625" style="1" customWidth="1"/>
    <col min="789" max="789" width="15.140625" style="1" customWidth="1"/>
    <col min="790" max="790" width="8.5703125" style="1" customWidth="1"/>
    <col min="791" max="791" width="14.28515625" style="1" customWidth="1"/>
    <col min="792" max="792" width="18.28515625" style="1" customWidth="1"/>
    <col min="793" max="793" width="13" style="1" bestFit="1" customWidth="1"/>
    <col min="794" max="794" width="11.7109375" style="1" bestFit="1" customWidth="1"/>
    <col min="795" max="801" width="9.140625" style="1"/>
    <col min="802" max="802" width="11.28515625" style="1" bestFit="1" customWidth="1"/>
    <col min="803" max="803" width="10.7109375" style="1" bestFit="1" customWidth="1"/>
    <col min="804" max="1025" width="9.140625" style="1"/>
    <col min="1026" max="1026" width="6.42578125" style="1" customWidth="1"/>
    <col min="1027" max="1027" width="20.7109375" style="1" customWidth="1"/>
    <col min="1028" max="1028" width="24.7109375" style="1" customWidth="1"/>
    <col min="1029" max="1029" width="11.140625" style="1" customWidth="1"/>
    <col min="1030" max="1030" width="12.28515625" style="1" customWidth="1"/>
    <col min="1031" max="1031" width="11.140625" style="1" customWidth="1"/>
    <col min="1032" max="1032" width="10.42578125" style="1" customWidth="1"/>
    <col min="1033" max="1033" width="4.7109375" style="1" customWidth="1"/>
    <col min="1034" max="1034" width="8.5703125" style="1" customWidth="1"/>
    <col min="1035" max="1035" width="5.5703125" style="1" customWidth="1"/>
    <col min="1036" max="1037" width="11.5703125" style="1" customWidth="1"/>
    <col min="1038" max="1038" width="10.85546875" style="1" customWidth="1"/>
    <col min="1039" max="1039" width="7.7109375" style="1" customWidth="1"/>
    <col min="1040" max="1040" width="8" style="1" customWidth="1"/>
    <col min="1041" max="1041" width="16.28515625" style="1" customWidth="1"/>
    <col min="1042" max="1042" width="10.5703125" style="1" customWidth="1"/>
    <col min="1043" max="1043" width="14.140625" style="1" customWidth="1"/>
    <col min="1044" max="1044" width="10.140625" style="1" customWidth="1"/>
    <col min="1045" max="1045" width="15.140625" style="1" customWidth="1"/>
    <col min="1046" max="1046" width="8.5703125" style="1" customWidth="1"/>
    <col min="1047" max="1047" width="14.28515625" style="1" customWidth="1"/>
    <col min="1048" max="1048" width="18.28515625" style="1" customWidth="1"/>
    <col min="1049" max="1049" width="13" style="1" bestFit="1" customWidth="1"/>
    <col min="1050" max="1050" width="11.7109375" style="1" bestFit="1" customWidth="1"/>
    <col min="1051" max="1057" width="9.140625" style="1"/>
    <col min="1058" max="1058" width="11.28515625" style="1" bestFit="1" customWidth="1"/>
    <col min="1059" max="1059" width="10.7109375" style="1" bestFit="1" customWidth="1"/>
    <col min="1060" max="1281" width="9.140625" style="1"/>
    <col min="1282" max="1282" width="6.42578125" style="1" customWidth="1"/>
    <col min="1283" max="1283" width="20.7109375" style="1" customWidth="1"/>
    <col min="1284" max="1284" width="24.7109375" style="1" customWidth="1"/>
    <col min="1285" max="1285" width="11.140625" style="1" customWidth="1"/>
    <col min="1286" max="1286" width="12.28515625" style="1" customWidth="1"/>
    <col min="1287" max="1287" width="11.140625" style="1" customWidth="1"/>
    <col min="1288" max="1288" width="10.42578125" style="1" customWidth="1"/>
    <col min="1289" max="1289" width="4.7109375" style="1" customWidth="1"/>
    <col min="1290" max="1290" width="8.5703125" style="1" customWidth="1"/>
    <col min="1291" max="1291" width="5.5703125" style="1" customWidth="1"/>
    <col min="1292" max="1293" width="11.5703125" style="1" customWidth="1"/>
    <col min="1294" max="1294" width="10.85546875" style="1" customWidth="1"/>
    <col min="1295" max="1295" width="7.7109375" style="1" customWidth="1"/>
    <col min="1296" max="1296" width="8" style="1" customWidth="1"/>
    <col min="1297" max="1297" width="16.28515625" style="1" customWidth="1"/>
    <col min="1298" max="1298" width="10.5703125" style="1" customWidth="1"/>
    <col min="1299" max="1299" width="14.140625" style="1" customWidth="1"/>
    <col min="1300" max="1300" width="10.140625" style="1" customWidth="1"/>
    <col min="1301" max="1301" width="15.140625" style="1" customWidth="1"/>
    <col min="1302" max="1302" width="8.5703125" style="1" customWidth="1"/>
    <col min="1303" max="1303" width="14.28515625" style="1" customWidth="1"/>
    <col min="1304" max="1304" width="18.28515625" style="1" customWidth="1"/>
    <col min="1305" max="1305" width="13" style="1" bestFit="1" customWidth="1"/>
    <col min="1306" max="1306" width="11.7109375" style="1" bestFit="1" customWidth="1"/>
    <col min="1307" max="1313" width="9.140625" style="1"/>
    <col min="1314" max="1314" width="11.28515625" style="1" bestFit="1" customWidth="1"/>
    <col min="1315" max="1315" width="10.7109375" style="1" bestFit="1" customWidth="1"/>
    <col min="1316" max="1537" width="9.140625" style="1"/>
    <col min="1538" max="1538" width="6.42578125" style="1" customWidth="1"/>
    <col min="1539" max="1539" width="20.7109375" style="1" customWidth="1"/>
    <col min="1540" max="1540" width="24.7109375" style="1" customWidth="1"/>
    <col min="1541" max="1541" width="11.140625" style="1" customWidth="1"/>
    <col min="1542" max="1542" width="12.28515625" style="1" customWidth="1"/>
    <col min="1543" max="1543" width="11.140625" style="1" customWidth="1"/>
    <col min="1544" max="1544" width="10.42578125" style="1" customWidth="1"/>
    <col min="1545" max="1545" width="4.7109375" style="1" customWidth="1"/>
    <col min="1546" max="1546" width="8.5703125" style="1" customWidth="1"/>
    <col min="1547" max="1547" width="5.5703125" style="1" customWidth="1"/>
    <col min="1548" max="1549" width="11.5703125" style="1" customWidth="1"/>
    <col min="1550" max="1550" width="10.85546875" style="1" customWidth="1"/>
    <col min="1551" max="1551" width="7.7109375" style="1" customWidth="1"/>
    <col min="1552" max="1552" width="8" style="1" customWidth="1"/>
    <col min="1553" max="1553" width="16.28515625" style="1" customWidth="1"/>
    <col min="1554" max="1554" width="10.5703125" style="1" customWidth="1"/>
    <col min="1555" max="1555" width="14.140625" style="1" customWidth="1"/>
    <col min="1556" max="1556" width="10.140625" style="1" customWidth="1"/>
    <col min="1557" max="1557" width="15.140625" style="1" customWidth="1"/>
    <col min="1558" max="1558" width="8.5703125" style="1" customWidth="1"/>
    <col min="1559" max="1559" width="14.28515625" style="1" customWidth="1"/>
    <col min="1560" max="1560" width="18.28515625" style="1" customWidth="1"/>
    <col min="1561" max="1561" width="13" style="1" bestFit="1" customWidth="1"/>
    <col min="1562" max="1562" width="11.7109375" style="1" bestFit="1" customWidth="1"/>
    <col min="1563" max="1569" width="9.140625" style="1"/>
    <col min="1570" max="1570" width="11.28515625" style="1" bestFit="1" customWidth="1"/>
    <col min="1571" max="1571" width="10.7109375" style="1" bestFit="1" customWidth="1"/>
    <col min="1572" max="1793" width="9.140625" style="1"/>
    <col min="1794" max="1794" width="6.42578125" style="1" customWidth="1"/>
    <col min="1795" max="1795" width="20.7109375" style="1" customWidth="1"/>
    <col min="1796" max="1796" width="24.7109375" style="1" customWidth="1"/>
    <col min="1797" max="1797" width="11.140625" style="1" customWidth="1"/>
    <col min="1798" max="1798" width="12.28515625" style="1" customWidth="1"/>
    <col min="1799" max="1799" width="11.140625" style="1" customWidth="1"/>
    <col min="1800" max="1800" width="10.42578125" style="1" customWidth="1"/>
    <col min="1801" max="1801" width="4.7109375" style="1" customWidth="1"/>
    <col min="1802" max="1802" width="8.5703125" style="1" customWidth="1"/>
    <col min="1803" max="1803" width="5.5703125" style="1" customWidth="1"/>
    <col min="1804" max="1805" width="11.5703125" style="1" customWidth="1"/>
    <col min="1806" max="1806" width="10.85546875" style="1" customWidth="1"/>
    <col min="1807" max="1807" width="7.7109375" style="1" customWidth="1"/>
    <col min="1808" max="1808" width="8" style="1" customWidth="1"/>
    <col min="1809" max="1809" width="16.28515625" style="1" customWidth="1"/>
    <col min="1810" max="1810" width="10.5703125" style="1" customWidth="1"/>
    <col min="1811" max="1811" width="14.140625" style="1" customWidth="1"/>
    <col min="1812" max="1812" width="10.140625" style="1" customWidth="1"/>
    <col min="1813" max="1813" width="15.140625" style="1" customWidth="1"/>
    <col min="1814" max="1814" width="8.5703125" style="1" customWidth="1"/>
    <col min="1815" max="1815" width="14.28515625" style="1" customWidth="1"/>
    <col min="1816" max="1816" width="18.28515625" style="1" customWidth="1"/>
    <col min="1817" max="1817" width="13" style="1" bestFit="1" customWidth="1"/>
    <col min="1818" max="1818" width="11.7109375" style="1" bestFit="1" customWidth="1"/>
    <col min="1819" max="1825" width="9.140625" style="1"/>
    <col min="1826" max="1826" width="11.28515625" style="1" bestFit="1" customWidth="1"/>
    <col min="1827" max="1827" width="10.7109375" style="1" bestFit="1" customWidth="1"/>
    <col min="1828" max="2049" width="9.140625" style="1"/>
    <col min="2050" max="2050" width="6.42578125" style="1" customWidth="1"/>
    <col min="2051" max="2051" width="20.7109375" style="1" customWidth="1"/>
    <col min="2052" max="2052" width="24.7109375" style="1" customWidth="1"/>
    <col min="2053" max="2053" width="11.140625" style="1" customWidth="1"/>
    <col min="2054" max="2054" width="12.28515625" style="1" customWidth="1"/>
    <col min="2055" max="2055" width="11.140625" style="1" customWidth="1"/>
    <col min="2056" max="2056" width="10.42578125" style="1" customWidth="1"/>
    <col min="2057" max="2057" width="4.7109375" style="1" customWidth="1"/>
    <col min="2058" max="2058" width="8.5703125" style="1" customWidth="1"/>
    <col min="2059" max="2059" width="5.5703125" style="1" customWidth="1"/>
    <col min="2060" max="2061" width="11.5703125" style="1" customWidth="1"/>
    <col min="2062" max="2062" width="10.85546875" style="1" customWidth="1"/>
    <col min="2063" max="2063" width="7.7109375" style="1" customWidth="1"/>
    <col min="2064" max="2064" width="8" style="1" customWidth="1"/>
    <col min="2065" max="2065" width="16.28515625" style="1" customWidth="1"/>
    <col min="2066" max="2066" width="10.5703125" style="1" customWidth="1"/>
    <col min="2067" max="2067" width="14.140625" style="1" customWidth="1"/>
    <col min="2068" max="2068" width="10.140625" style="1" customWidth="1"/>
    <col min="2069" max="2069" width="15.140625" style="1" customWidth="1"/>
    <col min="2070" max="2070" width="8.5703125" style="1" customWidth="1"/>
    <col min="2071" max="2071" width="14.28515625" style="1" customWidth="1"/>
    <col min="2072" max="2072" width="18.28515625" style="1" customWidth="1"/>
    <col min="2073" max="2073" width="13" style="1" bestFit="1" customWidth="1"/>
    <col min="2074" max="2074" width="11.7109375" style="1" bestFit="1" customWidth="1"/>
    <col min="2075" max="2081" width="9.140625" style="1"/>
    <col min="2082" max="2082" width="11.28515625" style="1" bestFit="1" customWidth="1"/>
    <col min="2083" max="2083" width="10.7109375" style="1" bestFit="1" customWidth="1"/>
    <col min="2084" max="2305" width="9.140625" style="1"/>
    <col min="2306" max="2306" width="6.42578125" style="1" customWidth="1"/>
    <col min="2307" max="2307" width="20.7109375" style="1" customWidth="1"/>
    <col min="2308" max="2308" width="24.7109375" style="1" customWidth="1"/>
    <col min="2309" max="2309" width="11.140625" style="1" customWidth="1"/>
    <col min="2310" max="2310" width="12.28515625" style="1" customWidth="1"/>
    <col min="2311" max="2311" width="11.140625" style="1" customWidth="1"/>
    <col min="2312" max="2312" width="10.42578125" style="1" customWidth="1"/>
    <col min="2313" max="2313" width="4.7109375" style="1" customWidth="1"/>
    <col min="2314" max="2314" width="8.5703125" style="1" customWidth="1"/>
    <col min="2315" max="2315" width="5.5703125" style="1" customWidth="1"/>
    <col min="2316" max="2317" width="11.5703125" style="1" customWidth="1"/>
    <col min="2318" max="2318" width="10.85546875" style="1" customWidth="1"/>
    <col min="2319" max="2319" width="7.7109375" style="1" customWidth="1"/>
    <col min="2320" max="2320" width="8" style="1" customWidth="1"/>
    <col min="2321" max="2321" width="16.28515625" style="1" customWidth="1"/>
    <col min="2322" max="2322" width="10.5703125" style="1" customWidth="1"/>
    <col min="2323" max="2323" width="14.140625" style="1" customWidth="1"/>
    <col min="2324" max="2324" width="10.140625" style="1" customWidth="1"/>
    <col min="2325" max="2325" width="15.140625" style="1" customWidth="1"/>
    <col min="2326" max="2326" width="8.5703125" style="1" customWidth="1"/>
    <col min="2327" max="2327" width="14.28515625" style="1" customWidth="1"/>
    <col min="2328" max="2328" width="18.28515625" style="1" customWidth="1"/>
    <col min="2329" max="2329" width="13" style="1" bestFit="1" customWidth="1"/>
    <col min="2330" max="2330" width="11.7109375" style="1" bestFit="1" customWidth="1"/>
    <col min="2331" max="2337" width="9.140625" style="1"/>
    <col min="2338" max="2338" width="11.28515625" style="1" bestFit="1" customWidth="1"/>
    <col min="2339" max="2339" width="10.7109375" style="1" bestFit="1" customWidth="1"/>
    <col min="2340" max="2561" width="9.140625" style="1"/>
    <col min="2562" max="2562" width="6.42578125" style="1" customWidth="1"/>
    <col min="2563" max="2563" width="20.7109375" style="1" customWidth="1"/>
    <col min="2564" max="2564" width="24.7109375" style="1" customWidth="1"/>
    <col min="2565" max="2565" width="11.140625" style="1" customWidth="1"/>
    <col min="2566" max="2566" width="12.28515625" style="1" customWidth="1"/>
    <col min="2567" max="2567" width="11.140625" style="1" customWidth="1"/>
    <col min="2568" max="2568" width="10.42578125" style="1" customWidth="1"/>
    <col min="2569" max="2569" width="4.7109375" style="1" customWidth="1"/>
    <col min="2570" max="2570" width="8.5703125" style="1" customWidth="1"/>
    <col min="2571" max="2571" width="5.5703125" style="1" customWidth="1"/>
    <col min="2572" max="2573" width="11.5703125" style="1" customWidth="1"/>
    <col min="2574" max="2574" width="10.85546875" style="1" customWidth="1"/>
    <col min="2575" max="2575" width="7.7109375" style="1" customWidth="1"/>
    <col min="2576" max="2576" width="8" style="1" customWidth="1"/>
    <col min="2577" max="2577" width="16.28515625" style="1" customWidth="1"/>
    <col min="2578" max="2578" width="10.5703125" style="1" customWidth="1"/>
    <col min="2579" max="2579" width="14.140625" style="1" customWidth="1"/>
    <col min="2580" max="2580" width="10.140625" style="1" customWidth="1"/>
    <col min="2581" max="2581" width="15.140625" style="1" customWidth="1"/>
    <col min="2582" max="2582" width="8.5703125" style="1" customWidth="1"/>
    <col min="2583" max="2583" width="14.28515625" style="1" customWidth="1"/>
    <col min="2584" max="2584" width="18.28515625" style="1" customWidth="1"/>
    <col min="2585" max="2585" width="13" style="1" bestFit="1" customWidth="1"/>
    <col min="2586" max="2586" width="11.7109375" style="1" bestFit="1" customWidth="1"/>
    <col min="2587" max="2593" width="9.140625" style="1"/>
    <col min="2594" max="2594" width="11.28515625" style="1" bestFit="1" customWidth="1"/>
    <col min="2595" max="2595" width="10.7109375" style="1" bestFit="1" customWidth="1"/>
    <col min="2596" max="2817" width="9.140625" style="1"/>
    <col min="2818" max="2818" width="6.42578125" style="1" customWidth="1"/>
    <col min="2819" max="2819" width="20.7109375" style="1" customWidth="1"/>
    <col min="2820" max="2820" width="24.7109375" style="1" customWidth="1"/>
    <col min="2821" max="2821" width="11.140625" style="1" customWidth="1"/>
    <col min="2822" max="2822" width="12.28515625" style="1" customWidth="1"/>
    <col min="2823" max="2823" width="11.140625" style="1" customWidth="1"/>
    <col min="2824" max="2824" width="10.42578125" style="1" customWidth="1"/>
    <col min="2825" max="2825" width="4.7109375" style="1" customWidth="1"/>
    <col min="2826" max="2826" width="8.5703125" style="1" customWidth="1"/>
    <col min="2827" max="2827" width="5.5703125" style="1" customWidth="1"/>
    <col min="2828" max="2829" width="11.5703125" style="1" customWidth="1"/>
    <col min="2830" max="2830" width="10.85546875" style="1" customWidth="1"/>
    <col min="2831" max="2831" width="7.7109375" style="1" customWidth="1"/>
    <col min="2832" max="2832" width="8" style="1" customWidth="1"/>
    <col min="2833" max="2833" width="16.28515625" style="1" customWidth="1"/>
    <col min="2834" max="2834" width="10.5703125" style="1" customWidth="1"/>
    <col min="2835" max="2835" width="14.140625" style="1" customWidth="1"/>
    <col min="2836" max="2836" width="10.140625" style="1" customWidth="1"/>
    <col min="2837" max="2837" width="15.140625" style="1" customWidth="1"/>
    <col min="2838" max="2838" width="8.5703125" style="1" customWidth="1"/>
    <col min="2839" max="2839" width="14.28515625" style="1" customWidth="1"/>
    <col min="2840" max="2840" width="18.28515625" style="1" customWidth="1"/>
    <col min="2841" max="2841" width="13" style="1" bestFit="1" customWidth="1"/>
    <col min="2842" max="2842" width="11.7109375" style="1" bestFit="1" customWidth="1"/>
    <col min="2843" max="2849" width="9.140625" style="1"/>
    <col min="2850" max="2850" width="11.28515625" style="1" bestFit="1" customWidth="1"/>
    <col min="2851" max="2851" width="10.7109375" style="1" bestFit="1" customWidth="1"/>
    <col min="2852" max="3073" width="9.140625" style="1"/>
    <col min="3074" max="3074" width="6.42578125" style="1" customWidth="1"/>
    <col min="3075" max="3075" width="20.7109375" style="1" customWidth="1"/>
    <col min="3076" max="3076" width="24.7109375" style="1" customWidth="1"/>
    <col min="3077" max="3077" width="11.140625" style="1" customWidth="1"/>
    <col min="3078" max="3078" width="12.28515625" style="1" customWidth="1"/>
    <col min="3079" max="3079" width="11.140625" style="1" customWidth="1"/>
    <col min="3080" max="3080" width="10.42578125" style="1" customWidth="1"/>
    <col min="3081" max="3081" width="4.7109375" style="1" customWidth="1"/>
    <col min="3082" max="3082" width="8.5703125" style="1" customWidth="1"/>
    <col min="3083" max="3083" width="5.5703125" style="1" customWidth="1"/>
    <col min="3084" max="3085" width="11.5703125" style="1" customWidth="1"/>
    <col min="3086" max="3086" width="10.85546875" style="1" customWidth="1"/>
    <col min="3087" max="3087" width="7.7109375" style="1" customWidth="1"/>
    <col min="3088" max="3088" width="8" style="1" customWidth="1"/>
    <col min="3089" max="3089" width="16.28515625" style="1" customWidth="1"/>
    <col min="3090" max="3090" width="10.5703125" style="1" customWidth="1"/>
    <col min="3091" max="3091" width="14.140625" style="1" customWidth="1"/>
    <col min="3092" max="3092" width="10.140625" style="1" customWidth="1"/>
    <col min="3093" max="3093" width="15.140625" style="1" customWidth="1"/>
    <col min="3094" max="3094" width="8.5703125" style="1" customWidth="1"/>
    <col min="3095" max="3095" width="14.28515625" style="1" customWidth="1"/>
    <col min="3096" max="3096" width="18.28515625" style="1" customWidth="1"/>
    <col min="3097" max="3097" width="13" style="1" bestFit="1" customWidth="1"/>
    <col min="3098" max="3098" width="11.7109375" style="1" bestFit="1" customWidth="1"/>
    <col min="3099" max="3105" width="9.140625" style="1"/>
    <col min="3106" max="3106" width="11.28515625" style="1" bestFit="1" customWidth="1"/>
    <col min="3107" max="3107" width="10.7109375" style="1" bestFit="1" customWidth="1"/>
    <col min="3108" max="3329" width="9.140625" style="1"/>
    <col min="3330" max="3330" width="6.42578125" style="1" customWidth="1"/>
    <col min="3331" max="3331" width="20.7109375" style="1" customWidth="1"/>
    <col min="3332" max="3332" width="24.7109375" style="1" customWidth="1"/>
    <col min="3333" max="3333" width="11.140625" style="1" customWidth="1"/>
    <col min="3334" max="3334" width="12.28515625" style="1" customWidth="1"/>
    <col min="3335" max="3335" width="11.140625" style="1" customWidth="1"/>
    <col min="3336" max="3336" width="10.42578125" style="1" customWidth="1"/>
    <col min="3337" max="3337" width="4.7109375" style="1" customWidth="1"/>
    <col min="3338" max="3338" width="8.5703125" style="1" customWidth="1"/>
    <col min="3339" max="3339" width="5.5703125" style="1" customWidth="1"/>
    <col min="3340" max="3341" width="11.5703125" style="1" customWidth="1"/>
    <col min="3342" max="3342" width="10.85546875" style="1" customWidth="1"/>
    <col min="3343" max="3343" width="7.7109375" style="1" customWidth="1"/>
    <col min="3344" max="3344" width="8" style="1" customWidth="1"/>
    <col min="3345" max="3345" width="16.28515625" style="1" customWidth="1"/>
    <col min="3346" max="3346" width="10.5703125" style="1" customWidth="1"/>
    <col min="3347" max="3347" width="14.140625" style="1" customWidth="1"/>
    <col min="3348" max="3348" width="10.140625" style="1" customWidth="1"/>
    <col min="3349" max="3349" width="15.140625" style="1" customWidth="1"/>
    <col min="3350" max="3350" width="8.5703125" style="1" customWidth="1"/>
    <col min="3351" max="3351" width="14.28515625" style="1" customWidth="1"/>
    <col min="3352" max="3352" width="18.28515625" style="1" customWidth="1"/>
    <col min="3353" max="3353" width="13" style="1" bestFit="1" customWidth="1"/>
    <col min="3354" max="3354" width="11.7109375" style="1" bestFit="1" customWidth="1"/>
    <col min="3355" max="3361" width="9.140625" style="1"/>
    <col min="3362" max="3362" width="11.28515625" style="1" bestFit="1" customWidth="1"/>
    <col min="3363" max="3363" width="10.7109375" style="1" bestFit="1" customWidth="1"/>
    <col min="3364" max="3585" width="9.140625" style="1"/>
    <col min="3586" max="3586" width="6.42578125" style="1" customWidth="1"/>
    <col min="3587" max="3587" width="20.7109375" style="1" customWidth="1"/>
    <col min="3588" max="3588" width="24.7109375" style="1" customWidth="1"/>
    <col min="3589" max="3589" width="11.140625" style="1" customWidth="1"/>
    <col min="3590" max="3590" width="12.28515625" style="1" customWidth="1"/>
    <col min="3591" max="3591" width="11.140625" style="1" customWidth="1"/>
    <col min="3592" max="3592" width="10.42578125" style="1" customWidth="1"/>
    <col min="3593" max="3593" width="4.7109375" style="1" customWidth="1"/>
    <col min="3594" max="3594" width="8.5703125" style="1" customWidth="1"/>
    <col min="3595" max="3595" width="5.5703125" style="1" customWidth="1"/>
    <col min="3596" max="3597" width="11.5703125" style="1" customWidth="1"/>
    <col min="3598" max="3598" width="10.85546875" style="1" customWidth="1"/>
    <col min="3599" max="3599" width="7.7109375" style="1" customWidth="1"/>
    <col min="3600" max="3600" width="8" style="1" customWidth="1"/>
    <col min="3601" max="3601" width="16.28515625" style="1" customWidth="1"/>
    <col min="3602" max="3602" width="10.5703125" style="1" customWidth="1"/>
    <col min="3603" max="3603" width="14.140625" style="1" customWidth="1"/>
    <col min="3604" max="3604" width="10.140625" style="1" customWidth="1"/>
    <col min="3605" max="3605" width="15.140625" style="1" customWidth="1"/>
    <col min="3606" max="3606" width="8.5703125" style="1" customWidth="1"/>
    <col min="3607" max="3607" width="14.28515625" style="1" customWidth="1"/>
    <col min="3608" max="3608" width="18.28515625" style="1" customWidth="1"/>
    <col min="3609" max="3609" width="13" style="1" bestFit="1" customWidth="1"/>
    <col min="3610" max="3610" width="11.7109375" style="1" bestFit="1" customWidth="1"/>
    <col min="3611" max="3617" width="9.140625" style="1"/>
    <col min="3618" max="3618" width="11.28515625" style="1" bestFit="1" customWidth="1"/>
    <col min="3619" max="3619" width="10.7109375" style="1" bestFit="1" customWidth="1"/>
    <col min="3620" max="3841" width="9.140625" style="1"/>
    <col min="3842" max="3842" width="6.42578125" style="1" customWidth="1"/>
    <col min="3843" max="3843" width="20.7109375" style="1" customWidth="1"/>
    <col min="3844" max="3844" width="24.7109375" style="1" customWidth="1"/>
    <col min="3845" max="3845" width="11.140625" style="1" customWidth="1"/>
    <col min="3846" max="3846" width="12.28515625" style="1" customWidth="1"/>
    <col min="3847" max="3847" width="11.140625" style="1" customWidth="1"/>
    <col min="3848" max="3848" width="10.42578125" style="1" customWidth="1"/>
    <col min="3849" max="3849" width="4.7109375" style="1" customWidth="1"/>
    <col min="3850" max="3850" width="8.5703125" style="1" customWidth="1"/>
    <col min="3851" max="3851" width="5.5703125" style="1" customWidth="1"/>
    <col min="3852" max="3853" width="11.5703125" style="1" customWidth="1"/>
    <col min="3854" max="3854" width="10.85546875" style="1" customWidth="1"/>
    <col min="3855" max="3855" width="7.7109375" style="1" customWidth="1"/>
    <col min="3856" max="3856" width="8" style="1" customWidth="1"/>
    <col min="3857" max="3857" width="16.28515625" style="1" customWidth="1"/>
    <col min="3858" max="3858" width="10.5703125" style="1" customWidth="1"/>
    <col min="3859" max="3859" width="14.140625" style="1" customWidth="1"/>
    <col min="3860" max="3860" width="10.140625" style="1" customWidth="1"/>
    <col min="3861" max="3861" width="15.140625" style="1" customWidth="1"/>
    <col min="3862" max="3862" width="8.5703125" style="1" customWidth="1"/>
    <col min="3863" max="3863" width="14.28515625" style="1" customWidth="1"/>
    <col min="3864" max="3864" width="18.28515625" style="1" customWidth="1"/>
    <col min="3865" max="3865" width="13" style="1" bestFit="1" customWidth="1"/>
    <col min="3866" max="3866" width="11.7109375" style="1" bestFit="1" customWidth="1"/>
    <col min="3867" max="3873" width="9.140625" style="1"/>
    <col min="3874" max="3874" width="11.28515625" style="1" bestFit="1" customWidth="1"/>
    <col min="3875" max="3875" width="10.7109375" style="1" bestFit="1" customWidth="1"/>
    <col min="3876" max="4097" width="9.140625" style="1"/>
    <col min="4098" max="4098" width="6.42578125" style="1" customWidth="1"/>
    <col min="4099" max="4099" width="20.7109375" style="1" customWidth="1"/>
    <col min="4100" max="4100" width="24.7109375" style="1" customWidth="1"/>
    <col min="4101" max="4101" width="11.140625" style="1" customWidth="1"/>
    <col min="4102" max="4102" width="12.28515625" style="1" customWidth="1"/>
    <col min="4103" max="4103" width="11.140625" style="1" customWidth="1"/>
    <col min="4104" max="4104" width="10.42578125" style="1" customWidth="1"/>
    <col min="4105" max="4105" width="4.7109375" style="1" customWidth="1"/>
    <col min="4106" max="4106" width="8.5703125" style="1" customWidth="1"/>
    <col min="4107" max="4107" width="5.5703125" style="1" customWidth="1"/>
    <col min="4108" max="4109" width="11.5703125" style="1" customWidth="1"/>
    <col min="4110" max="4110" width="10.85546875" style="1" customWidth="1"/>
    <col min="4111" max="4111" width="7.7109375" style="1" customWidth="1"/>
    <col min="4112" max="4112" width="8" style="1" customWidth="1"/>
    <col min="4113" max="4113" width="16.28515625" style="1" customWidth="1"/>
    <col min="4114" max="4114" width="10.5703125" style="1" customWidth="1"/>
    <col min="4115" max="4115" width="14.140625" style="1" customWidth="1"/>
    <col min="4116" max="4116" width="10.140625" style="1" customWidth="1"/>
    <col min="4117" max="4117" width="15.140625" style="1" customWidth="1"/>
    <col min="4118" max="4118" width="8.5703125" style="1" customWidth="1"/>
    <col min="4119" max="4119" width="14.28515625" style="1" customWidth="1"/>
    <col min="4120" max="4120" width="18.28515625" style="1" customWidth="1"/>
    <col min="4121" max="4121" width="13" style="1" bestFit="1" customWidth="1"/>
    <col min="4122" max="4122" width="11.7109375" style="1" bestFit="1" customWidth="1"/>
    <col min="4123" max="4129" width="9.140625" style="1"/>
    <col min="4130" max="4130" width="11.28515625" style="1" bestFit="1" customWidth="1"/>
    <col min="4131" max="4131" width="10.7109375" style="1" bestFit="1" customWidth="1"/>
    <col min="4132" max="4353" width="9.140625" style="1"/>
    <col min="4354" max="4354" width="6.42578125" style="1" customWidth="1"/>
    <col min="4355" max="4355" width="20.7109375" style="1" customWidth="1"/>
    <col min="4356" max="4356" width="24.7109375" style="1" customWidth="1"/>
    <col min="4357" max="4357" width="11.140625" style="1" customWidth="1"/>
    <col min="4358" max="4358" width="12.28515625" style="1" customWidth="1"/>
    <col min="4359" max="4359" width="11.140625" style="1" customWidth="1"/>
    <col min="4360" max="4360" width="10.42578125" style="1" customWidth="1"/>
    <col min="4361" max="4361" width="4.7109375" style="1" customWidth="1"/>
    <col min="4362" max="4362" width="8.5703125" style="1" customWidth="1"/>
    <col min="4363" max="4363" width="5.5703125" style="1" customWidth="1"/>
    <col min="4364" max="4365" width="11.5703125" style="1" customWidth="1"/>
    <col min="4366" max="4366" width="10.85546875" style="1" customWidth="1"/>
    <col min="4367" max="4367" width="7.7109375" style="1" customWidth="1"/>
    <col min="4368" max="4368" width="8" style="1" customWidth="1"/>
    <col min="4369" max="4369" width="16.28515625" style="1" customWidth="1"/>
    <col min="4370" max="4370" width="10.5703125" style="1" customWidth="1"/>
    <col min="4371" max="4371" width="14.140625" style="1" customWidth="1"/>
    <col min="4372" max="4372" width="10.140625" style="1" customWidth="1"/>
    <col min="4373" max="4373" width="15.140625" style="1" customWidth="1"/>
    <col min="4374" max="4374" width="8.5703125" style="1" customWidth="1"/>
    <col min="4375" max="4375" width="14.28515625" style="1" customWidth="1"/>
    <col min="4376" max="4376" width="18.28515625" style="1" customWidth="1"/>
    <col min="4377" max="4377" width="13" style="1" bestFit="1" customWidth="1"/>
    <col min="4378" max="4378" width="11.7109375" style="1" bestFit="1" customWidth="1"/>
    <col min="4379" max="4385" width="9.140625" style="1"/>
    <col min="4386" max="4386" width="11.28515625" style="1" bestFit="1" customWidth="1"/>
    <col min="4387" max="4387" width="10.7109375" style="1" bestFit="1" customWidth="1"/>
    <col min="4388" max="4609" width="9.140625" style="1"/>
    <col min="4610" max="4610" width="6.42578125" style="1" customWidth="1"/>
    <col min="4611" max="4611" width="20.7109375" style="1" customWidth="1"/>
    <col min="4612" max="4612" width="24.7109375" style="1" customWidth="1"/>
    <col min="4613" max="4613" width="11.140625" style="1" customWidth="1"/>
    <col min="4614" max="4614" width="12.28515625" style="1" customWidth="1"/>
    <col min="4615" max="4615" width="11.140625" style="1" customWidth="1"/>
    <col min="4616" max="4616" width="10.42578125" style="1" customWidth="1"/>
    <col min="4617" max="4617" width="4.7109375" style="1" customWidth="1"/>
    <col min="4618" max="4618" width="8.5703125" style="1" customWidth="1"/>
    <col min="4619" max="4619" width="5.5703125" style="1" customWidth="1"/>
    <col min="4620" max="4621" width="11.5703125" style="1" customWidth="1"/>
    <col min="4622" max="4622" width="10.85546875" style="1" customWidth="1"/>
    <col min="4623" max="4623" width="7.7109375" style="1" customWidth="1"/>
    <col min="4624" max="4624" width="8" style="1" customWidth="1"/>
    <col min="4625" max="4625" width="16.28515625" style="1" customWidth="1"/>
    <col min="4626" max="4626" width="10.5703125" style="1" customWidth="1"/>
    <col min="4627" max="4627" width="14.140625" style="1" customWidth="1"/>
    <col min="4628" max="4628" width="10.140625" style="1" customWidth="1"/>
    <col min="4629" max="4629" width="15.140625" style="1" customWidth="1"/>
    <col min="4630" max="4630" width="8.5703125" style="1" customWidth="1"/>
    <col min="4631" max="4631" width="14.28515625" style="1" customWidth="1"/>
    <col min="4632" max="4632" width="18.28515625" style="1" customWidth="1"/>
    <col min="4633" max="4633" width="13" style="1" bestFit="1" customWidth="1"/>
    <col min="4634" max="4634" width="11.7109375" style="1" bestFit="1" customWidth="1"/>
    <col min="4635" max="4641" width="9.140625" style="1"/>
    <col min="4642" max="4642" width="11.28515625" style="1" bestFit="1" customWidth="1"/>
    <col min="4643" max="4643" width="10.7109375" style="1" bestFit="1" customWidth="1"/>
    <col min="4644" max="4865" width="9.140625" style="1"/>
    <col min="4866" max="4866" width="6.42578125" style="1" customWidth="1"/>
    <col min="4867" max="4867" width="20.7109375" style="1" customWidth="1"/>
    <col min="4868" max="4868" width="24.7109375" style="1" customWidth="1"/>
    <col min="4869" max="4869" width="11.140625" style="1" customWidth="1"/>
    <col min="4870" max="4870" width="12.28515625" style="1" customWidth="1"/>
    <col min="4871" max="4871" width="11.140625" style="1" customWidth="1"/>
    <col min="4872" max="4872" width="10.42578125" style="1" customWidth="1"/>
    <col min="4873" max="4873" width="4.7109375" style="1" customWidth="1"/>
    <col min="4874" max="4874" width="8.5703125" style="1" customWidth="1"/>
    <col min="4875" max="4875" width="5.5703125" style="1" customWidth="1"/>
    <col min="4876" max="4877" width="11.5703125" style="1" customWidth="1"/>
    <col min="4878" max="4878" width="10.85546875" style="1" customWidth="1"/>
    <col min="4879" max="4879" width="7.7109375" style="1" customWidth="1"/>
    <col min="4880" max="4880" width="8" style="1" customWidth="1"/>
    <col min="4881" max="4881" width="16.28515625" style="1" customWidth="1"/>
    <col min="4882" max="4882" width="10.5703125" style="1" customWidth="1"/>
    <col min="4883" max="4883" width="14.140625" style="1" customWidth="1"/>
    <col min="4884" max="4884" width="10.140625" style="1" customWidth="1"/>
    <col min="4885" max="4885" width="15.140625" style="1" customWidth="1"/>
    <col min="4886" max="4886" width="8.5703125" style="1" customWidth="1"/>
    <col min="4887" max="4887" width="14.28515625" style="1" customWidth="1"/>
    <col min="4888" max="4888" width="18.28515625" style="1" customWidth="1"/>
    <col min="4889" max="4889" width="13" style="1" bestFit="1" customWidth="1"/>
    <col min="4890" max="4890" width="11.7109375" style="1" bestFit="1" customWidth="1"/>
    <col min="4891" max="4897" width="9.140625" style="1"/>
    <col min="4898" max="4898" width="11.28515625" style="1" bestFit="1" customWidth="1"/>
    <col min="4899" max="4899" width="10.7109375" style="1" bestFit="1" customWidth="1"/>
    <col min="4900" max="5121" width="9.140625" style="1"/>
    <col min="5122" max="5122" width="6.42578125" style="1" customWidth="1"/>
    <col min="5123" max="5123" width="20.7109375" style="1" customWidth="1"/>
    <col min="5124" max="5124" width="24.7109375" style="1" customWidth="1"/>
    <col min="5125" max="5125" width="11.140625" style="1" customWidth="1"/>
    <col min="5126" max="5126" width="12.28515625" style="1" customWidth="1"/>
    <col min="5127" max="5127" width="11.140625" style="1" customWidth="1"/>
    <col min="5128" max="5128" width="10.42578125" style="1" customWidth="1"/>
    <col min="5129" max="5129" width="4.7109375" style="1" customWidth="1"/>
    <col min="5130" max="5130" width="8.5703125" style="1" customWidth="1"/>
    <col min="5131" max="5131" width="5.5703125" style="1" customWidth="1"/>
    <col min="5132" max="5133" width="11.5703125" style="1" customWidth="1"/>
    <col min="5134" max="5134" width="10.85546875" style="1" customWidth="1"/>
    <col min="5135" max="5135" width="7.7109375" style="1" customWidth="1"/>
    <col min="5136" max="5136" width="8" style="1" customWidth="1"/>
    <col min="5137" max="5137" width="16.28515625" style="1" customWidth="1"/>
    <col min="5138" max="5138" width="10.5703125" style="1" customWidth="1"/>
    <col min="5139" max="5139" width="14.140625" style="1" customWidth="1"/>
    <col min="5140" max="5140" width="10.140625" style="1" customWidth="1"/>
    <col min="5141" max="5141" width="15.140625" style="1" customWidth="1"/>
    <col min="5142" max="5142" width="8.5703125" style="1" customWidth="1"/>
    <col min="5143" max="5143" width="14.28515625" style="1" customWidth="1"/>
    <col min="5144" max="5144" width="18.28515625" style="1" customWidth="1"/>
    <col min="5145" max="5145" width="13" style="1" bestFit="1" customWidth="1"/>
    <col min="5146" max="5146" width="11.7109375" style="1" bestFit="1" customWidth="1"/>
    <col min="5147" max="5153" width="9.140625" style="1"/>
    <col min="5154" max="5154" width="11.28515625" style="1" bestFit="1" customWidth="1"/>
    <col min="5155" max="5155" width="10.7109375" style="1" bestFit="1" customWidth="1"/>
    <col min="5156" max="5377" width="9.140625" style="1"/>
    <col min="5378" max="5378" width="6.42578125" style="1" customWidth="1"/>
    <col min="5379" max="5379" width="20.7109375" style="1" customWidth="1"/>
    <col min="5380" max="5380" width="24.7109375" style="1" customWidth="1"/>
    <col min="5381" max="5381" width="11.140625" style="1" customWidth="1"/>
    <col min="5382" max="5382" width="12.28515625" style="1" customWidth="1"/>
    <col min="5383" max="5383" width="11.140625" style="1" customWidth="1"/>
    <col min="5384" max="5384" width="10.42578125" style="1" customWidth="1"/>
    <col min="5385" max="5385" width="4.7109375" style="1" customWidth="1"/>
    <col min="5386" max="5386" width="8.5703125" style="1" customWidth="1"/>
    <col min="5387" max="5387" width="5.5703125" style="1" customWidth="1"/>
    <col min="5388" max="5389" width="11.5703125" style="1" customWidth="1"/>
    <col min="5390" max="5390" width="10.85546875" style="1" customWidth="1"/>
    <col min="5391" max="5391" width="7.7109375" style="1" customWidth="1"/>
    <col min="5392" max="5392" width="8" style="1" customWidth="1"/>
    <col min="5393" max="5393" width="16.28515625" style="1" customWidth="1"/>
    <col min="5394" max="5394" width="10.5703125" style="1" customWidth="1"/>
    <col min="5395" max="5395" width="14.140625" style="1" customWidth="1"/>
    <col min="5396" max="5396" width="10.140625" style="1" customWidth="1"/>
    <col min="5397" max="5397" width="15.140625" style="1" customWidth="1"/>
    <col min="5398" max="5398" width="8.5703125" style="1" customWidth="1"/>
    <col min="5399" max="5399" width="14.28515625" style="1" customWidth="1"/>
    <col min="5400" max="5400" width="18.28515625" style="1" customWidth="1"/>
    <col min="5401" max="5401" width="13" style="1" bestFit="1" customWidth="1"/>
    <col min="5402" max="5402" width="11.7109375" style="1" bestFit="1" customWidth="1"/>
    <col min="5403" max="5409" width="9.140625" style="1"/>
    <col min="5410" max="5410" width="11.28515625" style="1" bestFit="1" customWidth="1"/>
    <col min="5411" max="5411" width="10.7109375" style="1" bestFit="1" customWidth="1"/>
    <col min="5412" max="5633" width="9.140625" style="1"/>
    <col min="5634" max="5634" width="6.42578125" style="1" customWidth="1"/>
    <col min="5635" max="5635" width="20.7109375" style="1" customWidth="1"/>
    <col min="5636" max="5636" width="24.7109375" style="1" customWidth="1"/>
    <col min="5637" max="5637" width="11.140625" style="1" customWidth="1"/>
    <col min="5638" max="5638" width="12.28515625" style="1" customWidth="1"/>
    <col min="5639" max="5639" width="11.140625" style="1" customWidth="1"/>
    <col min="5640" max="5640" width="10.42578125" style="1" customWidth="1"/>
    <col min="5641" max="5641" width="4.7109375" style="1" customWidth="1"/>
    <col min="5642" max="5642" width="8.5703125" style="1" customWidth="1"/>
    <col min="5643" max="5643" width="5.5703125" style="1" customWidth="1"/>
    <col min="5644" max="5645" width="11.5703125" style="1" customWidth="1"/>
    <col min="5646" max="5646" width="10.85546875" style="1" customWidth="1"/>
    <col min="5647" max="5647" width="7.7109375" style="1" customWidth="1"/>
    <col min="5648" max="5648" width="8" style="1" customWidth="1"/>
    <col min="5649" max="5649" width="16.28515625" style="1" customWidth="1"/>
    <col min="5650" max="5650" width="10.5703125" style="1" customWidth="1"/>
    <col min="5651" max="5651" width="14.140625" style="1" customWidth="1"/>
    <col min="5652" max="5652" width="10.140625" style="1" customWidth="1"/>
    <col min="5653" max="5653" width="15.140625" style="1" customWidth="1"/>
    <col min="5654" max="5654" width="8.5703125" style="1" customWidth="1"/>
    <col min="5655" max="5655" width="14.28515625" style="1" customWidth="1"/>
    <col min="5656" max="5656" width="18.28515625" style="1" customWidth="1"/>
    <col min="5657" max="5657" width="13" style="1" bestFit="1" customWidth="1"/>
    <col min="5658" max="5658" width="11.7109375" style="1" bestFit="1" customWidth="1"/>
    <col min="5659" max="5665" width="9.140625" style="1"/>
    <col min="5666" max="5666" width="11.28515625" style="1" bestFit="1" customWidth="1"/>
    <col min="5667" max="5667" width="10.7109375" style="1" bestFit="1" customWidth="1"/>
    <col min="5668" max="5889" width="9.140625" style="1"/>
    <col min="5890" max="5890" width="6.42578125" style="1" customWidth="1"/>
    <col min="5891" max="5891" width="20.7109375" style="1" customWidth="1"/>
    <col min="5892" max="5892" width="24.7109375" style="1" customWidth="1"/>
    <col min="5893" max="5893" width="11.140625" style="1" customWidth="1"/>
    <col min="5894" max="5894" width="12.28515625" style="1" customWidth="1"/>
    <col min="5895" max="5895" width="11.140625" style="1" customWidth="1"/>
    <col min="5896" max="5896" width="10.42578125" style="1" customWidth="1"/>
    <col min="5897" max="5897" width="4.7109375" style="1" customWidth="1"/>
    <col min="5898" max="5898" width="8.5703125" style="1" customWidth="1"/>
    <col min="5899" max="5899" width="5.5703125" style="1" customWidth="1"/>
    <col min="5900" max="5901" width="11.5703125" style="1" customWidth="1"/>
    <col min="5902" max="5902" width="10.85546875" style="1" customWidth="1"/>
    <col min="5903" max="5903" width="7.7109375" style="1" customWidth="1"/>
    <col min="5904" max="5904" width="8" style="1" customWidth="1"/>
    <col min="5905" max="5905" width="16.28515625" style="1" customWidth="1"/>
    <col min="5906" max="5906" width="10.5703125" style="1" customWidth="1"/>
    <col min="5907" max="5907" width="14.140625" style="1" customWidth="1"/>
    <col min="5908" max="5908" width="10.140625" style="1" customWidth="1"/>
    <col min="5909" max="5909" width="15.140625" style="1" customWidth="1"/>
    <col min="5910" max="5910" width="8.5703125" style="1" customWidth="1"/>
    <col min="5911" max="5911" width="14.28515625" style="1" customWidth="1"/>
    <col min="5912" max="5912" width="18.28515625" style="1" customWidth="1"/>
    <col min="5913" max="5913" width="13" style="1" bestFit="1" customWidth="1"/>
    <col min="5914" max="5914" width="11.7109375" style="1" bestFit="1" customWidth="1"/>
    <col min="5915" max="5921" width="9.140625" style="1"/>
    <col min="5922" max="5922" width="11.28515625" style="1" bestFit="1" customWidth="1"/>
    <col min="5923" max="5923" width="10.7109375" style="1" bestFit="1" customWidth="1"/>
    <col min="5924" max="6145" width="9.140625" style="1"/>
    <col min="6146" max="6146" width="6.42578125" style="1" customWidth="1"/>
    <col min="6147" max="6147" width="20.7109375" style="1" customWidth="1"/>
    <col min="6148" max="6148" width="24.7109375" style="1" customWidth="1"/>
    <col min="6149" max="6149" width="11.140625" style="1" customWidth="1"/>
    <col min="6150" max="6150" width="12.28515625" style="1" customWidth="1"/>
    <col min="6151" max="6151" width="11.140625" style="1" customWidth="1"/>
    <col min="6152" max="6152" width="10.42578125" style="1" customWidth="1"/>
    <col min="6153" max="6153" width="4.7109375" style="1" customWidth="1"/>
    <col min="6154" max="6154" width="8.5703125" style="1" customWidth="1"/>
    <col min="6155" max="6155" width="5.5703125" style="1" customWidth="1"/>
    <col min="6156" max="6157" width="11.5703125" style="1" customWidth="1"/>
    <col min="6158" max="6158" width="10.85546875" style="1" customWidth="1"/>
    <col min="6159" max="6159" width="7.7109375" style="1" customWidth="1"/>
    <col min="6160" max="6160" width="8" style="1" customWidth="1"/>
    <col min="6161" max="6161" width="16.28515625" style="1" customWidth="1"/>
    <col min="6162" max="6162" width="10.5703125" style="1" customWidth="1"/>
    <col min="6163" max="6163" width="14.140625" style="1" customWidth="1"/>
    <col min="6164" max="6164" width="10.140625" style="1" customWidth="1"/>
    <col min="6165" max="6165" width="15.140625" style="1" customWidth="1"/>
    <col min="6166" max="6166" width="8.5703125" style="1" customWidth="1"/>
    <col min="6167" max="6167" width="14.28515625" style="1" customWidth="1"/>
    <col min="6168" max="6168" width="18.28515625" style="1" customWidth="1"/>
    <col min="6169" max="6169" width="13" style="1" bestFit="1" customWidth="1"/>
    <col min="6170" max="6170" width="11.7109375" style="1" bestFit="1" customWidth="1"/>
    <col min="6171" max="6177" width="9.140625" style="1"/>
    <col min="6178" max="6178" width="11.28515625" style="1" bestFit="1" customWidth="1"/>
    <col min="6179" max="6179" width="10.7109375" style="1" bestFit="1" customWidth="1"/>
    <col min="6180" max="6401" width="9.140625" style="1"/>
    <col min="6402" max="6402" width="6.42578125" style="1" customWidth="1"/>
    <col min="6403" max="6403" width="20.7109375" style="1" customWidth="1"/>
    <col min="6404" max="6404" width="24.7109375" style="1" customWidth="1"/>
    <col min="6405" max="6405" width="11.140625" style="1" customWidth="1"/>
    <col min="6406" max="6406" width="12.28515625" style="1" customWidth="1"/>
    <col min="6407" max="6407" width="11.140625" style="1" customWidth="1"/>
    <col min="6408" max="6408" width="10.42578125" style="1" customWidth="1"/>
    <col min="6409" max="6409" width="4.7109375" style="1" customWidth="1"/>
    <col min="6410" max="6410" width="8.5703125" style="1" customWidth="1"/>
    <col min="6411" max="6411" width="5.5703125" style="1" customWidth="1"/>
    <col min="6412" max="6413" width="11.5703125" style="1" customWidth="1"/>
    <col min="6414" max="6414" width="10.85546875" style="1" customWidth="1"/>
    <col min="6415" max="6415" width="7.7109375" style="1" customWidth="1"/>
    <col min="6416" max="6416" width="8" style="1" customWidth="1"/>
    <col min="6417" max="6417" width="16.28515625" style="1" customWidth="1"/>
    <col min="6418" max="6418" width="10.5703125" style="1" customWidth="1"/>
    <col min="6419" max="6419" width="14.140625" style="1" customWidth="1"/>
    <col min="6420" max="6420" width="10.140625" style="1" customWidth="1"/>
    <col min="6421" max="6421" width="15.140625" style="1" customWidth="1"/>
    <col min="6422" max="6422" width="8.5703125" style="1" customWidth="1"/>
    <col min="6423" max="6423" width="14.28515625" style="1" customWidth="1"/>
    <col min="6424" max="6424" width="18.28515625" style="1" customWidth="1"/>
    <col min="6425" max="6425" width="13" style="1" bestFit="1" customWidth="1"/>
    <col min="6426" max="6426" width="11.7109375" style="1" bestFit="1" customWidth="1"/>
    <col min="6427" max="6433" width="9.140625" style="1"/>
    <col min="6434" max="6434" width="11.28515625" style="1" bestFit="1" customWidth="1"/>
    <col min="6435" max="6435" width="10.7109375" style="1" bestFit="1" customWidth="1"/>
    <col min="6436" max="6657" width="9.140625" style="1"/>
    <col min="6658" max="6658" width="6.42578125" style="1" customWidth="1"/>
    <col min="6659" max="6659" width="20.7109375" style="1" customWidth="1"/>
    <col min="6660" max="6660" width="24.7109375" style="1" customWidth="1"/>
    <col min="6661" max="6661" width="11.140625" style="1" customWidth="1"/>
    <col min="6662" max="6662" width="12.28515625" style="1" customWidth="1"/>
    <col min="6663" max="6663" width="11.140625" style="1" customWidth="1"/>
    <col min="6664" max="6664" width="10.42578125" style="1" customWidth="1"/>
    <col min="6665" max="6665" width="4.7109375" style="1" customWidth="1"/>
    <col min="6666" max="6666" width="8.5703125" style="1" customWidth="1"/>
    <col min="6667" max="6667" width="5.5703125" style="1" customWidth="1"/>
    <col min="6668" max="6669" width="11.5703125" style="1" customWidth="1"/>
    <col min="6670" max="6670" width="10.85546875" style="1" customWidth="1"/>
    <col min="6671" max="6671" width="7.7109375" style="1" customWidth="1"/>
    <col min="6672" max="6672" width="8" style="1" customWidth="1"/>
    <col min="6673" max="6673" width="16.28515625" style="1" customWidth="1"/>
    <col min="6674" max="6674" width="10.5703125" style="1" customWidth="1"/>
    <col min="6675" max="6675" width="14.140625" style="1" customWidth="1"/>
    <col min="6676" max="6676" width="10.140625" style="1" customWidth="1"/>
    <col min="6677" max="6677" width="15.140625" style="1" customWidth="1"/>
    <col min="6678" max="6678" width="8.5703125" style="1" customWidth="1"/>
    <col min="6679" max="6679" width="14.28515625" style="1" customWidth="1"/>
    <col min="6680" max="6680" width="18.28515625" style="1" customWidth="1"/>
    <col min="6681" max="6681" width="13" style="1" bestFit="1" customWidth="1"/>
    <col min="6682" max="6682" width="11.7109375" style="1" bestFit="1" customWidth="1"/>
    <col min="6683" max="6689" width="9.140625" style="1"/>
    <col min="6690" max="6690" width="11.28515625" style="1" bestFit="1" customWidth="1"/>
    <col min="6691" max="6691" width="10.7109375" style="1" bestFit="1" customWidth="1"/>
    <col min="6692" max="6913" width="9.140625" style="1"/>
    <col min="6914" max="6914" width="6.42578125" style="1" customWidth="1"/>
    <col min="6915" max="6915" width="20.7109375" style="1" customWidth="1"/>
    <col min="6916" max="6916" width="24.7109375" style="1" customWidth="1"/>
    <col min="6917" max="6917" width="11.140625" style="1" customWidth="1"/>
    <col min="6918" max="6918" width="12.28515625" style="1" customWidth="1"/>
    <col min="6919" max="6919" width="11.140625" style="1" customWidth="1"/>
    <col min="6920" max="6920" width="10.42578125" style="1" customWidth="1"/>
    <col min="6921" max="6921" width="4.7109375" style="1" customWidth="1"/>
    <col min="6922" max="6922" width="8.5703125" style="1" customWidth="1"/>
    <col min="6923" max="6923" width="5.5703125" style="1" customWidth="1"/>
    <col min="6924" max="6925" width="11.5703125" style="1" customWidth="1"/>
    <col min="6926" max="6926" width="10.85546875" style="1" customWidth="1"/>
    <col min="6927" max="6927" width="7.7109375" style="1" customWidth="1"/>
    <col min="6928" max="6928" width="8" style="1" customWidth="1"/>
    <col min="6929" max="6929" width="16.28515625" style="1" customWidth="1"/>
    <col min="6930" max="6930" width="10.5703125" style="1" customWidth="1"/>
    <col min="6931" max="6931" width="14.140625" style="1" customWidth="1"/>
    <col min="6932" max="6932" width="10.140625" style="1" customWidth="1"/>
    <col min="6933" max="6933" width="15.140625" style="1" customWidth="1"/>
    <col min="6934" max="6934" width="8.5703125" style="1" customWidth="1"/>
    <col min="6935" max="6935" width="14.28515625" style="1" customWidth="1"/>
    <col min="6936" max="6936" width="18.28515625" style="1" customWidth="1"/>
    <col min="6937" max="6937" width="13" style="1" bestFit="1" customWidth="1"/>
    <col min="6938" max="6938" width="11.7109375" style="1" bestFit="1" customWidth="1"/>
    <col min="6939" max="6945" width="9.140625" style="1"/>
    <col min="6946" max="6946" width="11.28515625" style="1" bestFit="1" customWidth="1"/>
    <col min="6947" max="6947" width="10.7109375" style="1" bestFit="1" customWidth="1"/>
    <col min="6948" max="7169" width="9.140625" style="1"/>
    <col min="7170" max="7170" width="6.42578125" style="1" customWidth="1"/>
    <col min="7171" max="7171" width="20.7109375" style="1" customWidth="1"/>
    <col min="7172" max="7172" width="24.7109375" style="1" customWidth="1"/>
    <col min="7173" max="7173" width="11.140625" style="1" customWidth="1"/>
    <col min="7174" max="7174" width="12.28515625" style="1" customWidth="1"/>
    <col min="7175" max="7175" width="11.140625" style="1" customWidth="1"/>
    <col min="7176" max="7176" width="10.42578125" style="1" customWidth="1"/>
    <col min="7177" max="7177" width="4.7109375" style="1" customWidth="1"/>
    <col min="7178" max="7178" width="8.5703125" style="1" customWidth="1"/>
    <col min="7179" max="7179" width="5.5703125" style="1" customWidth="1"/>
    <col min="7180" max="7181" width="11.5703125" style="1" customWidth="1"/>
    <col min="7182" max="7182" width="10.85546875" style="1" customWidth="1"/>
    <col min="7183" max="7183" width="7.7109375" style="1" customWidth="1"/>
    <col min="7184" max="7184" width="8" style="1" customWidth="1"/>
    <col min="7185" max="7185" width="16.28515625" style="1" customWidth="1"/>
    <col min="7186" max="7186" width="10.5703125" style="1" customWidth="1"/>
    <col min="7187" max="7187" width="14.140625" style="1" customWidth="1"/>
    <col min="7188" max="7188" width="10.140625" style="1" customWidth="1"/>
    <col min="7189" max="7189" width="15.140625" style="1" customWidth="1"/>
    <col min="7190" max="7190" width="8.5703125" style="1" customWidth="1"/>
    <col min="7191" max="7191" width="14.28515625" style="1" customWidth="1"/>
    <col min="7192" max="7192" width="18.28515625" style="1" customWidth="1"/>
    <col min="7193" max="7193" width="13" style="1" bestFit="1" customWidth="1"/>
    <col min="7194" max="7194" width="11.7109375" style="1" bestFit="1" customWidth="1"/>
    <col min="7195" max="7201" width="9.140625" style="1"/>
    <col min="7202" max="7202" width="11.28515625" style="1" bestFit="1" customWidth="1"/>
    <col min="7203" max="7203" width="10.7109375" style="1" bestFit="1" customWidth="1"/>
    <col min="7204" max="7425" width="9.140625" style="1"/>
    <col min="7426" max="7426" width="6.42578125" style="1" customWidth="1"/>
    <col min="7427" max="7427" width="20.7109375" style="1" customWidth="1"/>
    <col min="7428" max="7428" width="24.7109375" style="1" customWidth="1"/>
    <col min="7429" max="7429" width="11.140625" style="1" customWidth="1"/>
    <col min="7430" max="7430" width="12.28515625" style="1" customWidth="1"/>
    <col min="7431" max="7431" width="11.140625" style="1" customWidth="1"/>
    <col min="7432" max="7432" width="10.42578125" style="1" customWidth="1"/>
    <col min="7433" max="7433" width="4.7109375" style="1" customWidth="1"/>
    <col min="7434" max="7434" width="8.5703125" style="1" customWidth="1"/>
    <col min="7435" max="7435" width="5.5703125" style="1" customWidth="1"/>
    <col min="7436" max="7437" width="11.5703125" style="1" customWidth="1"/>
    <col min="7438" max="7438" width="10.85546875" style="1" customWidth="1"/>
    <col min="7439" max="7439" width="7.7109375" style="1" customWidth="1"/>
    <col min="7440" max="7440" width="8" style="1" customWidth="1"/>
    <col min="7441" max="7441" width="16.28515625" style="1" customWidth="1"/>
    <col min="7442" max="7442" width="10.5703125" style="1" customWidth="1"/>
    <col min="7443" max="7443" width="14.140625" style="1" customWidth="1"/>
    <col min="7444" max="7444" width="10.140625" style="1" customWidth="1"/>
    <col min="7445" max="7445" width="15.140625" style="1" customWidth="1"/>
    <col min="7446" max="7446" width="8.5703125" style="1" customWidth="1"/>
    <col min="7447" max="7447" width="14.28515625" style="1" customWidth="1"/>
    <col min="7448" max="7448" width="18.28515625" style="1" customWidth="1"/>
    <col min="7449" max="7449" width="13" style="1" bestFit="1" customWidth="1"/>
    <col min="7450" max="7450" width="11.7109375" style="1" bestFit="1" customWidth="1"/>
    <col min="7451" max="7457" width="9.140625" style="1"/>
    <col min="7458" max="7458" width="11.28515625" style="1" bestFit="1" customWidth="1"/>
    <col min="7459" max="7459" width="10.7109375" style="1" bestFit="1" customWidth="1"/>
    <col min="7460" max="7681" width="9.140625" style="1"/>
    <col min="7682" max="7682" width="6.42578125" style="1" customWidth="1"/>
    <col min="7683" max="7683" width="20.7109375" style="1" customWidth="1"/>
    <col min="7684" max="7684" width="24.7109375" style="1" customWidth="1"/>
    <col min="7685" max="7685" width="11.140625" style="1" customWidth="1"/>
    <col min="7686" max="7686" width="12.28515625" style="1" customWidth="1"/>
    <col min="7687" max="7687" width="11.140625" style="1" customWidth="1"/>
    <col min="7688" max="7688" width="10.42578125" style="1" customWidth="1"/>
    <col min="7689" max="7689" width="4.7109375" style="1" customWidth="1"/>
    <col min="7690" max="7690" width="8.5703125" style="1" customWidth="1"/>
    <col min="7691" max="7691" width="5.5703125" style="1" customWidth="1"/>
    <col min="7692" max="7693" width="11.5703125" style="1" customWidth="1"/>
    <col min="7694" max="7694" width="10.85546875" style="1" customWidth="1"/>
    <col min="7695" max="7695" width="7.7109375" style="1" customWidth="1"/>
    <col min="7696" max="7696" width="8" style="1" customWidth="1"/>
    <col min="7697" max="7697" width="16.28515625" style="1" customWidth="1"/>
    <col min="7698" max="7698" width="10.5703125" style="1" customWidth="1"/>
    <col min="7699" max="7699" width="14.140625" style="1" customWidth="1"/>
    <col min="7700" max="7700" width="10.140625" style="1" customWidth="1"/>
    <col min="7701" max="7701" width="15.140625" style="1" customWidth="1"/>
    <col min="7702" max="7702" width="8.5703125" style="1" customWidth="1"/>
    <col min="7703" max="7703" width="14.28515625" style="1" customWidth="1"/>
    <col min="7704" max="7704" width="18.28515625" style="1" customWidth="1"/>
    <col min="7705" max="7705" width="13" style="1" bestFit="1" customWidth="1"/>
    <col min="7706" max="7706" width="11.7109375" style="1" bestFit="1" customWidth="1"/>
    <col min="7707" max="7713" width="9.140625" style="1"/>
    <col min="7714" max="7714" width="11.28515625" style="1" bestFit="1" customWidth="1"/>
    <col min="7715" max="7715" width="10.7109375" style="1" bestFit="1" customWidth="1"/>
    <col min="7716" max="7937" width="9.140625" style="1"/>
    <col min="7938" max="7938" width="6.42578125" style="1" customWidth="1"/>
    <col min="7939" max="7939" width="20.7109375" style="1" customWidth="1"/>
    <col min="7940" max="7940" width="24.7109375" style="1" customWidth="1"/>
    <col min="7941" max="7941" width="11.140625" style="1" customWidth="1"/>
    <col min="7942" max="7942" width="12.28515625" style="1" customWidth="1"/>
    <col min="7943" max="7943" width="11.140625" style="1" customWidth="1"/>
    <col min="7944" max="7944" width="10.42578125" style="1" customWidth="1"/>
    <col min="7945" max="7945" width="4.7109375" style="1" customWidth="1"/>
    <col min="7946" max="7946" width="8.5703125" style="1" customWidth="1"/>
    <col min="7947" max="7947" width="5.5703125" style="1" customWidth="1"/>
    <col min="7948" max="7949" width="11.5703125" style="1" customWidth="1"/>
    <col min="7950" max="7950" width="10.85546875" style="1" customWidth="1"/>
    <col min="7951" max="7951" width="7.7109375" style="1" customWidth="1"/>
    <col min="7952" max="7952" width="8" style="1" customWidth="1"/>
    <col min="7953" max="7953" width="16.28515625" style="1" customWidth="1"/>
    <col min="7954" max="7954" width="10.5703125" style="1" customWidth="1"/>
    <col min="7955" max="7955" width="14.140625" style="1" customWidth="1"/>
    <col min="7956" max="7956" width="10.140625" style="1" customWidth="1"/>
    <col min="7957" max="7957" width="15.140625" style="1" customWidth="1"/>
    <col min="7958" max="7958" width="8.5703125" style="1" customWidth="1"/>
    <col min="7959" max="7959" width="14.28515625" style="1" customWidth="1"/>
    <col min="7960" max="7960" width="18.28515625" style="1" customWidth="1"/>
    <col min="7961" max="7961" width="13" style="1" bestFit="1" customWidth="1"/>
    <col min="7962" max="7962" width="11.7109375" style="1" bestFit="1" customWidth="1"/>
    <col min="7963" max="7969" width="9.140625" style="1"/>
    <col min="7970" max="7970" width="11.28515625" style="1" bestFit="1" customWidth="1"/>
    <col min="7971" max="7971" width="10.7109375" style="1" bestFit="1" customWidth="1"/>
    <col min="7972" max="8193" width="9.140625" style="1"/>
    <col min="8194" max="8194" width="6.42578125" style="1" customWidth="1"/>
    <col min="8195" max="8195" width="20.7109375" style="1" customWidth="1"/>
    <col min="8196" max="8196" width="24.7109375" style="1" customWidth="1"/>
    <col min="8197" max="8197" width="11.140625" style="1" customWidth="1"/>
    <col min="8198" max="8198" width="12.28515625" style="1" customWidth="1"/>
    <col min="8199" max="8199" width="11.140625" style="1" customWidth="1"/>
    <col min="8200" max="8200" width="10.42578125" style="1" customWidth="1"/>
    <col min="8201" max="8201" width="4.7109375" style="1" customWidth="1"/>
    <col min="8202" max="8202" width="8.5703125" style="1" customWidth="1"/>
    <col min="8203" max="8203" width="5.5703125" style="1" customWidth="1"/>
    <col min="8204" max="8205" width="11.5703125" style="1" customWidth="1"/>
    <col min="8206" max="8206" width="10.85546875" style="1" customWidth="1"/>
    <col min="8207" max="8207" width="7.7109375" style="1" customWidth="1"/>
    <col min="8208" max="8208" width="8" style="1" customWidth="1"/>
    <col min="8209" max="8209" width="16.28515625" style="1" customWidth="1"/>
    <col min="8210" max="8210" width="10.5703125" style="1" customWidth="1"/>
    <col min="8211" max="8211" width="14.140625" style="1" customWidth="1"/>
    <col min="8212" max="8212" width="10.140625" style="1" customWidth="1"/>
    <col min="8213" max="8213" width="15.140625" style="1" customWidth="1"/>
    <col min="8214" max="8214" width="8.5703125" style="1" customWidth="1"/>
    <col min="8215" max="8215" width="14.28515625" style="1" customWidth="1"/>
    <col min="8216" max="8216" width="18.28515625" style="1" customWidth="1"/>
    <col min="8217" max="8217" width="13" style="1" bestFit="1" customWidth="1"/>
    <col min="8218" max="8218" width="11.7109375" style="1" bestFit="1" customWidth="1"/>
    <col min="8219" max="8225" width="9.140625" style="1"/>
    <col min="8226" max="8226" width="11.28515625" style="1" bestFit="1" customWidth="1"/>
    <col min="8227" max="8227" width="10.7109375" style="1" bestFit="1" customWidth="1"/>
    <col min="8228" max="8449" width="9.140625" style="1"/>
    <col min="8450" max="8450" width="6.42578125" style="1" customWidth="1"/>
    <col min="8451" max="8451" width="20.7109375" style="1" customWidth="1"/>
    <col min="8452" max="8452" width="24.7109375" style="1" customWidth="1"/>
    <col min="8453" max="8453" width="11.140625" style="1" customWidth="1"/>
    <col min="8454" max="8454" width="12.28515625" style="1" customWidth="1"/>
    <col min="8455" max="8455" width="11.140625" style="1" customWidth="1"/>
    <col min="8456" max="8456" width="10.42578125" style="1" customWidth="1"/>
    <col min="8457" max="8457" width="4.7109375" style="1" customWidth="1"/>
    <col min="8458" max="8458" width="8.5703125" style="1" customWidth="1"/>
    <col min="8459" max="8459" width="5.5703125" style="1" customWidth="1"/>
    <col min="8460" max="8461" width="11.5703125" style="1" customWidth="1"/>
    <col min="8462" max="8462" width="10.85546875" style="1" customWidth="1"/>
    <col min="8463" max="8463" width="7.7109375" style="1" customWidth="1"/>
    <col min="8464" max="8464" width="8" style="1" customWidth="1"/>
    <col min="8465" max="8465" width="16.28515625" style="1" customWidth="1"/>
    <col min="8466" max="8466" width="10.5703125" style="1" customWidth="1"/>
    <col min="8467" max="8467" width="14.140625" style="1" customWidth="1"/>
    <col min="8468" max="8468" width="10.140625" style="1" customWidth="1"/>
    <col min="8469" max="8469" width="15.140625" style="1" customWidth="1"/>
    <col min="8470" max="8470" width="8.5703125" style="1" customWidth="1"/>
    <col min="8471" max="8471" width="14.28515625" style="1" customWidth="1"/>
    <col min="8472" max="8472" width="18.28515625" style="1" customWidth="1"/>
    <col min="8473" max="8473" width="13" style="1" bestFit="1" customWidth="1"/>
    <col min="8474" max="8474" width="11.7109375" style="1" bestFit="1" customWidth="1"/>
    <col min="8475" max="8481" width="9.140625" style="1"/>
    <col min="8482" max="8482" width="11.28515625" style="1" bestFit="1" customWidth="1"/>
    <col min="8483" max="8483" width="10.7109375" style="1" bestFit="1" customWidth="1"/>
    <col min="8484" max="8705" width="9.140625" style="1"/>
    <col min="8706" max="8706" width="6.42578125" style="1" customWidth="1"/>
    <col min="8707" max="8707" width="20.7109375" style="1" customWidth="1"/>
    <col min="8708" max="8708" width="24.7109375" style="1" customWidth="1"/>
    <col min="8709" max="8709" width="11.140625" style="1" customWidth="1"/>
    <col min="8710" max="8710" width="12.28515625" style="1" customWidth="1"/>
    <col min="8711" max="8711" width="11.140625" style="1" customWidth="1"/>
    <col min="8712" max="8712" width="10.42578125" style="1" customWidth="1"/>
    <col min="8713" max="8713" width="4.7109375" style="1" customWidth="1"/>
    <col min="8714" max="8714" width="8.5703125" style="1" customWidth="1"/>
    <col min="8715" max="8715" width="5.5703125" style="1" customWidth="1"/>
    <col min="8716" max="8717" width="11.5703125" style="1" customWidth="1"/>
    <col min="8718" max="8718" width="10.85546875" style="1" customWidth="1"/>
    <col min="8719" max="8719" width="7.7109375" style="1" customWidth="1"/>
    <col min="8720" max="8720" width="8" style="1" customWidth="1"/>
    <col min="8721" max="8721" width="16.28515625" style="1" customWidth="1"/>
    <col min="8722" max="8722" width="10.5703125" style="1" customWidth="1"/>
    <col min="8723" max="8723" width="14.140625" style="1" customWidth="1"/>
    <col min="8724" max="8724" width="10.140625" style="1" customWidth="1"/>
    <col min="8725" max="8725" width="15.140625" style="1" customWidth="1"/>
    <col min="8726" max="8726" width="8.5703125" style="1" customWidth="1"/>
    <col min="8727" max="8727" width="14.28515625" style="1" customWidth="1"/>
    <col min="8728" max="8728" width="18.28515625" style="1" customWidth="1"/>
    <col min="8729" max="8729" width="13" style="1" bestFit="1" customWidth="1"/>
    <col min="8730" max="8730" width="11.7109375" style="1" bestFit="1" customWidth="1"/>
    <col min="8731" max="8737" width="9.140625" style="1"/>
    <col min="8738" max="8738" width="11.28515625" style="1" bestFit="1" customWidth="1"/>
    <col min="8739" max="8739" width="10.7109375" style="1" bestFit="1" customWidth="1"/>
    <col min="8740" max="8961" width="9.140625" style="1"/>
    <col min="8962" max="8962" width="6.42578125" style="1" customWidth="1"/>
    <col min="8963" max="8963" width="20.7109375" style="1" customWidth="1"/>
    <col min="8964" max="8964" width="24.7109375" style="1" customWidth="1"/>
    <col min="8965" max="8965" width="11.140625" style="1" customWidth="1"/>
    <col min="8966" max="8966" width="12.28515625" style="1" customWidth="1"/>
    <col min="8967" max="8967" width="11.140625" style="1" customWidth="1"/>
    <col min="8968" max="8968" width="10.42578125" style="1" customWidth="1"/>
    <col min="8969" max="8969" width="4.7109375" style="1" customWidth="1"/>
    <col min="8970" max="8970" width="8.5703125" style="1" customWidth="1"/>
    <col min="8971" max="8971" width="5.5703125" style="1" customWidth="1"/>
    <col min="8972" max="8973" width="11.5703125" style="1" customWidth="1"/>
    <col min="8974" max="8974" width="10.85546875" style="1" customWidth="1"/>
    <col min="8975" max="8975" width="7.7109375" style="1" customWidth="1"/>
    <col min="8976" max="8976" width="8" style="1" customWidth="1"/>
    <col min="8977" max="8977" width="16.28515625" style="1" customWidth="1"/>
    <col min="8978" max="8978" width="10.5703125" style="1" customWidth="1"/>
    <col min="8979" max="8979" width="14.140625" style="1" customWidth="1"/>
    <col min="8980" max="8980" width="10.140625" style="1" customWidth="1"/>
    <col min="8981" max="8981" width="15.140625" style="1" customWidth="1"/>
    <col min="8982" max="8982" width="8.5703125" style="1" customWidth="1"/>
    <col min="8983" max="8983" width="14.28515625" style="1" customWidth="1"/>
    <col min="8984" max="8984" width="18.28515625" style="1" customWidth="1"/>
    <col min="8985" max="8985" width="13" style="1" bestFit="1" customWidth="1"/>
    <col min="8986" max="8986" width="11.7109375" style="1" bestFit="1" customWidth="1"/>
    <col min="8987" max="8993" width="9.140625" style="1"/>
    <col min="8994" max="8994" width="11.28515625" style="1" bestFit="1" customWidth="1"/>
    <col min="8995" max="8995" width="10.7109375" style="1" bestFit="1" customWidth="1"/>
    <col min="8996" max="9217" width="9.140625" style="1"/>
    <col min="9218" max="9218" width="6.42578125" style="1" customWidth="1"/>
    <col min="9219" max="9219" width="20.7109375" style="1" customWidth="1"/>
    <col min="9220" max="9220" width="24.7109375" style="1" customWidth="1"/>
    <col min="9221" max="9221" width="11.140625" style="1" customWidth="1"/>
    <col min="9222" max="9222" width="12.28515625" style="1" customWidth="1"/>
    <col min="9223" max="9223" width="11.140625" style="1" customWidth="1"/>
    <col min="9224" max="9224" width="10.42578125" style="1" customWidth="1"/>
    <col min="9225" max="9225" width="4.7109375" style="1" customWidth="1"/>
    <col min="9226" max="9226" width="8.5703125" style="1" customWidth="1"/>
    <col min="9227" max="9227" width="5.5703125" style="1" customWidth="1"/>
    <col min="9228" max="9229" width="11.5703125" style="1" customWidth="1"/>
    <col min="9230" max="9230" width="10.85546875" style="1" customWidth="1"/>
    <col min="9231" max="9231" width="7.7109375" style="1" customWidth="1"/>
    <col min="9232" max="9232" width="8" style="1" customWidth="1"/>
    <col min="9233" max="9233" width="16.28515625" style="1" customWidth="1"/>
    <col min="9234" max="9234" width="10.5703125" style="1" customWidth="1"/>
    <col min="9235" max="9235" width="14.140625" style="1" customWidth="1"/>
    <col min="9236" max="9236" width="10.140625" style="1" customWidth="1"/>
    <col min="9237" max="9237" width="15.140625" style="1" customWidth="1"/>
    <col min="9238" max="9238" width="8.5703125" style="1" customWidth="1"/>
    <col min="9239" max="9239" width="14.28515625" style="1" customWidth="1"/>
    <col min="9240" max="9240" width="18.28515625" style="1" customWidth="1"/>
    <col min="9241" max="9241" width="13" style="1" bestFit="1" customWidth="1"/>
    <col min="9242" max="9242" width="11.7109375" style="1" bestFit="1" customWidth="1"/>
    <col min="9243" max="9249" width="9.140625" style="1"/>
    <col min="9250" max="9250" width="11.28515625" style="1" bestFit="1" customWidth="1"/>
    <col min="9251" max="9251" width="10.7109375" style="1" bestFit="1" customWidth="1"/>
    <col min="9252" max="9473" width="9.140625" style="1"/>
    <col min="9474" max="9474" width="6.42578125" style="1" customWidth="1"/>
    <col min="9475" max="9475" width="20.7109375" style="1" customWidth="1"/>
    <col min="9476" max="9476" width="24.7109375" style="1" customWidth="1"/>
    <col min="9477" max="9477" width="11.140625" style="1" customWidth="1"/>
    <col min="9478" max="9478" width="12.28515625" style="1" customWidth="1"/>
    <col min="9479" max="9479" width="11.140625" style="1" customWidth="1"/>
    <col min="9480" max="9480" width="10.42578125" style="1" customWidth="1"/>
    <col min="9481" max="9481" width="4.7109375" style="1" customWidth="1"/>
    <col min="9482" max="9482" width="8.5703125" style="1" customWidth="1"/>
    <col min="9483" max="9483" width="5.5703125" style="1" customWidth="1"/>
    <col min="9484" max="9485" width="11.5703125" style="1" customWidth="1"/>
    <col min="9486" max="9486" width="10.85546875" style="1" customWidth="1"/>
    <col min="9487" max="9487" width="7.7109375" style="1" customWidth="1"/>
    <col min="9488" max="9488" width="8" style="1" customWidth="1"/>
    <col min="9489" max="9489" width="16.28515625" style="1" customWidth="1"/>
    <col min="9490" max="9490" width="10.5703125" style="1" customWidth="1"/>
    <col min="9491" max="9491" width="14.140625" style="1" customWidth="1"/>
    <col min="9492" max="9492" width="10.140625" style="1" customWidth="1"/>
    <col min="9493" max="9493" width="15.140625" style="1" customWidth="1"/>
    <col min="9494" max="9494" width="8.5703125" style="1" customWidth="1"/>
    <col min="9495" max="9495" width="14.28515625" style="1" customWidth="1"/>
    <col min="9496" max="9496" width="18.28515625" style="1" customWidth="1"/>
    <col min="9497" max="9497" width="13" style="1" bestFit="1" customWidth="1"/>
    <col min="9498" max="9498" width="11.7109375" style="1" bestFit="1" customWidth="1"/>
    <col min="9499" max="9505" width="9.140625" style="1"/>
    <col min="9506" max="9506" width="11.28515625" style="1" bestFit="1" customWidth="1"/>
    <col min="9507" max="9507" width="10.7109375" style="1" bestFit="1" customWidth="1"/>
    <col min="9508" max="9729" width="9.140625" style="1"/>
    <col min="9730" max="9730" width="6.42578125" style="1" customWidth="1"/>
    <col min="9731" max="9731" width="20.7109375" style="1" customWidth="1"/>
    <col min="9732" max="9732" width="24.7109375" style="1" customWidth="1"/>
    <col min="9733" max="9733" width="11.140625" style="1" customWidth="1"/>
    <col min="9734" max="9734" width="12.28515625" style="1" customWidth="1"/>
    <col min="9735" max="9735" width="11.140625" style="1" customWidth="1"/>
    <col min="9736" max="9736" width="10.42578125" style="1" customWidth="1"/>
    <col min="9737" max="9737" width="4.7109375" style="1" customWidth="1"/>
    <col min="9738" max="9738" width="8.5703125" style="1" customWidth="1"/>
    <col min="9739" max="9739" width="5.5703125" style="1" customWidth="1"/>
    <col min="9740" max="9741" width="11.5703125" style="1" customWidth="1"/>
    <col min="9742" max="9742" width="10.85546875" style="1" customWidth="1"/>
    <col min="9743" max="9743" width="7.7109375" style="1" customWidth="1"/>
    <col min="9744" max="9744" width="8" style="1" customWidth="1"/>
    <col min="9745" max="9745" width="16.28515625" style="1" customWidth="1"/>
    <col min="9746" max="9746" width="10.5703125" style="1" customWidth="1"/>
    <col min="9747" max="9747" width="14.140625" style="1" customWidth="1"/>
    <col min="9748" max="9748" width="10.140625" style="1" customWidth="1"/>
    <col min="9749" max="9749" width="15.140625" style="1" customWidth="1"/>
    <col min="9750" max="9750" width="8.5703125" style="1" customWidth="1"/>
    <col min="9751" max="9751" width="14.28515625" style="1" customWidth="1"/>
    <col min="9752" max="9752" width="18.28515625" style="1" customWidth="1"/>
    <col min="9753" max="9753" width="13" style="1" bestFit="1" customWidth="1"/>
    <col min="9754" max="9754" width="11.7109375" style="1" bestFit="1" customWidth="1"/>
    <col min="9755" max="9761" width="9.140625" style="1"/>
    <col min="9762" max="9762" width="11.28515625" style="1" bestFit="1" customWidth="1"/>
    <col min="9763" max="9763" width="10.7109375" style="1" bestFit="1" customWidth="1"/>
    <col min="9764" max="9985" width="9.140625" style="1"/>
    <col min="9986" max="9986" width="6.42578125" style="1" customWidth="1"/>
    <col min="9987" max="9987" width="20.7109375" style="1" customWidth="1"/>
    <col min="9988" max="9988" width="24.7109375" style="1" customWidth="1"/>
    <col min="9989" max="9989" width="11.140625" style="1" customWidth="1"/>
    <col min="9990" max="9990" width="12.28515625" style="1" customWidth="1"/>
    <col min="9991" max="9991" width="11.140625" style="1" customWidth="1"/>
    <col min="9992" max="9992" width="10.42578125" style="1" customWidth="1"/>
    <col min="9993" max="9993" width="4.7109375" style="1" customWidth="1"/>
    <col min="9994" max="9994" width="8.5703125" style="1" customWidth="1"/>
    <col min="9995" max="9995" width="5.5703125" style="1" customWidth="1"/>
    <col min="9996" max="9997" width="11.5703125" style="1" customWidth="1"/>
    <col min="9998" max="9998" width="10.85546875" style="1" customWidth="1"/>
    <col min="9999" max="9999" width="7.7109375" style="1" customWidth="1"/>
    <col min="10000" max="10000" width="8" style="1" customWidth="1"/>
    <col min="10001" max="10001" width="16.28515625" style="1" customWidth="1"/>
    <col min="10002" max="10002" width="10.5703125" style="1" customWidth="1"/>
    <col min="10003" max="10003" width="14.140625" style="1" customWidth="1"/>
    <col min="10004" max="10004" width="10.140625" style="1" customWidth="1"/>
    <col min="10005" max="10005" width="15.140625" style="1" customWidth="1"/>
    <col min="10006" max="10006" width="8.5703125" style="1" customWidth="1"/>
    <col min="10007" max="10007" width="14.28515625" style="1" customWidth="1"/>
    <col min="10008" max="10008" width="18.28515625" style="1" customWidth="1"/>
    <col min="10009" max="10009" width="13" style="1" bestFit="1" customWidth="1"/>
    <col min="10010" max="10010" width="11.7109375" style="1" bestFit="1" customWidth="1"/>
    <col min="10011" max="10017" width="9.140625" style="1"/>
    <col min="10018" max="10018" width="11.28515625" style="1" bestFit="1" customWidth="1"/>
    <col min="10019" max="10019" width="10.7109375" style="1" bestFit="1" customWidth="1"/>
    <col min="10020" max="10241" width="9.140625" style="1"/>
    <col min="10242" max="10242" width="6.42578125" style="1" customWidth="1"/>
    <col min="10243" max="10243" width="20.7109375" style="1" customWidth="1"/>
    <col min="10244" max="10244" width="24.7109375" style="1" customWidth="1"/>
    <col min="10245" max="10245" width="11.140625" style="1" customWidth="1"/>
    <col min="10246" max="10246" width="12.28515625" style="1" customWidth="1"/>
    <col min="10247" max="10247" width="11.140625" style="1" customWidth="1"/>
    <col min="10248" max="10248" width="10.42578125" style="1" customWidth="1"/>
    <col min="10249" max="10249" width="4.7109375" style="1" customWidth="1"/>
    <col min="10250" max="10250" width="8.5703125" style="1" customWidth="1"/>
    <col min="10251" max="10251" width="5.5703125" style="1" customWidth="1"/>
    <col min="10252" max="10253" width="11.5703125" style="1" customWidth="1"/>
    <col min="10254" max="10254" width="10.85546875" style="1" customWidth="1"/>
    <col min="10255" max="10255" width="7.7109375" style="1" customWidth="1"/>
    <col min="10256" max="10256" width="8" style="1" customWidth="1"/>
    <col min="10257" max="10257" width="16.28515625" style="1" customWidth="1"/>
    <col min="10258" max="10258" width="10.5703125" style="1" customWidth="1"/>
    <col min="10259" max="10259" width="14.140625" style="1" customWidth="1"/>
    <col min="10260" max="10260" width="10.140625" style="1" customWidth="1"/>
    <col min="10261" max="10261" width="15.140625" style="1" customWidth="1"/>
    <col min="10262" max="10262" width="8.5703125" style="1" customWidth="1"/>
    <col min="10263" max="10263" width="14.28515625" style="1" customWidth="1"/>
    <col min="10264" max="10264" width="18.28515625" style="1" customWidth="1"/>
    <col min="10265" max="10265" width="13" style="1" bestFit="1" customWidth="1"/>
    <col min="10266" max="10266" width="11.7109375" style="1" bestFit="1" customWidth="1"/>
    <col min="10267" max="10273" width="9.140625" style="1"/>
    <col min="10274" max="10274" width="11.28515625" style="1" bestFit="1" customWidth="1"/>
    <col min="10275" max="10275" width="10.7109375" style="1" bestFit="1" customWidth="1"/>
    <col min="10276" max="10497" width="9.140625" style="1"/>
    <col min="10498" max="10498" width="6.42578125" style="1" customWidth="1"/>
    <col min="10499" max="10499" width="20.7109375" style="1" customWidth="1"/>
    <col min="10500" max="10500" width="24.7109375" style="1" customWidth="1"/>
    <col min="10501" max="10501" width="11.140625" style="1" customWidth="1"/>
    <col min="10502" max="10502" width="12.28515625" style="1" customWidth="1"/>
    <col min="10503" max="10503" width="11.140625" style="1" customWidth="1"/>
    <col min="10504" max="10504" width="10.42578125" style="1" customWidth="1"/>
    <col min="10505" max="10505" width="4.7109375" style="1" customWidth="1"/>
    <col min="10506" max="10506" width="8.5703125" style="1" customWidth="1"/>
    <col min="10507" max="10507" width="5.5703125" style="1" customWidth="1"/>
    <col min="10508" max="10509" width="11.5703125" style="1" customWidth="1"/>
    <col min="10510" max="10510" width="10.85546875" style="1" customWidth="1"/>
    <col min="10511" max="10511" width="7.7109375" style="1" customWidth="1"/>
    <col min="10512" max="10512" width="8" style="1" customWidth="1"/>
    <col min="10513" max="10513" width="16.28515625" style="1" customWidth="1"/>
    <col min="10514" max="10514" width="10.5703125" style="1" customWidth="1"/>
    <col min="10515" max="10515" width="14.140625" style="1" customWidth="1"/>
    <col min="10516" max="10516" width="10.140625" style="1" customWidth="1"/>
    <col min="10517" max="10517" width="15.140625" style="1" customWidth="1"/>
    <col min="10518" max="10518" width="8.5703125" style="1" customWidth="1"/>
    <col min="10519" max="10519" width="14.28515625" style="1" customWidth="1"/>
    <col min="10520" max="10520" width="18.28515625" style="1" customWidth="1"/>
    <col min="10521" max="10521" width="13" style="1" bestFit="1" customWidth="1"/>
    <col min="10522" max="10522" width="11.7109375" style="1" bestFit="1" customWidth="1"/>
    <col min="10523" max="10529" width="9.140625" style="1"/>
    <col min="10530" max="10530" width="11.28515625" style="1" bestFit="1" customWidth="1"/>
    <col min="10531" max="10531" width="10.7109375" style="1" bestFit="1" customWidth="1"/>
    <col min="10532" max="10753" width="9.140625" style="1"/>
    <col min="10754" max="10754" width="6.42578125" style="1" customWidth="1"/>
    <col min="10755" max="10755" width="20.7109375" style="1" customWidth="1"/>
    <col min="10756" max="10756" width="24.7109375" style="1" customWidth="1"/>
    <col min="10757" max="10757" width="11.140625" style="1" customWidth="1"/>
    <col min="10758" max="10758" width="12.28515625" style="1" customWidth="1"/>
    <col min="10759" max="10759" width="11.140625" style="1" customWidth="1"/>
    <col min="10760" max="10760" width="10.42578125" style="1" customWidth="1"/>
    <col min="10761" max="10761" width="4.7109375" style="1" customWidth="1"/>
    <col min="10762" max="10762" width="8.5703125" style="1" customWidth="1"/>
    <col min="10763" max="10763" width="5.5703125" style="1" customWidth="1"/>
    <col min="10764" max="10765" width="11.5703125" style="1" customWidth="1"/>
    <col min="10766" max="10766" width="10.85546875" style="1" customWidth="1"/>
    <col min="10767" max="10767" width="7.7109375" style="1" customWidth="1"/>
    <col min="10768" max="10768" width="8" style="1" customWidth="1"/>
    <col min="10769" max="10769" width="16.28515625" style="1" customWidth="1"/>
    <col min="10770" max="10770" width="10.5703125" style="1" customWidth="1"/>
    <col min="10771" max="10771" width="14.140625" style="1" customWidth="1"/>
    <col min="10772" max="10772" width="10.140625" style="1" customWidth="1"/>
    <col min="10773" max="10773" width="15.140625" style="1" customWidth="1"/>
    <col min="10774" max="10774" width="8.5703125" style="1" customWidth="1"/>
    <col min="10775" max="10775" width="14.28515625" style="1" customWidth="1"/>
    <col min="10776" max="10776" width="18.28515625" style="1" customWidth="1"/>
    <col min="10777" max="10777" width="13" style="1" bestFit="1" customWidth="1"/>
    <col min="10778" max="10778" width="11.7109375" style="1" bestFit="1" customWidth="1"/>
    <col min="10779" max="10785" width="9.140625" style="1"/>
    <col min="10786" max="10786" width="11.28515625" style="1" bestFit="1" customWidth="1"/>
    <col min="10787" max="10787" width="10.7109375" style="1" bestFit="1" customWidth="1"/>
    <col min="10788" max="11009" width="9.140625" style="1"/>
    <col min="11010" max="11010" width="6.42578125" style="1" customWidth="1"/>
    <col min="11011" max="11011" width="20.7109375" style="1" customWidth="1"/>
    <col min="11012" max="11012" width="24.7109375" style="1" customWidth="1"/>
    <col min="11013" max="11013" width="11.140625" style="1" customWidth="1"/>
    <col min="11014" max="11014" width="12.28515625" style="1" customWidth="1"/>
    <col min="11015" max="11015" width="11.140625" style="1" customWidth="1"/>
    <col min="11016" max="11016" width="10.42578125" style="1" customWidth="1"/>
    <col min="11017" max="11017" width="4.7109375" style="1" customWidth="1"/>
    <col min="11018" max="11018" width="8.5703125" style="1" customWidth="1"/>
    <col min="11019" max="11019" width="5.5703125" style="1" customWidth="1"/>
    <col min="11020" max="11021" width="11.5703125" style="1" customWidth="1"/>
    <col min="11022" max="11022" width="10.85546875" style="1" customWidth="1"/>
    <col min="11023" max="11023" width="7.7109375" style="1" customWidth="1"/>
    <col min="11024" max="11024" width="8" style="1" customWidth="1"/>
    <col min="11025" max="11025" width="16.28515625" style="1" customWidth="1"/>
    <col min="11026" max="11026" width="10.5703125" style="1" customWidth="1"/>
    <col min="11027" max="11027" width="14.140625" style="1" customWidth="1"/>
    <col min="11028" max="11028" width="10.140625" style="1" customWidth="1"/>
    <col min="11029" max="11029" width="15.140625" style="1" customWidth="1"/>
    <col min="11030" max="11030" width="8.5703125" style="1" customWidth="1"/>
    <col min="11031" max="11031" width="14.28515625" style="1" customWidth="1"/>
    <col min="11032" max="11032" width="18.28515625" style="1" customWidth="1"/>
    <col min="11033" max="11033" width="13" style="1" bestFit="1" customWidth="1"/>
    <col min="11034" max="11034" width="11.7109375" style="1" bestFit="1" customWidth="1"/>
    <col min="11035" max="11041" width="9.140625" style="1"/>
    <col min="11042" max="11042" width="11.28515625" style="1" bestFit="1" customWidth="1"/>
    <col min="11043" max="11043" width="10.7109375" style="1" bestFit="1" customWidth="1"/>
    <col min="11044" max="11265" width="9.140625" style="1"/>
    <col min="11266" max="11266" width="6.42578125" style="1" customWidth="1"/>
    <col min="11267" max="11267" width="20.7109375" style="1" customWidth="1"/>
    <col min="11268" max="11268" width="24.7109375" style="1" customWidth="1"/>
    <col min="11269" max="11269" width="11.140625" style="1" customWidth="1"/>
    <col min="11270" max="11270" width="12.28515625" style="1" customWidth="1"/>
    <col min="11271" max="11271" width="11.140625" style="1" customWidth="1"/>
    <col min="11272" max="11272" width="10.42578125" style="1" customWidth="1"/>
    <col min="11273" max="11273" width="4.7109375" style="1" customWidth="1"/>
    <col min="11274" max="11274" width="8.5703125" style="1" customWidth="1"/>
    <col min="11275" max="11275" width="5.5703125" style="1" customWidth="1"/>
    <col min="11276" max="11277" width="11.5703125" style="1" customWidth="1"/>
    <col min="11278" max="11278" width="10.85546875" style="1" customWidth="1"/>
    <col min="11279" max="11279" width="7.7109375" style="1" customWidth="1"/>
    <col min="11280" max="11280" width="8" style="1" customWidth="1"/>
    <col min="11281" max="11281" width="16.28515625" style="1" customWidth="1"/>
    <col min="11282" max="11282" width="10.5703125" style="1" customWidth="1"/>
    <col min="11283" max="11283" width="14.140625" style="1" customWidth="1"/>
    <col min="11284" max="11284" width="10.140625" style="1" customWidth="1"/>
    <col min="11285" max="11285" width="15.140625" style="1" customWidth="1"/>
    <col min="11286" max="11286" width="8.5703125" style="1" customWidth="1"/>
    <col min="11287" max="11287" width="14.28515625" style="1" customWidth="1"/>
    <col min="11288" max="11288" width="18.28515625" style="1" customWidth="1"/>
    <col min="11289" max="11289" width="13" style="1" bestFit="1" customWidth="1"/>
    <col min="11290" max="11290" width="11.7109375" style="1" bestFit="1" customWidth="1"/>
    <col min="11291" max="11297" width="9.140625" style="1"/>
    <col min="11298" max="11298" width="11.28515625" style="1" bestFit="1" customWidth="1"/>
    <col min="11299" max="11299" width="10.7109375" style="1" bestFit="1" customWidth="1"/>
    <col min="11300" max="11521" width="9.140625" style="1"/>
    <col min="11522" max="11522" width="6.42578125" style="1" customWidth="1"/>
    <col min="11523" max="11523" width="20.7109375" style="1" customWidth="1"/>
    <col min="11524" max="11524" width="24.7109375" style="1" customWidth="1"/>
    <col min="11525" max="11525" width="11.140625" style="1" customWidth="1"/>
    <col min="11526" max="11526" width="12.28515625" style="1" customWidth="1"/>
    <col min="11527" max="11527" width="11.140625" style="1" customWidth="1"/>
    <col min="11528" max="11528" width="10.42578125" style="1" customWidth="1"/>
    <col min="11529" max="11529" width="4.7109375" style="1" customWidth="1"/>
    <col min="11530" max="11530" width="8.5703125" style="1" customWidth="1"/>
    <col min="11531" max="11531" width="5.5703125" style="1" customWidth="1"/>
    <col min="11532" max="11533" width="11.5703125" style="1" customWidth="1"/>
    <col min="11534" max="11534" width="10.85546875" style="1" customWidth="1"/>
    <col min="11535" max="11535" width="7.7109375" style="1" customWidth="1"/>
    <col min="11536" max="11536" width="8" style="1" customWidth="1"/>
    <col min="11537" max="11537" width="16.28515625" style="1" customWidth="1"/>
    <col min="11538" max="11538" width="10.5703125" style="1" customWidth="1"/>
    <col min="11539" max="11539" width="14.140625" style="1" customWidth="1"/>
    <col min="11540" max="11540" width="10.140625" style="1" customWidth="1"/>
    <col min="11541" max="11541" width="15.140625" style="1" customWidth="1"/>
    <col min="11542" max="11542" width="8.5703125" style="1" customWidth="1"/>
    <col min="11543" max="11543" width="14.28515625" style="1" customWidth="1"/>
    <col min="11544" max="11544" width="18.28515625" style="1" customWidth="1"/>
    <col min="11545" max="11545" width="13" style="1" bestFit="1" customWidth="1"/>
    <col min="11546" max="11546" width="11.7109375" style="1" bestFit="1" customWidth="1"/>
    <col min="11547" max="11553" width="9.140625" style="1"/>
    <col min="11554" max="11554" width="11.28515625" style="1" bestFit="1" customWidth="1"/>
    <col min="11555" max="11555" width="10.7109375" style="1" bestFit="1" customWidth="1"/>
    <col min="11556" max="11777" width="9.140625" style="1"/>
    <col min="11778" max="11778" width="6.42578125" style="1" customWidth="1"/>
    <col min="11779" max="11779" width="20.7109375" style="1" customWidth="1"/>
    <col min="11780" max="11780" width="24.7109375" style="1" customWidth="1"/>
    <col min="11781" max="11781" width="11.140625" style="1" customWidth="1"/>
    <col min="11782" max="11782" width="12.28515625" style="1" customWidth="1"/>
    <col min="11783" max="11783" width="11.140625" style="1" customWidth="1"/>
    <col min="11784" max="11784" width="10.42578125" style="1" customWidth="1"/>
    <col min="11785" max="11785" width="4.7109375" style="1" customWidth="1"/>
    <col min="11786" max="11786" width="8.5703125" style="1" customWidth="1"/>
    <col min="11787" max="11787" width="5.5703125" style="1" customWidth="1"/>
    <col min="11788" max="11789" width="11.5703125" style="1" customWidth="1"/>
    <col min="11790" max="11790" width="10.85546875" style="1" customWidth="1"/>
    <col min="11791" max="11791" width="7.7109375" style="1" customWidth="1"/>
    <col min="11792" max="11792" width="8" style="1" customWidth="1"/>
    <col min="11793" max="11793" width="16.28515625" style="1" customWidth="1"/>
    <col min="11794" max="11794" width="10.5703125" style="1" customWidth="1"/>
    <col min="11795" max="11795" width="14.140625" style="1" customWidth="1"/>
    <col min="11796" max="11796" width="10.140625" style="1" customWidth="1"/>
    <col min="11797" max="11797" width="15.140625" style="1" customWidth="1"/>
    <col min="11798" max="11798" width="8.5703125" style="1" customWidth="1"/>
    <col min="11799" max="11799" width="14.28515625" style="1" customWidth="1"/>
    <col min="11800" max="11800" width="18.28515625" style="1" customWidth="1"/>
    <col min="11801" max="11801" width="13" style="1" bestFit="1" customWidth="1"/>
    <col min="11802" max="11802" width="11.7109375" style="1" bestFit="1" customWidth="1"/>
    <col min="11803" max="11809" width="9.140625" style="1"/>
    <col min="11810" max="11810" width="11.28515625" style="1" bestFit="1" customWidth="1"/>
    <col min="11811" max="11811" width="10.7109375" style="1" bestFit="1" customWidth="1"/>
    <col min="11812" max="12033" width="9.140625" style="1"/>
    <col min="12034" max="12034" width="6.42578125" style="1" customWidth="1"/>
    <col min="12035" max="12035" width="20.7109375" style="1" customWidth="1"/>
    <col min="12036" max="12036" width="24.7109375" style="1" customWidth="1"/>
    <col min="12037" max="12037" width="11.140625" style="1" customWidth="1"/>
    <col min="12038" max="12038" width="12.28515625" style="1" customWidth="1"/>
    <col min="12039" max="12039" width="11.140625" style="1" customWidth="1"/>
    <col min="12040" max="12040" width="10.42578125" style="1" customWidth="1"/>
    <col min="12041" max="12041" width="4.7109375" style="1" customWidth="1"/>
    <col min="12042" max="12042" width="8.5703125" style="1" customWidth="1"/>
    <col min="12043" max="12043" width="5.5703125" style="1" customWidth="1"/>
    <col min="12044" max="12045" width="11.5703125" style="1" customWidth="1"/>
    <col min="12046" max="12046" width="10.85546875" style="1" customWidth="1"/>
    <col min="12047" max="12047" width="7.7109375" style="1" customWidth="1"/>
    <col min="12048" max="12048" width="8" style="1" customWidth="1"/>
    <col min="12049" max="12049" width="16.28515625" style="1" customWidth="1"/>
    <col min="12050" max="12050" width="10.5703125" style="1" customWidth="1"/>
    <col min="12051" max="12051" width="14.140625" style="1" customWidth="1"/>
    <col min="12052" max="12052" width="10.140625" style="1" customWidth="1"/>
    <col min="12053" max="12053" width="15.140625" style="1" customWidth="1"/>
    <col min="12054" max="12054" width="8.5703125" style="1" customWidth="1"/>
    <col min="12055" max="12055" width="14.28515625" style="1" customWidth="1"/>
    <col min="12056" max="12056" width="18.28515625" style="1" customWidth="1"/>
    <col min="12057" max="12057" width="13" style="1" bestFit="1" customWidth="1"/>
    <col min="12058" max="12058" width="11.7109375" style="1" bestFit="1" customWidth="1"/>
    <col min="12059" max="12065" width="9.140625" style="1"/>
    <col min="12066" max="12066" width="11.28515625" style="1" bestFit="1" customWidth="1"/>
    <col min="12067" max="12067" width="10.7109375" style="1" bestFit="1" customWidth="1"/>
    <col min="12068" max="12289" width="9.140625" style="1"/>
    <col min="12290" max="12290" width="6.42578125" style="1" customWidth="1"/>
    <col min="12291" max="12291" width="20.7109375" style="1" customWidth="1"/>
    <col min="12292" max="12292" width="24.7109375" style="1" customWidth="1"/>
    <col min="12293" max="12293" width="11.140625" style="1" customWidth="1"/>
    <col min="12294" max="12294" width="12.28515625" style="1" customWidth="1"/>
    <col min="12295" max="12295" width="11.140625" style="1" customWidth="1"/>
    <col min="12296" max="12296" width="10.42578125" style="1" customWidth="1"/>
    <col min="12297" max="12297" width="4.7109375" style="1" customWidth="1"/>
    <col min="12298" max="12298" width="8.5703125" style="1" customWidth="1"/>
    <col min="12299" max="12299" width="5.5703125" style="1" customWidth="1"/>
    <col min="12300" max="12301" width="11.5703125" style="1" customWidth="1"/>
    <col min="12302" max="12302" width="10.85546875" style="1" customWidth="1"/>
    <col min="12303" max="12303" width="7.7109375" style="1" customWidth="1"/>
    <col min="12304" max="12304" width="8" style="1" customWidth="1"/>
    <col min="12305" max="12305" width="16.28515625" style="1" customWidth="1"/>
    <col min="12306" max="12306" width="10.5703125" style="1" customWidth="1"/>
    <col min="12307" max="12307" width="14.140625" style="1" customWidth="1"/>
    <col min="12308" max="12308" width="10.140625" style="1" customWidth="1"/>
    <col min="12309" max="12309" width="15.140625" style="1" customWidth="1"/>
    <col min="12310" max="12310" width="8.5703125" style="1" customWidth="1"/>
    <col min="12311" max="12311" width="14.28515625" style="1" customWidth="1"/>
    <col min="12312" max="12312" width="18.28515625" style="1" customWidth="1"/>
    <col min="12313" max="12313" width="13" style="1" bestFit="1" customWidth="1"/>
    <col min="12314" max="12314" width="11.7109375" style="1" bestFit="1" customWidth="1"/>
    <col min="12315" max="12321" width="9.140625" style="1"/>
    <col min="12322" max="12322" width="11.28515625" style="1" bestFit="1" customWidth="1"/>
    <col min="12323" max="12323" width="10.7109375" style="1" bestFit="1" customWidth="1"/>
    <col min="12324" max="12545" width="9.140625" style="1"/>
    <col min="12546" max="12546" width="6.42578125" style="1" customWidth="1"/>
    <col min="12547" max="12547" width="20.7109375" style="1" customWidth="1"/>
    <col min="12548" max="12548" width="24.7109375" style="1" customWidth="1"/>
    <col min="12549" max="12549" width="11.140625" style="1" customWidth="1"/>
    <col min="12550" max="12550" width="12.28515625" style="1" customWidth="1"/>
    <col min="12551" max="12551" width="11.140625" style="1" customWidth="1"/>
    <col min="12552" max="12552" width="10.42578125" style="1" customWidth="1"/>
    <col min="12553" max="12553" width="4.7109375" style="1" customWidth="1"/>
    <col min="12554" max="12554" width="8.5703125" style="1" customWidth="1"/>
    <col min="12555" max="12555" width="5.5703125" style="1" customWidth="1"/>
    <col min="12556" max="12557" width="11.5703125" style="1" customWidth="1"/>
    <col min="12558" max="12558" width="10.85546875" style="1" customWidth="1"/>
    <col min="12559" max="12559" width="7.7109375" style="1" customWidth="1"/>
    <col min="12560" max="12560" width="8" style="1" customWidth="1"/>
    <col min="12561" max="12561" width="16.28515625" style="1" customWidth="1"/>
    <col min="12562" max="12562" width="10.5703125" style="1" customWidth="1"/>
    <col min="12563" max="12563" width="14.140625" style="1" customWidth="1"/>
    <col min="12564" max="12564" width="10.140625" style="1" customWidth="1"/>
    <col min="12565" max="12565" width="15.140625" style="1" customWidth="1"/>
    <col min="12566" max="12566" width="8.5703125" style="1" customWidth="1"/>
    <col min="12567" max="12567" width="14.28515625" style="1" customWidth="1"/>
    <col min="12568" max="12568" width="18.28515625" style="1" customWidth="1"/>
    <col min="12569" max="12569" width="13" style="1" bestFit="1" customWidth="1"/>
    <col min="12570" max="12570" width="11.7109375" style="1" bestFit="1" customWidth="1"/>
    <col min="12571" max="12577" width="9.140625" style="1"/>
    <col min="12578" max="12578" width="11.28515625" style="1" bestFit="1" customWidth="1"/>
    <col min="12579" max="12579" width="10.7109375" style="1" bestFit="1" customWidth="1"/>
    <col min="12580" max="12801" width="9.140625" style="1"/>
    <col min="12802" max="12802" width="6.42578125" style="1" customWidth="1"/>
    <col min="12803" max="12803" width="20.7109375" style="1" customWidth="1"/>
    <col min="12804" max="12804" width="24.7109375" style="1" customWidth="1"/>
    <col min="12805" max="12805" width="11.140625" style="1" customWidth="1"/>
    <col min="12806" max="12806" width="12.28515625" style="1" customWidth="1"/>
    <col min="12807" max="12807" width="11.140625" style="1" customWidth="1"/>
    <col min="12808" max="12808" width="10.42578125" style="1" customWidth="1"/>
    <col min="12809" max="12809" width="4.7109375" style="1" customWidth="1"/>
    <col min="12810" max="12810" width="8.5703125" style="1" customWidth="1"/>
    <col min="12811" max="12811" width="5.5703125" style="1" customWidth="1"/>
    <col min="12812" max="12813" width="11.5703125" style="1" customWidth="1"/>
    <col min="12814" max="12814" width="10.85546875" style="1" customWidth="1"/>
    <col min="12815" max="12815" width="7.7109375" style="1" customWidth="1"/>
    <col min="12816" max="12816" width="8" style="1" customWidth="1"/>
    <col min="12817" max="12817" width="16.28515625" style="1" customWidth="1"/>
    <col min="12818" max="12818" width="10.5703125" style="1" customWidth="1"/>
    <col min="12819" max="12819" width="14.140625" style="1" customWidth="1"/>
    <col min="12820" max="12820" width="10.140625" style="1" customWidth="1"/>
    <col min="12821" max="12821" width="15.140625" style="1" customWidth="1"/>
    <col min="12822" max="12822" width="8.5703125" style="1" customWidth="1"/>
    <col min="12823" max="12823" width="14.28515625" style="1" customWidth="1"/>
    <col min="12824" max="12824" width="18.28515625" style="1" customWidth="1"/>
    <col min="12825" max="12825" width="13" style="1" bestFit="1" customWidth="1"/>
    <col min="12826" max="12826" width="11.7109375" style="1" bestFit="1" customWidth="1"/>
    <col min="12827" max="12833" width="9.140625" style="1"/>
    <col min="12834" max="12834" width="11.28515625" style="1" bestFit="1" customWidth="1"/>
    <col min="12835" max="12835" width="10.7109375" style="1" bestFit="1" customWidth="1"/>
    <col min="12836" max="13057" width="9.140625" style="1"/>
    <col min="13058" max="13058" width="6.42578125" style="1" customWidth="1"/>
    <col min="13059" max="13059" width="20.7109375" style="1" customWidth="1"/>
    <col min="13060" max="13060" width="24.7109375" style="1" customWidth="1"/>
    <col min="13061" max="13061" width="11.140625" style="1" customWidth="1"/>
    <col min="13062" max="13062" width="12.28515625" style="1" customWidth="1"/>
    <col min="13063" max="13063" width="11.140625" style="1" customWidth="1"/>
    <col min="13064" max="13064" width="10.42578125" style="1" customWidth="1"/>
    <col min="13065" max="13065" width="4.7109375" style="1" customWidth="1"/>
    <col min="13066" max="13066" width="8.5703125" style="1" customWidth="1"/>
    <col min="13067" max="13067" width="5.5703125" style="1" customWidth="1"/>
    <col min="13068" max="13069" width="11.5703125" style="1" customWidth="1"/>
    <col min="13070" max="13070" width="10.85546875" style="1" customWidth="1"/>
    <col min="13071" max="13071" width="7.7109375" style="1" customWidth="1"/>
    <col min="13072" max="13072" width="8" style="1" customWidth="1"/>
    <col min="13073" max="13073" width="16.28515625" style="1" customWidth="1"/>
    <col min="13074" max="13074" width="10.5703125" style="1" customWidth="1"/>
    <col min="13075" max="13075" width="14.140625" style="1" customWidth="1"/>
    <col min="13076" max="13076" width="10.140625" style="1" customWidth="1"/>
    <col min="13077" max="13077" width="15.140625" style="1" customWidth="1"/>
    <col min="13078" max="13078" width="8.5703125" style="1" customWidth="1"/>
    <col min="13079" max="13079" width="14.28515625" style="1" customWidth="1"/>
    <col min="13080" max="13080" width="18.28515625" style="1" customWidth="1"/>
    <col min="13081" max="13081" width="13" style="1" bestFit="1" customWidth="1"/>
    <col min="13082" max="13082" width="11.7109375" style="1" bestFit="1" customWidth="1"/>
    <col min="13083" max="13089" width="9.140625" style="1"/>
    <col min="13090" max="13090" width="11.28515625" style="1" bestFit="1" customWidth="1"/>
    <col min="13091" max="13091" width="10.7109375" style="1" bestFit="1" customWidth="1"/>
    <col min="13092" max="13313" width="9.140625" style="1"/>
    <col min="13314" max="13314" width="6.42578125" style="1" customWidth="1"/>
    <col min="13315" max="13315" width="20.7109375" style="1" customWidth="1"/>
    <col min="13316" max="13316" width="24.7109375" style="1" customWidth="1"/>
    <col min="13317" max="13317" width="11.140625" style="1" customWidth="1"/>
    <col min="13318" max="13318" width="12.28515625" style="1" customWidth="1"/>
    <col min="13319" max="13319" width="11.140625" style="1" customWidth="1"/>
    <col min="13320" max="13320" width="10.42578125" style="1" customWidth="1"/>
    <col min="13321" max="13321" width="4.7109375" style="1" customWidth="1"/>
    <col min="13322" max="13322" width="8.5703125" style="1" customWidth="1"/>
    <col min="13323" max="13323" width="5.5703125" style="1" customWidth="1"/>
    <col min="13324" max="13325" width="11.5703125" style="1" customWidth="1"/>
    <col min="13326" max="13326" width="10.85546875" style="1" customWidth="1"/>
    <col min="13327" max="13327" width="7.7109375" style="1" customWidth="1"/>
    <col min="13328" max="13328" width="8" style="1" customWidth="1"/>
    <col min="13329" max="13329" width="16.28515625" style="1" customWidth="1"/>
    <col min="13330" max="13330" width="10.5703125" style="1" customWidth="1"/>
    <col min="13331" max="13331" width="14.140625" style="1" customWidth="1"/>
    <col min="13332" max="13332" width="10.140625" style="1" customWidth="1"/>
    <col min="13333" max="13333" width="15.140625" style="1" customWidth="1"/>
    <col min="13334" max="13334" width="8.5703125" style="1" customWidth="1"/>
    <col min="13335" max="13335" width="14.28515625" style="1" customWidth="1"/>
    <col min="13336" max="13336" width="18.28515625" style="1" customWidth="1"/>
    <col min="13337" max="13337" width="13" style="1" bestFit="1" customWidth="1"/>
    <col min="13338" max="13338" width="11.7109375" style="1" bestFit="1" customWidth="1"/>
    <col min="13339" max="13345" width="9.140625" style="1"/>
    <col min="13346" max="13346" width="11.28515625" style="1" bestFit="1" customWidth="1"/>
    <col min="13347" max="13347" width="10.7109375" style="1" bestFit="1" customWidth="1"/>
    <col min="13348" max="13569" width="9.140625" style="1"/>
    <col min="13570" max="13570" width="6.42578125" style="1" customWidth="1"/>
    <col min="13571" max="13571" width="20.7109375" style="1" customWidth="1"/>
    <col min="13572" max="13572" width="24.7109375" style="1" customWidth="1"/>
    <col min="13573" max="13573" width="11.140625" style="1" customWidth="1"/>
    <col min="13574" max="13574" width="12.28515625" style="1" customWidth="1"/>
    <col min="13575" max="13575" width="11.140625" style="1" customWidth="1"/>
    <col min="13576" max="13576" width="10.42578125" style="1" customWidth="1"/>
    <col min="13577" max="13577" width="4.7109375" style="1" customWidth="1"/>
    <col min="13578" max="13578" width="8.5703125" style="1" customWidth="1"/>
    <col min="13579" max="13579" width="5.5703125" style="1" customWidth="1"/>
    <col min="13580" max="13581" width="11.5703125" style="1" customWidth="1"/>
    <col min="13582" max="13582" width="10.85546875" style="1" customWidth="1"/>
    <col min="13583" max="13583" width="7.7109375" style="1" customWidth="1"/>
    <col min="13584" max="13584" width="8" style="1" customWidth="1"/>
    <col min="13585" max="13585" width="16.28515625" style="1" customWidth="1"/>
    <col min="13586" max="13586" width="10.5703125" style="1" customWidth="1"/>
    <col min="13587" max="13587" width="14.140625" style="1" customWidth="1"/>
    <col min="13588" max="13588" width="10.140625" style="1" customWidth="1"/>
    <col min="13589" max="13589" width="15.140625" style="1" customWidth="1"/>
    <col min="13590" max="13590" width="8.5703125" style="1" customWidth="1"/>
    <col min="13591" max="13591" width="14.28515625" style="1" customWidth="1"/>
    <col min="13592" max="13592" width="18.28515625" style="1" customWidth="1"/>
    <col min="13593" max="13593" width="13" style="1" bestFit="1" customWidth="1"/>
    <col min="13594" max="13594" width="11.7109375" style="1" bestFit="1" customWidth="1"/>
    <col min="13595" max="13601" width="9.140625" style="1"/>
    <col min="13602" max="13602" width="11.28515625" style="1" bestFit="1" customWidth="1"/>
    <col min="13603" max="13603" width="10.7109375" style="1" bestFit="1" customWidth="1"/>
    <col min="13604" max="13825" width="9.140625" style="1"/>
    <col min="13826" max="13826" width="6.42578125" style="1" customWidth="1"/>
    <col min="13827" max="13827" width="20.7109375" style="1" customWidth="1"/>
    <col min="13828" max="13828" width="24.7109375" style="1" customWidth="1"/>
    <col min="13829" max="13829" width="11.140625" style="1" customWidth="1"/>
    <col min="13830" max="13830" width="12.28515625" style="1" customWidth="1"/>
    <col min="13831" max="13831" width="11.140625" style="1" customWidth="1"/>
    <col min="13832" max="13832" width="10.42578125" style="1" customWidth="1"/>
    <col min="13833" max="13833" width="4.7109375" style="1" customWidth="1"/>
    <col min="13834" max="13834" width="8.5703125" style="1" customWidth="1"/>
    <col min="13835" max="13835" width="5.5703125" style="1" customWidth="1"/>
    <col min="13836" max="13837" width="11.5703125" style="1" customWidth="1"/>
    <col min="13838" max="13838" width="10.85546875" style="1" customWidth="1"/>
    <col min="13839" max="13839" width="7.7109375" style="1" customWidth="1"/>
    <col min="13840" max="13840" width="8" style="1" customWidth="1"/>
    <col min="13841" max="13841" width="16.28515625" style="1" customWidth="1"/>
    <col min="13842" max="13842" width="10.5703125" style="1" customWidth="1"/>
    <col min="13843" max="13843" width="14.140625" style="1" customWidth="1"/>
    <col min="13844" max="13844" width="10.140625" style="1" customWidth="1"/>
    <col min="13845" max="13845" width="15.140625" style="1" customWidth="1"/>
    <col min="13846" max="13846" width="8.5703125" style="1" customWidth="1"/>
    <col min="13847" max="13847" width="14.28515625" style="1" customWidth="1"/>
    <col min="13848" max="13848" width="18.28515625" style="1" customWidth="1"/>
    <col min="13849" max="13849" width="13" style="1" bestFit="1" customWidth="1"/>
    <col min="13850" max="13850" width="11.7109375" style="1" bestFit="1" customWidth="1"/>
    <col min="13851" max="13857" width="9.140625" style="1"/>
    <col min="13858" max="13858" width="11.28515625" style="1" bestFit="1" customWidth="1"/>
    <col min="13859" max="13859" width="10.7109375" style="1" bestFit="1" customWidth="1"/>
    <col min="13860" max="14081" width="9.140625" style="1"/>
    <col min="14082" max="14082" width="6.42578125" style="1" customWidth="1"/>
    <col min="14083" max="14083" width="20.7109375" style="1" customWidth="1"/>
    <col min="14084" max="14084" width="24.7109375" style="1" customWidth="1"/>
    <col min="14085" max="14085" width="11.140625" style="1" customWidth="1"/>
    <col min="14086" max="14086" width="12.28515625" style="1" customWidth="1"/>
    <col min="14087" max="14087" width="11.140625" style="1" customWidth="1"/>
    <col min="14088" max="14088" width="10.42578125" style="1" customWidth="1"/>
    <col min="14089" max="14089" width="4.7109375" style="1" customWidth="1"/>
    <col min="14090" max="14090" width="8.5703125" style="1" customWidth="1"/>
    <col min="14091" max="14091" width="5.5703125" style="1" customWidth="1"/>
    <col min="14092" max="14093" width="11.5703125" style="1" customWidth="1"/>
    <col min="14094" max="14094" width="10.85546875" style="1" customWidth="1"/>
    <col min="14095" max="14095" width="7.7109375" style="1" customWidth="1"/>
    <col min="14096" max="14096" width="8" style="1" customWidth="1"/>
    <col min="14097" max="14097" width="16.28515625" style="1" customWidth="1"/>
    <col min="14098" max="14098" width="10.5703125" style="1" customWidth="1"/>
    <col min="14099" max="14099" width="14.140625" style="1" customWidth="1"/>
    <col min="14100" max="14100" width="10.140625" style="1" customWidth="1"/>
    <col min="14101" max="14101" width="15.140625" style="1" customWidth="1"/>
    <col min="14102" max="14102" width="8.5703125" style="1" customWidth="1"/>
    <col min="14103" max="14103" width="14.28515625" style="1" customWidth="1"/>
    <col min="14104" max="14104" width="18.28515625" style="1" customWidth="1"/>
    <col min="14105" max="14105" width="13" style="1" bestFit="1" customWidth="1"/>
    <col min="14106" max="14106" width="11.7109375" style="1" bestFit="1" customWidth="1"/>
    <col min="14107" max="14113" width="9.140625" style="1"/>
    <col min="14114" max="14114" width="11.28515625" style="1" bestFit="1" customWidth="1"/>
    <col min="14115" max="14115" width="10.7109375" style="1" bestFit="1" customWidth="1"/>
    <col min="14116" max="14337" width="9.140625" style="1"/>
    <col min="14338" max="14338" width="6.42578125" style="1" customWidth="1"/>
    <col min="14339" max="14339" width="20.7109375" style="1" customWidth="1"/>
    <col min="14340" max="14340" width="24.7109375" style="1" customWidth="1"/>
    <col min="14341" max="14341" width="11.140625" style="1" customWidth="1"/>
    <col min="14342" max="14342" width="12.28515625" style="1" customWidth="1"/>
    <col min="14343" max="14343" width="11.140625" style="1" customWidth="1"/>
    <col min="14344" max="14344" width="10.42578125" style="1" customWidth="1"/>
    <col min="14345" max="14345" width="4.7109375" style="1" customWidth="1"/>
    <col min="14346" max="14346" width="8.5703125" style="1" customWidth="1"/>
    <col min="14347" max="14347" width="5.5703125" style="1" customWidth="1"/>
    <col min="14348" max="14349" width="11.5703125" style="1" customWidth="1"/>
    <col min="14350" max="14350" width="10.85546875" style="1" customWidth="1"/>
    <col min="14351" max="14351" width="7.7109375" style="1" customWidth="1"/>
    <col min="14352" max="14352" width="8" style="1" customWidth="1"/>
    <col min="14353" max="14353" width="16.28515625" style="1" customWidth="1"/>
    <col min="14354" max="14354" width="10.5703125" style="1" customWidth="1"/>
    <col min="14355" max="14355" width="14.140625" style="1" customWidth="1"/>
    <col min="14356" max="14356" width="10.140625" style="1" customWidth="1"/>
    <col min="14357" max="14357" width="15.140625" style="1" customWidth="1"/>
    <col min="14358" max="14358" width="8.5703125" style="1" customWidth="1"/>
    <col min="14359" max="14359" width="14.28515625" style="1" customWidth="1"/>
    <col min="14360" max="14360" width="18.28515625" style="1" customWidth="1"/>
    <col min="14361" max="14361" width="13" style="1" bestFit="1" customWidth="1"/>
    <col min="14362" max="14362" width="11.7109375" style="1" bestFit="1" customWidth="1"/>
    <col min="14363" max="14369" width="9.140625" style="1"/>
    <col min="14370" max="14370" width="11.28515625" style="1" bestFit="1" customWidth="1"/>
    <col min="14371" max="14371" width="10.7109375" style="1" bestFit="1" customWidth="1"/>
    <col min="14372" max="14593" width="9.140625" style="1"/>
    <col min="14594" max="14594" width="6.42578125" style="1" customWidth="1"/>
    <col min="14595" max="14595" width="20.7109375" style="1" customWidth="1"/>
    <col min="14596" max="14596" width="24.7109375" style="1" customWidth="1"/>
    <col min="14597" max="14597" width="11.140625" style="1" customWidth="1"/>
    <col min="14598" max="14598" width="12.28515625" style="1" customWidth="1"/>
    <col min="14599" max="14599" width="11.140625" style="1" customWidth="1"/>
    <col min="14600" max="14600" width="10.42578125" style="1" customWidth="1"/>
    <col min="14601" max="14601" width="4.7109375" style="1" customWidth="1"/>
    <col min="14602" max="14602" width="8.5703125" style="1" customWidth="1"/>
    <col min="14603" max="14603" width="5.5703125" style="1" customWidth="1"/>
    <col min="14604" max="14605" width="11.5703125" style="1" customWidth="1"/>
    <col min="14606" max="14606" width="10.85546875" style="1" customWidth="1"/>
    <col min="14607" max="14607" width="7.7109375" style="1" customWidth="1"/>
    <col min="14608" max="14608" width="8" style="1" customWidth="1"/>
    <col min="14609" max="14609" width="16.28515625" style="1" customWidth="1"/>
    <col min="14610" max="14610" width="10.5703125" style="1" customWidth="1"/>
    <col min="14611" max="14611" width="14.140625" style="1" customWidth="1"/>
    <col min="14612" max="14612" width="10.140625" style="1" customWidth="1"/>
    <col min="14613" max="14613" width="15.140625" style="1" customWidth="1"/>
    <col min="14614" max="14614" width="8.5703125" style="1" customWidth="1"/>
    <col min="14615" max="14615" width="14.28515625" style="1" customWidth="1"/>
    <col min="14616" max="14616" width="18.28515625" style="1" customWidth="1"/>
    <col min="14617" max="14617" width="13" style="1" bestFit="1" customWidth="1"/>
    <col min="14618" max="14618" width="11.7109375" style="1" bestFit="1" customWidth="1"/>
    <col min="14619" max="14625" width="9.140625" style="1"/>
    <col min="14626" max="14626" width="11.28515625" style="1" bestFit="1" customWidth="1"/>
    <col min="14627" max="14627" width="10.7109375" style="1" bestFit="1" customWidth="1"/>
    <col min="14628" max="14849" width="9.140625" style="1"/>
    <col min="14850" max="14850" width="6.42578125" style="1" customWidth="1"/>
    <col min="14851" max="14851" width="20.7109375" style="1" customWidth="1"/>
    <col min="14852" max="14852" width="24.7109375" style="1" customWidth="1"/>
    <col min="14853" max="14853" width="11.140625" style="1" customWidth="1"/>
    <col min="14854" max="14854" width="12.28515625" style="1" customWidth="1"/>
    <col min="14855" max="14855" width="11.140625" style="1" customWidth="1"/>
    <col min="14856" max="14856" width="10.42578125" style="1" customWidth="1"/>
    <col min="14857" max="14857" width="4.7109375" style="1" customWidth="1"/>
    <col min="14858" max="14858" width="8.5703125" style="1" customWidth="1"/>
    <col min="14859" max="14859" width="5.5703125" style="1" customWidth="1"/>
    <col min="14860" max="14861" width="11.5703125" style="1" customWidth="1"/>
    <col min="14862" max="14862" width="10.85546875" style="1" customWidth="1"/>
    <col min="14863" max="14863" width="7.7109375" style="1" customWidth="1"/>
    <col min="14864" max="14864" width="8" style="1" customWidth="1"/>
    <col min="14865" max="14865" width="16.28515625" style="1" customWidth="1"/>
    <col min="14866" max="14866" width="10.5703125" style="1" customWidth="1"/>
    <col min="14867" max="14867" width="14.140625" style="1" customWidth="1"/>
    <col min="14868" max="14868" width="10.140625" style="1" customWidth="1"/>
    <col min="14869" max="14869" width="15.140625" style="1" customWidth="1"/>
    <col min="14870" max="14870" width="8.5703125" style="1" customWidth="1"/>
    <col min="14871" max="14871" width="14.28515625" style="1" customWidth="1"/>
    <col min="14872" max="14872" width="18.28515625" style="1" customWidth="1"/>
    <col min="14873" max="14873" width="13" style="1" bestFit="1" customWidth="1"/>
    <col min="14874" max="14874" width="11.7109375" style="1" bestFit="1" customWidth="1"/>
    <col min="14875" max="14881" width="9.140625" style="1"/>
    <col min="14882" max="14882" width="11.28515625" style="1" bestFit="1" customWidth="1"/>
    <col min="14883" max="14883" width="10.7109375" style="1" bestFit="1" customWidth="1"/>
    <col min="14884" max="15105" width="9.140625" style="1"/>
    <col min="15106" max="15106" width="6.42578125" style="1" customWidth="1"/>
    <col min="15107" max="15107" width="20.7109375" style="1" customWidth="1"/>
    <col min="15108" max="15108" width="24.7109375" style="1" customWidth="1"/>
    <col min="15109" max="15109" width="11.140625" style="1" customWidth="1"/>
    <col min="15110" max="15110" width="12.28515625" style="1" customWidth="1"/>
    <col min="15111" max="15111" width="11.140625" style="1" customWidth="1"/>
    <col min="15112" max="15112" width="10.42578125" style="1" customWidth="1"/>
    <col min="15113" max="15113" width="4.7109375" style="1" customWidth="1"/>
    <col min="15114" max="15114" width="8.5703125" style="1" customWidth="1"/>
    <col min="15115" max="15115" width="5.5703125" style="1" customWidth="1"/>
    <col min="15116" max="15117" width="11.5703125" style="1" customWidth="1"/>
    <col min="15118" max="15118" width="10.85546875" style="1" customWidth="1"/>
    <col min="15119" max="15119" width="7.7109375" style="1" customWidth="1"/>
    <col min="15120" max="15120" width="8" style="1" customWidth="1"/>
    <col min="15121" max="15121" width="16.28515625" style="1" customWidth="1"/>
    <col min="15122" max="15122" width="10.5703125" style="1" customWidth="1"/>
    <col min="15123" max="15123" width="14.140625" style="1" customWidth="1"/>
    <col min="15124" max="15124" width="10.140625" style="1" customWidth="1"/>
    <col min="15125" max="15125" width="15.140625" style="1" customWidth="1"/>
    <col min="15126" max="15126" width="8.5703125" style="1" customWidth="1"/>
    <col min="15127" max="15127" width="14.28515625" style="1" customWidth="1"/>
    <col min="15128" max="15128" width="18.28515625" style="1" customWidth="1"/>
    <col min="15129" max="15129" width="13" style="1" bestFit="1" customWidth="1"/>
    <col min="15130" max="15130" width="11.7109375" style="1" bestFit="1" customWidth="1"/>
    <col min="15131" max="15137" width="9.140625" style="1"/>
    <col min="15138" max="15138" width="11.28515625" style="1" bestFit="1" customWidth="1"/>
    <col min="15139" max="15139" width="10.7109375" style="1" bestFit="1" customWidth="1"/>
    <col min="15140" max="15361" width="9.140625" style="1"/>
    <col min="15362" max="15362" width="6.42578125" style="1" customWidth="1"/>
    <col min="15363" max="15363" width="20.7109375" style="1" customWidth="1"/>
    <col min="15364" max="15364" width="24.7109375" style="1" customWidth="1"/>
    <col min="15365" max="15365" width="11.140625" style="1" customWidth="1"/>
    <col min="15366" max="15366" width="12.28515625" style="1" customWidth="1"/>
    <col min="15367" max="15367" width="11.140625" style="1" customWidth="1"/>
    <col min="15368" max="15368" width="10.42578125" style="1" customWidth="1"/>
    <col min="15369" max="15369" width="4.7109375" style="1" customWidth="1"/>
    <col min="15370" max="15370" width="8.5703125" style="1" customWidth="1"/>
    <col min="15371" max="15371" width="5.5703125" style="1" customWidth="1"/>
    <col min="15372" max="15373" width="11.5703125" style="1" customWidth="1"/>
    <col min="15374" max="15374" width="10.85546875" style="1" customWidth="1"/>
    <col min="15375" max="15375" width="7.7109375" style="1" customWidth="1"/>
    <col min="15376" max="15376" width="8" style="1" customWidth="1"/>
    <col min="15377" max="15377" width="16.28515625" style="1" customWidth="1"/>
    <col min="15378" max="15378" width="10.5703125" style="1" customWidth="1"/>
    <col min="15379" max="15379" width="14.140625" style="1" customWidth="1"/>
    <col min="15380" max="15380" width="10.140625" style="1" customWidth="1"/>
    <col min="15381" max="15381" width="15.140625" style="1" customWidth="1"/>
    <col min="15382" max="15382" width="8.5703125" style="1" customWidth="1"/>
    <col min="15383" max="15383" width="14.28515625" style="1" customWidth="1"/>
    <col min="15384" max="15384" width="18.28515625" style="1" customWidth="1"/>
    <col min="15385" max="15385" width="13" style="1" bestFit="1" customWidth="1"/>
    <col min="15386" max="15386" width="11.7109375" style="1" bestFit="1" customWidth="1"/>
    <col min="15387" max="15393" width="9.140625" style="1"/>
    <col min="15394" max="15394" width="11.28515625" style="1" bestFit="1" customWidth="1"/>
    <col min="15395" max="15395" width="10.7109375" style="1" bestFit="1" customWidth="1"/>
    <col min="15396" max="15617" width="9.140625" style="1"/>
    <col min="15618" max="15618" width="6.42578125" style="1" customWidth="1"/>
    <col min="15619" max="15619" width="20.7109375" style="1" customWidth="1"/>
    <col min="15620" max="15620" width="24.7109375" style="1" customWidth="1"/>
    <col min="15621" max="15621" width="11.140625" style="1" customWidth="1"/>
    <col min="15622" max="15622" width="12.28515625" style="1" customWidth="1"/>
    <col min="15623" max="15623" width="11.140625" style="1" customWidth="1"/>
    <col min="15624" max="15624" width="10.42578125" style="1" customWidth="1"/>
    <col min="15625" max="15625" width="4.7109375" style="1" customWidth="1"/>
    <col min="15626" max="15626" width="8.5703125" style="1" customWidth="1"/>
    <col min="15627" max="15627" width="5.5703125" style="1" customWidth="1"/>
    <col min="15628" max="15629" width="11.5703125" style="1" customWidth="1"/>
    <col min="15630" max="15630" width="10.85546875" style="1" customWidth="1"/>
    <col min="15631" max="15631" width="7.7109375" style="1" customWidth="1"/>
    <col min="15632" max="15632" width="8" style="1" customWidth="1"/>
    <col min="15633" max="15633" width="16.28515625" style="1" customWidth="1"/>
    <col min="15634" max="15634" width="10.5703125" style="1" customWidth="1"/>
    <col min="15635" max="15635" width="14.140625" style="1" customWidth="1"/>
    <col min="15636" max="15636" width="10.140625" style="1" customWidth="1"/>
    <col min="15637" max="15637" width="15.140625" style="1" customWidth="1"/>
    <col min="15638" max="15638" width="8.5703125" style="1" customWidth="1"/>
    <col min="15639" max="15639" width="14.28515625" style="1" customWidth="1"/>
    <col min="15640" max="15640" width="18.28515625" style="1" customWidth="1"/>
    <col min="15641" max="15641" width="13" style="1" bestFit="1" customWidth="1"/>
    <col min="15642" max="15642" width="11.7109375" style="1" bestFit="1" customWidth="1"/>
    <col min="15643" max="15649" width="9.140625" style="1"/>
    <col min="15650" max="15650" width="11.28515625" style="1" bestFit="1" customWidth="1"/>
    <col min="15651" max="15651" width="10.7109375" style="1" bestFit="1" customWidth="1"/>
    <col min="15652" max="15873" width="9.140625" style="1"/>
    <col min="15874" max="15874" width="6.42578125" style="1" customWidth="1"/>
    <col min="15875" max="15875" width="20.7109375" style="1" customWidth="1"/>
    <col min="15876" max="15876" width="24.7109375" style="1" customWidth="1"/>
    <col min="15877" max="15877" width="11.140625" style="1" customWidth="1"/>
    <col min="15878" max="15878" width="12.28515625" style="1" customWidth="1"/>
    <col min="15879" max="15879" width="11.140625" style="1" customWidth="1"/>
    <col min="15880" max="15880" width="10.42578125" style="1" customWidth="1"/>
    <col min="15881" max="15881" width="4.7109375" style="1" customWidth="1"/>
    <col min="15882" max="15882" width="8.5703125" style="1" customWidth="1"/>
    <col min="15883" max="15883" width="5.5703125" style="1" customWidth="1"/>
    <col min="15884" max="15885" width="11.5703125" style="1" customWidth="1"/>
    <col min="15886" max="15886" width="10.85546875" style="1" customWidth="1"/>
    <col min="15887" max="15887" width="7.7109375" style="1" customWidth="1"/>
    <col min="15888" max="15888" width="8" style="1" customWidth="1"/>
    <col min="15889" max="15889" width="16.28515625" style="1" customWidth="1"/>
    <col min="15890" max="15890" width="10.5703125" style="1" customWidth="1"/>
    <col min="15891" max="15891" width="14.140625" style="1" customWidth="1"/>
    <col min="15892" max="15892" width="10.140625" style="1" customWidth="1"/>
    <col min="15893" max="15893" width="15.140625" style="1" customWidth="1"/>
    <col min="15894" max="15894" width="8.5703125" style="1" customWidth="1"/>
    <col min="15895" max="15895" width="14.28515625" style="1" customWidth="1"/>
    <col min="15896" max="15896" width="18.28515625" style="1" customWidth="1"/>
    <col min="15897" max="15897" width="13" style="1" bestFit="1" customWidth="1"/>
    <col min="15898" max="15898" width="11.7109375" style="1" bestFit="1" customWidth="1"/>
    <col min="15899" max="15905" width="9.140625" style="1"/>
    <col min="15906" max="15906" width="11.28515625" style="1" bestFit="1" customWidth="1"/>
    <col min="15907" max="15907" width="10.7109375" style="1" bestFit="1" customWidth="1"/>
    <col min="15908" max="16129" width="9.140625" style="1"/>
    <col min="16130" max="16130" width="6.42578125" style="1" customWidth="1"/>
    <col min="16131" max="16131" width="20.7109375" style="1" customWidth="1"/>
    <col min="16132" max="16132" width="24.7109375" style="1" customWidth="1"/>
    <col min="16133" max="16133" width="11.140625" style="1" customWidth="1"/>
    <col min="16134" max="16134" width="12.28515625" style="1" customWidth="1"/>
    <col min="16135" max="16135" width="11.140625" style="1" customWidth="1"/>
    <col min="16136" max="16136" width="10.42578125" style="1" customWidth="1"/>
    <col min="16137" max="16137" width="4.7109375" style="1" customWidth="1"/>
    <col min="16138" max="16138" width="8.5703125" style="1" customWidth="1"/>
    <col min="16139" max="16139" width="5.5703125" style="1" customWidth="1"/>
    <col min="16140" max="16141" width="11.5703125" style="1" customWidth="1"/>
    <col min="16142" max="16142" width="10.85546875" style="1" customWidth="1"/>
    <col min="16143" max="16143" width="7.7109375" style="1" customWidth="1"/>
    <col min="16144" max="16144" width="8" style="1" customWidth="1"/>
    <col min="16145" max="16145" width="16.28515625" style="1" customWidth="1"/>
    <col min="16146" max="16146" width="10.5703125" style="1" customWidth="1"/>
    <col min="16147" max="16147" width="14.140625" style="1" customWidth="1"/>
    <col min="16148" max="16148" width="10.140625" style="1" customWidth="1"/>
    <col min="16149" max="16149" width="15.140625" style="1" customWidth="1"/>
    <col min="16150" max="16150" width="8.5703125" style="1" customWidth="1"/>
    <col min="16151" max="16151" width="14.28515625" style="1" customWidth="1"/>
    <col min="16152" max="16152" width="18.28515625" style="1" customWidth="1"/>
    <col min="16153" max="16153" width="13" style="1" bestFit="1" customWidth="1"/>
    <col min="16154" max="16154" width="11.7109375" style="1" bestFit="1" customWidth="1"/>
    <col min="16155" max="16161" width="9.140625" style="1"/>
    <col min="16162" max="16162" width="11.28515625" style="1" bestFit="1" customWidth="1"/>
    <col min="16163" max="16163" width="10.7109375" style="1" bestFit="1" customWidth="1"/>
    <col min="16164" max="16384" width="9.140625" style="1"/>
  </cols>
  <sheetData>
    <row r="1" spans="1:69" ht="9.75" customHeight="1">
      <c r="V1" s="3"/>
    </row>
    <row r="2" spans="1:69" ht="16.5" customHeight="1">
      <c r="A2" s="2317" t="s">
        <v>825</v>
      </c>
      <c r="B2" s="2317"/>
      <c r="C2" s="2317"/>
      <c r="D2" s="2317"/>
      <c r="E2" s="2317"/>
      <c r="F2" s="2317"/>
      <c r="G2" s="2317"/>
      <c r="H2" s="2317"/>
      <c r="I2" s="2317"/>
      <c r="J2" s="2317"/>
      <c r="K2" s="2317"/>
      <c r="L2" s="2317"/>
      <c r="M2" s="2317"/>
      <c r="N2" s="2317"/>
      <c r="O2" s="2317"/>
      <c r="P2" s="2317"/>
      <c r="Q2" s="2317"/>
      <c r="R2" s="2317"/>
      <c r="S2" s="2317"/>
      <c r="T2" s="2317"/>
      <c r="U2" s="2317"/>
      <c r="V2" s="2317"/>
      <c r="W2" s="2317"/>
      <c r="X2" s="2317"/>
      <c r="Y2" s="24"/>
      <c r="Z2" s="24"/>
    </row>
    <row r="3" spans="1:69" ht="13.5" customHeight="1">
      <c r="A3" s="2318" t="s">
        <v>0</v>
      </c>
      <c r="B3" s="2318"/>
      <c r="C3" s="2318"/>
      <c r="D3" s="2318"/>
      <c r="E3" s="2318"/>
      <c r="F3" s="2318"/>
      <c r="G3" s="2318"/>
      <c r="H3" s="2318"/>
      <c r="I3" s="2318"/>
      <c r="J3" s="2318"/>
      <c r="K3" s="2318"/>
      <c r="L3" s="2318"/>
      <c r="M3" s="2318"/>
      <c r="N3" s="2318"/>
      <c r="O3" s="2318"/>
      <c r="P3" s="2318"/>
      <c r="Q3" s="2318"/>
      <c r="R3" s="2318"/>
      <c r="S3" s="2318"/>
      <c r="T3" s="2318"/>
      <c r="U3" s="2318"/>
      <c r="V3" s="2318"/>
      <c r="W3" s="2318"/>
      <c r="X3" s="2318"/>
      <c r="Y3" s="24"/>
      <c r="Z3" s="24"/>
    </row>
    <row r="4" spans="1:69" s="1869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782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304" t="s">
        <v>821</v>
      </c>
      <c r="P4" s="2256" t="s">
        <v>16</v>
      </c>
      <c r="Q4" s="1868" t="s">
        <v>642</v>
      </c>
      <c r="R4" s="2256" t="s">
        <v>17</v>
      </c>
      <c r="S4" s="2256"/>
      <c r="T4" s="2256" t="s">
        <v>18</v>
      </c>
      <c r="U4" s="2256"/>
      <c r="V4" s="2256" t="s">
        <v>19</v>
      </c>
      <c r="W4" s="2256"/>
      <c r="X4" s="2306" t="s">
        <v>401</v>
      </c>
      <c r="Y4" s="2260" t="s">
        <v>401</v>
      </c>
      <c r="Z4" s="2305" t="s">
        <v>394</v>
      </c>
      <c r="AA4" s="24"/>
      <c r="AB4" s="89"/>
      <c r="AC4" s="89"/>
      <c r="AD4" s="89"/>
      <c r="AE4" s="89"/>
      <c r="AF4" s="89"/>
      <c r="AG4" s="89"/>
      <c r="AH4" s="89"/>
      <c r="AI4" s="89"/>
      <c r="AJ4" s="89"/>
      <c r="AK4" s="86"/>
      <c r="AL4" s="86"/>
      <c r="AM4" s="86"/>
      <c r="AN4" s="86"/>
      <c r="AO4" s="86"/>
      <c r="AP4" s="86"/>
      <c r="AQ4" s="86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</row>
    <row r="5" spans="1:69" s="1869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304"/>
      <c r="P5" s="2256"/>
      <c r="Q5" s="1868" t="s">
        <v>22</v>
      </c>
      <c r="R5" s="1868" t="s">
        <v>21</v>
      </c>
      <c r="S5" s="1868" t="s">
        <v>22</v>
      </c>
      <c r="T5" s="1868" t="s">
        <v>21</v>
      </c>
      <c r="U5" s="1868" t="s">
        <v>22</v>
      </c>
      <c r="V5" s="1868" t="s">
        <v>21</v>
      </c>
      <c r="W5" s="1868" t="s">
        <v>22</v>
      </c>
      <c r="X5" s="2306"/>
      <c r="Y5" s="2260"/>
      <c r="Z5" s="2305"/>
      <c r="AA5" s="1023" t="s">
        <v>640</v>
      </c>
      <c r="AB5" s="1024" t="s">
        <v>641</v>
      </c>
      <c r="AC5" s="89"/>
      <c r="AD5" s="89"/>
      <c r="AE5" s="89"/>
      <c r="AF5" s="89"/>
      <c r="AG5" s="89"/>
      <c r="AH5" s="89"/>
      <c r="AI5" s="89"/>
      <c r="AJ5" s="89"/>
      <c r="AK5" s="86"/>
      <c r="AL5" s="86"/>
      <c r="AM5" s="86"/>
      <c r="AN5" s="86"/>
      <c r="AO5" s="86"/>
      <c r="AP5" s="86"/>
      <c r="AQ5" s="86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</row>
    <row r="6" spans="1:69" s="1265" customFormat="1" ht="15" customHeight="1">
      <c r="A6" s="5">
        <v>1</v>
      </c>
      <c r="B6" s="730" t="s">
        <v>23</v>
      </c>
      <c r="C6" s="6" t="s">
        <v>620</v>
      </c>
      <c r="D6" s="5" t="s">
        <v>25</v>
      </c>
      <c r="E6" s="57" t="s">
        <v>724</v>
      </c>
      <c r="F6" s="5" t="s">
        <v>27</v>
      </c>
      <c r="G6" s="5">
        <v>1</v>
      </c>
      <c r="H6" s="5" t="s">
        <v>28</v>
      </c>
      <c r="I6" s="5" t="s">
        <v>29</v>
      </c>
      <c r="J6" s="731" t="s">
        <v>30</v>
      </c>
      <c r="K6" s="7">
        <v>17697</v>
      </c>
      <c r="L6" s="7"/>
      <c r="M6" s="10">
        <v>1</v>
      </c>
      <c r="N6" s="7"/>
      <c r="O6" s="10">
        <v>6.22</v>
      </c>
      <c r="P6" s="7">
        <v>0</v>
      </c>
      <c r="Q6" s="882">
        <f>'расчеты к штатному '!Q6</f>
        <v>55037.67</v>
      </c>
      <c r="R6" s="7"/>
      <c r="S6" s="8"/>
      <c r="T6" s="7">
        <v>0.1</v>
      </c>
      <c r="U6" s="7">
        <f>(P6+Q6+S6)*T6</f>
        <v>5503.7669999999998</v>
      </c>
      <c r="V6" s="7"/>
      <c r="W6" s="9"/>
      <c r="X6" s="10">
        <f>P6+S6+U6+W6+Q6</f>
        <v>60541.436999999998</v>
      </c>
      <c r="Y6" s="1268">
        <f>R6+T6+V6</f>
        <v>0.1</v>
      </c>
      <c r="Z6" s="1268">
        <f>S6+U6+W6</f>
        <v>5503.7669999999998</v>
      </c>
      <c r="AA6" s="1264">
        <f>X6*12</f>
        <v>726497.24399999995</v>
      </c>
      <c r="AB6" s="1382">
        <f>AA6/12/29.33*30</f>
        <v>61924.415615410842</v>
      </c>
      <c r="AC6" s="1383"/>
      <c r="AD6" s="1264"/>
      <c r="AE6" s="1264"/>
      <c r="AF6" s="1264"/>
      <c r="AG6" s="1264"/>
      <c r="AH6" s="1264"/>
      <c r="AI6" s="1264"/>
      <c r="AJ6" s="1264"/>
      <c r="AK6" s="23"/>
      <c r="AL6" s="23"/>
      <c r="AM6" s="23"/>
      <c r="AN6" s="23"/>
      <c r="AO6" s="23"/>
      <c r="AP6" s="23"/>
      <c r="AQ6" s="23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</row>
    <row r="7" spans="1:69" s="1265" customFormat="1" ht="15" customHeight="1">
      <c r="A7" s="5">
        <v>2</v>
      </c>
      <c r="B7" s="730" t="s">
        <v>31</v>
      </c>
      <c r="C7" s="6" t="s">
        <v>32</v>
      </c>
      <c r="D7" s="5" t="s">
        <v>25</v>
      </c>
      <c r="E7" s="45" t="s">
        <v>772</v>
      </c>
      <c r="F7" s="12" t="s">
        <v>34</v>
      </c>
      <c r="G7" s="5">
        <v>1</v>
      </c>
      <c r="H7" s="5" t="s">
        <v>28</v>
      </c>
      <c r="I7" s="5" t="s">
        <v>35</v>
      </c>
      <c r="J7" s="733" t="s">
        <v>30</v>
      </c>
      <c r="K7" s="7">
        <v>17697</v>
      </c>
      <c r="L7" s="7"/>
      <c r="M7" s="10">
        <v>1</v>
      </c>
      <c r="N7" s="7"/>
      <c r="O7" s="1626">
        <v>5.77</v>
      </c>
      <c r="P7" s="7">
        <v>0</v>
      </c>
      <c r="Q7" s="882">
        <f>'расчеты к штатному '!Q7</f>
        <v>51055.844999999994</v>
      </c>
      <c r="R7" s="8"/>
      <c r="S7" s="7"/>
      <c r="T7" s="7">
        <v>0.1</v>
      </c>
      <c r="U7" s="7">
        <f t="shared" ref="U7:U25" si="0">(P7+Q7+S7)*T7</f>
        <v>5105.5844999999999</v>
      </c>
      <c r="V7" s="9"/>
      <c r="W7" s="7"/>
      <c r="X7" s="10">
        <f t="shared" ref="X7:X25" si="1">P7+S7+U7+W7+Q7</f>
        <v>56161.429499999991</v>
      </c>
      <c r="Y7" s="1268">
        <f t="shared" ref="Y7:Z24" si="2">R7+T7+V7</f>
        <v>0.1</v>
      </c>
      <c r="Z7" s="1268">
        <f t="shared" si="2"/>
        <v>5105.5844999999999</v>
      </c>
      <c r="AA7" s="1264">
        <f t="shared" ref="AA7:AA72" si="3">X7*12</f>
        <v>673937.15399999986</v>
      </c>
      <c r="AB7" s="1382">
        <f t="shared" ref="AB7:AB24" si="4">AA7/12/29.33*30</f>
        <v>57444.353392430952</v>
      </c>
      <c r="AH7" s="1388"/>
      <c r="AI7" s="1389"/>
      <c r="AK7" s="23"/>
      <c r="AL7" s="23"/>
      <c r="AM7" s="23"/>
      <c r="AN7" s="23"/>
      <c r="AO7" s="23"/>
      <c r="AP7" s="23"/>
      <c r="AQ7" s="23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</row>
    <row r="8" spans="1:69" s="1396" customFormat="1" ht="15" customHeight="1">
      <c r="A8" s="5">
        <v>3</v>
      </c>
      <c r="B8" s="13" t="s">
        <v>36</v>
      </c>
      <c r="C8" s="6" t="s">
        <v>32</v>
      </c>
      <c r="D8" s="14" t="s">
        <v>25</v>
      </c>
      <c r="E8" s="536" t="s">
        <v>265</v>
      </c>
      <c r="F8" s="12" t="s">
        <v>34</v>
      </c>
      <c r="G8" s="14">
        <v>1</v>
      </c>
      <c r="H8" s="5" t="s">
        <v>28</v>
      </c>
      <c r="I8" s="5" t="s">
        <v>35</v>
      </c>
      <c r="J8" s="14">
        <v>3</v>
      </c>
      <c r="K8" s="15">
        <v>17697</v>
      </c>
      <c r="L8" s="15"/>
      <c r="M8" s="1627">
        <v>1</v>
      </c>
      <c r="N8" s="7"/>
      <c r="O8" s="1628">
        <v>5.77</v>
      </c>
      <c r="P8" s="7">
        <v>0</v>
      </c>
      <c r="Q8" s="882">
        <f>'расчеты к штатному '!Q8</f>
        <v>51055.844999999994</v>
      </c>
      <c r="R8" s="8"/>
      <c r="S8" s="7"/>
      <c r="T8" s="7">
        <v>0.1</v>
      </c>
      <c r="U8" s="7">
        <f>(P8+Q8+S8)*T8</f>
        <v>5105.5844999999999</v>
      </c>
      <c r="V8" s="9"/>
      <c r="W8" s="7"/>
      <c r="X8" s="10">
        <f t="shared" si="1"/>
        <v>56161.429499999991</v>
      </c>
      <c r="Y8" s="1268">
        <f t="shared" si="2"/>
        <v>0.1</v>
      </c>
      <c r="Z8" s="1268">
        <f t="shared" si="2"/>
        <v>5105.5844999999999</v>
      </c>
      <c r="AA8" s="1264">
        <f t="shared" si="3"/>
        <v>673937.15399999986</v>
      </c>
      <c r="AB8" s="1382">
        <f t="shared" si="4"/>
        <v>57444.353392430952</v>
      </c>
      <c r="AH8" s="1397"/>
      <c r="AI8" s="1398"/>
      <c r="AK8" s="1778"/>
      <c r="AL8" s="1784">
        <f>U7+U8</f>
        <v>10211.169</v>
      </c>
      <c r="AM8" s="1778"/>
      <c r="AN8" s="1778"/>
      <c r="AO8" s="1778"/>
      <c r="AP8" s="1778"/>
      <c r="AQ8" s="1778"/>
      <c r="AR8" s="908"/>
      <c r="AS8" s="908"/>
      <c r="AT8" s="908"/>
      <c r="AU8" s="908"/>
      <c r="AV8" s="908"/>
      <c r="AW8" s="908"/>
      <c r="AX8" s="908"/>
      <c r="AY8" s="908"/>
      <c r="AZ8" s="908"/>
      <c r="BA8" s="908"/>
      <c r="BB8" s="908"/>
      <c r="BC8" s="908"/>
      <c r="BD8" s="908"/>
      <c r="BE8" s="908"/>
      <c r="BF8" s="908"/>
      <c r="BG8" s="908"/>
      <c r="BH8" s="908"/>
      <c r="BI8" s="908"/>
      <c r="BJ8" s="908"/>
      <c r="BK8" s="908"/>
      <c r="BL8" s="908"/>
      <c r="BM8" s="908"/>
      <c r="BN8" s="908"/>
      <c r="BO8" s="908"/>
      <c r="BP8" s="908"/>
      <c r="BQ8" s="908"/>
    </row>
    <row r="9" spans="1:69" s="1407" customFormat="1" ht="28.5">
      <c r="A9" s="5">
        <v>4</v>
      </c>
      <c r="B9" s="17" t="s">
        <v>38</v>
      </c>
      <c r="C9" s="6" t="s">
        <v>32</v>
      </c>
      <c r="D9" s="16" t="s">
        <v>25</v>
      </c>
      <c r="E9" s="543" t="s">
        <v>774</v>
      </c>
      <c r="F9" s="734" t="s">
        <v>40</v>
      </c>
      <c r="G9" s="16">
        <v>1</v>
      </c>
      <c r="H9" s="5" t="s">
        <v>28</v>
      </c>
      <c r="I9" s="5" t="s">
        <v>35</v>
      </c>
      <c r="J9" s="735">
        <v>3</v>
      </c>
      <c r="K9" s="18">
        <v>17697</v>
      </c>
      <c r="L9" s="18"/>
      <c r="M9" s="1629">
        <v>1</v>
      </c>
      <c r="N9" s="18"/>
      <c r="O9" s="1628">
        <v>5.77</v>
      </c>
      <c r="P9" s="18">
        <v>0</v>
      </c>
      <c r="Q9" s="882">
        <f>'расчеты к штатному '!Q9</f>
        <v>51055.844999999994</v>
      </c>
      <c r="R9" s="19">
        <v>0.25</v>
      </c>
      <c r="S9" s="18">
        <v>6381.08</v>
      </c>
      <c r="T9" s="7">
        <v>0.1</v>
      </c>
      <c r="U9" s="7">
        <v>2552.79</v>
      </c>
      <c r="V9" s="736"/>
      <c r="W9" s="18"/>
      <c r="X9" s="10">
        <f>P9+S9+U9+W9+Q9</f>
        <v>59989.714999999997</v>
      </c>
      <c r="Y9" s="1268">
        <f t="shared" si="2"/>
        <v>0.35</v>
      </c>
      <c r="Z9" s="1268">
        <f t="shared" si="2"/>
        <v>8933.869999999999</v>
      </c>
      <c r="AA9" s="1264">
        <f t="shared" si="3"/>
        <v>719876.58</v>
      </c>
      <c r="AB9" s="1382">
        <f t="shared" si="4"/>
        <v>61360.090351176266</v>
      </c>
      <c r="AC9" s="1264"/>
      <c r="AD9" s="1264"/>
      <c r="AE9" s="1383"/>
      <c r="AF9" s="1383"/>
      <c r="AG9" s="1264"/>
      <c r="AK9" s="1779"/>
      <c r="AL9" s="1780"/>
      <c r="AM9" s="1779"/>
      <c r="AN9" s="1779"/>
      <c r="AO9" s="1779"/>
      <c r="AP9" s="1781"/>
      <c r="AQ9" s="1780">
        <f>P9+U9+S9+W9</f>
        <v>8933.869999999999</v>
      </c>
      <c r="AR9" s="911"/>
      <c r="AS9" s="911"/>
      <c r="AT9" s="911"/>
      <c r="AU9" s="911"/>
      <c r="AV9" s="911"/>
      <c r="AW9" s="911"/>
      <c r="AX9" s="911"/>
      <c r="AY9" s="911"/>
      <c r="AZ9" s="911"/>
      <c r="BA9" s="911"/>
      <c r="BB9" s="911"/>
      <c r="BC9" s="911"/>
      <c r="BD9" s="911"/>
      <c r="BE9" s="911"/>
      <c r="BF9" s="911"/>
      <c r="BG9" s="911"/>
      <c r="BH9" s="911"/>
      <c r="BI9" s="911"/>
      <c r="BJ9" s="911"/>
      <c r="BK9" s="911"/>
      <c r="BL9" s="911"/>
      <c r="BM9" s="911"/>
      <c r="BN9" s="911"/>
      <c r="BO9" s="911"/>
      <c r="BP9" s="911"/>
      <c r="BQ9" s="911"/>
    </row>
    <row r="10" spans="1:69" s="1265" customFormat="1" ht="15" customHeight="1">
      <c r="A10" s="5">
        <v>5</v>
      </c>
      <c r="B10" s="730" t="s">
        <v>91</v>
      </c>
      <c r="C10" s="6" t="s">
        <v>783</v>
      </c>
      <c r="D10" s="5" t="s">
        <v>25</v>
      </c>
      <c r="E10" s="562" t="s">
        <v>677</v>
      </c>
      <c r="F10" s="5" t="s">
        <v>367</v>
      </c>
      <c r="G10" s="5">
        <v>1</v>
      </c>
      <c r="H10" s="20" t="s">
        <v>28</v>
      </c>
      <c r="I10" s="20" t="s">
        <v>29</v>
      </c>
      <c r="J10" s="731" t="s">
        <v>44</v>
      </c>
      <c r="K10" s="7">
        <v>17697</v>
      </c>
      <c r="L10" s="7"/>
      <c r="M10" s="10">
        <v>1</v>
      </c>
      <c r="N10" s="7"/>
      <c r="O10" s="1022" t="s">
        <v>771</v>
      </c>
      <c r="P10" s="18">
        <v>0</v>
      </c>
      <c r="Q10" s="882">
        <f>'расчеты к штатному '!Q10</f>
        <v>49463.114999999998</v>
      </c>
      <c r="R10" s="7"/>
      <c r="S10" s="8"/>
      <c r="T10" s="7">
        <v>0.1</v>
      </c>
      <c r="U10" s="7">
        <f t="shared" si="0"/>
        <v>4946.3114999999998</v>
      </c>
      <c r="V10" s="7"/>
      <c r="W10" s="9"/>
      <c r="X10" s="10">
        <f t="shared" si="1"/>
        <v>54409.426500000001</v>
      </c>
      <c r="Y10" s="1268">
        <f t="shared" si="2"/>
        <v>0.1</v>
      </c>
      <c r="Z10" s="1268">
        <f t="shared" si="2"/>
        <v>4946.3114999999998</v>
      </c>
      <c r="AA10" s="1264">
        <f t="shared" si="3"/>
        <v>652913.11800000002</v>
      </c>
      <c r="AB10" s="1382">
        <f t="shared" si="4"/>
        <v>55652.328503239012</v>
      </c>
      <c r="AC10" s="1264"/>
      <c r="AD10" s="1264"/>
      <c r="AE10" s="1264"/>
      <c r="AF10" s="1264"/>
      <c r="AG10" s="1264"/>
      <c r="AH10" s="1264"/>
      <c r="AI10" s="1264"/>
      <c r="AJ10" s="1264"/>
      <c r="AK10" s="23"/>
      <c r="AL10" s="23"/>
      <c r="AM10" s="23"/>
      <c r="AN10" s="23"/>
      <c r="AO10" s="23"/>
      <c r="AP10" s="23"/>
      <c r="AQ10" s="23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</row>
    <row r="11" spans="1:69" s="1265" customFormat="1" ht="15" customHeight="1">
      <c r="A11" s="5">
        <v>6</v>
      </c>
      <c r="B11" s="730" t="s">
        <v>45</v>
      </c>
      <c r="C11" s="6" t="s">
        <v>46</v>
      </c>
      <c r="D11" s="560" t="s">
        <v>25</v>
      </c>
      <c r="E11" s="582" t="s">
        <v>727</v>
      </c>
      <c r="F11" s="582" t="s">
        <v>34</v>
      </c>
      <c r="G11" s="560">
        <v>1</v>
      </c>
      <c r="H11" s="5" t="s">
        <v>28</v>
      </c>
      <c r="I11" s="5" t="s">
        <v>29</v>
      </c>
      <c r="J11" s="731" t="s">
        <v>44</v>
      </c>
      <c r="K11" s="7">
        <v>17697</v>
      </c>
      <c r="L11" s="7"/>
      <c r="M11" s="10">
        <v>1</v>
      </c>
      <c r="N11" s="7"/>
      <c r="O11" s="10">
        <v>5.91</v>
      </c>
      <c r="P11" s="18">
        <v>0</v>
      </c>
      <c r="Q11" s="882">
        <f>'расчеты к штатному '!Q11</f>
        <v>52294.635000000002</v>
      </c>
      <c r="R11" s="19"/>
      <c r="S11" s="7"/>
      <c r="T11" s="7">
        <v>0.1</v>
      </c>
      <c r="U11" s="7">
        <f t="shared" si="0"/>
        <v>5229.4635000000007</v>
      </c>
      <c r="V11" s="9"/>
      <c r="W11" s="7"/>
      <c r="X11" s="10">
        <f>P11+S11+U11+W11+Q11</f>
        <v>57524.0985</v>
      </c>
      <c r="Y11" s="1268">
        <f t="shared" si="2"/>
        <v>0.1</v>
      </c>
      <c r="Z11" s="1268">
        <f t="shared" si="2"/>
        <v>5229.4635000000007</v>
      </c>
      <c r="AA11" s="1264">
        <f t="shared" si="3"/>
        <v>690289.18200000003</v>
      </c>
      <c r="AB11" s="1382">
        <f t="shared" si="4"/>
        <v>58838.150528469145</v>
      </c>
      <c r="AK11" s="23"/>
      <c r="AL11" s="23"/>
      <c r="AM11" s="23"/>
      <c r="AN11" s="23"/>
      <c r="AO11" s="23"/>
      <c r="AP11" s="23"/>
      <c r="AQ11" s="23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</row>
    <row r="12" spans="1:69" s="1265" customFormat="1" ht="15" customHeight="1">
      <c r="A12" s="5">
        <v>7</v>
      </c>
      <c r="B12" s="730" t="s">
        <v>48</v>
      </c>
      <c r="C12" s="6" t="s">
        <v>49</v>
      </c>
      <c r="D12" s="5" t="s">
        <v>25</v>
      </c>
      <c r="E12" s="57" t="s">
        <v>777</v>
      </c>
      <c r="F12" s="5" t="s">
        <v>51</v>
      </c>
      <c r="G12" s="5">
        <v>1</v>
      </c>
      <c r="H12" s="20" t="s">
        <v>28</v>
      </c>
      <c r="I12" s="20" t="s">
        <v>35</v>
      </c>
      <c r="J12" s="731" t="s">
        <v>30</v>
      </c>
      <c r="K12" s="7">
        <v>17697</v>
      </c>
      <c r="L12" s="7"/>
      <c r="M12" s="10">
        <v>1</v>
      </c>
      <c r="N12" s="7"/>
      <c r="O12" s="1022" t="s">
        <v>370</v>
      </c>
      <c r="P12" s="18">
        <v>0</v>
      </c>
      <c r="Q12" s="882"/>
      <c r="R12" s="7"/>
      <c r="S12" s="8"/>
      <c r="T12" s="7">
        <v>0.1</v>
      </c>
      <c r="U12" s="7">
        <f t="shared" si="0"/>
        <v>0</v>
      </c>
      <c r="V12" s="7"/>
      <c r="W12" s="9"/>
      <c r="X12" s="10">
        <f t="shared" si="1"/>
        <v>0</v>
      </c>
      <c r="Y12" s="1268">
        <f t="shared" si="2"/>
        <v>0.1</v>
      </c>
      <c r="Z12" s="1268">
        <f t="shared" si="2"/>
        <v>0</v>
      </c>
      <c r="AA12" s="1264">
        <f t="shared" si="3"/>
        <v>0</v>
      </c>
      <c r="AB12" s="1382">
        <f t="shared" si="4"/>
        <v>0</v>
      </c>
      <c r="AC12" s="1264"/>
      <c r="AD12" s="1264"/>
      <c r="AE12" s="1264"/>
      <c r="AF12" s="1264"/>
      <c r="AG12" s="1264"/>
      <c r="AH12" s="1264"/>
      <c r="AI12" s="1264"/>
      <c r="AJ12" s="1264"/>
      <c r="AK12" s="23"/>
      <c r="AL12" s="23"/>
      <c r="AM12" s="23"/>
      <c r="AN12" s="23"/>
      <c r="AO12" s="23"/>
      <c r="AP12" s="23"/>
      <c r="AQ12" s="23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</row>
    <row r="13" spans="1:69" s="1265" customFormat="1" ht="15" customHeight="1">
      <c r="A13" s="5">
        <v>8</v>
      </c>
      <c r="B13" s="26" t="s">
        <v>52</v>
      </c>
      <c r="C13" s="6" t="s">
        <v>53</v>
      </c>
      <c r="D13" s="5" t="s">
        <v>25</v>
      </c>
      <c r="E13" s="57" t="s">
        <v>775</v>
      </c>
      <c r="F13" s="5" t="s">
        <v>73</v>
      </c>
      <c r="G13" s="5">
        <v>1</v>
      </c>
      <c r="H13" s="20" t="s">
        <v>56</v>
      </c>
      <c r="I13" s="20" t="s">
        <v>56</v>
      </c>
      <c r="J13" s="731" t="s">
        <v>57</v>
      </c>
      <c r="K13" s="7">
        <v>17697</v>
      </c>
      <c r="L13" s="7"/>
      <c r="M13" s="10">
        <v>1</v>
      </c>
      <c r="N13" s="7"/>
      <c r="O13" s="1022" t="s">
        <v>639</v>
      </c>
      <c r="P13" s="18">
        <v>0</v>
      </c>
      <c r="Q13" s="882"/>
      <c r="R13" s="7"/>
      <c r="S13" s="8"/>
      <c r="T13" s="7">
        <v>0.1</v>
      </c>
      <c r="U13" s="7">
        <f t="shared" si="0"/>
        <v>0</v>
      </c>
      <c r="V13" s="7"/>
      <c r="W13" s="9"/>
      <c r="X13" s="10">
        <f t="shared" si="1"/>
        <v>0</v>
      </c>
      <c r="Y13" s="1268">
        <f t="shared" si="2"/>
        <v>0.1</v>
      </c>
      <c r="Z13" s="1268">
        <f t="shared" si="2"/>
        <v>0</v>
      </c>
      <c r="AA13" s="1264">
        <f t="shared" si="3"/>
        <v>0</v>
      </c>
      <c r="AB13" s="1382">
        <f t="shared" si="4"/>
        <v>0</v>
      </c>
      <c r="AC13" s="1264"/>
      <c r="AD13" s="1264"/>
      <c r="AE13" s="1264"/>
      <c r="AF13" s="1264"/>
      <c r="AG13" s="1264"/>
      <c r="AH13" s="1264"/>
      <c r="AI13" s="1264"/>
      <c r="AJ13" s="1264"/>
      <c r="AK13" s="23"/>
      <c r="AL13" s="23"/>
      <c r="AM13" s="23"/>
      <c r="AN13" s="23"/>
      <c r="AO13" s="23"/>
      <c r="AP13" s="23"/>
      <c r="AQ13" s="23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</row>
    <row r="14" spans="1:69" s="1265" customFormat="1" ht="15" customHeight="1">
      <c r="A14" s="5">
        <v>9</v>
      </c>
      <c r="B14" s="26" t="s">
        <v>399</v>
      </c>
      <c r="C14" s="6" t="s">
        <v>621</v>
      </c>
      <c r="D14" s="5" t="s">
        <v>25</v>
      </c>
      <c r="E14" s="48" t="s">
        <v>776</v>
      </c>
      <c r="F14" s="5" t="s">
        <v>77</v>
      </c>
      <c r="G14" s="40">
        <v>1</v>
      </c>
      <c r="H14" s="5" t="s">
        <v>61</v>
      </c>
      <c r="I14" s="5" t="s">
        <v>61</v>
      </c>
      <c r="J14" s="27">
        <v>1</v>
      </c>
      <c r="K14" s="7">
        <v>17697</v>
      </c>
      <c r="L14" s="7"/>
      <c r="M14" s="10">
        <v>1</v>
      </c>
      <c r="N14" s="732"/>
      <c r="O14" s="1022" t="s">
        <v>402</v>
      </c>
      <c r="P14" s="18">
        <v>0</v>
      </c>
      <c r="Q14" s="882"/>
      <c r="R14" s="7"/>
      <c r="S14" s="8"/>
      <c r="T14" s="7">
        <v>0.1</v>
      </c>
      <c r="U14" s="7">
        <f t="shared" si="0"/>
        <v>0</v>
      </c>
      <c r="V14" s="7"/>
      <c r="W14" s="9"/>
      <c r="X14" s="10">
        <f t="shared" si="1"/>
        <v>0</v>
      </c>
      <c r="Y14" s="1268">
        <f t="shared" si="2"/>
        <v>0.1</v>
      </c>
      <c r="Z14" s="1268">
        <f t="shared" si="2"/>
        <v>0</v>
      </c>
      <c r="AA14" s="1264">
        <f t="shared" si="3"/>
        <v>0</v>
      </c>
      <c r="AB14" s="1382">
        <f t="shared" si="4"/>
        <v>0</v>
      </c>
      <c r="AC14" s="1264"/>
      <c r="AD14" s="1264"/>
      <c r="AE14" s="1264"/>
      <c r="AF14" s="1264"/>
      <c r="AG14" s="1264"/>
      <c r="AH14" s="1264"/>
      <c r="AI14" s="1264"/>
      <c r="AJ14" s="1264"/>
      <c r="AK14" s="23"/>
      <c r="AL14" s="23"/>
      <c r="AM14" s="23"/>
      <c r="AN14" s="23"/>
      <c r="AO14" s="23"/>
      <c r="AP14" s="23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</row>
    <row r="15" spans="1:69" s="1265" customFormat="1" ht="15" customHeight="1">
      <c r="A15" s="5">
        <v>10</v>
      </c>
      <c r="B15" s="702" t="s">
        <v>767</v>
      </c>
      <c r="C15" s="1630" t="s">
        <v>768</v>
      </c>
      <c r="D15" s="894" t="s">
        <v>25</v>
      </c>
      <c r="E15" s="1631" t="s">
        <v>769</v>
      </c>
      <c r="F15" s="5" t="s">
        <v>77</v>
      </c>
      <c r="G15" s="1632">
        <v>1</v>
      </c>
      <c r="H15" s="40" t="s">
        <v>56</v>
      </c>
      <c r="I15" s="40" t="s">
        <v>56</v>
      </c>
      <c r="J15" s="41" t="s">
        <v>57</v>
      </c>
      <c r="K15" s="7">
        <v>17697</v>
      </c>
      <c r="L15" s="882"/>
      <c r="M15" s="1547">
        <v>1</v>
      </c>
      <c r="N15" s="1633"/>
      <c r="O15" s="1634" t="s">
        <v>770</v>
      </c>
      <c r="P15" s="883">
        <v>0</v>
      </c>
      <c r="Q15" s="882"/>
      <c r="R15" s="882"/>
      <c r="S15" s="1635"/>
      <c r="T15" s="7">
        <v>0.1</v>
      </c>
      <c r="U15" s="7">
        <f t="shared" si="0"/>
        <v>0</v>
      </c>
      <c r="V15" s="882"/>
      <c r="W15" s="881"/>
      <c r="X15" s="10">
        <f t="shared" si="1"/>
        <v>0</v>
      </c>
      <c r="Y15" s="1269"/>
      <c r="Z15" s="1269"/>
      <c r="AA15" s="1264"/>
      <c r="AB15" s="1382"/>
      <c r="AC15" s="1264"/>
      <c r="AD15" s="1264"/>
      <c r="AE15" s="1264"/>
      <c r="AF15" s="1264"/>
      <c r="AG15" s="1264"/>
      <c r="AH15" s="1264"/>
      <c r="AI15" s="1264"/>
      <c r="AJ15" s="1264"/>
      <c r="AK15" s="23"/>
      <c r="AL15" s="23"/>
      <c r="AM15" s="23"/>
      <c r="AN15" s="23"/>
      <c r="AO15" s="23"/>
      <c r="AP15" s="23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</row>
    <row r="16" spans="1:69" s="1265" customFormat="1" ht="15" customHeight="1">
      <c r="A16" s="5">
        <v>11</v>
      </c>
      <c r="B16" s="26" t="s">
        <v>62</v>
      </c>
      <c r="C16" s="13" t="s">
        <v>63</v>
      </c>
      <c r="D16" s="5" t="s">
        <v>64</v>
      </c>
      <c r="E16" s="57" t="s">
        <v>730</v>
      </c>
      <c r="F16" s="5" t="s">
        <v>367</v>
      </c>
      <c r="G16" s="5">
        <v>1</v>
      </c>
      <c r="H16" s="20" t="s">
        <v>56</v>
      </c>
      <c r="I16" s="20" t="s">
        <v>56</v>
      </c>
      <c r="J16" s="27">
        <v>3</v>
      </c>
      <c r="K16" s="7">
        <v>17697</v>
      </c>
      <c r="L16" s="7"/>
      <c r="M16" s="10">
        <v>1</v>
      </c>
      <c r="N16" s="7"/>
      <c r="O16" s="10">
        <v>3.61</v>
      </c>
      <c r="P16" s="18">
        <v>0</v>
      </c>
      <c r="Q16" s="882"/>
      <c r="R16" s="7"/>
      <c r="S16" s="8"/>
      <c r="T16" s="7">
        <v>0.1</v>
      </c>
      <c r="U16" s="7">
        <f t="shared" si="0"/>
        <v>0</v>
      </c>
      <c r="V16" s="7"/>
      <c r="W16" s="9"/>
      <c r="X16" s="10">
        <f t="shared" si="1"/>
        <v>0</v>
      </c>
      <c r="Y16" s="1268">
        <f t="shared" si="2"/>
        <v>0.1</v>
      </c>
      <c r="Z16" s="1268">
        <f t="shared" si="2"/>
        <v>0</v>
      </c>
      <c r="AA16" s="1264">
        <f t="shared" si="3"/>
        <v>0</v>
      </c>
      <c r="AB16" s="1382">
        <f t="shared" si="4"/>
        <v>0</v>
      </c>
      <c r="AC16" s="1264"/>
      <c r="AD16" s="1264"/>
      <c r="AE16" s="1264"/>
      <c r="AF16" s="1264"/>
      <c r="AG16" s="1264"/>
      <c r="AH16" s="1264"/>
      <c r="AI16" s="1264"/>
      <c r="AJ16" s="1264"/>
      <c r="AK16" s="23"/>
      <c r="AL16" s="23"/>
      <c r="AM16" s="23"/>
      <c r="AN16" s="23"/>
      <c r="AO16" s="23"/>
      <c r="AP16" s="23"/>
      <c r="AQ16" s="23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</row>
    <row r="17" spans="1:69" s="1265" customFormat="1" ht="15" customHeight="1">
      <c r="A17" s="5">
        <v>12</v>
      </c>
      <c r="B17" s="26" t="s">
        <v>400</v>
      </c>
      <c r="C17" s="13" t="s">
        <v>63</v>
      </c>
      <c r="D17" s="5" t="s">
        <v>64</v>
      </c>
      <c r="E17" s="1636" t="s">
        <v>121</v>
      </c>
      <c r="F17" s="5" t="s">
        <v>122</v>
      </c>
      <c r="G17" s="5">
        <v>1.5</v>
      </c>
      <c r="H17" s="20" t="s">
        <v>69</v>
      </c>
      <c r="I17" s="20" t="s">
        <v>69</v>
      </c>
      <c r="J17" s="737" t="s">
        <v>30</v>
      </c>
      <c r="K17" s="7">
        <v>17697</v>
      </c>
      <c r="L17" s="7"/>
      <c r="M17" s="10">
        <v>1.5</v>
      </c>
      <c r="N17" s="7"/>
      <c r="O17" s="1626">
        <v>3.35</v>
      </c>
      <c r="P17" s="18">
        <v>0</v>
      </c>
      <c r="Q17" s="882"/>
      <c r="R17" s="8"/>
      <c r="S17" s="7"/>
      <c r="T17" s="7">
        <v>0.1</v>
      </c>
      <c r="U17" s="7">
        <f t="shared" si="0"/>
        <v>0</v>
      </c>
      <c r="V17" s="9"/>
      <c r="W17" s="7"/>
      <c r="X17" s="10">
        <f t="shared" si="1"/>
        <v>0</v>
      </c>
      <c r="Y17" s="1268">
        <f t="shared" si="2"/>
        <v>0.1</v>
      </c>
      <c r="Z17" s="1268">
        <f t="shared" si="2"/>
        <v>0</v>
      </c>
      <c r="AA17" s="1264">
        <f t="shared" si="3"/>
        <v>0</v>
      </c>
      <c r="AB17" s="1382">
        <f t="shared" si="4"/>
        <v>0</v>
      </c>
      <c r="AK17" s="23"/>
      <c r="AL17" s="23"/>
      <c r="AM17" s="23"/>
      <c r="AN17" s="23"/>
      <c r="AO17" s="23"/>
      <c r="AP17" s="23"/>
      <c r="AQ17" s="23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</row>
    <row r="18" spans="1:69" s="1396" customFormat="1" ht="15.75" customHeight="1">
      <c r="A18" s="5">
        <v>13</v>
      </c>
      <c r="B18" s="13" t="s">
        <v>378</v>
      </c>
      <c r="C18" s="13" t="s">
        <v>63</v>
      </c>
      <c r="D18" s="5" t="s">
        <v>64</v>
      </c>
      <c r="E18" s="536" t="s">
        <v>780</v>
      </c>
      <c r="F18" s="5" t="s">
        <v>159</v>
      </c>
      <c r="G18" s="5">
        <v>0.5</v>
      </c>
      <c r="H18" s="15" t="s">
        <v>56</v>
      </c>
      <c r="I18" s="15" t="s">
        <v>56</v>
      </c>
      <c r="J18" s="14">
        <v>3</v>
      </c>
      <c r="K18" s="15">
        <v>17697</v>
      </c>
      <c r="L18" s="15"/>
      <c r="M18" s="10">
        <v>0.5</v>
      </c>
      <c r="N18" s="21"/>
      <c r="O18" s="10">
        <v>3.31</v>
      </c>
      <c r="P18" s="18">
        <v>0</v>
      </c>
      <c r="Q18" s="882"/>
      <c r="R18" s="8"/>
      <c r="S18" s="7"/>
      <c r="T18" s="7">
        <v>0.1</v>
      </c>
      <c r="U18" s="7">
        <f t="shared" si="0"/>
        <v>0</v>
      </c>
      <c r="V18" s="9"/>
      <c r="W18" s="7"/>
      <c r="X18" s="10">
        <f t="shared" si="1"/>
        <v>0</v>
      </c>
      <c r="Y18" s="1268">
        <f t="shared" si="2"/>
        <v>0.1</v>
      </c>
      <c r="Z18" s="1268">
        <f t="shared" si="2"/>
        <v>0</v>
      </c>
      <c r="AA18" s="1264">
        <f t="shared" si="3"/>
        <v>0</v>
      </c>
      <c r="AB18" s="1382">
        <f t="shared" si="4"/>
        <v>0</v>
      </c>
      <c r="AK18" s="1778"/>
      <c r="AL18" s="1778"/>
      <c r="AM18" s="1778"/>
      <c r="AN18" s="1778"/>
      <c r="AO18" s="1778"/>
      <c r="AP18" s="1778"/>
      <c r="AQ18" s="1778"/>
      <c r="AR18" s="908"/>
      <c r="AS18" s="908"/>
      <c r="AT18" s="908"/>
      <c r="AU18" s="908"/>
      <c r="AV18" s="908"/>
      <c r="AW18" s="908"/>
      <c r="AX18" s="908"/>
      <c r="AY18" s="908"/>
      <c r="AZ18" s="908"/>
      <c r="BA18" s="908"/>
      <c r="BB18" s="908"/>
      <c r="BC18" s="908"/>
      <c r="BD18" s="908"/>
      <c r="BE18" s="908"/>
      <c r="BF18" s="908"/>
      <c r="BG18" s="908"/>
      <c r="BH18" s="908"/>
      <c r="BI18" s="908"/>
      <c r="BJ18" s="908"/>
      <c r="BK18" s="908"/>
      <c r="BL18" s="908"/>
      <c r="BM18" s="908"/>
      <c r="BN18" s="908"/>
      <c r="BO18" s="908"/>
      <c r="BP18" s="908"/>
      <c r="BQ18" s="908"/>
    </row>
    <row r="19" spans="1:69" s="1396" customFormat="1" ht="15.75" customHeight="1">
      <c r="A19" s="5">
        <v>14</v>
      </c>
      <c r="B19" s="13" t="s">
        <v>70</v>
      </c>
      <c r="C19" s="13" t="s">
        <v>71</v>
      </c>
      <c r="D19" s="5" t="s">
        <v>25</v>
      </c>
      <c r="E19" s="536" t="s">
        <v>731</v>
      </c>
      <c r="F19" s="5" t="s">
        <v>239</v>
      </c>
      <c r="G19" s="5">
        <v>1</v>
      </c>
      <c r="H19" s="738" t="s">
        <v>56</v>
      </c>
      <c r="I19" s="738" t="s">
        <v>56</v>
      </c>
      <c r="J19" s="738">
        <v>2</v>
      </c>
      <c r="K19" s="15">
        <v>17697</v>
      </c>
      <c r="L19" s="15"/>
      <c r="M19" s="10">
        <v>0.5</v>
      </c>
      <c r="N19" s="21"/>
      <c r="O19" s="10">
        <v>4.46</v>
      </c>
      <c r="P19" s="18">
        <v>0</v>
      </c>
      <c r="Q19" s="894"/>
      <c r="R19" s="8"/>
      <c r="S19" s="7"/>
      <c r="T19" s="7">
        <v>0.1</v>
      </c>
      <c r="U19" s="7">
        <f t="shared" si="0"/>
        <v>0</v>
      </c>
      <c r="V19" s="9">
        <v>0.2</v>
      </c>
      <c r="W19" s="7">
        <v>0</v>
      </c>
      <c r="X19" s="10">
        <f>P19+S19+U19+W19+Q19</f>
        <v>0</v>
      </c>
      <c r="Y19" s="1268">
        <f>R19+T19+V19+X19</f>
        <v>0.30000000000000004</v>
      </c>
      <c r="Z19" s="1268">
        <f>S19+U19+W19+Y19</f>
        <v>0.30000000000000004</v>
      </c>
      <c r="AA19" s="1264">
        <f t="shared" si="3"/>
        <v>0</v>
      </c>
      <c r="AB19" s="1382">
        <f t="shared" si="4"/>
        <v>0</v>
      </c>
      <c r="AK19" s="1778"/>
      <c r="AL19" s="1778"/>
      <c r="AM19" s="1778"/>
      <c r="AN19" s="1778"/>
      <c r="AO19" s="1778"/>
      <c r="AP19" s="1778"/>
      <c r="AQ19" s="1778"/>
      <c r="AR19" s="908"/>
      <c r="AS19" s="908"/>
      <c r="AT19" s="908"/>
      <c r="AU19" s="908"/>
      <c r="AV19" s="908"/>
      <c r="AW19" s="908"/>
      <c r="AX19" s="908"/>
      <c r="AY19" s="908"/>
      <c r="AZ19" s="908"/>
      <c r="BA19" s="908"/>
      <c r="BB19" s="908"/>
      <c r="BC19" s="908"/>
      <c r="BD19" s="908"/>
      <c r="BE19" s="908"/>
      <c r="BF19" s="908"/>
      <c r="BG19" s="908"/>
      <c r="BH19" s="908"/>
      <c r="BI19" s="908"/>
      <c r="BJ19" s="908"/>
      <c r="BK19" s="908"/>
      <c r="BL19" s="908"/>
      <c r="BM19" s="908"/>
      <c r="BN19" s="908"/>
      <c r="BO19" s="908"/>
      <c r="BP19" s="908"/>
      <c r="BQ19" s="908"/>
    </row>
    <row r="20" spans="1:69" s="1396" customFormat="1" ht="15.75" customHeight="1">
      <c r="A20" s="5">
        <v>15</v>
      </c>
      <c r="B20" s="13" t="s">
        <v>378</v>
      </c>
      <c r="C20" s="13" t="s">
        <v>71</v>
      </c>
      <c r="D20" s="5" t="s">
        <v>75</v>
      </c>
      <c r="E20" s="536" t="s">
        <v>787</v>
      </c>
      <c r="F20" s="5" t="s">
        <v>159</v>
      </c>
      <c r="G20" s="5">
        <v>0.5</v>
      </c>
      <c r="H20" s="15" t="s">
        <v>56</v>
      </c>
      <c r="I20" s="15" t="s">
        <v>56</v>
      </c>
      <c r="J20" s="14">
        <v>2</v>
      </c>
      <c r="K20" s="15">
        <v>17697</v>
      </c>
      <c r="L20" s="15"/>
      <c r="M20" s="10">
        <v>0.5</v>
      </c>
      <c r="N20" s="21"/>
      <c r="O20" s="10">
        <v>4.0999999999999996</v>
      </c>
      <c r="P20" s="18">
        <v>0</v>
      </c>
      <c r="Q20" s="894"/>
      <c r="R20" s="8"/>
      <c r="S20" s="7"/>
      <c r="T20" s="7">
        <v>0.1</v>
      </c>
      <c r="U20" s="7">
        <f t="shared" si="0"/>
        <v>0</v>
      </c>
      <c r="V20" s="9">
        <v>0.2</v>
      </c>
      <c r="W20" s="7">
        <v>0</v>
      </c>
      <c r="X20" s="10">
        <f t="shared" si="1"/>
        <v>0</v>
      </c>
      <c r="Y20" s="1268">
        <f>R20+T20+V20+X20</f>
        <v>0.30000000000000004</v>
      </c>
      <c r="Z20" s="1268">
        <f>S20+U20+W20+Y20</f>
        <v>0.30000000000000004</v>
      </c>
      <c r="AA20" s="1264">
        <f t="shared" si="3"/>
        <v>0</v>
      </c>
      <c r="AB20" s="1382">
        <f t="shared" si="4"/>
        <v>0</v>
      </c>
      <c r="AK20" s="1778"/>
      <c r="AL20" s="1778"/>
      <c r="AM20" s="1778"/>
      <c r="AN20" s="1778"/>
      <c r="AO20" s="1778"/>
      <c r="AP20" s="1778"/>
      <c r="AQ20" s="1778"/>
      <c r="AR20" s="908"/>
      <c r="AS20" s="908"/>
      <c r="AT20" s="908"/>
      <c r="AU20" s="908"/>
      <c r="AV20" s="908"/>
      <c r="AW20" s="908"/>
      <c r="AX20" s="908"/>
      <c r="AY20" s="908"/>
      <c r="AZ20" s="908"/>
      <c r="BA20" s="908"/>
      <c r="BB20" s="908"/>
      <c r="BC20" s="908"/>
      <c r="BD20" s="908"/>
      <c r="BE20" s="908"/>
      <c r="BF20" s="908"/>
      <c r="BG20" s="908"/>
      <c r="BH20" s="908"/>
      <c r="BI20" s="908"/>
      <c r="BJ20" s="908"/>
      <c r="BK20" s="908"/>
      <c r="BL20" s="908"/>
      <c r="BM20" s="908"/>
      <c r="BN20" s="908"/>
      <c r="BO20" s="908"/>
      <c r="BP20" s="908"/>
      <c r="BQ20" s="908"/>
    </row>
    <row r="21" spans="1:69" s="1265" customFormat="1" ht="15" customHeight="1">
      <c r="A21" s="5">
        <v>16</v>
      </c>
      <c r="B21" s="26" t="s">
        <v>619</v>
      </c>
      <c r="C21" s="6" t="s">
        <v>622</v>
      </c>
      <c r="D21" s="5" t="s">
        <v>75</v>
      </c>
      <c r="E21" s="57" t="s">
        <v>778</v>
      </c>
      <c r="F21" s="5" t="s">
        <v>779</v>
      </c>
      <c r="G21" s="5">
        <v>1</v>
      </c>
      <c r="H21" s="5" t="s">
        <v>56</v>
      </c>
      <c r="I21" s="5" t="s">
        <v>56</v>
      </c>
      <c r="J21" s="27">
        <v>3</v>
      </c>
      <c r="K21" s="7">
        <v>17697</v>
      </c>
      <c r="L21" s="7"/>
      <c r="M21" s="10">
        <v>0.5</v>
      </c>
      <c r="N21" s="739"/>
      <c r="O21" s="10">
        <v>3.57</v>
      </c>
      <c r="P21" s="18">
        <v>0</v>
      </c>
      <c r="Q21" s="894"/>
      <c r="R21" s="7"/>
      <c r="S21" s="8"/>
      <c r="T21" s="7">
        <v>0.1</v>
      </c>
      <c r="U21" s="7">
        <f t="shared" si="0"/>
        <v>0</v>
      </c>
      <c r="V21" s="7"/>
      <c r="W21" s="9"/>
      <c r="X21" s="10">
        <f t="shared" si="1"/>
        <v>0</v>
      </c>
      <c r="Y21" s="1268">
        <f t="shared" si="2"/>
        <v>0.1</v>
      </c>
      <c r="Z21" s="1268">
        <f t="shared" si="2"/>
        <v>0</v>
      </c>
      <c r="AA21" s="1264">
        <f t="shared" si="3"/>
        <v>0</v>
      </c>
      <c r="AB21" s="1382">
        <f t="shared" si="4"/>
        <v>0</v>
      </c>
      <c r="AC21" s="1264"/>
      <c r="AD21" s="1264"/>
      <c r="AE21" s="1264"/>
      <c r="AF21" s="1264"/>
      <c r="AG21" s="1264"/>
      <c r="AH21" s="1264"/>
      <c r="AI21" s="1264"/>
      <c r="AJ21" s="1264"/>
      <c r="AK21" s="23"/>
      <c r="AL21" s="23"/>
      <c r="AM21" s="23"/>
      <c r="AN21" s="23"/>
      <c r="AO21" s="23"/>
      <c r="AP21" s="23"/>
      <c r="AQ21" s="23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s="1437" customFormat="1" ht="15.75" customHeight="1">
      <c r="A22" s="5">
        <v>17</v>
      </c>
      <c r="B22" s="29" t="s">
        <v>81</v>
      </c>
      <c r="C22" s="6" t="s">
        <v>82</v>
      </c>
      <c r="D22" s="30" t="s">
        <v>64</v>
      </c>
      <c r="E22" s="57" t="s">
        <v>773</v>
      </c>
      <c r="F22" s="30" t="s">
        <v>84</v>
      </c>
      <c r="G22" s="21">
        <v>1</v>
      </c>
      <c r="H22" s="20" t="s">
        <v>56</v>
      </c>
      <c r="I22" s="5" t="s">
        <v>56</v>
      </c>
      <c r="J22" s="20">
        <v>3</v>
      </c>
      <c r="K22" s="7">
        <v>17697</v>
      </c>
      <c r="L22" s="7"/>
      <c r="M22" s="10">
        <v>1</v>
      </c>
      <c r="N22" s="7"/>
      <c r="O22" s="10">
        <v>3.5</v>
      </c>
      <c r="P22" s="18">
        <v>0</v>
      </c>
      <c r="Q22" s="894"/>
      <c r="R22" s="7"/>
      <c r="S22" s="8"/>
      <c r="T22" s="7">
        <v>0.1</v>
      </c>
      <c r="U22" s="7">
        <f t="shared" si="0"/>
        <v>0</v>
      </c>
      <c r="V22" s="7"/>
      <c r="W22" s="9"/>
      <c r="X22" s="10">
        <f t="shared" si="1"/>
        <v>0</v>
      </c>
      <c r="Y22" s="1268">
        <f t="shared" si="2"/>
        <v>0.1</v>
      </c>
      <c r="Z22" s="1268">
        <f t="shared" si="2"/>
        <v>0</v>
      </c>
      <c r="AA22" s="1264">
        <f t="shared" si="3"/>
        <v>0</v>
      </c>
      <c r="AB22" s="1382">
        <f t="shared" si="4"/>
        <v>0</v>
      </c>
      <c r="AC22" s="1436"/>
      <c r="AD22" s="1436"/>
      <c r="AE22" s="1436"/>
      <c r="AF22" s="1436"/>
      <c r="AG22" s="1436"/>
      <c r="AH22" s="1436"/>
      <c r="AI22" s="1436"/>
      <c r="AJ22" s="1436"/>
      <c r="AK22" s="1787">
        <f>SUM(X6:X25)</f>
        <v>344787.53600000002</v>
      </c>
      <c r="AL22" s="914"/>
      <c r="AM22" s="914"/>
      <c r="AN22" s="914"/>
      <c r="AO22" s="914"/>
      <c r="AP22" s="914"/>
      <c r="AQ22" s="914"/>
      <c r="AR22" s="915"/>
      <c r="AS22" s="915"/>
      <c r="AT22" s="915"/>
      <c r="AU22" s="915"/>
      <c r="AV22" s="915"/>
      <c r="AW22" s="915"/>
      <c r="AX22" s="915"/>
      <c r="AY22" s="915"/>
      <c r="AZ22" s="915"/>
      <c r="BA22" s="915"/>
      <c r="BB22" s="915"/>
      <c r="BC22" s="915"/>
      <c r="BD22" s="915"/>
      <c r="BE22" s="915"/>
      <c r="BF22" s="915"/>
      <c r="BG22" s="915"/>
      <c r="BH22" s="915"/>
      <c r="BI22" s="915"/>
      <c r="BJ22" s="915"/>
      <c r="BK22" s="915"/>
      <c r="BL22" s="915"/>
      <c r="BM22" s="915"/>
      <c r="BN22" s="915"/>
      <c r="BO22" s="915"/>
      <c r="BP22" s="915"/>
      <c r="BQ22" s="915"/>
    </row>
    <row r="23" spans="1:69" s="1265" customFormat="1" ht="18" customHeight="1">
      <c r="A23" s="5">
        <v>18</v>
      </c>
      <c r="B23" s="26" t="s">
        <v>85</v>
      </c>
      <c r="C23" s="6" t="s">
        <v>86</v>
      </c>
      <c r="D23" s="5" t="s">
        <v>25</v>
      </c>
      <c r="E23" s="45" t="s">
        <v>733</v>
      </c>
      <c r="F23" s="5" t="s">
        <v>249</v>
      </c>
      <c r="G23" s="5">
        <v>1</v>
      </c>
      <c r="H23" s="5" t="s">
        <v>56</v>
      </c>
      <c r="I23" s="5" t="s">
        <v>56</v>
      </c>
      <c r="J23" s="731" t="s">
        <v>57</v>
      </c>
      <c r="K23" s="7">
        <v>17697</v>
      </c>
      <c r="L23" s="7"/>
      <c r="M23" s="10">
        <v>1</v>
      </c>
      <c r="N23" s="7"/>
      <c r="O23" s="10">
        <v>4.43</v>
      </c>
      <c r="P23" s="18">
        <v>0</v>
      </c>
      <c r="Q23" s="894"/>
      <c r="R23" s="8"/>
      <c r="S23" s="740"/>
      <c r="T23" s="7">
        <v>0.1</v>
      </c>
      <c r="U23" s="7">
        <f t="shared" si="0"/>
        <v>0</v>
      </c>
      <c r="V23" s="741"/>
      <c r="W23" s="740"/>
      <c r="X23" s="10">
        <f t="shared" si="1"/>
        <v>0</v>
      </c>
      <c r="Y23" s="1268">
        <f t="shared" si="2"/>
        <v>0.1</v>
      </c>
      <c r="Z23" s="1268">
        <f t="shared" si="2"/>
        <v>0</v>
      </c>
      <c r="AA23" s="1264">
        <f t="shared" si="3"/>
        <v>0</v>
      </c>
      <c r="AB23" s="1382">
        <f t="shared" si="4"/>
        <v>0</v>
      </c>
      <c r="AK23" s="906"/>
      <c r="AL23" s="23"/>
      <c r="AM23" s="23"/>
      <c r="AN23" s="23"/>
      <c r="AO23" s="23"/>
      <c r="AP23" s="23"/>
      <c r="AQ23" s="23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s="1265" customFormat="1" ht="17.25" customHeight="1">
      <c r="A24" s="5">
        <v>19</v>
      </c>
      <c r="B24" s="690" t="s">
        <v>732</v>
      </c>
      <c r="C24" s="6" t="s">
        <v>86</v>
      </c>
      <c r="D24" s="20" t="s">
        <v>25</v>
      </c>
      <c r="E24" s="1637" t="s">
        <v>707</v>
      </c>
      <c r="F24" s="742" t="s">
        <v>159</v>
      </c>
      <c r="G24" s="743">
        <v>1</v>
      </c>
      <c r="H24" s="5" t="s">
        <v>56</v>
      </c>
      <c r="I24" s="5" t="s">
        <v>56</v>
      </c>
      <c r="J24" s="731" t="s">
        <v>57</v>
      </c>
      <c r="K24" s="7">
        <v>17697</v>
      </c>
      <c r="L24" s="34"/>
      <c r="M24" s="35">
        <v>0.5</v>
      </c>
      <c r="N24" s="34"/>
      <c r="O24" s="35">
        <v>4.0999999999999996</v>
      </c>
      <c r="P24" s="36">
        <v>0</v>
      </c>
      <c r="Q24" s="894"/>
      <c r="R24" s="37"/>
      <c r="S24" s="34"/>
      <c r="T24" s="34">
        <v>0.1</v>
      </c>
      <c r="U24" s="7">
        <f t="shared" si="0"/>
        <v>0</v>
      </c>
      <c r="V24" s="38"/>
      <c r="W24" s="34"/>
      <c r="X24" s="10">
        <f t="shared" si="1"/>
        <v>0</v>
      </c>
      <c r="Y24" s="1445">
        <f t="shared" si="2"/>
        <v>0.1</v>
      </c>
      <c r="Z24" s="1445">
        <f t="shared" si="2"/>
        <v>0</v>
      </c>
      <c r="AA24" s="1264">
        <f t="shared" si="3"/>
        <v>0</v>
      </c>
      <c r="AB24" s="1382">
        <f t="shared" si="4"/>
        <v>0</v>
      </c>
      <c r="AK24" s="23"/>
      <c r="AL24" s="23"/>
      <c r="AM24" s="23"/>
      <c r="AN24" s="23"/>
      <c r="AO24" s="23"/>
      <c r="AP24" s="23"/>
      <c r="AQ24" s="23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</row>
    <row r="25" spans="1:69" s="1265" customFormat="1" ht="17.25" customHeight="1">
      <c r="A25" s="894">
        <v>20</v>
      </c>
      <c r="B25" s="1638" t="s">
        <v>253</v>
      </c>
      <c r="C25" s="1630" t="s">
        <v>800</v>
      </c>
      <c r="D25" s="1639" t="s">
        <v>25</v>
      </c>
      <c r="E25" s="1637" t="s">
        <v>707</v>
      </c>
      <c r="F25" s="1640" t="s">
        <v>159</v>
      </c>
      <c r="G25" s="743">
        <v>1</v>
      </c>
      <c r="H25" s="5" t="s">
        <v>56</v>
      </c>
      <c r="I25" s="5" t="s">
        <v>56</v>
      </c>
      <c r="J25" s="731" t="s">
        <v>57</v>
      </c>
      <c r="K25" s="7">
        <v>17697</v>
      </c>
      <c r="L25" s="34"/>
      <c r="M25" s="35">
        <v>0.5</v>
      </c>
      <c r="N25" s="34"/>
      <c r="O25" s="35">
        <v>4.0999999999999996</v>
      </c>
      <c r="P25" s="36">
        <v>0</v>
      </c>
      <c r="Q25" s="894"/>
      <c r="R25" s="1641"/>
      <c r="S25" s="885"/>
      <c r="T25" s="34">
        <v>0.1</v>
      </c>
      <c r="U25" s="7">
        <f t="shared" si="0"/>
        <v>0</v>
      </c>
      <c r="V25" s="1642"/>
      <c r="W25" s="885"/>
      <c r="X25" s="10">
        <f t="shared" si="1"/>
        <v>0</v>
      </c>
      <c r="Y25" s="1565"/>
      <c r="Z25" s="1565"/>
      <c r="AA25" s="1264"/>
      <c r="AB25" s="1382"/>
      <c r="AK25" s="23"/>
      <c r="AL25" s="23"/>
      <c r="AM25" s="23"/>
      <c r="AN25" s="23"/>
      <c r="AO25" s="23"/>
      <c r="AP25" s="23"/>
      <c r="AQ25" s="23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</row>
    <row r="26" spans="1:69" s="24" customFormat="1" ht="17.25" customHeight="1">
      <c r="A26" s="1507"/>
      <c r="B26" s="1518" t="s">
        <v>790</v>
      </c>
      <c r="C26" s="1508"/>
      <c r="D26" s="1507"/>
      <c r="E26" s="1509"/>
      <c r="F26" s="1507"/>
      <c r="G26" s="1507"/>
      <c r="H26" s="1507"/>
      <c r="I26" s="1507"/>
      <c r="J26" s="1510"/>
      <c r="K26" s="1509"/>
      <c r="L26" s="1509"/>
      <c r="M26" s="1511"/>
      <c r="N26" s="1509"/>
      <c r="O26" s="1509"/>
      <c r="P26" s="1512"/>
      <c r="Q26" s="1513"/>
      <c r="R26" s="1514"/>
      <c r="S26" s="1509"/>
      <c r="T26" s="1509"/>
      <c r="U26" s="1512"/>
      <c r="V26" s="1515"/>
      <c r="W26" s="1509"/>
      <c r="X26" s="1511"/>
      <c r="Y26" s="104"/>
      <c r="Z26" s="104"/>
      <c r="AA26" s="81">
        <f>SUM(AA6:AA24)</f>
        <v>4137450.432</v>
      </c>
      <c r="AB26" s="683">
        <f>SUM(AB6:AB24)</f>
        <v>352663.69178315718</v>
      </c>
      <c r="AC26" s="22">
        <f>SUM(X6:X24)</f>
        <v>344787.53600000002</v>
      </c>
      <c r="AD26" s="683"/>
      <c r="AK26" s="906"/>
      <c r="AL26" s="23"/>
      <c r="AM26" s="23"/>
      <c r="AN26" s="23"/>
      <c r="AO26" s="23"/>
      <c r="AP26" s="23"/>
      <c r="AQ26" s="23"/>
    </row>
    <row r="27" spans="1:69" s="24" customFormat="1" ht="15.75">
      <c r="A27" s="547">
        <v>1</v>
      </c>
      <c r="B27" s="548" t="s">
        <v>98</v>
      </c>
      <c r="C27" s="549" t="s">
        <v>99</v>
      </c>
      <c r="D27" s="547" t="s">
        <v>25</v>
      </c>
      <c r="E27" s="550" t="s">
        <v>647</v>
      </c>
      <c r="F27" s="550" t="s">
        <v>463</v>
      </c>
      <c r="G27" s="547">
        <v>1</v>
      </c>
      <c r="H27" s="547" t="s">
        <v>102</v>
      </c>
      <c r="I27" s="547" t="s">
        <v>103</v>
      </c>
      <c r="J27" s="1578">
        <v>1</v>
      </c>
      <c r="K27" s="552">
        <v>17697</v>
      </c>
      <c r="L27" s="553">
        <v>35</v>
      </c>
      <c r="M27" s="554">
        <f>L27/18</f>
        <v>1.9444444444444444</v>
      </c>
      <c r="N27" s="555" t="s">
        <v>152</v>
      </c>
      <c r="O27" s="1579">
        <v>4.55</v>
      </c>
      <c r="P27" s="556">
        <v>0</v>
      </c>
      <c r="Q27" s="556">
        <f>'расчеты к штатному '!Q27</f>
        <v>78284.645833333328</v>
      </c>
      <c r="R27" s="557"/>
      <c r="S27" s="552"/>
      <c r="T27" s="552">
        <v>0.1</v>
      </c>
      <c r="U27" s="556">
        <f>(P27+Q27)*T27</f>
        <v>7828.4645833333334</v>
      </c>
      <c r="V27" s="558"/>
      <c r="W27" s="552"/>
      <c r="X27" s="559">
        <f>P27+Q27+U27</f>
        <v>86113.110416666663</v>
      </c>
      <c r="Y27" s="70">
        <f>V27+R27</f>
        <v>0</v>
      </c>
      <c r="Z27" s="70">
        <f>W27+S27</f>
        <v>0</v>
      </c>
      <c r="AA27" s="23">
        <f t="shared" si="3"/>
        <v>1033357.325</v>
      </c>
      <c r="AB27" s="24">
        <f>AA27/12/29.33*56</f>
        <v>164416.43993635642</v>
      </c>
      <c r="AC27" s="24">
        <f>AA27*1.25</f>
        <v>1291696.65625</v>
      </c>
      <c r="AD27" s="24">
        <f>AC27/12/29.33*56</f>
        <v>205520.54992044551</v>
      </c>
      <c r="AK27" s="23"/>
      <c r="AL27" s="23"/>
      <c r="AM27" s="23"/>
      <c r="AN27" s="23"/>
      <c r="AO27" s="23"/>
      <c r="AP27" s="23"/>
      <c r="AQ27" s="23"/>
    </row>
    <row r="28" spans="1:69" s="24" customFormat="1" ht="17.25" customHeight="1">
      <c r="A28" s="560">
        <v>2</v>
      </c>
      <c r="B28" s="998" t="s">
        <v>41</v>
      </c>
      <c r="C28" s="873" t="s">
        <v>99</v>
      </c>
      <c r="D28" s="874" t="s">
        <v>25</v>
      </c>
      <c r="E28" s="1539" t="s">
        <v>648</v>
      </c>
      <c r="F28" s="1539" t="s">
        <v>34</v>
      </c>
      <c r="G28" s="547">
        <v>1</v>
      </c>
      <c r="H28" s="1002" t="s">
        <v>102</v>
      </c>
      <c r="I28" s="1002" t="s">
        <v>103</v>
      </c>
      <c r="J28" s="1580">
        <v>2</v>
      </c>
      <c r="K28" s="700">
        <v>17697</v>
      </c>
      <c r="L28" s="1540">
        <v>24</v>
      </c>
      <c r="M28" s="554">
        <f t="shared" ref="M28:M76" si="5">L28/18</f>
        <v>1.3333333333333333</v>
      </c>
      <c r="N28" s="566" t="s">
        <v>104</v>
      </c>
      <c r="O28" s="1014">
        <v>4.51</v>
      </c>
      <c r="P28" s="556">
        <v>0</v>
      </c>
      <c r="Q28" s="556">
        <f>'расчеты к штатному '!Q28</f>
        <v>39906.735000000001</v>
      </c>
      <c r="R28" s="568"/>
      <c r="S28" s="554"/>
      <c r="T28" s="554">
        <v>0.1</v>
      </c>
      <c r="U28" s="556">
        <f t="shared" ref="U28:U76" si="6">(P28+Q28)*T28</f>
        <v>3990.6735000000003</v>
      </c>
      <c r="V28" s="569"/>
      <c r="W28" s="554"/>
      <c r="X28" s="559">
        <f t="shared" ref="X28:X74" si="7">P28+Q28+U28</f>
        <v>43897.408499999998</v>
      </c>
      <c r="Y28" s="10">
        <f t="shared" ref="Y28:Z72" si="8">V28+R28</f>
        <v>0</v>
      </c>
      <c r="Z28" s="10">
        <f t="shared" si="8"/>
        <v>0</v>
      </c>
      <c r="AA28" s="23">
        <f t="shared" si="3"/>
        <v>526768.902</v>
      </c>
      <c r="AB28" s="24">
        <f t="shared" ref="AB28:AB82" si="9">AA28/12/29.33*56</f>
        <v>83813.66778042959</v>
      </c>
      <c r="AC28" s="24">
        <f t="shared" ref="AC28:AC82" si="10">AA28*1.25</f>
        <v>658461.12749999994</v>
      </c>
      <c r="AD28" s="24">
        <f t="shared" ref="AD28:AD82" si="11">AC28/12/29.33*56</f>
        <v>104767.08472553699</v>
      </c>
      <c r="AK28" s="23"/>
      <c r="AL28" s="23"/>
      <c r="AM28" s="23"/>
      <c r="AN28" s="23"/>
      <c r="AO28" s="23"/>
      <c r="AP28" s="23"/>
      <c r="AQ28" s="23"/>
    </row>
    <row r="29" spans="1:69" s="24" customFormat="1" ht="15.75">
      <c r="A29" s="547">
        <v>3</v>
      </c>
      <c r="B29" s="576" t="s">
        <v>110</v>
      </c>
      <c r="C29" s="561" t="s">
        <v>99</v>
      </c>
      <c r="D29" s="560" t="s">
        <v>25</v>
      </c>
      <c r="E29" s="562" t="s">
        <v>650</v>
      </c>
      <c r="F29" s="562" t="s">
        <v>77</v>
      </c>
      <c r="G29" s="547">
        <v>1</v>
      </c>
      <c r="H29" s="577" t="s">
        <v>102</v>
      </c>
      <c r="I29" s="577" t="s">
        <v>103</v>
      </c>
      <c r="J29" s="578">
        <v>3</v>
      </c>
      <c r="K29" s="554">
        <v>17697</v>
      </c>
      <c r="L29" s="565">
        <v>36</v>
      </c>
      <c r="M29" s="554">
        <f t="shared" si="5"/>
        <v>2</v>
      </c>
      <c r="N29" s="1581" t="s">
        <v>109</v>
      </c>
      <c r="O29" s="1016">
        <v>4</v>
      </c>
      <c r="P29" s="556">
        <v>0</v>
      </c>
      <c r="Q29" s="556">
        <f>'расчеты к штатному '!Q29</f>
        <v>60022.325000000004</v>
      </c>
      <c r="R29" s="568"/>
      <c r="S29" s="554"/>
      <c r="T29" s="554">
        <v>0.1</v>
      </c>
      <c r="U29" s="556">
        <f t="shared" si="6"/>
        <v>6002.232500000001</v>
      </c>
      <c r="V29" s="569"/>
      <c r="W29" s="554"/>
      <c r="X29" s="559">
        <f t="shared" si="7"/>
        <v>66024.55750000001</v>
      </c>
      <c r="Y29" s="10"/>
      <c r="Z29" s="10"/>
      <c r="AA29" s="23">
        <f t="shared" si="3"/>
        <v>792294.69000000018</v>
      </c>
      <c r="AB29" s="24">
        <f t="shared" si="9"/>
        <v>126061.20763723152</v>
      </c>
      <c r="AC29" s="24">
        <f t="shared" si="10"/>
        <v>990368.36250000028</v>
      </c>
      <c r="AD29" s="24">
        <f t="shared" si="11"/>
        <v>157576.50954653943</v>
      </c>
      <c r="AK29" s="23"/>
      <c r="AL29" s="23"/>
      <c r="AM29" s="23"/>
      <c r="AN29" s="23"/>
      <c r="AO29" s="23"/>
      <c r="AP29" s="23"/>
      <c r="AQ29" s="23"/>
    </row>
    <row r="30" spans="1:69" s="24" customFormat="1" ht="17.25" customHeight="1">
      <c r="A30" s="560">
        <v>4</v>
      </c>
      <c r="B30" s="153" t="s">
        <v>106</v>
      </c>
      <c r="C30" s="561" t="s">
        <v>99</v>
      </c>
      <c r="D30" s="560" t="s">
        <v>25</v>
      </c>
      <c r="E30" s="562" t="s">
        <v>651</v>
      </c>
      <c r="F30" s="562" t="s">
        <v>77</v>
      </c>
      <c r="G30" s="547">
        <v>1</v>
      </c>
      <c r="H30" s="563" t="s">
        <v>102</v>
      </c>
      <c r="I30" s="563" t="s">
        <v>103</v>
      </c>
      <c r="J30" s="564">
        <v>3</v>
      </c>
      <c r="K30" s="554">
        <v>17697</v>
      </c>
      <c r="L30" s="565">
        <v>18</v>
      </c>
      <c r="M30" s="554">
        <f t="shared" si="5"/>
        <v>1</v>
      </c>
      <c r="N30" s="566" t="s">
        <v>109</v>
      </c>
      <c r="O30" s="1016">
        <v>4</v>
      </c>
      <c r="P30" s="556">
        <v>0</v>
      </c>
      <c r="Q30" s="556">
        <f>'расчеты к штатному '!Q30</f>
        <v>42015.627500000002</v>
      </c>
      <c r="R30" s="568"/>
      <c r="S30" s="554"/>
      <c r="T30" s="554">
        <v>0.1</v>
      </c>
      <c r="U30" s="556">
        <f t="shared" si="6"/>
        <v>4201.5627500000001</v>
      </c>
      <c r="V30" s="569"/>
      <c r="W30" s="554"/>
      <c r="X30" s="559">
        <f t="shared" si="7"/>
        <v>46217.19025</v>
      </c>
      <c r="Y30" s="10">
        <f t="shared" si="8"/>
        <v>0</v>
      </c>
      <c r="Z30" s="10">
        <f t="shared" si="8"/>
        <v>0</v>
      </c>
      <c r="AA30" s="23">
        <f t="shared" si="3"/>
        <v>554606.28300000005</v>
      </c>
      <c r="AB30" s="24">
        <f t="shared" si="9"/>
        <v>88242.845346062066</v>
      </c>
      <c r="AC30" s="24">
        <f t="shared" si="10"/>
        <v>693257.85375000001</v>
      </c>
      <c r="AD30" s="24">
        <f t="shared" si="11"/>
        <v>110303.55668257757</v>
      </c>
      <c r="AK30" s="23"/>
      <c r="AL30" s="23"/>
      <c r="AM30" s="23"/>
      <c r="AN30" s="23"/>
      <c r="AO30" s="23"/>
      <c r="AP30" s="23"/>
      <c r="AQ30" s="23"/>
    </row>
    <row r="31" spans="1:69" s="24" customFormat="1" ht="15.75">
      <c r="A31" s="547">
        <v>5</v>
      </c>
      <c r="B31" s="153" t="s">
        <v>215</v>
      </c>
      <c r="C31" s="561" t="s">
        <v>99</v>
      </c>
      <c r="D31" s="563" t="s">
        <v>25</v>
      </c>
      <c r="E31" s="562" t="s">
        <v>750</v>
      </c>
      <c r="F31" s="562" t="s">
        <v>217</v>
      </c>
      <c r="G31" s="547">
        <v>1</v>
      </c>
      <c r="H31" s="580" t="s">
        <v>102</v>
      </c>
      <c r="I31" s="580" t="s">
        <v>103</v>
      </c>
      <c r="J31" s="997">
        <v>1</v>
      </c>
      <c r="K31" s="554">
        <v>17697</v>
      </c>
      <c r="L31" s="573">
        <v>4</v>
      </c>
      <c r="M31" s="554">
        <f t="shared" si="5"/>
        <v>0.22222222222222221</v>
      </c>
      <c r="N31" s="997" t="s">
        <v>152</v>
      </c>
      <c r="O31" s="1015">
        <v>4.6900000000000004</v>
      </c>
      <c r="P31" s="556">
        <v>0</v>
      </c>
      <c r="Q31" s="556">
        <f>'расчеты к штатному '!Q31</f>
        <v>9222.1033333333344</v>
      </c>
      <c r="R31" s="568"/>
      <c r="S31" s="554"/>
      <c r="T31" s="554">
        <v>0.1</v>
      </c>
      <c r="U31" s="556">
        <f t="shared" si="6"/>
        <v>922.21033333333344</v>
      </c>
      <c r="V31" s="569"/>
      <c r="W31" s="554"/>
      <c r="X31" s="559">
        <f t="shared" si="7"/>
        <v>10144.313666666669</v>
      </c>
      <c r="Y31" s="7">
        <f t="shared" si="8"/>
        <v>0</v>
      </c>
      <c r="Z31" s="7">
        <f t="shared" si="8"/>
        <v>0</v>
      </c>
      <c r="AA31" s="23">
        <f t="shared" si="3"/>
        <v>121731.76400000002</v>
      </c>
      <c r="AB31" s="24">
        <f t="shared" si="9"/>
        <v>19368.617979315837</v>
      </c>
      <c r="AC31" s="24">
        <f t="shared" si="10"/>
        <v>152164.70500000002</v>
      </c>
      <c r="AD31" s="24">
        <f t="shared" si="11"/>
        <v>24210.772474144793</v>
      </c>
      <c r="AK31" s="23"/>
      <c r="AL31" s="23"/>
      <c r="AM31" s="23"/>
      <c r="AN31" s="23"/>
      <c r="AO31" s="23"/>
      <c r="AP31" s="23"/>
      <c r="AQ31" s="23"/>
    </row>
    <row r="32" spans="1:69" s="24" customFormat="1" ht="17.25" customHeight="1">
      <c r="A32" s="560">
        <v>6</v>
      </c>
      <c r="B32" s="153" t="s">
        <v>23</v>
      </c>
      <c r="C32" s="561" t="s">
        <v>99</v>
      </c>
      <c r="D32" s="560" t="s">
        <v>25</v>
      </c>
      <c r="E32" s="562" t="s">
        <v>656</v>
      </c>
      <c r="F32" s="562" t="s">
        <v>114</v>
      </c>
      <c r="G32" s="547">
        <v>1</v>
      </c>
      <c r="H32" s="563" t="s">
        <v>102</v>
      </c>
      <c r="I32" s="563" t="s">
        <v>103</v>
      </c>
      <c r="J32" s="581">
        <v>1</v>
      </c>
      <c r="K32" s="554">
        <v>17697</v>
      </c>
      <c r="L32" s="565">
        <v>9</v>
      </c>
      <c r="M32" s="554">
        <f t="shared" si="5"/>
        <v>0.5</v>
      </c>
      <c r="N32" s="574" t="s">
        <v>152</v>
      </c>
      <c r="O32" s="1582">
        <v>4.75</v>
      </c>
      <c r="P32" s="556">
        <v>0</v>
      </c>
      <c r="Q32" s="556">
        <f>'расчеты к штатному '!Q32</f>
        <v>21015.1875</v>
      </c>
      <c r="R32" s="568"/>
      <c r="S32" s="554"/>
      <c r="T32" s="554">
        <v>0.1</v>
      </c>
      <c r="U32" s="556">
        <f t="shared" si="6"/>
        <v>2101.5187500000002</v>
      </c>
      <c r="V32" s="569"/>
      <c r="W32" s="554"/>
      <c r="X32" s="559">
        <f t="shared" si="7"/>
        <v>23116.706249999999</v>
      </c>
      <c r="Y32" s="7">
        <f t="shared" si="8"/>
        <v>0</v>
      </c>
      <c r="Z32" s="7">
        <f t="shared" si="8"/>
        <v>0</v>
      </c>
      <c r="AA32" s="23">
        <f t="shared" si="3"/>
        <v>277400.47499999998</v>
      </c>
      <c r="AB32" s="24">
        <f t="shared" si="9"/>
        <v>44136.909307875896</v>
      </c>
      <c r="AC32" s="24">
        <f t="shared" si="10"/>
        <v>346750.59375</v>
      </c>
      <c r="AD32" s="24">
        <f t="shared" si="11"/>
        <v>55171.136634844872</v>
      </c>
      <c r="AK32" s="23"/>
      <c r="AL32" s="23"/>
      <c r="AM32" s="23"/>
      <c r="AN32" s="23"/>
      <c r="AO32" s="23"/>
      <c r="AP32" s="23"/>
      <c r="AQ32" s="23"/>
    </row>
    <row r="33" spans="1:43" s="24" customFormat="1" ht="17.25" customHeight="1">
      <c r="A33" s="547">
        <v>7</v>
      </c>
      <c r="B33" s="153" t="s">
        <v>631</v>
      </c>
      <c r="C33" s="561" t="s">
        <v>525</v>
      </c>
      <c r="D33" s="560" t="s">
        <v>25</v>
      </c>
      <c r="E33" s="1000" t="s">
        <v>657</v>
      </c>
      <c r="F33" s="562" t="s">
        <v>114</v>
      </c>
      <c r="G33" s="547">
        <v>1</v>
      </c>
      <c r="H33" s="563" t="s">
        <v>102</v>
      </c>
      <c r="I33" s="563" t="s">
        <v>103</v>
      </c>
      <c r="J33" s="581">
        <v>1</v>
      </c>
      <c r="K33" s="554">
        <v>17697</v>
      </c>
      <c r="L33" s="565">
        <v>26</v>
      </c>
      <c r="M33" s="554">
        <f t="shared" si="5"/>
        <v>1.4444444444444444</v>
      </c>
      <c r="N33" s="574" t="s">
        <v>152</v>
      </c>
      <c r="O33" s="1582">
        <v>4.75</v>
      </c>
      <c r="P33" s="556">
        <v>0</v>
      </c>
      <c r="Q33" s="556">
        <f>'расчеты к штатному '!Q33</f>
        <v>63045.562500000007</v>
      </c>
      <c r="R33" s="1538"/>
      <c r="S33" s="700"/>
      <c r="T33" s="554">
        <v>0.1</v>
      </c>
      <c r="U33" s="556">
        <f t="shared" si="6"/>
        <v>6304.5562500000015</v>
      </c>
      <c r="V33" s="699"/>
      <c r="W33" s="700"/>
      <c r="X33" s="559">
        <f t="shared" si="7"/>
        <v>69350.118750000009</v>
      </c>
      <c r="Y33" s="882"/>
      <c r="Z33" s="882"/>
      <c r="AA33" s="23">
        <f t="shared" si="3"/>
        <v>832201.42500000005</v>
      </c>
      <c r="AB33" s="24">
        <f t="shared" si="9"/>
        <v>132410.72792362771</v>
      </c>
      <c r="AC33" s="24">
        <f t="shared" si="10"/>
        <v>1040251.78125</v>
      </c>
      <c r="AD33" s="24">
        <f t="shared" si="11"/>
        <v>165513.40990453464</v>
      </c>
      <c r="AK33" s="23"/>
      <c r="AL33" s="23"/>
      <c r="AM33" s="23"/>
      <c r="AN33" s="23"/>
      <c r="AO33" s="23"/>
      <c r="AP33" s="23"/>
      <c r="AQ33" s="23"/>
    </row>
    <row r="34" spans="1:43" s="24" customFormat="1" ht="17.25" customHeight="1">
      <c r="A34" s="560">
        <v>8</v>
      </c>
      <c r="B34" s="153" t="s">
        <v>124</v>
      </c>
      <c r="C34" s="561" t="s">
        <v>125</v>
      </c>
      <c r="D34" s="560" t="s">
        <v>75</v>
      </c>
      <c r="E34" s="582" t="s">
        <v>503</v>
      </c>
      <c r="F34" s="562" t="s">
        <v>77</v>
      </c>
      <c r="G34" s="547">
        <v>1</v>
      </c>
      <c r="H34" s="577" t="s">
        <v>102</v>
      </c>
      <c r="I34" s="577" t="s">
        <v>118</v>
      </c>
      <c r="J34" s="578">
        <v>3</v>
      </c>
      <c r="K34" s="554">
        <v>17697</v>
      </c>
      <c r="L34" s="565">
        <v>18</v>
      </c>
      <c r="M34" s="554">
        <f t="shared" si="5"/>
        <v>1</v>
      </c>
      <c r="N34" s="1583" t="s">
        <v>109</v>
      </c>
      <c r="O34" s="1582">
        <v>3.85</v>
      </c>
      <c r="P34" s="556">
        <v>0</v>
      </c>
      <c r="Q34" s="556">
        <f>'расчеты к штатному '!Q34</f>
        <v>34066.724999999999</v>
      </c>
      <c r="R34" s="1538"/>
      <c r="S34" s="700"/>
      <c r="T34" s="554">
        <v>0.1</v>
      </c>
      <c r="U34" s="556">
        <f t="shared" si="6"/>
        <v>3406.6725000000001</v>
      </c>
      <c r="V34" s="699"/>
      <c r="W34" s="700"/>
      <c r="X34" s="559">
        <f t="shared" si="7"/>
        <v>37473.397499999999</v>
      </c>
      <c r="Y34" s="882"/>
      <c r="Z34" s="882"/>
      <c r="AA34" s="23">
        <f t="shared" si="3"/>
        <v>449680.77</v>
      </c>
      <c r="AB34" s="24">
        <f t="shared" si="9"/>
        <v>71548.252983293554</v>
      </c>
      <c r="AC34" s="24">
        <f t="shared" si="10"/>
        <v>562100.96250000002</v>
      </c>
      <c r="AD34" s="24">
        <f t="shared" si="11"/>
        <v>89435.316229116957</v>
      </c>
      <c r="AK34" s="23"/>
      <c r="AL34" s="23"/>
      <c r="AM34" s="23"/>
      <c r="AN34" s="23"/>
      <c r="AO34" s="23"/>
      <c r="AP34" s="23"/>
      <c r="AQ34" s="23"/>
    </row>
    <row r="35" spans="1:43" s="24" customFormat="1" ht="17.25" customHeight="1">
      <c r="A35" s="547">
        <v>9</v>
      </c>
      <c r="B35" s="153" t="s">
        <v>629</v>
      </c>
      <c r="C35" s="561" t="s">
        <v>99</v>
      </c>
      <c r="D35" s="560" t="s">
        <v>25</v>
      </c>
      <c r="E35" s="562" t="s">
        <v>805</v>
      </c>
      <c r="F35" s="562" t="s">
        <v>252</v>
      </c>
      <c r="G35" s="547">
        <v>1</v>
      </c>
      <c r="H35" s="563" t="s">
        <v>102</v>
      </c>
      <c r="I35" s="563" t="s">
        <v>103</v>
      </c>
      <c r="J35" s="581">
        <v>4</v>
      </c>
      <c r="K35" s="554">
        <v>17697</v>
      </c>
      <c r="L35" s="565">
        <v>10</v>
      </c>
      <c r="M35" s="554">
        <f t="shared" si="5"/>
        <v>0.55555555555555558</v>
      </c>
      <c r="N35" s="574" t="s">
        <v>112</v>
      </c>
      <c r="O35" s="1014">
        <v>3.78</v>
      </c>
      <c r="P35" s="556">
        <v>0</v>
      </c>
      <c r="Q35" s="556" t="e">
        <f>'расчеты к штатному '!#REF!</f>
        <v>#REF!</v>
      </c>
      <c r="R35" s="568"/>
      <c r="S35" s="554"/>
      <c r="T35" s="554">
        <v>0.1</v>
      </c>
      <c r="U35" s="556" t="e">
        <f t="shared" si="6"/>
        <v>#REF!</v>
      </c>
      <c r="V35" s="569"/>
      <c r="W35" s="554"/>
      <c r="X35" s="559" t="e">
        <f t="shared" si="7"/>
        <v>#REF!</v>
      </c>
      <c r="Y35" s="10">
        <f t="shared" si="8"/>
        <v>0</v>
      </c>
      <c r="Z35" s="10">
        <f t="shared" si="8"/>
        <v>0</v>
      </c>
      <c r="AA35" s="23" t="e">
        <f t="shared" si="3"/>
        <v>#REF!</v>
      </c>
      <c r="AB35" s="24" t="e">
        <f t="shared" si="9"/>
        <v>#REF!</v>
      </c>
      <c r="AC35" s="24" t="e">
        <f t="shared" si="10"/>
        <v>#REF!</v>
      </c>
      <c r="AD35" s="24" t="e">
        <f t="shared" si="11"/>
        <v>#REF!</v>
      </c>
      <c r="AK35" s="23"/>
      <c r="AL35" s="23"/>
      <c r="AM35" s="23"/>
      <c r="AN35" s="23"/>
      <c r="AO35" s="23"/>
      <c r="AP35" s="23"/>
      <c r="AQ35" s="23"/>
    </row>
    <row r="36" spans="1:43" s="24" customFormat="1" ht="19.5" customHeight="1">
      <c r="A36" s="560">
        <v>10</v>
      </c>
      <c r="B36" s="153" t="s">
        <v>116</v>
      </c>
      <c r="C36" s="561" t="s">
        <v>99</v>
      </c>
      <c r="D36" s="560" t="s">
        <v>64</v>
      </c>
      <c r="E36" s="583" t="s">
        <v>660</v>
      </c>
      <c r="F36" s="562" t="s">
        <v>114</v>
      </c>
      <c r="G36" s="547">
        <v>1</v>
      </c>
      <c r="H36" s="563" t="s">
        <v>102</v>
      </c>
      <c r="I36" s="563" t="s">
        <v>118</v>
      </c>
      <c r="J36" s="564">
        <v>1</v>
      </c>
      <c r="K36" s="554">
        <v>17697</v>
      </c>
      <c r="L36" s="565">
        <v>36</v>
      </c>
      <c r="M36" s="554">
        <f t="shared" si="5"/>
        <v>2</v>
      </c>
      <c r="N36" s="574" t="s">
        <v>152</v>
      </c>
      <c r="O36" s="1014">
        <v>4.5199999999999996</v>
      </c>
      <c r="P36" s="556">
        <v>0</v>
      </c>
      <c r="Q36" s="556">
        <f>'расчеты к штатному '!Q35</f>
        <v>79990.439999999988</v>
      </c>
      <c r="R36" s="568"/>
      <c r="S36" s="554"/>
      <c r="T36" s="554">
        <v>0.1</v>
      </c>
      <c r="U36" s="556">
        <f t="shared" si="6"/>
        <v>7999.043999999999</v>
      </c>
      <c r="V36" s="569"/>
      <c r="W36" s="554"/>
      <c r="X36" s="559">
        <f t="shared" si="7"/>
        <v>87989.483999999982</v>
      </c>
      <c r="Y36" s="10">
        <f t="shared" si="8"/>
        <v>0</v>
      </c>
      <c r="Z36" s="10">
        <f t="shared" si="8"/>
        <v>0</v>
      </c>
      <c r="AA36" s="23">
        <f t="shared" si="3"/>
        <v>1055873.8079999997</v>
      </c>
      <c r="AB36" s="24">
        <f t="shared" si="9"/>
        <v>167999.01479713601</v>
      </c>
      <c r="AC36" s="24">
        <f t="shared" si="10"/>
        <v>1319842.2599999998</v>
      </c>
      <c r="AD36" s="24">
        <f t="shared" si="11"/>
        <v>209998.76849642003</v>
      </c>
      <c r="AK36" s="23"/>
      <c r="AL36" s="23"/>
      <c r="AM36" s="23"/>
      <c r="AN36" s="23"/>
      <c r="AO36" s="23"/>
      <c r="AP36" s="23"/>
      <c r="AQ36" s="23"/>
    </row>
    <row r="37" spans="1:43" s="24" customFormat="1" ht="17.25" customHeight="1">
      <c r="A37" s="547">
        <v>11</v>
      </c>
      <c r="B37" s="153" t="s">
        <v>127</v>
      </c>
      <c r="C37" s="561" t="s">
        <v>99</v>
      </c>
      <c r="D37" s="560" t="s">
        <v>25</v>
      </c>
      <c r="E37" s="562" t="s">
        <v>661</v>
      </c>
      <c r="F37" s="562" t="s">
        <v>34</v>
      </c>
      <c r="G37" s="547">
        <v>1</v>
      </c>
      <c r="H37" s="563" t="s">
        <v>102</v>
      </c>
      <c r="I37" s="563" t="s">
        <v>103</v>
      </c>
      <c r="J37" s="564">
        <v>1</v>
      </c>
      <c r="K37" s="554">
        <v>17697</v>
      </c>
      <c r="L37" s="565">
        <v>26</v>
      </c>
      <c r="M37" s="554">
        <f t="shared" si="5"/>
        <v>1.4444444444444444</v>
      </c>
      <c r="N37" s="574" t="s">
        <v>152</v>
      </c>
      <c r="O37" s="1014">
        <v>4.75</v>
      </c>
      <c r="P37" s="556">
        <v>0</v>
      </c>
      <c r="Q37" s="556">
        <f>'расчеты к штатному '!Q37</f>
        <v>74720.666666666672</v>
      </c>
      <c r="R37" s="568"/>
      <c r="S37" s="554"/>
      <c r="T37" s="554">
        <v>0.1</v>
      </c>
      <c r="U37" s="556">
        <f t="shared" si="6"/>
        <v>7472.0666666666675</v>
      </c>
      <c r="V37" s="569"/>
      <c r="W37" s="554"/>
      <c r="X37" s="559">
        <f t="shared" si="7"/>
        <v>82192.733333333337</v>
      </c>
      <c r="Y37" s="10"/>
      <c r="Z37" s="10"/>
      <c r="AA37" s="23">
        <f t="shared" si="3"/>
        <v>986312.8</v>
      </c>
      <c r="AB37" s="24">
        <f t="shared" si="9"/>
        <v>156931.23309466988</v>
      </c>
      <c r="AC37" s="24">
        <f t="shared" si="10"/>
        <v>1232891</v>
      </c>
      <c r="AD37" s="24">
        <f t="shared" si="11"/>
        <v>196164.04136833735</v>
      </c>
      <c r="AK37" s="23"/>
      <c r="AL37" s="23"/>
      <c r="AM37" s="23"/>
      <c r="AN37" s="23"/>
      <c r="AO37" s="23"/>
      <c r="AP37" s="23"/>
      <c r="AQ37" s="23"/>
    </row>
    <row r="38" spans="1:43" s="24" customFormat="1" ht="17.25" customHeight="1">
      <c r="A38" s="560">
        <v>12</v>
      </c>
      <c r="B38" s="153" t="s">
        <v>386</v>
      </c>
      <c r="C38" s="561" t="s">
        <v>99</v>
      </c>
      <c r="D38" s="560" t="s">
        <v>25</v>
      </c>
      <c r="E38" s="582" t="s">
        <v>662</v>
      </c>
      <c r="F38" s="582" t="s">
        <v>34</v>
      </c>
      <c r="G38" s="547">
        <v>1</v>
      </c>
      <c r="H38" s="563" t="s">
        <v>102</v>
      </c>
      <c r="I38" s="563" t="s">
        <v>103</v>
      </c>
      <c r="J38" s="581">
        <v>1</v>
      </c>
      <c r="K38" s="554">
        <v>17697</v>
      </c>
      <c r="L38" s="565">
        <v>28</v>
      </c>
      <c r="M38" s="554">
        <f t="shared" si="5"/>
        <v>1.5555555555555556</v>
      </c>
      <c r="N38" s="698" t="s">
        <v>152</v>
      </c>
      <c r="O38" s="1157">
        <v>4.75</v>
      </c>
      <c r="P38" s="556">
        <v>0</v>
      </c>
      <c r="Q38" s="556">
        <f>'расчеты к штатному '!Q38</f>
        <v>42030.375</v>
      </c>
      <c r="R38" s="1538"/>
      <c r="S38" s="700"/>
      <c r="T38" s="554">
        <v>0.1</v>
      </c>
      <c r="U38" s="556">
        <f t="shared" si="6"/>
        <v>4203.0375000000004</v>
      </c>
      <c r="V38" s="699"/>
      <c r="W38" s="700"/>
      <c r="X38" s="559">
        <f t="shared" si="7"/>
        <v>46233.412499999999</v>
      </c>
      <c r="Y38" s="1547"/>
      <c r="Z38" s="1547"/>
      <c r="AA38" s="23">
        <f t="shared" si="3"/>
        <v>554800.94999999995</v>
      </c>
      <c r="AB38" s="24">
        <f t="shared" si="9"/>
        <v>88273.818615751792</v>
      </c>
      <c r="AC38" s="24">
        <f t="shared" si="10"/>
        <v>693501.1875</v>
      </c>
      <c r="AD38" s="24">
        <f t="shared" si="11"/>
        <v>110342.27326968974</v>
      </c>
      <c r="AK38" s="23"/>
      <c r="AL38" s="23"/>
      <c r="AM38" s="23"/>
      <c r="AN38" s="23"/>
      <c r="AO38" s="23"/>
      <c r="AP38" s="23"/>
      <c r="AQ38" s="23"/>
    </row>
    <row r="39" spans="1:43" s="24" customFormat="1" ht="17.25" customHeight="1">
      <c r="A39" s="547">
        <v>13</v>
      </c>
      <c r="B39" s="998" t="s">
        <v>458</v>
      </c>
      <c r="C39" s="561" t="s">
        <v>99</v>
      </c>
      <c r="D39" s="560" t="s">
        <v>25</v>
      </c>
      <c r="E39" s="582">
        <v>42</v>
      </c>
      <c r="F39" s="582" t="s">
        <v>34</v>
      </c>
      <c r="G39" s="547">
        <v>1</v>
      </c>
      <c r="H39" s="563" t="s">
        <v>102</v>
      </c>
      <c r="I39" s="563" t="s">
        <v>103</v>
      </c>
      <c r="J39" s="581">
        <v>1</v>
      </c>
      <c r="K39" s="554">
        <v>17697</v>
      </c>
      <c r="L39" s="1540">
        <v>17</v>
      </c>
      <c r="M39" s="554">
        <f t="shared" si="5"/>
        <v>0.94444444444444442</v>
      </c>
      <c r="N39" s="698" t="s">
        <v>152</v>
      </c>
      <c r="O39" s="1157">
        <v>4.75</v>
      </c>
      <c r="P39" s="556">
        <v>0</v>
      </c>
      <c r="Q39" s="556">
        <f>'расчеты к штатному '!Q39</f>
        <v>51370.458333333336</v>
      </c>
      <c r="R39" s="1538"/>
      <c r="S39" s="700"/>
      <c r="T39" s="554">
        <v>0.1</v>
      </c>
      <c r="U39" s="556">
        <f t="shared" si="6"/>
        <v>5137.0458333333336</v>
      </c>
      <c r="V39" s="699"/>
      <c r="W39" s="700"/>
      <c r="X39" s="559">
        <f t="shared" si="7"/>
        <v>56507.504166666666</v>
      </c>
      <c r="Y39" s="1547"/>
      <c r="Z39" s="1547"/>
      <c r="AA39" s="23"/>
      <c r="AK39" s="23"/>
      <c r="AL39" s="23"/>
      <c r="AM39" s="23"/>
      <c r="AN39" s="23"/>
      <c r="AO39" s="23"/>
      <c r="AP39" s="23"/>
      <c r="AQ39" s="23"/>
    </row>
    <row r="40" spans="1:43" s="24" customFormat="1" ht="17.25" customHeight="1">
      <c r="A40" s="560">
        <v>14</v>
      </c>
      <c r="B40" s="153" t="s">
        <v>130</v>
      </c>
      <c r="C40" s="561" t="s">
        <v>99</v>
      </c>
      <c r="D40" s="560" t="s">
        <v>25</v>
      </c>
      <c r="E40" s="582" t="s">
        <v>665</v>
      </c>
      <c r="F40" s="582" t="s">
        <v>34</v>
      </c>
      <c r="G40" s="547">
        <v>1</v>
      </c>
      <c r="H40" s="563" t="s">
        <v>102</v>
      </c>
      <c r="I40" s="563" t="s">
        <v>103</v>
      </c>
      <c r="J40" s="564">
        <v>1</v>
      </c>
      <c r="K40" s="554">
        <v>17697</v>
      </c>
      <c r="L40" s="565">
        <v>9</v>
      </c>
      <c r="M40" s="554">
        <f t="shared" si="5"/>
        <v>0.5</v>
      </c>
      <c r="N40" s="997" t="s">
        <v>152</v>
      </c>
      <c r="O40" s="1014">
        <v>4.75</v>
      </c>
      <c r="P40" s="556">
        <v>0</v>
      </c>
      <c r="Q40" s="556">
        <f>'расчеты к штатному '!Q40</f>
        <v>21015.1875</v>
      </c>
      <c r="R40" s="568"/>
      <c r="S40" s="554"/>
      <c r="T40" s="554">
        <v>0.1</v>
      </c>
      <c r="U40" s="556">
        <f t="shared" si="6"/>
        <v>2101.5187500000002</v>
      </c>
      <c r="V40" s="569"/>
      <c r="W40" s="554"/>
      <c r="X40" s="559">
        <f t="shared" si="7"/>
        <v>23116.706249999999</v>
      </c>
      <c r="Y40" s="7">
        <f t="shared" si="8"/>
        <v>0</v>
      </c>
      <c r="Z40" s="7">
        <f t="shared" si="8"/>
        <v>0</v>
      </c>
      <c r="AA40" s="23">
        <f t="shared" si="3"/>
        <v>277400.47499999998</v>
      </c>
      <c r="AB40" s="24">
        <f t="shared" si="9"/>
        <v>44136.909307875896</v>
      </c>
      <c r="AC40" s="24">
        <f t="shared" si="10"/>
        <v>346750.59375</v>
      </c>
      <c r="AD40" s="24">
        <f t="shared" si="11"/>
        <v>55171.136634844872</v>
      </c>
      <c r="AK40" s="23"/>
      <c r="AL40" s="23"/>
      <c r="AM40" s="23"/>
      <c r="AN40" s="23"/>
      <c r="AO40" s="23"/>
      <c r="AP40" s="23"/>
      <c r="AQ40" s="23"/>
    </row>
    <row r="41" spans="1:43" s="1692" customFormat="1" ht="17.25" customHeight="1">
      <c r="A41" s="547">
        <v>15</v>
      </c>
      <c r="B41" s="153" t="s">
        <v>455</v>
      </c>
      <c r="C41" s="561" t="s">
        <v>99</v>
      </c>
      <c r="D41" s="563" t="s">
        <v>25</v>
      </c>
      <c r="E41" s="210" t="s">
        <v>667</v>
      </c>
      <c r="F41" s="562" t="s">
        <v>34</v>
      </c>
      <c r="G41" s="547">
        <v>1</v>
      </c>
      <c r="H41" s="563" t="s">
        <v>102</v>
      </c>
      <c r="I41" s="563" t="s">
        <v>103</v>
      </c>
      <c r="J41" s="564">
        <v>1</v>
      </c>
      <c r="K41" s="554">
        <v>17697</v>
      </c>
      <c r="L41" s="565">
        <v>8</v>
      </c>
      <c r="M41" s="554">
        <f t="shared" si="5"/>
        <v>0.44444444444444442</v>
      </c>
      <c r="N41" s="997" t="s">
        <v>152</v>
      </c>
      <c r="O41" s="1014">
        <v>4.75</v>
      </c>
      <c r="P41" s="556">
        <v>0</v>
      </c>
      <c r="Q41" s="556">
        <f>'расчеты к штатному '!Q41</f>
        <v>18680.166666666668</v>
      </c>
      <c r="R41" s="568"/>
      <c r="S41" s="554"/>
      <c r="T41" s="554">
        <v>0.1</v>
      </c>
      <c r="U41" s="556">
        <f t="shared" si="6"/>
        <v>1868.0166666666669</v>
      </c>
      <c r="V41" s="569"/>
      <c r="W41" s="554"/>
      <c r="X41" s="559">
        <f t="shared" si="7"/>
        <v>20548.183333333334</v>
      </c>
      <c r="Y41" s="1691">
        <f t="shared" si="8"/>
        <v>0</v>
      </c>
      <c r="Z41" s="1691">
        <f t="shared" si="8"/>
        <v>0</v>
      </c>
      <c r="AA41" s="23">
        <f t="shared" si="3"/>
        <v>246578.2</v>
      </c>
      <c r="AB41" s="24">
        <f t="shared" si="9"/>
        <v>39232.80827366747</v>
      </c>
      <c r="AC41" s="24">
        <f t="shared" si="10"/>
        <v>308222.75</v>
      </c>
      <c r="AD41" s="24">
        <f t="shared" si="11"/>
        <v>49041.010342084337</v>
      </c>
      <c r="AK41" s="1782"/>
      <c r="AL41" s="1782"/>
      <c r="AM41" s="1782"/>
      <c r="AN41" s="1782"/>
      <c r="AO41" s="1782"/>
      <c r="AP41" s="1782"/>
      <c r="AQ41" s="1782"/>
    </row>
    <row r="42" spans="1:43" s="24" customFormat="1" ht="17.25" customHeight="1">
      <c r="A42" s="560">
        <v>16</v>
      </c>
      <c r="B42" s="153" t="s">
        <v>227</v>
      </c>
      <c r="C42" s="561" t="s">
        <v>99</v>
      </c>
      <c r="D42" s="560" t="s">
        <v>25</v>
      </c>
      <c r="E42" s="562" t="s">
        <v>741</v>
      </c>
      <c r="F42" s="562" t="s">
        <v>669</v>
      </c>
      <c r="G42" s="547">
        <v>1</v>
      </c>
      <c r="H42" s="580" t="s">
        <v>102</v>
      </c>
      <c r="I42" s="580" t="s">
        <v>103</v>
      </c>
      <c r="J42" s="574">
        <v>2</v>
      </c>
      <c r="K42" s="554">
        <v>17697</v>
      </c>
      <c r="L42" s="565">
        <v>4</v>
      </c>
      <c r="M42" s="554">
        <f t="shared" si="5"/>
        <v>0.22222222222222221</v>
      </c>
      <c r="N42" s="1014" t="s">
        <v>104</v>
      </c>
      <c r="O42" s="1014">
        <v>4.09</v>
      </c>
      <c r="P42" s="556">
        <v>0</v>
      </c>
      <c r="Q42" s="556">
        <f>'расчеты к штатному '!Q42</f>
        <v>10052.879166666666</v>
      </c>
      <c r="R42" s="568"/>
      <c r="S42" s="554"/>
      <c r="T42" s="554">
        <v>0.1</v>
      </c>
      <c r="U42" s="556">
        <f t="shared" si="6"/>
        <v>1005.2879166666667</v>
      </c>
      <c r="V42" s="569"/>
      <c r="W42" s="554"/>
      <c r="X42" s="559">
        <f t="shared" si="7"/>
        <v>11058.167083333332</v>
      </c>
      <c r="Y42" s="10">
        <f t="shared" si="8"/>
        <v>0</v>
      </c>
      <c r="Z42" s="10">
        <f t="shared" si="8"/>
        <v>0</v>
      </c>
      <c r="AA42" s="23">
        <f t="shared" si="3"/>
        <v>132698.00499999998</v>
      </c>
      <c r="AB42" s="24">
        <f t="shared" si="9"/>
        <v>21113.445505171039</v>
      </c>
      <c r="AC42" s="24">
        <f t="shared" si="10"/>
        <v>165872.50624999998</v>
      </c>
      <c r="AD42" s="24">
        <f t="shared" si="11"/>
        <v>26391.806881463803</v>
      </c>
      <c r="AK42" s="23"/>
      <c r="AL42" s="23"/>
      <c r="AM42" s="23"/>
      <c r="AN42" s="23"/>
      <c r="AO42" s="23"/>
      <c r="AP42" s="23"/>
      <c r="AQ42" s="23"/>
    </row>
    <row r="43" spans="1:43" s="24" customFormat="1" ht="17.25" customHeight="1">
      <c r="A43" s="547">
        <v>17</v>
      </c>
      <c r="B43" s="153" t="s">
        <v>138</v>
      </c>
      <c r="C43" s="561" t="s">
        <v>99</v>
      </c>
      <c r="D43" s="563" t="s">
        <v>25</v>
      </c>
      <c r="E43" s="562" t="s">
        <v>671</v>
      </c>
      <c r="F43" s="562" t="s">
        <v>476</v>
      </c>
      <c r="G43" s="547">
        <v>1</v>
      </c>
      <c r="H43" s="563" t="s">
        <v>102</v>
      </c>
      <c r="I43" s="563" t="s">
        <v>103</v>
      </c>
      <c r="J43" s="1584">
        <v>3</v>
      </c>
      <c r="K43" s="554">
        <v>17697</v>
      </c>
      <c r="L43" s="565">
        <v>18</v>
      </c>
      <c r="M43" s="554">
        <f t="shared" si="5"/>
        <v>1</v>
      </c>
      <c r="N43" s="1585" t="s">
        <v>109</v>
      </c>
      <c r="O43" s="1014">
        <v>4.07</v>
      </c>
      <c r="P43" s="556">
        <v>0</v>
      </c>
      <c r="Q43" s="556">
        <f>'расчеты к штатному '!Q45</f>
        <v>40703.099999999991</v>
      </c>
      <c r="R43" s="568"/>
      <c r="S43" s="554"/>
      <c r="T43" s="554">
        <v>0.1</v>
      </c>
      <c r="U43" s="556">
        <f t="shared" si="6"/>
        <v>4070.3099999999995</v>
      </c>
      <c r="V43" s="569"/>
      <c r="W43" s="554"/>
      <c r="X43" s="559">
        <f t="shared" si="7"/>
        <v>44773.409999999989</v>
      </c>
      <c r="Y43" s="7"/>
      <c r="Z43" s="7"/>
      <c r="AA43" s="23">
        <f t="shared" si="3"/>
        <v>537280.91999999993</v>
      </c>
      <c r="AB43" s="24">
        <f t="shared" si="9"/>
        <v>85486.224343675407</v>
      </c>
      <c r="AC43" s="24">
        <f t="shared" si="10"/>
        <v>671601.14999999991</v>
      </c>
      <c r="AD43" s="24">
        <f t="shared" si="11"/>
        <v>106857.78042959426</v>
      </c>
      <c r="AK43" s="23"/>
      <c r="AL43" s="23"/>
      <c r="AM43" s="23"/>
      <c r="AN43" s="23"/>
      <c r="AO43" s="23"/>
      <c r="AP43" s="23"/>
      <c r="AQ43" s="23"/>
    </row>
    <row r="44" spans="1:43" s="24" customFormat="1" ht="18" customHeight="1">
      <c r="A44" s="560">
        <v>18</v>
      </c>
      <c r="B44" s="153" t="s">
        <v>58</v>
      </c>
      <c r="C44" s="561" t="s">
        <v>99</v>
      </c>
      <c r="D44" s="563" t="s">
        <v>25</v>
      </c>
      <c r="E44" s="562" t="s">
        <v>608</v>
      </c>
      <c r="F44" s="562" t="s">
        <v>366</v>
      </c>
      <c r="G44" s="547">
        <v>1</v>
      </c>
      <c r="H44" s="563" t="s">
        <v>102</v>
      </c>
      <c r="I44" s="563" t="s">
        <v>103</v>
      </c>
      <c r="J44" s="581">
        <v>2</v>
      </c>
      <c r="K44" s="554">
        <v>17697</v>
      </c>
      <c r="L44" s="565">
        <v>14</v>
      </c>
      <c r="M44" s="554">
        <f t="shared" si="5"/>
        <v>0.77777777777777779</v>
      </c>
      <c r="N44" s="1014" t="s">
        <v>104</v>
      </c>
      <c r="O44" s="1014">
        <v>4.4400000000000004</v>
      </c>
      <c r="P44" s="556">
        <v>0</v>
      </c>
      <c r="Q44" s="556">
        <f>'расчеты к штатному '!Q46</f>
        <v>37104.71</v>
      </c>
      <c r="R44" s="568"/>
      <c r="S44" s="554"/>
      <c r="T44" s="554">
        <v>0.1</v>
      </c>
      <c r="U44" s="556">
        <f t="shared" si="6"/>
        <v>3710.471</v>
      </c>
      <c r="V44" s="569"/>
      <c r="W44" s="554"/>
      <c r="X44" s="559">
        <f t="shared" si="7"/>
        <v>40815.180999999997</v>
      </c>
      <c r="Y44" s="10">
        <f t="shared" si="8"/>
        <v>0</v>
      </c>
      <c r="Z44" s="10">
        <f t="shared" si="8"/>
        <v>0</v>
      </c>
      <c r="AA44" s="23">
        <f t="shared" si="3"/>
        <v>489782.17199999996</v>
      </c>
      <c r="AB44" s="24">
        <f t="shared" si="9"/>
        <v>77928.74653937947</v>
      </c>
      <c r="AC44" s="24">
        <f t="shared" si="10"/>
        <v>612227.71499999997</v>
      </c>
      <c r="AD44" s="24">
        <f t="shared" si="11"/>
        <v>97410.933174224352</v>
      </c>
      <c r="AK44" s="23"/>
      <c r="AL44" s="23"/>
      <c r="AM44" s="23"/>
      <c r="AN44" s="23"/>
      <c r="AO44" s="23"/>
      <c r="AP44" s="23"/>
      <c r="AQ44" s="23"/>
    </row>
    <row r="45" spans="1:43" s="24" customFormat="1" ht="17.25" customHeight="1">
      <c r="A45" s="547">
        <v>19</v>
      </c>
      <c r="B45" s="153" t="s">
        <v>145</v>
      </c>
      <c r="C45" s="561" t="s">
        <v>99</v>
      </c>
      <c r="D45" s="563" t="s">
        <v>25</v>
      </c>
      <c r="E45" s="562" t="s">
        <v>672</v>
      </c>
      <c r="F45" s="562" t="s">
        <v>476</v>
      </c>
      <c r="G45" s="547">
        <v>1</v>
      </c>
      <c r="H45" s="563" t="s">
        <v>102</v>
      </c>
      <c r="I45" s="563" t="s">
        <v>103</v>
      </c>
      <c r="J45" s="581">
        <v>2</v>
      </c>
      <c r="K45" s="554">
        <v>17697</v>
      </c>
      <c r="L45" s="565">
        <v>12</v>
      </c>
      <c r="M45" s="554">
        <f t="shared" si="5"/>
        <v>0.66666666666666663</v>
      </c>
      <c r="N45" s="1581" t="s">
        <v>104</v>
      </c>
      <c r="O45" s="1014">
        <v>4.09</v>
      </c>
      <c r="P45" s="556">
        <v>0</v>
      </c>
      <c r="Q45" s="556">
        <f>'расчеты к штатному '!Q47</f>
        <v>24539.84</v>
      </c>
      <c r="R45" s="568"/>
      <c r="S45" s="554"/>
      <c r="T45" s="554">
        <v>0.1</v>
      </c>
      <c r="U45" s="556">
        <f t="shared" si="6"/>
        <v>2453.9839999999999</v>
      </c>
      <c r="V45" s="569"/>
      <c r="W45" s="554"/>
      <c r="X45" s="559">
        <f t="shared" si="7"/>
        <v>26993.824000000001</v>
      </c>
      <c r="Y45" s="10">
        <f t="shared" si="8"/>
        <v>0</v>
      </c>
      <c r="Z45" s="10">
        <f t="shared" si="8"/>
        <v>0</v>
      </c>
      <c r="AA45" s="23">
        <f t="shared" si="3"/>
        <v>323925.88800000004</v>
      </c>
      <c r="AB45" s="24">
        <f t="shared" si="9"/>
        <v>51539.520763723165</v>
      </c>
      <c r="AC45" s="24">
        <f t="shared" si="10"/>
        <v>404907.36000000004</v>
      </c>
      <c r="AD45" s="24">
        <f t="shared" si="11"/>
        <v>64424.400954653953</v>
      </c>
      <c r="AK45" s="23"/>
      <c r="AL45" s="23"/>
      <c r="AM45" s="23"/>
      <c r="AN45" s="23"/>
      <c r="AO45" s="23"/>
      <c r="AP45" s="23"/>
      <c r="AQ45" s="23"/>
    </row>
    <row r="46" spans="1:43" s="24" customFormat="1" ht="17.25" customHeight="1">
      <c r="A46" s="560">
        <v>20</v>
      </c>
      <c r="B46" s="153" t="s">
        <v>143</v>
      </c>
      <c r="C46" s="561" t="s">
        <v>99</v>
      </c>
      <c r="D46" s="563" t="s">
        <v>25</v>
      </c>
      <c r="E46" s="562" t="s">
        <v>674</v>
      </c>
      <c r="F46" s="562" t="s">
        <v>239</v>
      </c>
      <c r="G46" s="547">
        <v>1</v>
      </c>
      <c r="H46" s="563" t="s">
        <v>102</v>
      </c>
      <c r="I46" s="563" t="s">
        <v>103</v>
      </c>
      <c r="J46" s="581">
        <v>1</v>
      </c>
      <c r="K46" s="554">
        <v>17697</v>
      </c>
      <c r="L46" s="565">
        <v>28</v>
      </c>
      <c r="M46" s="554">
        <f t="shared" si="5"/>
        <v>1.5555555555555556</v>
      </c>
      <c r="N46" s="574" t="s">
        <v>152</v>
      </c>
      <c r="O46" s="1014">
        <v>4.49</v>
      </c>
      <c r="P46" s="556">
        <v>0</v>
      </c>
      <c r="Q46" s="556">
        <f>'расчеты к штатному '!Q48</f>
        <v>64009.065833333327</v>
      </c>
      <c r="R46" s="568"/>
      <c r="S46" s="554"/>
      <c r="T46" s="554">
        <v>0.1</v>
      </c>
      <c r="U46" s="556">
        <f t="shared" si="6"/>
        <v>6400.9065833333334</v>
      </c>
      <c r="V46" s="569"/>
      <c r="W46" s="554"/>
      <c r="X46" s="559">
        <f t="shared" si="7"/>
        <v>70409.972416666656</v>
      </c>
      <c r="Y46" s="10">
        <f t="shared" si="8"/>
        <v>0</v>
      </c>
      <c r="Z46" s="10">
        <f t="shared" si="8"/>
        <v>0</v>
      </c>
      <c r="AA46" s="23">
        <f t="shared" si="3"/>
        <v>844919.66899999988</v>
      </c>
      <c r="AB46" s="24">
        <f t="shared" si="9"/>
        <v>134434.31487669054</v>
      </c>
      <c r="AC46" s="24">
        <f t="shared" si="10"/>
        <v>1056149.5862499999</v>
      </c>
      <c r="AD46" s="24">
        <f t="shared" si="11"/>
        <v>168042.89359586316</v>
      </c>
      <c r="AK46" s="23"/>
      <c r="AL46" s="23"/>
      <c r="AM46" s="23"/>
      <c r="AN46" s="23"/>
      <c r="AO46" s="23"/>
      <c r="AP46" s="23"/>
      <c r="AQ46" s="23"/>
    </row>
    <row r="47" spans="1:43" s="24" customFormat="1" ht="17.25" customHeight="1">
      <c r="A47" s="547">
        <v>21</v>
      </c>
      <c r="B47" s="153" t="s">
        <v>447</v>
      </c>
      <c r="C47" s="561" t="s">
        <v>99</v>
      </c>
      <c r="D47" s="563" t="s">
        <v>75</v>
      </c>
      <c r="E47" s="1586" t="s">
        <v>806</v>
      </c>
      <c r="F47" s="1586" t="s">
        <v>602</v>
      </c>
      <c r="G47" s="547">
        <v>1</v>
      </c>
      <c r="H47" s="563" t="s">
        <v>102</v>
      </c>
      <c r="I47" s="563" t="s">
        <v>118</v>
      </c>
      <c r="J47" s="581">
        <v>4</v>
      </c>
      <c r="K47" s="554">
        <v>17697</v>
      </c>
      <c r="L47" s="565">
        <v>10</v>
      </c>
      <c r="M47" s="554">
        <f t="shared" si="5"/>
        <v>0.55555555555555558</v>
      </c>
      <c r="N47" s="574" t="s">
        <v>112</v>
      </c>
      <c r="O47" s="1014">
        <v>3.36</v>
      </c>
      <c r="P47" s="556">
        <v>0</v>
      </c>
      <c r="Q47" s="556">
        <f>'расчеты к штатному '!Q49</f>
        <v>13213.76</v>
      </c>
      <c r="R47" s="568"/>
      <c r="S47" s="554"/>
      <c r="T47" s="554">
        <v>0.1</v>
      </c>
      <c r="U47" s="556">
        <f t="shared" si="6"/>
        <v>1321.3760000000002</v>
      </c>
      <c r="V47" s="569"/>
      <c r="W47" s="554"/>
      <c r="X47" s="559">
        <f t="shared" si="7"/>
        <v>14535.136</v>
      </c>
      <c r="Y47" s="10">
        <f t="shared" si="8"/>
        <v>0</v>
      </c>
      <c r="Z47" s="10">
        <f t="shared" si="8"/>
        <v>0</v>
      </c>
      <c r="AA47" s="23">
        <f t="shared" si="3"/>
        <v>174421.63200000001</v>
      </c>
      <c r="AB47" s="24">
        <f t="shared" si="9"/>
        <v>27752.049642004778</v>
      </c>
      <c r="AC47" s="24">
        <f t="shared" si="10"/>
        <v>218027.04</v>
      </c>
      <c r="AD47" s="24">
        <f t="shared" si="11"/>
        <v>34690.062052505971</v>
      </c>
      <c r="AK47" s="23"/>
      <c r="AL47" s="23"/>
      <c r="AM47" s="23"/>
      <c r="AN47" s="23"/>
      <c r="AO47" s="23"/>
      <c r="AP47" s="23"/>
      <c r="AQ47" s="23"/>
    </row>
    <row r="48" spans="1:43" s="24" customFormat="1" ht="17.25" customHeight="1">
      <c r="A48" s="560">
        <v>22</v>
      </c>
      <c r="B48" s="998" t="s">
        <v>803</v>
      </c>
      <c r="C48" s="873" t="s">
        <v>99</v>
      </c>
      <c r="D48" s="1002" t="s">
        <v>25</v>
      </c>
      <c r="E48" s="1586" t="s">
        <v>807</v>
      </c>
      <c r="F48" s="1586" t="s">
        <v>34</v>
      </c>
      <c r="G48" s="547">
        <v>1</v>
      </c>
      <c r="H48" s="563" t="s">
        <v>102</v>
      </c>
      <c r="I48" s="563" t="s">
        <v>103</v>
      </c>
      <c r="J48" s="581">
        <v>1</v>
      </c>
      <c r="K48" s="554">
        <v>17697</v>
      </c>
      <c r="L48" s="1540">
        <v>12</v>
      </c>
      <c r="M48" s="554">
        <f t="shared" si="5"/>
        <v>0.66666666666666663</v>
      </c>
      <c r="N48" s="698" t="s">
        <v>152</v>
      </c>
      <c r="O48" s="1157">
        <v>4.75</v>
      </c>
      <c r="P48" s="556">
        <v>0</v>
      </c>
      <c r="Q48" s="556" t="e">
        <f>'расчеты к штатному '!#REF!</f>
        <v>#REF!</v>
      </c>
      <c r="R48" s="1538"/>
      <c r="S48" s="700"/>
      <c r="T48" s="554">
        <v>0.1</v>
      </c>
      <c r="U48" s="556" t="e">
        <f t="shared" si="6"/>
        <v>#REF!</v>
      </c>
      <c r="V48" s="699"/>
      <c r="W48" s="700"/>
      <c r="X48" s="559" t="e">
        <f t="shared" si="7"/>
        <v>#REF!</v>
      </c>
      <c r="Y48" s="1547"/>
      <c r="Z48" s="1547"/>
      <c r="AA48" s="23"/>
      <c r="AK48" s="23"/>
      <c r="AL48" s="23"/>
      <c r="AM48" s="23"/>
      <c r="AN48" s="23"/>
      <c r="AO48" s="23"/>
      <c r="AP48" s="23"/>
      <c r="AQ48" s="23"/>
    </row>
    <row r="49" spans="1:43" s="24" customFormat="1" ht="17.25" customHeight="1">
      <c r="A49" s="547">
        <v>23</v>
      </c>
      <c r="B49" s="153" t="s">
        <v>147</v>
      </c>
      <c r="C49" s="561" t="s">
        <v>148</v>
      </c>
      <c r="D49" s="563" t="s">
        <v>25</v>
      </c>
      <c r="E49" s="562" t="s">
        <v>676</v>
      </c>
      <c r="F49" s="562" t="s">
        <v>51</v>
      </c>
      <c r="G49" s="547">
        <v>1</v>
      </c>
      <c r="H49" s="563" t="s">
        <v>102</v>
      </c>
      <c r="I49" s="563" t="s">
        <v>103</v>
      </c>
      <c r="J49" s="564">
        <v>3</v>
      </c>
      <c r="K49" s="554">
        <v>17697</v>
      </c>
      <c r="L49" s="565">
        <v>34</v>
      </c>
      <c r="M49" s="554">
        <f t="shared" si="5"/>
        <v>1.8888888888888888</v>
      </c>
      <c r="N49" s="566" t="s">
        <v>109</v>
      </c>
      <c r="O49" s="1014">
        <v>4.43</v>
      </c>
      <c r="P49" s="556">
        <v>0</v>
      </c>
      <c r="Q49" s="556">
        <f>'расчеты к штатному '!Q50</f>
        <v>79636.5</v>
      </c>
      <c r="R49" s="568"/>
      <c r="S49" s="554"/>
      <c r="T49" s="554">
        <v>0.1</v>
      </c>
      <c r="U49" s="556">
        <f t="shared" si="6"/>
        <v>7963.6500000000005</v>
      </c>
      <c r="V49" s="569"/>
      <c r="W49" s="554"/>
      <c r="X49" s="559">
        <f t="shared" si="7"/>
        <v>87600.15</v>
      </c>
      <c r="Y49" s="10">
        <f t="shared" si="8"/>
        <v>0</v>
      </c>
      <c r="Z49" s="10">
        <f t="shared" si="8"/>
        <v>0</v>
      </c>
      <c r="AA49" s="23">
        <f t="shared" si="3"/>
        <v>1051201.7999999998</v>
      </c>
      <c r="AB49" s="24">
        <f t="shared" si="9"/>
        <v>167255.65632458232</v>
      </c>
      <c r="AC49" s="24">
        <f t="shared" si="10"/>
        <v>1314002.2499999998</v>
      </c>
      <c r="AD49" s="24">
        <f t="shared" si="11"/>
        <v>209069.57040572792</v>
      </c>
      <c r="AK49" s="23"/>
      <c r="AL49" s="23"/>
      <c r="AM49" s="23"/>
      <c r="AN49" s="23"/>
      <c r="AO49" s="23"/>
      <c r="AP49" s="23"/>
      <c r="AQ49" s="23"/>
    </row>
    <row r="50" spans="1:43" s="24" customFormat="1" ht="17.25" customHeight="1">
      <c r="A50" s="560">
        <v>24</v>
      </c>
      <c r="B50" s="153" t="s">
        <v>91</v>
      </c>
      <c r="C50" s="561" t="s">
        <v>99</v>
      </c>
      <c r="D50" s="563" t="s">
        <v>25</v>
      </c>
      <c r="E50" s="562" t="s">
        <v>677</v>
      </c>
      <c r="F50" s="562" t="s">
        <v>93</v>
      </c>
      <c r="G50" s="547">
        <v>1</v>
      </c>
      <c r="H50" s="563" t="s">
        <v>102</v>
      </c>
      <c r="I50" s="563" t="s">
        <v>103</v>
      </c>
      <c r="J50" s="581">
        <v>1</v>
      </c>
      <c r="K50" s="554">
        <v>17697</v>
      </c>
      <c r="L50" s="565">
        <v>9</v>
      </c>
      <c r="M50" s="554">
        <f t="shared" si="5"/>
        <v>0.5</v>
      </c>
      <c r="N50" s="574" t="s">
        <v>152</v>
      </c>
      <c r="O50" s="1014">
        <v>4.62</v>
      </c>
      <c r="P50" s="556">
        <v>0</v>
      </c>
      <c r="Q50" s="556">
        <f>'расчеты к штатному '!Q51</f>
        <v>20749.732500000002</v>
      </c>
      <c r="R50" s="568"/>
      <c r="S50" s="554"/>
      <c r="T50" s="554">
        <v>0.1</v>
      </c>
      <c r="U50" s="556">
        <f t="shared" si="6"/>
        <v>2074.9732500000005</v>
      </c>
      <c r="V50" s="569"/>
      <c r="W50" s="554"/>
      <c r="X50" s="559">
        <f t="shared" si="7"/>
        <v>22824.705750000001</v>
      </c>
      <c r="Y50" s="10">
        <f t="shared" si="8"/>
        <v>0</v>
      </c>
      <c r="Z50" s="10">
        <f t="shared" si="8"/>
        <v>0</v>
      </c>
      <c r="AA50" s="23">
        <f t="shared" si="3"/>
        <v>273896.46900000004</v>
      </c>
      <c r="AB50" s="24">
        <f t="shared" si="9"/>
        <v>43579.390453460634</v>
      </c>
      <c r="AC50" s="24">
        <f t="shared" si="10"/>
        <v>342370.58625000005</v>
      </c>
      <c r="AD50" s="24">
        <f t="shared" si="11"/>
        <v>54474.238066825783</v>
      </c>
      <c r="AK50" s="23"/>
      <c r="AL50" s="23"/>
      <c r="AM50" s="23"/>
      <c r="AN50" s="23"/>
      <c r="AO50" s="23"/>
      <c r="AP50" s="23"/>
      <c r="AQ50" s="23"/>
    </row>
    <row r="51" spans="1:43" s="24" customFormat="1" ht="17.25" customHeight="1">
      <c r="A51" s="547">
        <v>25</v>
      </c>
      <c r="B51" s="153" t="s">
        <v>150</v>
      </c>
      <c r="C51" s="561" t="s">
        <v>99</v>
      </c>
      <c r="D51" s="563" t="s">
        <v>25</v>
      </c>
      <c r="E51" s="562" t="s">
        <v>680</v>
      </c>
      <c r="F51" s="562" t="s">
        <v>34</v>
      </c>
      <c r="G51" s="547">
        <v>1</v>
      </c>
      <c r="H51" s="563" t="s">
        <v>102</v>
      </c>
      <c r="I51" s="563" t="s">
        <v>103</v>
      </c>
      <c r="J51" s="564">
        <v>1</v>
      </c>
      <c r="K51" s="554">
        <v>17697</v>
      </c>
      <c r="L51" s="565">
        <v>26</v>
      </c>
      <c r="M51" s="554">
        <f t="shared" si="5"/>
        <v>1.4444444444444444</v>
      </c>
      <c r="N51" s="997" t="s">
        <v>152</v>
      </c>
      <c r="O51" s="1014">
        <v>4.75</v>
      </c>
      <c r="P51" s="556">
        <v>0</v>
      </c>
      <c r="Q51" s="556">
        <f>'расчеты к штатному '!Q52</f>
        <v>63045.562500000007</v>
      </c>
      <c r="R51" s="568"/>
      <c r="S51" s="554"/>
      <c r="T51" s="554">
        <v>0.1</v>
      </c>
      <c r="U51" s="556">
        <f t="shared" si="6"/>
        <v>6304.5562500000015</v>
      </c>
      <c r="V51" s="569"/>
      <c r="W51" s="554"/>
      <c r="X51" s="559">
        <f t="shared" si="7"/>
        <v>69350.118750000009</v>
      </c>
      <c r="Y51" s="7">
        <f t="shared" si="8"/>
        <v>0</v>
      </c>
      <c r="Z51" s="7">
        <f t="shared" si="8"/>
        <v>0</v>
      </c>
      <c r="AA51" s="23">
        <f t="shared" si="3"/>
        <v>832201.42500000005</v>
      </c>
      <c r="AB51" s="24">
        <f t="shared" si="9"/>
        <v>132410.72792362771</v>
      </c>
      <c r="AC51" s="24">
        <f t="shared" si="10"/>
        <v>1040251.78125</v>
      </c>
      <c r="AD51" s="24">
        <f t="shared" si="11"/>
        <v>165513.40990453464</v>
      </c>
      <c r="AK51" s="23"/>
      <c r="AL51" s="23"/>
      <c r="AM51" s="23"/>
      <c r="AN51" s="23"/>
      <c r="AO51" s="23"/>
      <c r="AP51" s="23"/>
      <c r="AQ51" s="23"/>
    </row>
    <row r="52" spans="1:43" s="24" customFormat="1" ht="17.25" customHeight="1">
      <c r="A52" s="560">
        <v>26</v>
      </c>
      <c r="B52" s="998" t="s">
        <v>153</v>
      </c>
      <c r="C52" s="549" t="s">
        <v>99</v>
      </c>
      <c r="D52" s="874" t="s">
        <v>25</v>
      </c>
      <c r="E52" s="874" t="s">
        <v>818</v>
      </c>
      <c r="F52" s="562" t="s">
        <v>819</v>
      </c>
      <c r="G52" s="874">
        <v>1</v>
      </c>
      <c r="H52" s="874" t="s">
        <v>102</v>
      </c>
      <c r="I52" s="874" t="s">
        <v>103</v>
      </c>
      <c r="J52" s="1647">
        <v>1</v>
      </c>
      <c r="K52" s="554">
        <v>17697</v>
      </c>
      <c r="L52" s="1540">
        <v>10</v>
      </c>
      <c r="M52" s="554">
        <f t="shared" si="5"/>
        <v>0.55555555555555558</v>
      </c>
      <c r="N52" s="1004" t="s">
        <v>152</v>
      </c>
      <c r="O52" s="1157">
        <v>4.75</v>
      </c>
      <c r="P52" s="556">
        <v>0</v>
      </c>
      <c r="Q52" s="556">
        <f>'расчеты к штатному '!Q53</f>
        <v>23350.208333333336</v>
      </c>
      <c r="R52" s="1538"/>
      <c r="S52" s="700"/>
      <c r="T52" s="554">
        <v>0.1</v>
      </c>
      <c r="U52" s="556">
        <f t="shared" si="6"/>
        <v>2335.0208333333335</v>
      </c>
      <c r="V52" s="699"/>
      <c r="W52" s="700"/>
      <c r="X52" s="559">
        <f t="shared" si="7"/>
        <v>25685.229166666668</v>
      </c>
      <c r="Y52" s="882"/>
      <c r="Z52" s="882"/>
      <c r="AA52" s="23"/>
      <c r="AK52" s="23"/>
      <c r="AL52" s="23"/>
      <c r="AM52" s="23"/>
      <c r="AN52" s="23"/>
      <c r="AO52" s="23"/>
      <c r="AP52" s="23"/>
      <c r="AQ52" s="23"/>
    </row>
    <row r="53" spans="1:43" s="24" customFormat="1" ht="17.25" customHeight="1">
      <c r="A53" s="547">
        <v>27</v>
      </c>
      <c r="B53" s="153" t="s">
        <v>157</v>
      </c>
      <c r="C53" s="561" t="s">
        <v>99</v>
      </c>
      <c r="D53" s="563" t="s">
        <v>75</v>
      </c>
      <c r="E53" s="562" t="s">
        <v>681</v>
      </c>
      <c r="F53" s="562" t="s">
        <v>108</v>
      </c>
      <c r="G53" s="547">
        <v>1</v>
      </c>
      <c r="H53" s="563" t="s">
        <v>102</v>
      </c>
      <c r="I53" s="563" t="s">
        <v>118</v>
      </c>
      <c r="J53" s="564">
        <v>4</v>
      </c>
      <c r="K53" s="554">
        <v>17697</v>
      </c>
      <c r="L53" s="565">
        <v>26</v>
      </c>
      <c r="M53" s="554">
        <f t="shared" si="5"/>
        <v>1.4444444444444444</v>
      </c>
      <c r="N53" s="997" t="s">
        <v>112</v>
      </c>
      <c r="O53" s="1014">
        <v>3.41</v>
      </c>
      <c r="P53" s="556">
        <v>0</v>
      </c>
      <c r="Q53" s="556">
        <f>'расчеты к штатному '!Q54</f>
        <v>54029.924166666671</v>
      </c>
      <c r="R53" s="568"/>
      <c r="S53" s="554"/>
      <c r="T53" s="554">
        <v>0.1</v>
      </c>
      <c r="U53" s="556">
        <f t="shared" si="6"/>
        <v>5402.9924166666679</v>
      </c>
      <c r="V53" s="569"/>
      <c r="W53" s="554"/>
      <c r="X53" s="559">
        <f t="shared" si="7"/>
        <v>59432.916583333339</v>
      </c>
      <c r="Y53" s="10">
        <f t="shared" si="8"/>
        <v>0</v>
      </c>
      <c r="Z53" s="10">
        <f t="shared" si="8"/>
        <v>0</v>
      </c>
      <c r="AA53" s="23">
        <f t="shared" si="3"/>
        <v>713194.99900000007</v>
      </c>
      <c r="AB53" s="24">
        <f t="shared" si="9"/>
        <v>113475.73571996819</v>
      </c>
      <c r="AC53" s="24">
        <f t="shared" si="10"/>
        <v>891493.74875000003</v>
      </c>
      <c r="AD53" s="24">
        <f t="shared" si="11"/>
        <v>141844.66964996024</v>
      </c>
      <c r="AK53" s="23"/>
      <c r="AL53" s="23"/>
      <c r="AM53" s="23"/>
      <c r="AN53" s="23"/>
      <c r="AO53" s="23"/>
      <c r="AP53" s="23"/>
      <c r="AQ53" s="23"/>
    </row>
    <row r="54" spans="1:43" s="24" customFormat="1" ht="17.25" customHeight="1">
      <c r="A54" s="560">
        <v>28</v>
      </c>
      <c r="B54" s="153" t="s">
        <v>160</v>
      </c>
      <c r="C54" s="561" t="s">
        <v>148</v>
      </c>
      <c r="D54" s="563" t="s">
        <v>25</v>
      </c>
      <c r="E54" s="562" t="s">
        <v>682</v>
      </c>
      <c r="F54" s="562" t="s">
        <v>34</v>
      </c>
      <c r="G54" s="547">
        <v>1</v>
      </c>
      <c r="H54" s="563" t="s">
        <v>102</v>
      </c>
      <c r="I54" s="563" t="s">
        <v>103</v>
      </c>
      <c r="J54" s="564">
        <v>2</v>
      </c>
      <c r="K54" s="554">
        <v>17697</v>
      </c>
      <c r="L54" s="565">
        <v>29</v>
      </c>
      <c r="M54" s="554">
        <f t="shared" si="5"/>
        <v>1.6111111111111112</v>
      </c>
      <c r="N54" s="566" t="s">
        <v>104</v>
      </c>
      <c r="O54" s="1014">
        <v>4.51</v>
      </c>
      <c r="P54" s="556">
        <v>0</v>
      </c>
      <c r="Q54" s="556">
        <f>'расчеты к штатному '!Q55</f>
        <v>66511.225000000006</v>
      </c>
      <c r="R54" s="568"/>
      <c r="S54" s="554"/>
      <c r="T54" s="554">
        <v>0.1</v>
      </c>
      <c r="U54" s="556">
        <f t="shared" si="6"/>
        <v>6651.1225000000013</v>
      </c>
      <c r="V54" s="569"/>
      <c r="W54" s="554"/>
      <c r="X54" s="559">
        <f t="shared" si="7"/>
        <v>73162.347500000003</v>
      </c>
      <c r="Y54" s="10">
        <f>V54+R54</f>
        <v>0</v>
      </c>
      <c r="Z54" s="10">
        <f>W54+S54</f>
        <v>0</v>
      </c>
      <c r="AA54" s="23">
        <f t="shared" si="3"/>
        <v>877948.17</v>
      </c>
      <c r="AB54" s="24">
        <f t="shared" si="9"/>
        <v>139689.44630071602</v>
      </c>
      <c r="AC54" s="24">
        <f t="shared" si="10"/>
        <v>1097435.2125000001</v>
      </c>
      <c r="AD54" s="24">
        <f t="shared" si="11"/>
        <v>174611.807875895</v>
      </c>
      <c r="AK54" s="23"/>
      <c r="AL54" s="23"/>
      <c r="AM54" s="23"/>
      <c r="AN54" s="23"/>
      <c r="AO54" s="23"/>
      <c r="AP54" s="23"/>
      <c r="AQ54" s="23"/>
    </row>
    <row r="55" spans="1:43" s="24" customFormat="1" ht="17.25" customHeight="1">
      <c r="A55" s="547">
        <v>29</v>
      </c>
      <c r="B55" s="153" t="s">
        <v>162</v>
      </c>
      <c r="C55" s="561" t="s">
        <v>99</v>
      </c>
      <c r="D55" s="563" t="s">
        <v>25</v>
      </c>
      <c r="E55" s="582" t="s">
        <v>503</v>
      </c>
      <c r="F55" s="562" t="s">
        <v>77</v>
      </c>
      <c r="G55" s="547">
        <v>1</v>
      </c>
      <c r="H55" s="563" t="s">
        <v>102</v>
      </c>
      <c r="I55" s="563" t="s">
        <v>103</v>
      </c>
      <c r="J55" s="581">
        <v>4</v>
      </c>
      <c r="K55" s="554">
        <v>17697</v>
      </c>
      <c r="L55" s="565">
        <v>30</v>
      </c>
      <c r="M55" s="554">
        <f t="shared" si="5"/>
        <v>1.6666666666666667</v>
      </c>
      <c r="N55" s="574" t="s">
        <v>112</v>
      </c>
      <c r="O55" s="1014">
        <v>3.71</v>
      </c>
      <c r="P55" s="556">
        <v>0</v>
      </c>
      <c r="Q55" s="556">
        <f>'расчеты к штатному '!Q57</f>
        <v>54713.224999999999</v>
      </c>
      <c r="R55" s="568"/>
      <c r="S55" s="554"/>
      <c r="T55" s="554">
        <v>0.1</v>
      </c>
      <c r="U55" s="556">
        <f t="shared" si="6"/>
        <v>5471.3225000000002</v>
      </c>
      <c r="V55" s="569"/>
      <c r="W55" s="554"/>
      <c r="X55" s="559">
        <f t="shared" si="7"/>
        <v>60184.547500000001</v>
      </c>
      <c r="Y55" s="10">
        <f t="shared" si="8"/>
        <v>0</v>
      </c>
      <c r="Z55" s="10">
        <f t="shared" si="8"/>
        <v>0</v>
      </c>
      <c r="AA55" s="23">
        <f t="shared" si="3"/>
        <v>722214.57000000007</v>
      </c>
      <c r="AB55" s="24">
        <f t="shared" si="9"/>
        <v>114910.83054892604</v>
      </c>
      <c r="AC55" s="24">
        <f t="shared" si="10"/>
        <v>902768.21250000014</v>
      </c>
      <c r="AD55" s="24">
        <f t="shared" si="11"/>
        <v>143638.53818615753</v>
      </c>
      <c r="AK55" s="23"/>
      <c r="AL55" s="23"/>
      <c r="AM55" s="23"/>
      <c r="AN55" s="23"/>
      <c r="AO55" s="23"/>
      <c r="AP55" s="23"/>
      <c r="AQ55" s="23"/>
    </row>
    <row r="56" spans="1:43" s="24" customFormat="1" ht="17.25" customHeight="1">
      <c r="A56" s="560">
        <v>30</v>
      </c>
      <c r="B56" s="153" t="s">
        <v>166</v>
      </c>
      <c r="C56" s="561" t="s">
        <v>99</v>
      </c>
      <c r="D56" s="563" t="s">
        <v>25</v>
      </c>
      <c r="E56" s="562" t="s">
        <v>684</v>
      </c>
      <c r="F56" s="562" t="s">
        <v>239</v>
      </c>
      <c r="G56" s="547">
        <v>1</v>
      </c>
      <c r="H56" s="563" t="s">
        <v>102</v>
      </c>
      <c r="I56" s="563" t="s">
        <v>103</v>
      </c>
      <c r="J56" s="581">
        <v>1</v>
      </c>
      <c r="K56" s="554">
        <v>17697</v>
      </c>
      <c r="L56" s="565">
        <v>36</v>
      </c>
      <c r="M56" s="554">
        <f t="shared" si="5"/>
        <v>2</v>
      </c>
      <c r="N56" s="574" t="s">
        <v>152</v>
      </c>
      <c r="O56" s="1582">
        <v>4.49</v>
      </c>
      <c r="P56" s="556">
        <v>0</v>
      </c>
      <c r="Q56" s="556">
        <f>'расчеты к штатному '!Q58</f>
        <v>79459.53</v>
      </c>
      <c r="R56" s="568"/>
      <c r="S56" s="554"/>
      <c r="T56" s="554">
        <v>0.1</v>
      </c>
      <c r="U56" s="556">
        <f t="shared" si="6"/>
        <v>7945.9530000000004</v>
      </c>
      <c r="V56" s="569"/>
      <c r="W56" s="554"/>
      <c r="X56" s="559">
        <f t="shared" si="7"/>
        <v>87405.482999999993</v>
      </c>
      <c r="Y56" s="10">
        <f t="shared" si="8"/>
        <v>0</v>
      </c>
      <c r="Z56" s="10">
        <f t="shared" si="8"/>
        <v>0</v>
      </c>
      <c r="AA56" s="23">
        <f t="shared" si="3"/>
        <v>1048865.7959999999</v>
      </c>
      <c r="AB56" s="24">
        <f t="shared" si="9"/>
        <v>166883.97708830546</v>
      </c>
      <c r="AC56" s="24">
        <f t="shared" si="10"/>
        <v>1311082.2449999999</v>
      </c>
      <c r="AD56" s="24">
        <f t="shared" si="11"/>
        <v>208604.97136038187</v>
      </c>
      <c r="AK56" s="23"/>
      <c r="AL56" s="23"/>
      <c r="AM56" s="23"/>
      <c r="AN56" s="23"/>
      <c r="AO56" s="23"/>
      <c r="AP56" s="23"/>
      <c r="AQ56" s="23"/>
    </row>
    <row r="57" spans="1:43" s="24" customFormat="1" ht="17.25" customHeight="1">
      <c r="A57" s="547">
        <v>31</v>
      </c>
      <c r="B57" s="998" t="s">
        <v>739</v>
      </c>
      <c r="C57" s="873" t="s">
        <v>99</v>
      </c>
      <c r="D57" s="1002" t="s">
        <v>25</v>
      </c>
      <c r="E57" s="1539" t="s">
        <v>707</v>
      </c>
      <c r="F57" s="1539" t="s">
        <v>159</v>
      </c>
      <c r="G57" s="547">
        <v>1</v>
      </c>
      <c r="H57" s="563" t="s">
        <v>102</v>
      </c>
      <c r="I57" s="563" t="s">
        <v>103</v>
      </c>
      <c r="J57" s="581">
        <v>4</v>
      </c>
      <c r="K57" s="554">
        <v>17697</v>
      </c>
      <c r="L57" s="1540">
        <v>4</v>
      </c>
      <c r="M57" s="554">
        <f t="shared" si="5"/>
        <v>0.22222222222222221</v>
      </c>
      <c r="N57" s="698" t="s">
        <v>112</v>
      </c>
      <c r="O57" s="1582">
        <v>3.71</v>
      </c>
      <c r="P57" s="556">
        <v>0</v>
      </c>
      <c r="Q57" s="556">
        <f>'расчеты к штатному '!Q59</f>
        <v>12766.419166666667</v>
      </c>
      <c r="R57" s="1538"/>
      <c r="S57" s="700"/>
      <c r="T57" s="554">
        <v>0.1</v>
      </c>
      <c r="U57" s="556">
        <f t="shared" si="6"/>
        <v>1276.6419166666667</v>
      </c>
      <c r="V57" s="699"/>
      <c r="W57" s="700"/>
      <c r="X57" s="559">
        <f t="shared" si="7"/>
        <v>14043.061083333334</v>
      </c>
      <c r="Y57" s="1547"/>
      <c r="Z57" s="1547"/>
      <c r="AA57" s="23"/>
      <c r="AK57" s="23"/>
      <c r="AL57" s="23"/>
      <c r="AM57" s="23"/>
      <c r="AN57" s="23"/>
      <c r="AO57" s="23"/>
      <c r="AP57" s="23"/>
      <c r="AQ57" s="23"/>
    </row>
    <row r="58" spans="1:43" s="24" customFormat="1" ht="17.25" customHeight="1">
      <c r="A58" s="560">
        <v>32</v>
      </c>
      <c r="B58" s="998" t="s">
        <v>804</v>
      </c>
      <c r="C58" s="873" t="s">
        <v>99</v>
      </c>
      <c r="D58" s="1002" t="s">
        <v>75</v>
      </c>
      <c r="E58" s="1539" t="s">
        <v>738</v>
      </c>
      <c r="F58" s="1539" t="s">
        <v>108</v>
      </c>
      <c r="G58" s="547">
        <v>1</v>
      </c>
      <c r="H58" s="563" t="s">
        <v>102</v>
      </c>
      <c r="I58" s="563" t="s">
        <v>118</v>
      </c>
      <c r="J58" s="581">
        <v>4</v>
      </c>
      <c r="K58" s="554">
        <v>17697</v>
      </c>
      <c r="L58" s="1540">
        <v>18</v>
      </c>
      <c r="M58" s="554">
        <f t="shared" si="5"/>
        <v>1</v>
      </c>
      <c r="N58" s="698" t="s">
        <v>112</v>
      </c>
      <c r="O58" s="1582">
        <v>3.36</v>
      </c>
      <c r="P58" s="556">
        <v>0</v>
      </c>
      <c r="Q58" s="556">
        <f>'расчеты к штатному '!Q60</f>
        <v>26427.52</v>
      </c>
      <c r="R58" s="1538"/>
      <c r="S58" s="700"/>
      <c r="T58" s="554">
        <v>0.1</v>
      </c>
      <c r="U58" s="556">
        <f t="shared" si="6"/>
        <v>2642.7520000000004</v>
      </c>
      <c r="V58" s="699"/>
      <c r="W58" s="700"/>
      <c r="X58" s="559">
        <f t="shared" si="7"/>
        <v>29070.272000000001</v>
      </c>
      <c r="Y58" s="1547"/>
      <c r="Z58" s="1547"/>
      <c r="AA58" s="23"/>
      <c r="AK58" s="23"/>
      <c r="AL58" s="23"/>
      <c r="AM58" s="23"/>
      <c r="AN58" s="23"/>
      <c r="AO58" s="23"/>
      <c r="AP58" s="23"/>
      <c r="AQ58" s="23"/>
    </row>
    <row r="59" spans="1:43" s="24" customFormat="1" ht="17.25" customHeight="1">
      <c r="A59" s="547">
        <v>33</v>
      </c>
      <c r="B59" s="153" t="s">
        <v>168</v>
      </c>
      <c r="C59" s="561" t="s">
        <v>99</v>
      </c>
      <c r="D59" s="563" t="s">
        <v>25</v>
      </c>
      <c r="E59" s="562" t="s">
        <v>690</v>
      </c>
      <c r="F59" s="562" t="s">
        <v>73</v>
      </c>
      <c r="G59" s="547">
        <v>1</v>
      </c>
      <c r="H59" s="563" t="s">
        <v>102</v>
      </c>
      <c r="I59" s="563" t="s">
        <v>103</v>
      </c>
      <c r="J59" s="1584">
        <v>2</v>
      </c>
      <c r="K59" s="554">
        <v>17697</v>
      </c>
      <c r="L59" s="565">
        <v>32</v>
      </c>
      <c r="M59" s="554">
        <f t="shared" si="5"/>
        <v>1.7777777777777777</v>
      </c>
      <c r="N59" s="566" t="s">
        <v>104</v>
      </c>
      <c r="O59" s="1014">
        <v>4.16</v>
      </c>
      <c r="P59" s="556">
        <v>0</v>
      </c>
      <c r="Q59" s="556">
        <f>'расчеты к штатному '!Q61</f>
        <v>67484.56</v>
      </c>
      <c r="R59" s="568"/>
      <c r="S59" s="554"/>
      <c r="T59" s="554">
        <v>0.1</v>
      </c>
      <c r="U59" s="556">
        <f t="shared" si="6"/>
        <v>6748.4560000000001</v>
      </c>
      <c r="V59" s="569"/>
      <c r="W59" s="554"/>
      <c r="X59" s="559">
        <f t="shared" si="7"/>
        <v>74233.016000000003</v>
      </c>
      <c r="Y59" s="7">
        <f t="shared" si="8"/>
        <v>0</v>
      </c>
      <c r="Z59" s="7">
        <f t="shared" si="8"/>
        <v>0</v>
      </c>
      <c r="AA59" s="23">
        <f t="shared" si="3"/>
        <v>890796.19200000004</v>
      </c>
      <c r="AB59" s="24">
        <f t="shared" si="9"/>
        <v>141733.68210023869</v>
      </c>
      <c r="AC59" s="24">
        <f t="shared" si="10"/>
        <v>1113495.24</v>
      </c>
      <c r="AD59" s="24">
        <f t="shared" si="11"/>
        <v>177167.10262529834</v>
      </c>
      <c r="AK59" s="23"/>
      <c r="AL59" s="23"/>
      <c r="AM59" s="23"/>
      <c r="AN59" s="23"/>
      <c r="AO59" s="23"/>
      <c r="AP59" s="23"/>
      <c r="AQ59" s="23"/>
    </row>
    <row r="60" spans="1:43" s="24" customFormat="1" ht="17.25" customHeight="1">
      <c r="A60" s="560">
        <v>34</v>
      </c>
      <c r="B60" s="153" t="s">
        <v>89</v>
      </c>
      <c r="C60" s="561" t="s">
        <v>170</v>
      </c>
      <c r="D60" s="563" t="s">
        <v>25</v>
      </c>
      <c r="E60" s="562" t="s">
        <v>697</v>
      </c>
      <c r="F60" s="562" t="s">
        <v>73</v>
      </c>
      <c r="G60" s="547">
        <v>1</v>
      </c>
      <c r="H60" s="563" t="s">
        <v>102</v>
      </c>
      <c r="I60" s="563" t="s">
        <v>103</v>
      </c>
      <c r="J60" s="564">
        <v>3</v>
      </c>
      <c r="K60" s="554">
        <v>17697</v>
      </c>
      <c r="L60" s="565">
        <v>15</v>
      </c>
      <c r="M60" s="554">
        <f t="shared" si="5"/>
        <v>0.83333333333333337</v>
      </c>
      <c r="N60" s="566" t="s">
        <v>109</v>
      </c>
      <c r="O60" s="1014">
        <v>4.21</v>
      </c>
      <c r="P60" s="556">
        <v>0</v>
      </c>
      <c r="Q60" s="556">
        <f>'расчеты к штатному '!Q62</f>
        <v>35182.619166666664</v>
      </c>
      <c r="R60" s="568"/>
      <c r="S60" s="554"/>
      <c r="T60" s="554">
        <v>0.1</v>
      </c>
      <c r="U60" s="556">
        <f t="shared" si="6"/>
        <v>3518.2619166666664</v>
      </c>
      <c r="V60" s="569"/>
      <c r="W60" s="554"/>
      <c r="X60" s="559">
        <f t="shared" si="7"/>
        <v>38700.881083333326</v>
      </c>
      <c r="Y60" s="10">
        <f t="shared" si="8"/>
        <v>0</v>
      </c>
      <c r="Z60" s="10">
        <f t="shared" si="8"/>
        <v>0</v>
      </c>
      <c r="AA60" s="23">
        <f t="shared" si="3"/>
        <v>464410.57299999992</v>
      </c>
      <c r="AB60" s="24">
        <f t="shared" si="9"/>
        <v>73891.897056483693</v>
      </c>
      <c r="AC60" s="24">
        <f t="shared" si="10"/>
        <v>580513.21624999994</v>
      </c>
      <c r="AD60" s="24">
        <f t="shared" si="11"/>
        <v>92364.871320604609</v>
      </c>
      <c r="AK60" s="23"/>
      <c r="AL60" s="23"/>
      <c r="AM60" s="23"/>
      <c r="AN60" s="23"/>
      <c r="AO60" s="23"/>
      <c r="AP60" s="23"/>
      <c r="AQ60" s="23"/>
    </row>
    <row r="61" spans="1:43" s="24" customFormat="1" ht="15.75">
      <c r="A61" s="547">
        <v>35</v>
      </c>
      <c r="B61" s="153" t="s">
        <v>171</v>
      </c>
      <c r="C61" s="561" t="s">
        <v>99</v>
      </c>
      <c r="D61" s="563" t="s">
        <v>25</v>
      </c>
      <c r="E61" s="562" t="s">
        <v>691</v>
      </c>
      <c r="F61" s="562" t="s">
        <v>34</v>
      </c>
      <c r="G61" s="547">
        <v>1</v>
      </c>
      <c r="H61" s="563" t="s">
        <v>102</v>
      </c>
      <c r="I61" s="563" t="s">
        <v>103</v>
      </c>
      <c r="J61" s="581">
        <v>1</v>
      </c>
      <c r="K61" s="554">
        <v>17697</v>
      </c>
      <c r="L61" s="565">
        <v>34</v>
      </c>
      <c r="M61" s="554">
        <f t="shared" si="5"/>
        <v>1.8888888888888888</v>
      </c>
      <c r="N61" s="574" t="s">
        <v>152</v>
      </c>
      <c r="O61" s="1014">
        <v>4.75</v>
      </c>
      <c r="P61" s="556">
        <v>0</v>
      </c>
      <c r="Q61" s="556">
        <f>'расчеты к штатному '!Q63</f>
        <v>84060.75</v>
      </c>
      <c r="R61" s="568"/>
      <c r="S61" s="554"/>
      <c r="T61" s="554">
        <v>0.1</v>
      </c>
      <c r="U61" s="556">
        <f t="shared" si="6"/>
        <v>8406.0750000000007</v>
      </c>
      <c r="V61" s="569"/>
      <c r="W61" s="554"/>
      <c r="X61" s="559">
        <f t="shared" si="7"/>
        <v>92466.824999999997</v>
      </c>
      <c r="Y61" s="10"/>
      <c r="Z61" s="10"/>
      <c r="AA61" s="23">
        <f t="shared" si="3"/>
        <v>1109601.8999999999</v>
      </c>
      <c r="AB61" s="24">
        <f t="shared" si="9"/>
        <v>176547.63723150358</v>
      </c>
      <c r="AC61" s="24">
        <f t="shared" si="10"/>
        <v>1387002.375</v>
      </c>
      <c r="AD61" s="24">
        <f t="shared" si="11"/>
        <v>220684.54653937949</v>
      </c>
      <c r="AK61" s="23"/>
      <c r="AL61" s="23"/>
      <c r="AM61" s="23"/>
      <c r="AN61" s="23"/>
      <c r="AO61" s="23"/>
      <c r="AP61" s="23"/>
      <c r="AQ61" s="23"/>
    </row>
    <row r="62" spans="1:43" s="24" customFormat="1" ht="16.5" customHeight="1">
      <c r="A62" s="560">
        <v>36</v>
      </c>
      <c r="B62" s="153" t="s">
        <v>173</v>
      </c>
      <c r="C62" s="561" t="s">
        <v>99</v>
      </c>
      <c r="D62" s="563" t="s">
        <v>25</v>
      </c>
      <c r="E62" s="562" t="s">
        <v>693</v>
      </c>
      <c r="F62" s="562" t="s">
        <v>66</v>
      </c>
      <c r="G62" s="547">
        <v>1</v>
      </c>
      <c r="H62" s="563" t="s">
        <v>102</v>
      </c>
      <c r="I62" s="563" t="s">
        <v>103</v>
      </c>
      <c r="J62" s="581">
        <v>1</v>
      </c>
      <c r="K62" s="554">
        <v>17697</v>
      </c>
      <c r="L62" s="565">
        <v>32</v>
      </c>
      <c r="M62" s="554">
        <f t="shared" si="5"/>
        <v>1.7777777777777777</v>
      </c>
      <c r="N62" s="574" t="s">
        <v>152</v>
      </c>
      <c r="O62" s="1587">
        <v>4.55</v>
      </c>
      <c r="P62" s="556">
        <v>0</v>
      </c>
      <c r="Q62" s="556">
        <f>'расчеты к штатному '!Q64</f>
        <v>73811.237499999988</v>
      </c>
      <c r="R62" s="568"/>
      <c r="S62" s="554"/>
      <c r="T62" s="554">
        <v>0.1</v>
      </c>
      <c r="U62" s="556">
        <f t="shared" si="6"/>
        <v>7381.1237499999988</v>
      </c>
      <c r="V62" s="569"/>
      <c r="W62" s="554"/>
      <c r="X62" s="559">
        <f t="shared" si="7"/>
        <v>81192.361249999987</v>
      </c>
      <c r="Y62" s="10">
        <f t="shared" si="8"/>
        <v>0</v>
      </c>
      <c r="Z62" s="10">
        <f t="shared" si="8"/>
        <v>0</v>
      </c>
      <c r="AA62" s="23">
        <f t="shared" si="3"/>
        <v>974308.33499999985</v>
      </c>
      <c r="AB62" s="24">
        <f t="shared" si="9"/>
        <v>155021.21479713602</v>
      </c>
      <c r="AC62" s="24">
        <f t="shared" si="10"/>
        <v>1217885.4187499997</v>
      </c>
      <c r="AD62" s="24">
        <f t="shared" si="11"/>
        <v>193776.51849642</v>
      </c>
      <c r="AK62" s="23"/>
      <c r="AL62" s="23"/>
      <c r="AM62" s="23"/>
      <c r="AN62" s="23"/>
      <c r="AO62" s="23"/>
      <c r="AP62" s="23"/>
      <c r="AQ62" s="23"/>
    </row>
    <row r="63" spans="1:43" s="24" customFormat="1" ht="17.25" customHeight="1">
      <c r="A63" s="547">
        <v>37</v>
      </c>
      <c r="B63" s="153" t="s">
        <v>175</v>
      </c>
      <c r="C63" s="561" t="s">
        <v>99</v>
      </c>
      <c r="D63" s="563" t="s">
        <v>25</v>
      </c>
      <c r="E63" s="562" t="s">
        <v>610</v>
      </c>
      <c r="F63" s="562" t="s">
        <v>114</v>
      </c>
      <c r="G63" s="547">
        <v>1</v>
      </c>
      <c r="H63" s="563" t="s">
        <v>102</v>
      </c>
      <c r="I63" s="563" t="s">
        <v>103</v>
      </c>
      <c r="J63" s="564">
        <v>1</v>
      </c>
      <c r="K63" s="554">
        <v>17697</v>
      </c>
      <c r="L63" s="565">
        <v>4</v>
      </c>
      <c r="M63" s="554">
        <f t="shared" si="5"/>
        <v>0.22222222222222221</v>
      </c>
      <c r="N63" s="997" t="s">
        <v>152</v>
      </c>
      <c r="O63" s="1014">
        <v>4.75</v>
      </c>
      <c r="P63" s="556">
        <v>0</v>
      </c>
      <c r="Q63" s="556" t="e">
        <f>'расчеты к штатному '!#REF!</f>
        <v>#REF!</v>
      </c>
      <c r="R63" s="568"/>
      <c r="S63" s="554"/>
      <c r="T63" s="554">
        <v>0.1</v>
      </c>
      <c r="U63" s="556" t="e">
        <f t="shared" si="6"/>
        <v>#REF!</v>
      </c>
      <c r="V63" s="569"/>
      <c r="W63" s="554"/>
      <c r="X63" s="559" t="e">
        <f t="shared" si="7"/>
        <v>#REF!</v>
      </c>
      <c r="Y63" s="7">
        <f t="shared" si="8"/>
        <v>0</v>
      </c>
      <c r="Z63" s="7">
        <f t="shared" si="8"/>
        <v>0</v>
      </c>
      <c r="AA63" s="23" t="e">
        <f t="shared" si="3"/>
        <v>#REF!</v>
      </c>
      <c r="AB63" s="24" t="e">
        <f t="shared" si="9"/>
        <v>#REF!</v>
      </c>
      <c r="AC63" s="24" t="e">
        <f t="shared" si="10"/>
        <v>#REF!</v>
      </c>
      <c r="AD63" s="24" t="e">
        <f t="shared" si="11"/>
        <v>#REF!</v>
      </c>
      <c r="AK63" s="23"/>
      <c r="AL63" s="23"/>
      <c r="AM63" s="23"/>
      <c r="AN63" s="23"/>
      <c r="AO63" s="23"/>
      <c r="AP63" s="23"/>
      <c r="AQ63" s="23"/>
    </row>
    <row r="64" spans="1:43" s="916" customFormat="1" ht="17.25" customHeight="1">
      <c r="A64" s="560">
        <v>38</v>
      </c>
      <c r="B64" s="153" t="s">
        <v>177</v>
      </c>
      <c r="C64" s="561" t="s">
        <v>99</v>
      </c>
      <c r="D64" s="563" t="s">
        <v>178</v>
      </c>
      <c r="E64" s="562" t="s">
        <v>695</v>
      </c>
      <c r="F64" s="562" t="s">
        <v>366</v>
      </c>
      <c r="G64" s="547">
        <v>1</v>
      </c>
      <c r="H64" s="563" t="s">
        <v>102</v>
      </c>
      <c r="I64" s="563" t="s">
        <v>103</v>
      </c>
      <c r="J64" s="581">
        <v>2</v>
      </c>
      <c r="K64" s="554">
        <v>17697</v>
      </c>
      <c r="L64" s="565">
        <v>28</v>
      </c>
      <c r="M64" s="554">
        <f t="shared" si="5"/>
        <v>1.5555555555555556</v>
      </c>
      <c r="N64" s="1583" t="s">
        <v>104</v>
      </c>
      <c r="O64" s="1157">
        <v>4.4400000000000004</v>
      </c>
      <c r="P64" s="556">
        <v>0</v>
      </c>
      <c r="Q64" s="556">
        <f>'расчеты к штатному '!Q65</f>
        <v>65478.9</v>
      </c>
      <c r="R64" s="1538"/>
      <c r="S64" s="700"/>
      <c r="T64" s="554">
        <v>0.1</v>
      </c>
      <c r="U64" s="556">
        <f t="shared" si="6"/>
        <v>6547.89</v>
      </c>
      <c r="V64" s="699"/>
      <c r="W64" s="700"/>
      <c r="X64" s="559">
        <f t="shared" si="7"/>
        <v>72026.790000000008</v>
      </c>
      <c r="Y64" s="1693"/>
      <c r="Z64" s="1693"/>
      <c r="AA64" s="23">
        <f t="shared" si="3"/>
        <v>864321.4800000001</v>
      </c>
      <c r="AB64" s="24">
        <f t="shared" si="9"/>
        <v>137521.31742243437</v>
      </c>
      <c r="AC64" s="24">
        <f t="shared" si="10"/>
        <v>1080401.8500000001</v>
      </c>
      <c r="AD64" s="24">
        <f t="shared" si="11"/>
        <v>171901.64677804295</v>
      </c>
      <c r="AK64" s="1783"/>
      <c r="AL64" s="1783"/>
      <c r="AM64" s="1783"/>
      <c r="AN64" s="1783"/>
      <c r="AO64" s="1783"/>
      <c r="AP64" s="1783"/>
      <c r="AQ64" s="1783"/>
    </row>
    <row r="65" spans="1:69" s="916" customFormat="1" ht="17.25" customHeight="1">
      <c r="A65" s="547">
        <v>39</v>
      </c>
      <c r="B65" s="998" t="s">
        <v>808</v>
      </c>
      <c r="C65" s="873" t="s">
        <v>99</v>
      </c>
      <c r="D65" s="1002" t="s">
        <v>152</v>
      </c>
      <c r="E65" s="1539" t="s">
        <v>809</v>
      </c>
      <c r="F65" s="1539" t="s">
        <v>34</v>
      </c>
      <c r="G65" s="547">
        <v>1</v>
      </c>
      <c r="H65" s="563" t="s">
        <v>102</v>
      </c>
      <c r="I65" s="563" t="s">
        <v>103</v>
      </c>
      <c r="J65" s="581">
        <v>3</v>
      </c>
      <c r="K65" s="554">
        <v>17697</v>
      </c>
      <c r="L65" s="1540">
        <v>28</v>
      </c>
      <c r="M65" s="554">
        <f t="shared" si="5"/>
        <v>1.5555555555555556</v>
      </c>
      <c r="N65" s="1583" t="s">
        <v>109</v>
      </c>
      <c r="O65" s="1157">
        <v>4.5</v>
      </c>
      <c r="P65" s="556">
        <v>0</v>
      </c>
      <c r="Q65" s="556">
        <f>'расчеты к штатному '!Q66</f>
        <v>39818.25</v>
      </c>
      <c r="R65" s="1538"/>
      <c r="S65" s="700"/>
      <c r="T65" s="554">
        <v>0.1</v>
      </c>
      <c r="U65" s="556">
        <f t="shared" si="6"/>
        <v>3981.8250000000003</v>
      </c>
      <c r="V65" s="699"/>
      <c r="W65" s="700"/>
      <c r="X65" s="559">
        <f t="shared" si="7"/>
        <v>43800.074999999997</v>
      </c>
      <c r="Y65" s="1693"/>
      <c r="Z65" s="1693"/>
      <c r="AA65" s="23"/>
      <c r="AB65" s="24"/>
      <c r="AC65" s="24"/>
      <c r="AD65" s="24"/>
      <c r="AK65" s="1783"/>
      <c r="AL65" s="1783"/>
      <c r="AM65" s="1783"/>
      <c r="AN65" s="1783"/>
      <c r="AO65" s="1783"/>
      <c r="AP65" s="1783"/>
      <c r="AQ65" s="1783"/>
    </row>
    <row r="66" spans="1:69" s="916" customFormat="1" ht="17.25" customHeight="1">
      <c r="A66" s="560">
        <v>40</v>
      </c>
      <c r="B66" s="153" t="s">
        <v>182</v>
      </c>
      <c r="C66" s="561" t="s">
        <v>99</v>
      </c>
      <c r="D66" s="563" t="s">
        <v>25</v>
      </c>
      <c r="E66" s="562" t="s">
        <v>701</v>
      </c>
      <c r="F66" s="562" t="s">
        <v>51</v>
      </c>
      <c r="G66" s="547">
        <v>1</v>
      </c>
      <c r="H66" s="563" t="s">
        <v>102</v>
      </c>
      <c r="I66" s="563" t="s">
        <v>103</v>
      </c>
      <c r="J66" s="581">
        <v>1</v>
      </c>
      <c r="K66" s="554">
        <v>17697</v>
      </c>
      <c r="L66" s="1540">
        <v>32</v>
      </c>
      <c r="M66" s="554">
        <f t="shared" si="5"/>
        <v>1.7777777777777777</v>
      </c>
      <c r="N66" s="1583" t="s">
        <v>104</v>
      </c>
      <c r="O66" s="1157">
        <v>4.6900000000000004</v>
      </c>
      <c r="P66" s="556">
        <v>0</v>
      </c>
      <c r="Q66" s="556">
        <f>'расчеты к штатному '!Q67</f>
        <v>73776.826666666675</v>
      </c>
      <c r="R66" s="1538"/>
      <c r="S66" s="700"/>
      <c r="T66" s="554">
        <v>0.1</v>
      </c>
      <c r="U66" s="556">
        <f t="shared" si="6"/>
        <v>7377.6826666666675</v>
      </c>
      <c r="V66" s="699"/>
      <c r="W66" s="700"/>
      <c r="X66" s="559">
        <f t="shared" si="7"/>
        <v>81154.50933333335</v>
      </c>
      <c r="Y66" s="1693"/>
      <c r="Z66" s="1693"/>
      <c r="AA66" s="23"/>
      <c r="AB66" s="24"/>
      <c r="AC66" s="24"/>
      <c r="AD66" s="24"/>
      <c r="AK66" s="1783"/>
      <c r="AL66" s="1783"/>
      <c r="AM66" s="1783"/>
      <c r="AN66" s="1783"/>
      <c r="AO66" s="1783"/>
      <c r="AP66" s="1783"/>
      <c r="AQ66" s="1783"/>
    </row>
    <row r="67" spans="1:69" s="916" customFormat="1" ht="17.25" customHeight="1">
      <c r="A67" s="547">
        <v>41</v>
      </c>
      <c r="B67" s="153" t="s">
        <v>184</v>
      </c>
      <c r="C67" s="561" t="s">
        <v>99</v>
      </c>
      <c r="D67" s="563" t="s">
        <v>25</v>
      </c>
      <c r="E67" s="586" t="s">
        <v>702</v>
      </c>
      <c r="F67" s="562" t="s">
        <v>27</v>
      </c>
      <c r="G67" s="547">
        <v>1</v>
      </c>
      <c r="H67" s="563" t="s">
        <v>102</v>
      </c>
      <c r="I67" s="563" t="s">
        <v>103</v>
      </c>
      <c r="J67" s="581">
        <v>1</v>
      </c>
      <c r="K67" s="554">
        <v>17697</v>
      </c>
      <c r="L67" s="565">
        <v>32</v>
      </c>
      <c r="M67" s="554">
        <f t="shared" si="5"/>
        <v>1.7777777777777777</v>
      </c>
      <c r="N67" s="574" t="s">
        <v>152</v>
      </c>
      <c r="O67" s="1014">
        <v>4.75</v>
      </c>
      <c r="P67" s="556">
        <v>0</v>
      </c>
      <c r="Q67" s="556">
        <f>'расчеты к штатному '!Q68</f>
        <v>74720.666666666672</v>
      </c>
      <c r="R67" s="568"/>
      <c r="S67" s="554"/>
      <c r="T67" s="554">
        <v>0.1</v>
      </c>
      <c r="U67" s="556">
        <f t="shared" si="6"/>
        <v>7472.0666666666675</v>
      </c>
      <c r="V67" s="569"/>
      <c r="W67" s="554"/>
      <c r="X67" s="559">
        <f t="shared" si="7"/>
        <v>82192.733333333337</v>
      </c>
      <c r="Y67" s="152"/>
      <c r="Z67" s="152"/>
      <c r="AA67" s="23">
        <f t="shared" si="3"/>
        <v>986312.8</v>
      </c>
      <c r="AB67" s="24">
        <f t="shared" si="9"/>
        <v>156931.23309466988</v>
      </c>
      <c r="AC67" s="24">
        <f t="shared" si="10"/>
        <v>1232891</v>
      </c>
      <c r="AD67" s="24">
        <f t="shared" si="11"/>
        <v>196164.04136833735</v>
      </c>
      <c r="AK67" s="1783"/>
      <c r="AL67" s="1783"/>
      <c r="AM67" s="1783"/>
      <c r="AN67" s="1783"/>
      <c r="AO67" s="1783"/>
      <c r="AP67" s="1783"/>
      <c r="AQ67" s="1783"/>
    </row>
    <row r="68" spans="1:69" s="24" customFormat="1" ht="17.25" customHeight="1">
      <c r="A68" s="560">
        <v>42</v>
      </c>
      <c r="B68" s="153" t="s">
        <v>186</v>
      </c>
      <c r="C68" s="561" t="s">
        <v>99</v>
      </c>
      <c r="D68" s="563" t="s">
        <v>25</v>
      </c>
      <c r="E68" s="562" t="s">
        <v>703</v>
      </c>
      <c r="F68" s="562" t="s">
        <v>27</v>
      </c>
      <c r="G68" s="547">
        <v>1</v>
      </c>
      <c r="H68" s="563" t="s">
        <v>102</v>
      </c>
      <c r="I68" s="563" t="s">
        <v>103</v>
      </c>
      <c r="J68" s="581">
        <v>1</v>
      </c>
      <c r="K68" s="554">
        <v>17697</v>
      </c>
      <c r="L68" s="565">
        <v>26</v>
      </c>
      <c r="M68" s="554">
        <f t="shared" si="5"/>
        <v>1.4444444444444444</v>
      </c>
      <c r="N68" s="574" t="s">
        <v>152</v>
      </c>
      <c r="O68" s="1014">
        <v>4.75</v>
      </c>
      <c r="P68" s="556">
        <v>0</v>
      </c>
      <c r="Q68" s="556">
        <f>'расчеты к штатному '!Q69</f>
        <v>60710.541666666672</v>
      </c>
      <c r="R68" s="568"/>
      <c r="S68" s="554"/>
      <c r="T68" s="554">
        <v>0.1</v>
      </c>
      <c r="U68" s="556">
        <f t="shared" si="6"/>
        <v>6071.0541666666677</v>
      </c>
      <c r="V68" s="569"/>
      <c r="W68" s="554"/>
      <c r="X68" s="559">
        <f t="shared" si="7"/>
        <v>66781.59583333334</v>
      </c>
      <c r="Y68" s="10">
        <f t="shared" si="8"/>
        <v>0</v>
      </c>
      <c r="Z68" s="10">
        <f t="shared" si="8"/>
        <v>0</v>
      </c>
      <c r="AA68" s="23">
        <f t="shared" si="3"/>
        <v>801379.15000000014</v>
      </c>
      <c r="AB68" s="24">
        <f t="shared" si="9"/>
        <v>127506.62688941928</v>
      </c>
      <c r="AC68" s="24">
        <f t="shared" si="10"/>
        <v>1001723.9375000002</v>
      </c>
      <c r="AD68" s="24">
        <f t="shared" si="11"/>
        <v>159383.2836117741</v>
      </c>
      <c r="AK68" s="23"/>
      <c r="AL68" s="23"/>
      <c r="AM68" s="23"/>
      <c r="AN68" s="23"/>
      <c r="AO68" s="23"/>
      <c r="AP68" s="23"/>
      <c r="AQ68" s="23"/>
    </row>
    <row r="69" spans="1:69" s="24" customFormat="1" ht="17.25" customHeight="1">
      <c r="A69" s="547">
        <v>43</v>
      </c>
      <c r="B69" s="998" t="s">
        <v>810</v>
      </c>
      <c r="C69" s="873" t="s">
        <v>99</v>
      </c>
      <c r="D69" s="1002" t="s">
        <v>25</v>
      </c>
      <c r="E69" s="1539" t="s">
        <v>811</v>
      </c>
      <c r="F69" s="1539" t="s">
        <v>34</v>
      </c>
      <c r="G69" s="547">
        <v>1</v>
      </c>
      <c r="H69" s="563" t="s">
        <v>102</v>
      </c>
      <c r="I69" s="563" t="s">
        <v>103</v>
      </c>
      <c r="J69" s="581">
        <v>1</v>
      </c>
      <c r="K69" s="554">
        <v>17697</v>
      </c>
      <c r="L69" s="565">
        <v>22</v>
      </c>
      <c r="M69" s="554">
        <f t="shared" si="5"/>
        <v>1.2222222222222223</v>
      </c>
      <c r="N69" s="574" t="s">
        <v>152</v>
      </c>
      <c r="O69" s="1014">
        <v>4.75</v>
      </c>
      <c r="P69" s="556">
        <v>0</v>
      </c>
      <c r="Q69" s="556">
        <f>'расчеты к штатному '!Q70</f>
        <v>51370.458333333336</v>
      </c>
      <c r="R69" s="568"/>
      <c r="S69" s="554"/>
      <c r="T69" s="554">
        <v>0.1</v>
      </c>
      <c r="U69" s="556">
        <f t="shared" si="6"/>
        <v>5137.0458333333336</v>
      </c>
      <c r="V69" s="569"/>
      <c r="W69" s="554"/>
      <c r="X69" s="559">
        <f t="shared" si="7"/>
        <v>56507.504166666666</v>
      </c>
      <c r="Y69" s="10">
        <f t="shared" si="8"/>
        <v>0</v>
      </c>
      <c r="Z69" s="10">
        <f t="shared" si="8"/>
        <v>0</v>
      </c>
      <c r="AA69" s="23">
        <f t="shared" si="3"/>
        <v>678090.05</v>
      </c>
      <c r="AB69" s="24">
        <f t="shared" si="9"/>
        <v>107890.22275258554</v>
      </c>
      <c r="AC69" s="24">
        <f t="shared" si="10"/>
        <v>847612.5625</v>
      </c>
      <c r="AD69" s="24">
        <f t="shared" si="11"/>
        <v>134862.77844073193</v>
      </c>
      <c r="AK69" s="23"/>
      <c r="AL69" s="23"/>
      <c r="AM69" s="23"/>
      <c r="AN69" s="23"/>
      <c r="AO69" s="23"/>
      <c r="AP69" s="23"/>
      <c r="AQ69" s="23"/>
    </row>
    <row r="70" spans="1:69" s="24" customFormat="1" ht="17.25" customHeight="1">
      <c r="A70" s="560">
        <v>44</v>
      </c>
      <c r="B70" s="587" t="s">
        <v>188</v>
      </c>
      <c r="C70" s="588" t="s">
        <v>99</v>
      </c>
      <c r="D70" s="589" t="s">
        <v>25</v>
      </c>
      <c r="E70" s="590" t="s">
        <v>708</v>
      </c>
      <c r="F70" s="591" t="s">
        <v>51</v>
      </c>
      <c r="G70" s="547">
        <v>1</v>
      </c>
      <c r="H70" s="589" t="s">
        <v>102</v>
      </c>
      <c r="I70" s="589" t="s">
        <v>103</v>
      </c>
      <c r="J70" s="581">
        <v>1</v>
      </c>
      <c r="K70" s="554">
        <v>17697</v>
      </c>
      <c r="L70" s="1540">
        <v>34</v>
      </c>
      <c r="M70" s="554">
        <f t="shared" si="5"/>
        <v>1.8888888888888888</v>
      </c>
      <c r="N70" s="698" t="s">
        <v>152</v>
      </c>
      <c r="O70" s="1157">
        <v>4.75</v>
      </c>
      <c r="P70" s="556">
        <v>0</v>
      </c>
      <c r="Q70" s="556">
        <f>'расчеты к штатному '!Q71</f>
        <v>78387.878333333341</v>
      </c>
      <c r="R70" s="1538"/>
      <c r="S70" s="700"/>
      <c r="T70" s="554">
        <v>0.1</v>
      </c>
      <c r="U70" s="556">
        <f t="shared" si="6"/>
        <v>7838.7878333333347</v>
      </c>
      <c r="V70" s="699"/>
      <c r="W70" s="700"/>
      <c r="X70" s="559">
        <f t="shared" si="7"/>
        <v>86226.666166666677</v>
      </c>
      <c r="Y70" s="1547"/>
      <c r="Z70" s="1547"/>
      <c r="AA70" s="23"/>
      <c r="AK70" s="23"/>
      <c r="AL70" s="23"/>
      <c r="AM70" s="23"/>
      <c r="AN70" s="23"/>
      <c r="AO70" s="23"/>
      <c r="AP70" s="23"/>
      <c r="AQ70" s="23"/>
    </row>
    <row r="71" spans="1:69" s="24" customFormat="1" ht="17.25" customHeight="1">
      <c r="A71" s="547">
        <v>45</v>
      </c>
      <c r="B71" s="587" t="s">
        <v>450</v>
      </c>
      <c r="C71" s="588" t="s">
        <v>99</v>
      </c>
      <c r="D71" s="589" t="s">
        <v>25</v>
      </c>
      <c r="E71" s="590" t="s">
        <v>802</v>
      </c>
      <c r="F71" s="591" t="s">
        <v>34</v>
      </c>
      <c r="G71" s="547">
        <v>1</v>
      </c>
      <c r="H71" s="589" t="s">
        <v>102</v>
      </c>
      <c r="I71" s="589" t="s">
        <v>103</v>
      </c>
      <c r="J71" s="564">
        <v>1</v>
      </c>
      <c r="K71" s="593">
        <v>17697</v>
      </c>
      <c r="L71" s="594">
        <v>24</v>
      </c>
      <c r="M71" s="554">
        <f t="shared" si="5"/>
        <v>1.3333333333333333</v>
      </c>
      <c r="N71" s="574" t="s">
        <v>152</v>
      </c>
      <c r="O71" s="1588">
        <v>4.75</v>
      </c>
      <c r="P71" s="556">
        <v>0</v>
      </c>
      <c r="Q71" s="556">
        <f>'расчеты к штатному '!Q72</f>
        <v>58375.520833333336</v>
      </c>
      <c r="R71" s="597"/>
      <c r="S71" s="593"/>
      <c r="T71" s="593">
        <v>0.1</v>
      </c>
      <c r="U71" s="556">
        <f t="shared" si="6"/>
        <v>5837.5520833333339</v>
      </c>
      <c r="V71" s="598"/>
      <c r="W71" s="593"/>
      <c r="X71" s="559">
        <f t="shared" si="7"/>
        <v>64213.072916666672</v>
      </c>
      <c r="Y71" s="10">
        <f t="shared" si="8"/>
        <v>0</v>
      </c>
      <c r="Z71" s="10">
        <f t="shared" si="8"/>
        <v>0</v>
      </c>
      <c r="AA71" s="23">
        <f t="shared" si="3"/>
        <v>770556.875</v>
      </c>
      <c r="AB71" s="24">
        <f t="shared" si="9"/>
        <v>122602.52585521083</v>
      </c>
      <c r="AC71" s="24">
        <f t="shared" si="10"/>
        <v>963196.09375</v>
      </c>
      <c r="AD71" s="24">
        <f t="shared" si="11"/>
        <v>153253.15731901352</v>
      </c>
      <c r="AK71" s="23"/>
      <c r="AL71" s="23"/>
      <c r="AM71" s="23"/>
      <c r="AN71" s="23"/>
      <c r="AO71" s="23"/>
      <c r="AP71" s="23"/>
      <c r="AQ71" s="23"/>
    </row>
    <row r="72" spans="1:69" s="24" customFormat="1" ht="17.25" customHeight="1">
      <c r="A72" s="560">
        <v>46</v>
      </c>
      <c r="B72" s="153" t="s">
        <v>193</v>
      </c>
      <c r="C72" s="561" t="s">
        <v>99</v>
      </c>
      <c r="D72" s="563" t="s">
        <v>64</v>
      </c>
      <c r="E72" s="210" t="s">
        <v>716</v>
      </c>
      <c r="F72" s="562" t="s">
        <v>403</v>
      </c>
      <c r="G72" s="547">
        <v>1</v>
      </c>
      <c r="H72" s="563" t="s">
        <v>102</v>
      </c>
      <c r="I72" s="563" t="s">
        <v>118</v>
      </c>
      <c r="J72" s="581">
        <v>3</v>
      </c>
      <c r="K72" s="593">
        <v>17697</v>
      </c>
      <c r="L72" s="594">
        <v>34</v>
      </c>
      <c r="M72" s="554">
        <f t="shared" si="5"/>
        <v>1.8888888888888888</v>
      </c>
      <c r="N72" s="1004" t="s">
        <v>152</v>
      </c>
      <c r="O72" s="1020">
        <v>3.97</v>
      </c>
      <c r="P72" s="556">
        <v>0</v>
      </c>
      <c r="Q72" s="556">
        <f>'расчеты к штатному '!Q74</f>
        <v>68305.504166666666</v>
      </c>
      <c r="R72" s="1006"/>
      <c r="S72" s="887"/>
      <c r="T72" s="887">
        <v>0.1</v>
      </c>
      <c r="U72" s="556">
        <f t="shared" si="6"/>
        <v>6830.5504166666669</v>
      </c>
      <c r="V72" s="1007"/>
      <c r="W72" s="887"/>
      <c r="X72" s="559">
        <f t="shared" si="7"/>
        <v>75136.054583333331</v>
      </c>
      <c r="Y72" s="7">
        <f t="shared" si="8"/>
        <v>0</v>
      </c>
      <c r="Z72" s="7">
        <f t="shared" si="8"/>
        <v>0</v>
      </c>
      <c r="AA72" s="23">
        <f t="shared" si="3"/>
        <v>901632.65500000003</v>
      </c>
      <c r="AB72" s="24">
        <f t="shared" si="9"/>
        <v>143457.86077963404</v>
      </c>
      <c r="AC72" s="24">
        <f t="shared" si="10"/>
        <v>1127040.8187500001</v>
      </c>
      <c r="AD72" s="24">
        <f t="shared" si="11"/>
        <v>179322.32597454259</v>
      </c>
      <c r="AK72" s="23"/>
      <c r="AL72" s="23"/>
      <c r="AM72" s="23"/>
      <c r="AN72" s="23"/>
      <c r="AO72" s="23"/>
      <c r="AP72" s="23"/>
      <c r="AQ72" s="23"/>
    </row>
    <row r="73" spans="1:69" s="24" customFormat="1" ht="15.75">
      <c r="A73" s="547">
        <v>47</v>
      </c>
      <c r="B73" s="153" t="s">
        <v>197</v>
      </c>
      <c r="C73" s="561" t="s">
        <v>99</v>
      </c>
      <c r="D73" s="563" t="s">
        <v>25</v>
      </c>
      <c r="E73" s="210" t="s">
        <v>717</v>
      </c>
      <c r="F73" s="562" t="s">
        <v>34</v>
      </c>
      <c r="G73" s="547">
        <v>1</v>
      </c>
      <c r="H73" s="563" t="s">
        <v>102</v>
      </c>
      <c r="I73" s="563" t="s">
        <v>103</v>
      </c>
      <c r="J73" s="564">
        <v>1</v>
      </c>
      <c r="K73" s="554">
        <v>17697</v>
      </c>
      <c r="L73" s="565">
        <v>32</v>
      </c>
      <c r="M73" s="554">
        <f t="shared" si="5"/>
        <v>1.7777777777777777</v>
      </c>
      <c r="N73" s="1583" t="s">
        <v>109</v>
      </c>
      <c r="O73" s="1157">
        <v>4.75</v>
      </c>
      <c r="P73" s="556">
        <v>0</v>
      </c>
      <c r="Q73" s="556">
        <f>'расчеты к штатному '!Q75</f>
        <v>70050.625</v>
      </c>
      <c r="R73" s="1538"/>
      <c r="S73" s="700"/>
      <c r="T73" s="700">
        <v>0.1</v>
      </c>
      <c r="U73" s="556">
        <f t="shared" si="6"/>
        <v>7005.0625</v>
      </c>
      <c r="V73" s="699"/>
      <c r="W73" s="700"/>
      <c r="X73" s="559">
        <f t="shared" si="7"/>
        <v>77055.6875</v>
      </c>
      <c r="Y73" s="35"/>
      <c r="Z73" s="35"/>
      <c r="AA73" s="23">
        <f t="shared" ref="AA73:AA75" si="12">X73*12</f>
        <v>924668.25</v>
      </c>
      <c r="AB73" s="24">
        <f t="shared" si="9"/>
        <v>147123.03102625298</v>
      </c>
      <c r="AC73" s="24">
        <f t="shared" si="10"/>
        <v>1155835.3125</v>
      </c>
      <c r="AD73" s="24">
        <f t="shared" si="11"/>
        <v>183903.78878281623</v>
      </c>
      <c r="AK73" s="23"/>
      <c r="AL73" s="23"/>
      <c r="AM73" s="23"/>
      <c r="AN73" s="23"/>
      <c r="AO73" s="23"/>
      <c r="AP73" s="23"/>
      <c r="AQ73" s="23"/>
    </row>
    <row r="74" spans="1:69" s="24" customFormat="1" ht="15.75">
      <c r="A74" s="560">
        <v>48</v>
      </c>
      <c r="B74" s="1008" t="s">
        <v>199</v>
      </c>
      <c r="C74" s="1009" t="s">
        <v>99</v>
      </c>
      <c r="D74" s="563" t="s">
        <v>64</v>
      </c>
      <c r="E74" s="210" t="s">
        <v>721</v>
      </c>
      <c r="F74" s="562" t="s">
        <v>722</v>
      </c>
      <c r="G74" s="547">
        <v>1</v>
      </c>
      <c r="H74" s="563" t="s">
        <v>102</v>
      </c>
      <c r="I74" s="563" t="s">
        <v>118</v>
      </c>
      <c r="J74" s="581">
        <v>4</v>
      </c>
      <c r="K74" s="554">
        <v>17697</v>
      </c>
      <c r="L74" s="565">
        <v>21</v>
      </c>
      <c r="M74" s="554">
        <f t="shared" si="5"/>
        <v>1.1666666666666667</v>
      </c>
      <c r="N74" s="1004" t="s">
        <v>152</v>
      </c>
      <c r="O74" s="1157">
        <v>3.41</v>
      </c>
      <c r="P74" s="556">
        <v>0</v>
      </c>
      <c r="Q74" s="556">
        <f>'расчеты к штатному '!Q76</f>
        <v>50303.722500000003</v>
      </c>
      <c r="R74" s="1538"/>
      <c r="S74" s="700"/>
      <c r="T74" s="700">
        <v>0.1</v>
      </c>
      <c r="U74" s="556">
        <f t="shared" si="6"/>
        <v>5030.3722500000003</v>
      </c>
      <c r="V74" s="699"/>
      <c r="W74" s="700"/>
      <c r="X74" s="559">
        <f t="shared" si="7"/>
        <v>55334.094750000004</v>
      </c>
      <c r="Y74" s="34">
        <f t="shared" ref="Y74:Z74" si="13">V74+R74</f>
        <v>0</v>
      </c>
      <c r="Z74" s="34">
        <f t="shared" si="13"/>
        <v>0</v>
      </c>
      <c r="AA74" s="23">
        <f t="shared" si="12"/>
        <v>664009.1370000001</v>
      </c>
      <c r="AB74" s="24">
        <f t="shared" si="9"/>
        <v>105649.82291169453</v>
      </c>
      <c r="AC74" s="24">
        <f t="shared" si="10"/>
        <v>830011.42125000013</v>
      </c>
      <c r="AD74" s="24">
        <f t="shared" si="11"/>
        <v>132062.27863961819</v>
      </c>
      <c r="AK74" s="23"/>
      <c r="AL74" s="23"/>
      <c r="AM74" s="23"/>
      <c r="AN74" s="23"/>
      <c r="AO74" s="23"/>
      <c r="AP74" s="23"/>
      <c r="AQ74" s="23"/>
    </row>
    <row r="75" spans="1:69" s="24" customFormat="1" ht="17.25" customHeight="1">
      <c r="A75" s="547">
        <v>49</v>
      </c>
      <c r="B75" s="1008" t="s">
        <v>812</v>
      </c>
      <c r="C75" s="1009" t="s">
        <v>99</v>
      </c>
      <c r="D75" s="1002" t="s">
        <v>25</v>
      </c>
      <c r="E75" s="1589" t="s">
        <v>813</v>
      </c>
      <c r="F75" s="1539" t="s">
        <v>34</v>
      </c>
      <c r="G75" s="874">
        <v>1</v>
      </c>
      <c r="H75" s="1002" t="s">
        <v>102</v>
      </c>
      <c r="I75" s="1002" t="s">
        <v>103</v>
      </c>
      <c r="J75" s="1590">
        <v>2</v>
      </c>
      <c r="K75" s="888">
        <v>17697</v>
      </c>
      <c r="L75" s="1010">
        <v>14</v>
      </c>
      <c r="M75" s="554">
        <f t="shared" si="5"/>
        <v>0.77777777777777779</v>
      </c>
      <c r="N75" s="698" t="s">
        <v>104</v>
      </c>
      <c r="O75" s="1021">
        <v>4.51</v>
      </c>
      <c r="P75" s="556">
        <v>0</v>
      </c>
      <c r="Q75" s="556">
        <f>'расчеты к штатному '!Q80</f>
        <v>39906.735000000001</v>
      </c>
      <c r="R75" s="1011"/>
      <c r="S75" s="888"/>
      <c r="T75" s="605">
        <v>0.1</v>
      </c>
      <c r="U75" s="556">
        <f t="shared" si="6"/>
        <v>3990.6735000000003</v>
      </c>
      <c r="V75" s="1012"/>
      <c r="W75" s="888"/>
      <c r="X75" s="559">
        <f>P75+Q75+U75</f>
        <v>43897.408499999998</v>
      </c>
      <c r="Y75" s="885"/>
      <c r="Z75" s="885"/>
      <c r="AA75" s="23">
        <f t="shared" si="12"/>
        <v>526768.902</v>
      </c>
      <c r="AB75" s="24">
        <f t="shared" si="9"/>
        <v>83813.66778042959</v>
      </c>
      <c r="AC75" s="24">
        <f t="shared" si="10"/>
        <v>658461.12749999994</v>
      </c>
      <c r="AD75" s="24">
        <f t="shared" si="11"/>
        <v>104767.08472553699</v>
      </c>
      <c r="AK75" s="23"/>
      <c r="AL75" s="23"/>
      <c r="AM75" s="23"/>
      <c r="AN75" s="23"/>
      <c r="AO75" s="23"/>
      <c r="AP75" s="23"/>
      <c r="AQ75" s="23"/>
    </row>
    <row r="76" spans="1:69" s="24" customFormat="1" ht="17.25" customHeight="1" thickBot="1">
      <c r="A76" s="560">
        <v>50</v>
      </c>
      <c r="B76" s="1008" t="s">
        <v>202</v>
      </c>
      <c r="C76" s="1009" t="s">
        <v>99</v>
      </c>
      <c r="D76" s="1592" t="s">
        <v>75</v>
      </c>
      <c r="E76" s="1694" t="s">
        <v>720</v>
      </c>
      <c r="F76" s="1586" t="s">
        <v>66</v>
      </c>
      <c r="G76" s="1695">
        <v>1</v>
      </c>
      <c r="H76" s="1592" t="s">
        <v>102</v>
      </c>
      <c r="I76" s="1592" t="s">
        <v>103</v>
      </c>
      <c r="J76" s="1696">
        <v>2</v>
      </c>
      <c r="K76" s="888">
        <v>17697</v>
      </c>
      <c r="L76" s="1010">
        <v>31</v>
      </c>
      <c r="M76" s="554">
        <f t="shared" si="5"/>
        <v>1.7222222222222223</v>
      </c>
      <c r="N76" s="1594" t="s">
        <v>104</v>
      </c>
      <c r="O76" s="1021">
        <v>4.37</v>
      </c>
      <c r="P76" s="556">
        <v>0</v>
      </c>
      <c r="Q76" s="556">
        <f>'расчеты к штатному '!Q81</f>
        <v>73039.451666666675</v>
      </c>
      <c r="R76" s="1011"/>
      <c r="S76" s="888"/>
      <c r="T76" s="888">
        <v>0.1</v>
      </c>
      <c r="U76" s="1013">
        <f t="shared" si="6"/>
        <v>7303.9451666666682</v>
      </c>
      <c r="V76" s="1012"/>
      <c r="W76" s="888"/>
      <c r="X76" s="1697">
        <f>P76+Q76+U76</f>
        <v>80343.396833333347</v>
      </c>
      <c r="Y76" s="885"/>
      <c r="Z76" s="885"/>
      <c r="AA76" s="23"/>
      <c r="AK76" s="23"/>
      <c r="AL76" s="23"/>
      <c r="AM76" s="23"/>
      <c r="AN76" s="23"/>
      <c r="AO76" s="23"/>
      <c r="AP76" s="23"/>
      <c r="AQ76" s="23"/>
    </row>
    <row r="77" spans="1:69" s="377" customFormat="1" ht="17.25" customHeight="1" thickBot="1">
      <c r="A77" s="1916"/>
      <c r="B77" s="1930" t="s">
        <v>798</v>
      </c>
      <c r="C77" s="1917"/>
      <c r="D77" s="1918"/>
      <c r="E77" s="1919"/>
      <c r="F77" s="1920"/>
      <c r="G77" s="1921"/>
      <c r="H77" s="1918"/>
      <c r="I77" s="1918"/>
      <c r="J77" s="1922"/>
      <c r="K77" s="1923"/>
      <c r="L77" s="1924">
        <f>SUM(L27:L76)</f>
        <v>1099</v>
      </c>
      <c r="M77" s="1923"/>
      <c r="N77" s="1925"/>
      <c r="O77" s="1925"/>
      <c r="P77" s="1926"/>
      <c r="Q77" s="1926"/>
      <c r="R77" s="1927"/>
      <c r="S77" s="1923"/>
      <c r="T77" s="1923"/>
      <c r="U77" s="1926"/>
      <c r="V77" s="1928"/>
      <c r="W77" s="1923"/>
      <c r="X77" s="1929"/>
      <c r="Y77" s="1576"/>
      <c r="Z77" s="437"/>
      <c r="AA77" s="375">
        <f>X77*12</f>
        <v>0</v>
      </c>
      <c r="AB77" s="377">
        <f>AA77/12/29.33*56</f>
        <v>0</v>
      </c>
      <c r="AC77" s="377">
        <f>AA77*1.25</f>
        <v>0</v>
      </c>
      <c r="AD77" s="377">
        <f>AC77/12/29.33*56</f>
        <v>0</v>
      </c>
      <c r="AK77" s="23"/>
      <c r="AL77" s="23"/>
      <c r="AM77" s="23"/>
      <c r="AN77" s="23"/>
      <c r="AO77" s="23"/>
      <c r="AP77" s="23"/>
      <c r="AQ77" s="23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</row>
    <row r="78" spans="1:69" s="377" customFormat="1" ht="17.25" customHeight="1">
      <c r="A78" s="1674"/>
      <c r="B78" s="1675" t="s">
        <v>789</v>
      </c>
      <c r="C78" s="1676"/>
      <c r="D78" s="1677"/>
      <c r="E78" s="1678"/>
      <c r="F78" s="1678"/>
      <c r="G78" s="1679"/>
      <c r="H78" s="1677"/>
      <c r="I78" s="1677"/>
      <c r="J78" s="1680"/>
      <c r="K78" s="1681"/>
      <c r="L78" s="1682"/>
      <c r="M78" s="1681"/>
      <c r="N78" s="1683"/>
      <c r="O78" s="1683"/>
      <c r="P78" s="1684"/>
      <c r="Q78" s="1684"/>
      <c r="R78" s="1685"/>
      <c r="S78" s="1681"/>
      <c r="T78" s="1681"/>
      <c r="U78" s="1684"/>
      <c r="V78" s="1686"/>
      <c r="W78" s="1681"/>
      <c r="X78" s="1687"/>
      <c r="Y78" s="1576"/>
      <c r="Z78" s="1544"/>
      <c r="AA78" s="375"/>
      <c r="AK78" s="23"/>
      <c r="AL78" s="23"/>
      <c r="AM78" s="23"/>
      <c r="AN78" s="23"/>
      <c r="AO78" s="23"/>
      <c r="AP78" s="23"/>
      <c r="AQ78" s="23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</row>
    <row r="79" spans="1:69" s="24" customFormat="1" ht="17.25" customHeight="1">
      <c r="A79" s="547">
        <v>1</v>
      </c>
      <c r="B79" s="548" t="s">
        <v>215</v>
      </c>
      <c r="C79" s="549" t="s">
        <v>99</v>
      </c>
      <c r="D79" s="577" t="s">
        <v>25</v>
      </c>
      <c r="E79" s="583" t="s">
        <v>653</v>
      </c>
      <c r="F79" s="583" t="s">
        <v>217</v>
      </c>
      <c r="G79" s="1668">
        <v>1</v>
      </c>
      <c r="H79" s="1669" t="s">
        <v>102</v>
      </c>
      <c r="I79" s="1669" t="s">
        <v>103</v>
      </c>
      <c r="J79" s="1670">
        <v>1</v>
      </c>
      <c r="K79" s="552">
        <v>17697</v>
      </c>
      <c r="L79" s="1671">
        <v>20</v>
      </c>
      <c r="M79" s="552">
        <f>L79/18</f>
        <v>1.1111111111111112</v>
      </c>
      <c r="N79" s="1670" t="s">
        <v>152</v>
      </c>
      <c r="O79" s="1672">
        <v>4.6900000000000004</v>
      </c>
      <c r="P79" s="556">
        <v>0</v>
      </c>
      <c r="Q79" s="556">
        <f>'расчеты к штатному '!Q84</f>
        <v>46110.51666666667</v>
      </c>
      <c r="R79" s="557"/>
      <c r="S79" s="552"/>
      <c r="T79" s="552">
        <v>0.1</v>
      </c>
      <c r="U79" s="556">
        <f>(P79+Q79)*T79</f>
        <v>4611.0516666666672</v>
      </c>
      <c r="V79" s="1673"/>
      <c r="W79" s="552"/>
      <c r="X79" s="559">
        <f>P79+Q79+U79</f>
        <v>50721.568333333336</v>
      </c>
      <c r="Y79" s="10"/>
      <c r="Z79" s="10"/>
      <c r="AA79" s="23" t="e">
        <f>#REF!*12</f>
        <v>#REF!</v>
      </c>
      <c r="AB79" s="24" t="e">
        <f t="shared" si="9"/>
        <v>#REF!</v>
      </c>
      <c r="AC79" s="24" t="e">
        <f t="shared" si="10"/>
        <v>#REF!</v>
      </c>
      <c r="AD79" s="24" t="e">
        <f t="shared" si="11"/>
        <v>#REF!</v>
      </c>
      <c r="AK79" s="906"/>
      <c r="AL79" s="23"/>
      <c r="AM79" s="23"/>
      <c r="AN79" s="23"/>
      <c r="AO79" s="23"/>
      <c r="AP79" s="23"/>
      <c r="AQ79" s="23"/>
    </row>
    <row r="80" spans="1:69" s="24" customFormat="1" ht="18" customHeight="1">
      <c r="A80" s="560">
        <v>2</v>
      </c>
      <c r="B80" s="153" t="s">
        <v>222</v>
      </c>
      <c r="C80" s="561" t="s">
        <v>148</v>
      </c>
      <c r="D80" s="563" t="s">
        <v>25</v>
      </c>
      <c r="E80" s="562" t="s">
        <v>654</v>
      </c>
      <c r="F80" s="562" t="s">
        <v>224</v>
      </c>
      <c r="G80" s="571">
        <v>1</v>
      </c>
      <c r="H80" s="580" t="s">
        <v>102</v>
      </c>
      <c r="I80" s="580" t="s">
        <v>103</v>
      </c>
      <c r="J80" s="574">
        <v>2</v>
      </c>
      <c r="K80" s="554">
        <v>17697</v>
      </c>
      <c r="L80" s="1643">
        <v>31</v>
      </c>
      <c r="M80" s="552">
        <f t="shared" ref="M80:M99" si="14">L80/18</f>
        <v>1.7222222222222223</v>
      </c>
      <c r="N80" s="566" t="s">
        <v>104</v>
      </c>
      <c r="O80" s="1015">
        <v>4.16</v>
      </c>
      <c r="P80" s="567">
        <v>0</v>
      </c>
      <c r="Q80" s="556">
        <f>'расчеты к штатному '!Q85</f>
        <v>69529.546666666662</v>
      </c>
      <c r="R80" s="568"/>
      <c r="S80" s="554"/>
      <c r="T80" s="552">
        <v>0.1</v>
      </c>
      <c r="U80" s="567">
        <f t="shared" ref="U80:U99" si="15">(P80+Q80)*T80</f>
        <v>6952.9546666666665</v>
      </c>
      <c r="V80" s="19"/>
      <c r="W80" s="554"/>
      <c r="X80" s="559">
        <f t="shared" ref="X80:X99" si="16">P80+Q80+U80</f>
        <v>76482.501333333334</v>
      </c>
      <c r="Y80" s="10">
        <f t="shared" ref="Y80:Z82" si="17">V79+R79</f>
        <v>0</v>
      </c>
      <c r="Z80" s="10">
        <f t="shared" si="17"/>
        <v>0</v>
      </c>
      <c r="AA80" s="23">
        <f>X79*12</f>
        <v>608658.82000000007</v>
      </c>
      <c r="AB80" s="24">
        <f t="shared" si="9"/>
        <v>96843.089896579171</v>
      </c>
      <c r="AC80" s="24">
        <f t="shared" si="10"/>
        <v>760823.52500000014</v>
      </c>
      <c r="AD80" s="24">
        <f t="shared" si="11"/>
        <v>121053.86237072397</v>
      </c>
      <c r="AK80" s="23"/>
      <c r="AL80" s="23"/>
      <c r="AM80" s="23"/>
      <c r="AN80" s="23"/>
      <c r="AO80" s="23"/>
      <c r="AP80" s="23"/>
      <c r="AQ80" s="23"/>
    </row>
    <row r="81" spans="1:43" s="24" customFormat="1" ht="16.5" customHeight="1">
      <c r="A81" s="547">
        <v>3</v>
      </c>
      <c r="B81" s="153" t="s">
        <v>124</v>
      </c>
      <c r="C81" s="561" t="s">
        <v>125</v>
      </c>
      <c r="D81" s="560" t="s">
        <v>75</v>
      </c>
      <c r="E81" s="582" t="s">
        <v>590</v>
      </c>
      <c r="F81" s="562" t="s">
        <v>108</v>
      </c>
      <c r="G81" s="571">
        <v>1</v>
      </c>
      <c r="H81" s="563" t="s">
        <v>102</v>
      </c>
      <c r="I81" s="563" t="s">
        <v>118</v>
      </c>
      <c r="J81" s="581">
        <v>3</v>
      </c>
      <c r="K81" s="554">
        <v>17697</v>
      </c>
      <c r="L81" s="1014">
        <v>11</v>
      </c>
      <c r="M81" s="552">
        <f t="shared" si="14"/>
        <v>0.61111111111111116</v>
      </c>
      <c r="N81" s="574" t="s">
        <v>109</v>
      </c>
      <c r="O81" s="1014">
        <v>3.85</v>
      </c>
      <c r="P81" s="567">
        <v>0</v>
      </c>
      <c r="Q81" s="556">
        <f>'расчеты к штатному '!Q86</f>
        <v>20818.554166666665</v>
      </c>
      <c r="R81" s="568"/>
      <c r="S81" s="554"/>
      <c r="T81" s="552">
        <v>0.1</v>
      </c>
      <c r="U81" s="567">
        <f t="shared" si="15"/>
        <v>2081.8554166666668</v>
      </c>
      <c r="V81" s="19"/>
      <c r="W81" s="554"/>
      <c r="X81" s="559">
        <f t="shared" si="16"/>
        <v>22900.40958333333</v>
      </c>
      <c r="Y81" s="10">
        <f t="shared" si="17"/>
        <v>0</v>
      </c>
      <c r="Z81" s="10">
        <f t="shared" si="17"/>
        <v>0</v>
      </c>
      <c r="AA81" s="23">
        <f>X80*12</f>
        <v>917790.01600000006</v>
      </c>
      <c r="AB81" s="24">
        <f t="shared" si="9"/>
        <v>146028.64216388226</v>
      </c>
      <c r="AC81" s="24">
        <f t="shared" si="10"/>
        <v>1147237.52</v>
      </c>
      <c r="AD81" s="24">
        <f t="shared" si="11"/>
        <v>182535.80270485283</v>
      </c>
      <c r="AK81" s="23"/>
      <c r="AL81" s="23"/>
      <c r="AM81" s="23"/>
      <c r="AN81" s="23"/>
      <c r="AO81" s="23"/>
      <c r="AP81" s="23"/>
      <c r="AQ81" s="23"/>
    </row>
    <row r="82" spans="1:43" s="24" customFormat="1" ht="17.25" customHeight="1">
      <c r="A82" s="560">
        <v>4</v>
      </c>
      <c r="B82" s="153" t="s">
        <v>618</v>
      </c>
      <c r="C82" s="561" t="s">
        <v>99</v>
      </c>
      <c r="D82" s="560" t="s">
        <v>25</v>
      </c>
      <c r="E82" s="550" t="s">
        <v>794</v>
      </c>
      <c r="F82" s="562" t="s">
        <v>795</v>
      </c>
      <c r="G82" s="571">
        <v>1</v>
      </c>
      <c r="H82" s="580" t="s">
        <v>102</v>
      </c>
      <c r="I82" s="580" t="s">
        <v>103</v>
      </c>
      <c r="J82" s="574">
        <v>3</v>
      </c>
      <c r="K82" s="554">
        <v>17697</v>
      </c>
      <c r="L82" s="1014">
        <v>27</v>
      </c>
      <c r="M82" s="552">
        <f t="shared" si="14"/>
        <v>1.5</v>
      </c>
      <c r="N82" s="698" t="s">
        <v>109</v>
      </c>
      <c r="O82" s="1157">
        <v>4.3600000000000003</v>
      </c>
      <c r="P82" s="567">
        <v>0</v>
      </c>
      <c r="Q82" s="556">
        <f>'расчеты к штатному '!Q87</f>
        <v>66594.794166666674</v>
      </c>
      <c r="R82" s="1538"/>
      <c r="S82" s="700"/>
      <c r="T82" s="552">
        <v>0.1</v>
      </c>
      <c r="U82" s="567">
        <f t="shared" si="15"/>
        <v>6659.4794166666679</v>
      </c>
      <c r="V82" s="19"/>
      <c r="W82" s="554"/>
      <c r="X82" s="559">
        <f t="shared" si="16"/>
        <v>73254.273583333343</v>
      </c>
      <c r="Y82" s="10">
        <f t="shared" si="17"/>
        <v>0</v>
      </c>
      <c r="Z82" s="10">
        <f t="shared" si="17"/>
        <v>0</v>
      </c>
      <c r="AA82" s="23">
        <f>X81*12</f>
        <v>274804.91499999998</v>
      </c>
      <c r="AB82" s="24">
        <f t="shared" si="9"/>
        <v>43723.93237867939</v>
      </c>
      <c r="AC82" s="24">
        <f t="shared" si="10"/>
        <v>343506.14374999999</v>
      </c>
      <c r="AD82" s="24">
        <f t="shared" si="11"/>
        <v>54654.915473349247</v>
      </c>
      <c r="AK82" s="23"/>
      <c r="AL82" s="23"/>
      <c r="AM82" s="23"/>
      <c r="AN82" s="23"/>
      <c r="AO82" s="23"/>
      <c r="AP82" s="23"/>
      <c r="AQ82" s="23"/>
    </row>
    <row r="83" spans="1:43" s="24" customFormat="1" ht="17.25" customHeight="1">
      <c r="A83" s="547">
        <v>5</v>
      </c>
      <c r="B83" s="153" t="s">
        <v>127</v>
      </c>
      <c r="C83" s="561" t="s">
        <v>99</v>
      </c>
      <c r="D83" s="560" t="s">
        <v>25</v>
      </c>
      <c r="E83" s="562" t="s">
        <v>661</v>
      </c>
      <c r="F83" s="562" t="s">
        <v>34</v>
      </c>
      <c r="G83" s="571">
        <v>1</v>
      </c>
      <c r="H83" s="563" t="s">
        <v>102</v>
      </c>
      <c r="I83" s="563" t="s">
        <v>103</v>
      </c>
      <c r="J83" s="564">
        <v>1</v>
      </c>
      <c r="K83" s="554">
        <v>17697</v>
      </c>
      <c r="L83" s="1014">
        <v>4</v>
      </c>
      <c r="M83" s="552">
        <f t="shared" si="14"/>
        <v>0.22222222222222221</v>
      </c>
      <c r="N83" s="574" t="s">
        <v>152</v>
      </c>
      <c r="O83" s="1014">
        <v>4.75</v>
      </c>
      <c r="P83" s="567">
        <v>0</v>
      </c>
      <c r="Q83" s="556">
        <f>'расчеты к штатному '!Q88</f>
        <v>9340.0833333333339</v>
      </c>
      <c r="R83" s="568"/>
      <c r="S83" s="554"/>
      <c r="T83" s="552">
        <v>0.1</v>
      </c>
      <c r="U83" s="567">
        <f t="shared" si="15"/>
        <v>934.00833333333344</v>
      </c>
      <c r="V83" s="19"/>
      <c r="W83" s="554"/>
      <c r="X83" s="559">
        <f t="shared" si="16"/>
        <v>10274.091666666667</v>
      </c>
      <c r="Y83" s="1547"/>
      <c r="Z83" s="1547"/>
      <c r="AA83" s="23"/>
      <c r="AK83" s="23"/>
      <c r="AL83" s="23"/>
      <c r="AM83" s="23"/>
      <c r="AN83" s="23"/>
      <c r="AO83" s="23"/>
      <c r="AP83" s="23"/>
      <c r="AQ83" s="23"/>
    </row>
    <row r="84" spans="1:43" s="24" customFormat="1" ht="17.25" customHeight="1">
      <c r="A84" s="560">
        <v>6</v>
      </c>
      <c r="B84" s="998" t="s">
        <v>791</v>
      </c>
      <c r="C84" s="873" t="s">
        <v>99</v>
      </c>
      <c r="D84" s="874" t="s">
        <v>75</v>
      </c>
      <c r="E84" s="583" t="s">
        <v>796</v>
      </c>
      <c r="F84" s="1539" t="s">
        <v>797</v>
      </c>
      <c r="G84" s="571">
        <v>1</v>
      </c>
      <c r="H84" s="580" t="s">
        <v>102</v>
      </c>
      <c r="I84" s="580" t="s">
        <v>118</v>
      </c>
      <c r="J84" s="574">
        <v>3</v>
      </c>
      <c r="K84" s="554">
        <v>17697</v>
      </c>
      <c r="L84" s="1157">
        <v>21</v>
      </c>
      <c r="M84" s="552">
        <f t="shared" si="14"/>
        <v>1.1666666666666667</v>
      </c>
      <c r="N84" s="698" t="s">
        <v>109</v>
      </c>
      <c r="O84" s="1157">
        <v>3.97</v>
      </c>
      <c r="P84" s="567">
        <v>0</v>
      </c>
      <c r="Q84" s="556">
        <f>'расчеты к штатному '!Q89</f>
        <v>43691.926666666674</v>
      </c>
      <c r="R84" s="1538"/>
      <c r="S84" s="700"/>
      <c r="T84" s="552">
        <v>0.1</v>
      </c>
      <c r="U84" s="567">
        <f t="shared" si="15"/>
        <v>4369.1926666666677</v>
      </c>
      <c r="V84" s="1541"/>
      <c r="W84" s="700"/>
      <c r="X84" s="559">
        <f t="shared" si="16"/>
        <v>48061.119333333343</v>
      </c>
      <c r="Y84" s="10">
        <f>V83+R83</f>
        <v>0</v>
      </c>
      <c r="Z84" s="10">
        <f>W83+S83</f>
        <v>0</v>
      </c>
      <c r="AA84" s="23">
        <f>X83*12</f>
        <v>123289.1</v>
      </c>
      <c r="AB84" s="24">
        <f>AA84/12/29.33*56</f>
        <v>19616.404136833735</v>
      </c>
      <c r="AC84" s="24">
        <f>AA84*1.25</f>
        <v>154111.375</v>
      </c>
      <c r="AD84" s="24">
        <f>AC84/12/29.33*56</f>
        <v>24520.505171042169</v>
      </c>
      <c r="AK84" s="23"/>
      <c r="AL84" s="23"/>
      <c r="AM84" s="23"/>
      <c r="AN84" s="23"/>
      <c r="AO84" s="23"/>
      <c r="AP84" s="23"/>
      <c r="AQ84" s="23"/>
    </row>
    <row r="85" spans="1:43" s="24" customFormat="1" ht="17.25" customHeight="1">
      <c r="A85" s="547">
        <v>7</v>
      </c>
      <c r="B85" s="153" t="s">
        <v>227</v>
      </c>
      <c r="C85" s="561" t="s">
        <v>99</v>
      </c>
      <c r="D85" s="560" t="s">
        <v>25</v>
      </c>
      <c r="E85" s="562" t="s">
        <v>741</v>
      </c>
      <c r="F85" s="562" t="s">
        <v>669</v>
      </c>
      <c r="G85" s="571">
        <v>1</v>
      </c>
      <c r="H85" s="580" t="s">
        <v>102</v>
      </c>
      <c r="I85" s="580" t="s">
        <v>103</v>
      </c>
      <c r="J85" s="574">
        <v>2</v>
      </c>
      <c r="K85" s="554">
        <v>17697</v>
      </c>
      <c r="L85" s="1643">
        <v>20</v>
      </c>
      <c r="M85" s="552">
        <f t="shared" si="14"/>
        <v>1.1111111111111112</v>
      </c>
      <c r="N85" s="566" t="s">
        <v>104</v>
      </c>
      <c r="O85" s="1015">
        <v>4.09</v>
      </c>
      <c r="P85" s="567">
        <v>0</v>
      </c>
      <c r="Q85" s="556">
        <f>'расчеты к штатному '!Q90</f>
        <v>34179.789166666669</v>
      </c>
      <c r="R85" s="568"/>
      <c r="S85" s="554"/>
      <c r="T85" s="552">
        <v>0.1</v>
      </c>
      <c r="U85" s="567">
        <f t="shared" si="15"/>
        <v>3417.9789166666669</v>
      </c>
      <c r="V85" s="19"/>
      <c r="W85" s="554"/>
      <c r="X85" s="559">
        <f t="shared" si="16"/>
        <v>37597.768083333336</v>
      </c>
      <c r="Y85" s="1547"/>
      <c r="Z85" s="1547"/>
      <c r="AA85" s="23"/>
      <c r="AK85" s="23"/>
      <c r="AL85" s="23"/>
      <c r="AM85" s="23"/>
      <c r="AN85" s="23"/>
      <c r="AO85" s="23"/>
      <c r="AP85" s="23"/>
      <c r="AQ85" s="23"/>
    </row>
    <row r="86" spans="1:43" s="24" customFormat="1" ht="17.25" customHeight="1">
      <c r="A86" s="560">
        <v>8</v>
      </c>
      <c r="B86" s="153" t="s">
        <v>230</v>
      </c>
      <c r="C86" s="561" t="s">
        <v>99</v>
      </c>
      <c r="D86" s="560" t="s">
        <v>25</v>
      </c>
      <c r="E86" s="582" t="s">
        <v>736</v>
      </c>
      <c r="F86" s="562" t="s">
        <v>217</v>
      </c>
      <c r="G86" s="571">
        <v>1</v>
      </c>
      <c r="H86" s="580" t="s">
        <v>232</v>
      </c>
      <c r="I86" s="580" t="s">
        <v>233</v>
      </c>
      <c r="J86" s="574">
        <v>1</v>
      </c>
      <c r="K86" s="554">
        <v>17697</v>
      </c>
      <c r="L86" s="1643">
        <v>36</v>
      </c>
      <c r="M86" s="552">
        <f t="shared" si="14"/>
        <v>2</v>
      </c>
      <c r="N86" s="574" t="s">
        <v>152</v>
      </c>
      <c r="O86" s="1014">
        <v>4.75</v>
      </c>
      <c r="P86" s="567">
        <v>0</v>
      </c>
      <c r="Q86" s="556">
        <f>'расчеты к штатному '!Q91</f>
        <v>84060.75</v>
      </c>
      <c r="R86" s="568"/>
      <c r="S86" s="554"/>
      <c r="T86" s="552">
        <v>0.1</v>
      </c>
      <c r="U86" s="567">
        <f t="shared" si="15"/>
        <v>8406.0750000000007</v>
      </c>
      <c r="V86" s="19"/>
      <c r="W86" s="554"/>
      <c r="X86" s="559">
        <f t="shared" si="16"/>
        <v>92466.824999999997</v>
      </c>
      <c r="Y86" s="10">
        <f>V85+R85</f>
        <v>0</v>
      </c>
      <c r="Z86" s="10">
        <f>W85+S85</f>
        <v>0</v>
      </c>
      <c r="AA86" s="23">
        <f>X85*12</f>
        <v>451173.21700000006</v>
      </c>
      <c r="AB86" s="24">
        <f>AA86/12/29.33*56</f>
        <v>71785.714717581548</v>
      </c>
      <c r="AC86" s="24">
        <f>AA86*1.25</f>
        <v>563966.52125000011</v>
      </c>
      <c r="AD86" s="24">
        <f>AC86/12/29.33*56</f>
        <v>89732.143396976942</v>
      </c>
      <c r="AK86" s="23"/>
      <c r="AL86" s="23"/>
      <c r="AM86" s="23"/>
      <c r="AN86" s="23"/>
      <c r="AO86" s="23"/>
      <c r="AP86" s="23"/>
      <c r="AQ86" s="23"/>
    </row>
    <row r="87" spans="1:43" s="24" customFormat="1" ht="17.25" customHeight="1">
      <c r="A87" s="547">
        <v>9</v>
      </c>
      <c r="B87" s="153" t="s">
        <v>360</v>
      </c>
      <c r="C87" s="561" t="s">
        <v>99</v>
      </c>
      <c r="D87" s="563" t="s">
        <v>25</v>
      </c>
      <c r="E87" s="562" t="s">
        <v>683</v>
      </c>
      <c r="F87" s="562" t="s">
        <v>362</v>
      </c>
      <c r="G87" s="571">
        <v>1</v>
      </c>
      <c r="H87" s="580" t="s">
        <v>102</v>
      </c>
      <c r="I87" s="580" t="s">
        <v>103</v>
      </c>
      <c r="J87" s="574">
        <v>1</v>
      </c>
      <c r="K87" s="554">
        <v>17697</v>
      </c>
      <c r="L87" s="1643">
        <v>24</v>
      </c>
      <c r="M87" s="552">
        <f t="shared" si="14"/>
        <v>1.3333333333333333</v>
      </c>
      <c r="N87" s="566" t="s">
        <v>152</v>
      </c>
      <c r="O87" s="1015">
        <v>4.55</v>
      </c>
      <c r="P87" s="567">
        <v>0</v>
      </c>
      <c r="Q87" s="556">
        <f>'расчеты к штатному '!Q92</f>
        <v>53680.899999999994</v>
      </c>
      <c r="R87" s="568"/>
      <c r="S87" s="554"/>
      <c r="T87" s="552">
        <v>0.1</v>
      </c>
      <c r="U87" s="567">
        <f t="shared" si="15"/>
        <v>5368.09</v>
      </c>
      <c r="V87" s="19"/>
      <c r="W87" s="554"/>
      <c r="X87" s="559">
        <f t="shared" si="16"/>
        <v>59048.989999999991</v>
      </c>
      <c r="Y87" s="10">
        <f>V86+R86</f>
        <v>0</v>
      </c>
      <c r="Z87" s="10">
        <f>W86+S86</f>
        <v>0</v>
      </c>
      <c r="AA87" s="23">
        <f>X86*12</f>
        <v>1109601.8999999999</v>
      </c>
      <c r="AB87" s="24">
        <f>AA87/12/29.33*56</f>
        <v>176547.63723150358</v>
      </c>
      <c r="AC87" s="24">
        <f>AA87*1.25</f>
        <v>1387002.375</v>
      </c>
      <c r="AD87" s="24">
        <f>AC87/12/29.33*56</f>
        <v>220684.54653937949</v>
      </c>
      <c r="AK87" s="23"/>
      <c r="AL87" s="23"/>
      <c r="AM87" s="23"/>
      <c r="AN87" s="23"/>
      <c r="AO87" s="23"/>
      <c r="AP87" s="23"/>
      <c r="AQ87" s="23"/>
    </row>
    <row r="88" spans="1:43" s="24" customFormat="1" ht="15.75">
      <c r="A88" s="560">
        <v>10</v>
      </c>
      <c r="B88" s="153" t="s">
        <v>743</v>
      </c>
      <c r="C88" s="561" t="s">
        <v>744</v>
      </c>
      <c r="D88" s="628" t="s">
        <v>25</v>
      </c>
      <c r="E88" s="586" t="s">
        <v>745</v>
      </c>
      <c r="F88" s="562" t="s">
        <v>403</v>
      </c>
      <c r="G88" s="571">
        <v>1</v>
      </c>
      <c r="H88" s="563" t="s">
        <v>102</v>
      </c>
      <c r="I88" s="563" t="s">
        <v>103</v>
      </c>
      <c r="J88" s="629">
        <v>3</v>
      </c>
      <c r="K88" s="554">
        <v>17697</v>
      </c>
      <c r="L88" s="1643">
        <v>24</v>
      </c>
      <c r="M88" s="552">
        <f t="shared" si="14"/>
        <v>1.3333333333333333</v>
      </c>
      <c r="N88" s="574" t="s">
        <v>109</v>
      </c>
      <c r="O88" s="1015">
        <v>4.1399999999999997</v>
      </c>
      <c r="P88" s="567">
        <v>0</v>
      </c>
      <c r="Q88" s="556">
        <f>'расчеты к штатному '!Q93</f>
        <v>48843.719999999994</v>
      </c>
      <c r="R88" s="568"/>
      <c r="S88" s="554"/>
      <c r="T88" s="552">
        <v>0.1</v>
      </c>
      <c r="U88" s="567">
        <f t="shared" si="15"/>
        <v>4884.3719999999994</v>
      </c>
      <c r="V88" s="19"/>
      <c r="W88" s="554"/>
      <c r="X88" s="559">
        <f t="shared" si="16"/>
        <v>53728.09199999999</v>
      </c>
      <c r="Y88" s="10"/>
      <c r="Z88" s="10"/>
      <c r="AA88" s="23">
        <f>X87*12</f>
        <v>708587.87999999989</v>
      </c>
      <c r="AB88" s="24">
        <f>AA88/12/29.33*56</f>
        <v>112742.70167064438</v>
      </c>
      <c r="AC88" s="24">
        <f>AA88*1.25</f>
        <v>885734.84999999986</v>
      </c>
      <c r="AD88" s="24">
        <f>AC88/12/29.33*56</f>
        <v>140928.37708830548</v>
      </c>
      <c r="AK88" s="23"/>
      <c r="AL88" s="23"/>
      <c r="AM88" s="23"/>
      <c r="AN88" s="23"/>
      <c r="AO88" s="23"/>
      <c r="AP88" s="23"/>
      <c r="AQ88" s="23"/>
    </row>
    <row r="89" spans="1:43" s="24" customFormat="1" ht="17.25" customHeight="1">
      <c r="A89" s="547">
        <v>11</v>
      </c>
      <c r="B89" s="998" t="s">
        <v>678</v>
      </c>
      <c r="C89" s="873" t="s">
        <v>99</v>
      </c>
      <c r="D89" s="1002" t="s">
        <v>75</v>
      </c>
      <c r="E89" s="583" t="s">
        <v>738</v>
      </c>
      <c r="F89" s="1539" t="s">
        <v>602</v>
      </c>
      <c r="G89" s="571">
        <v>1</v>
      </c>
      <c r="H89" s="580" t="s">
        <v>102</v>
      </c>
      <c r="I89" s="580" t="s">
        <v>118</v>
      </c>
      <c r="J89" s="574">
        <v>4</v>
      </c>
      <c r="K89" s="554">
        <v>17697</v>
      </c>
      <c r="L89" s="1648">
        <v>11</v>
      </c>
      <c r="M89" s="552">
        <f t="shared" si="14"/>
        <v>0.61111111111111116</v>
      </c>
      <c r="N89" s="1583" t="s">
        <v>112</v>
      </c>
      <c r="O89" s="1591">
        <v>3.36</v>
      </c>
      <c r="P89" s="567">
        <v>0</v>
      </c>
      <c r="Q89" s="556">
        <f>'расчеты к штатному '!Q94</f>
        <v>18168.920000000002</v>
      </c>
      <c r="R89" s="1538"/>
      <c r="S89" s="700"/>
      <c r="T89" s="552">
        <v>0.1</v>
      </c>
      <c r="U89" s="567">
        <f t="shared" si="15"/>
        <v>1816.8920000000003</v>
      </c>
      <c r="V89" s="1541"/>
      <c r="W89" s="700"/>
      <c r="X89" s="559">
        <f t="shared" si="16"/>
        <v>19985.812000000002</v>
      </c>
      <c r="Y89" s="10"/>
      <c r="Z89" s="10"/>
      <c r="AA89" s="23"/>
      <c r="AK89" s="23"/>
      <c r="AL89" s="23"/>
      <c r="AM89" s="23"/>
      <c r="AN89" s="23"/>
      <c r="AO89" s="23"/>
      <c r="AP89" s="23"/>
      <c r="AQ89" s="23"/>
    </row>
    <row r="90" spans="1:43" s="24" customFormat="1" ht="15.75">
      <c r="A90" s="560">
        <v>12</v>
      </c>
      <c r="B90" s="998" t="s">
        <v>207</v>
      </c>
      <c r="C90" s="873" t="s">
        <v>817</v>
      </c>
      <c r="D90" s="1002" t="s">
        <v>25</v>
      </c>
      <c r="E90" s="1539" t="s">
        <v>588</v>
      </c>
      <c r="F90" s="1539" t="s">
        <v>362</v>
      </c>
      <c r="G90" s="1689">
        <v>1</v>
      </c>
      <c r="H90" s="874" t="s">
        <v>102</v>
      </c>
      <c r="I90" s="874" t="s">
        <v>103</v>
      </c>
      <c r="J90" s="1647">
        <v>1</v>
      </c>
      <c r="K90" s="700">
        <v>17697</v>
      </c>
      <c r="L90" s="1157">
        <v>26</v>
      </c>
      <c r="M90" s="552">
        <f t="shared" si="14"/>
        <v>1.4444444444444444</v>
      </c>
      <c r="N90" s="1583" t="s">
        <v>152</v>
      </c>
      <c r="O90" s="1591">
        <v>4.55</v>
      </c>
      <c r="P90" s="567">
        <v>0</v>
      </c>
      <c r="Q90" s="556">
        <f>'расчеты к штатному '!Q95</f>
        <v>60391.012499999997</v>
      </c>
      <c r="R90" s="1538"/>
      <c r="S90" s="700"/>
      <c r="T90" s="552">
        <v>0.1</v>
      </c>
      <c r="U90" s="567">
        <f t="shared" si="15"/>
        <v>6039.1012499999997</v>
      </c>
      <c r="V90" s="1541"/>
      <c r="W90" s="700"/>
      <c r="X90" s="559">
        <f t="shared" si="16"/>
        <v>66430.11374999999</v>
      </c>
      <c r="Y90" s="1547"/>
      <c r="Z90" s="1547"/>
      <c r="AA90" s="23"/>
      <c r="AK90" s="23"/>
      <c r="AL90" s="23"/>
      <c r="AM90" s="23"/>
      <c r="AN90" s="23"/>
      <c r="AO90" s="23"/>
      <c r="AP90" s="23"/>
      <c r="AQ90" s="23"/>
    </row>
    <row r="91" spans="1:43" s="24" customFormat="1" ht="15.75">
      <c r="A91" s="547">
        <v>13</v>
      </c>
      <c r="B91" s="153" t="s">
        <v>281</v>
      </c>
      <c r="C91" s="561" t="s">
        <v>99</v>
      </c>
      <c r="D91" s="628" t="s">
        <v>25</v>
      </c>
      <c r="E91" s="586" t="s">
        <v>698</v>
      </c>
      <c r="F91" s="562" t="s">
        <v>40</v>
      </c>
      <c r="G91" s="571">
        <v>1</v>
      </c>
      <c r="H91" s="563" t="s">
        <v>102</v>
      </c>
      <c r="I91" s="563" t="s">
        <v>103</v>
      </c>
      <c r="J91" s="629">
        <v>1</v>
      </c>
      <c r="K91" s="554">
        <v>17697</v>
      </c>
      <c r="L91" s="1643">
        <v>6</v>
      </c>
      <c r="M91" s="552">
        <f t="shared" si="14"/>
        <v>0.33333333333333331</v>
      </c>
      <c r="N91" s="574" t="s">
        <v>152</v>
      </c>
      <c r="O91" s="1015">
        <v>4.75</v>
      </c>
      <c r="P91" s="567">
        <v>0</v>
      </c>
      <c r="Q91" s="556">
        <f>'расчеты к штатному '!Q96</f>
        <v>14010.125</v>
      </c>
      <c r="R91" s="568"/>
      <c r="S91" s="554"/>
      <c r="T91" s="552">
        <v>0.1</v>
      </c>
      <c r="U91" s="567">
        <f t="shared" si="15"/>
        <v>1401.0125</v>
      </c>
      <c r="V91" s="19"/>
      <c r="W91" s="554"/>
      <c r="X91" s="559">
        <f t="shared" si="16"/>
        <v>15411.137500000001</v>
      </c>
      <c r="Y91" s="1547"/>
      <c r="Z91" s="1547"/>
      <c r="AA91" s="23"/>
      <c r="AK91" s="23"/>
      <c r="AL91" s="23"/>
      <c r="AM91" s="23"/>
      <c r="AN91" s="23"/>
      <c r="AO91" s="23"/>
      <c r="AP91" s="23"/>
      <c r="AQ91" s="23"/>
    </row>
    <row r="92" spans="1:43" s="24" customFormat="1" ht="17.25" customHeight="1">
      <c r="A92" s="560">
        <v>14</v>
      </c>
      <c r="B92" s="153" t="s">
        <v>243</v>
      </c>
      <c r="C92" s="561" t="s">
        <v>99</v>
      </c>
      <c r="D92" s="563" t="s">
        <v>25</v>
      </c>
      <c r="E92" s="562" t="s">
        <v>705</v>
      </c>
      <c r="F92" s="562" t="s">
        <v>239</v>
      </c>
      <c r="G92" s="571">
        <v>1</v>
      </c>
      <c r="H92" s="580" t="s">
        <v>102</v>
      </c>
      <c r="I92" s="580" t="s">
        <v>103</v>
      </c>
      <c r="J92" s="574">
        <v>2</v>
      </c>
      <c r="K92" s="554">
        <v>17697</v>
      </c>
      <c r="L92" s="1643">
        <v>32</v>
      </c>
      <c r="M92" s="552">
        <f t="shared" si="14"/>
        <v>1.7777777777777777</v>
      </c>
      <c r="N92" s="566" t="s">
        <v>596</v>
      </c>
      <c r="O92" s="1015">
        <v>4.2300000000000004</v>
      </c>
      <c r="P92" s="567">
        <v>0</v>
      </c>
      <c r="Q92" s="556">
        <f>'расчеты к штатному '!Q97</f>
        <v>79459.53</v>
      </c>
      <c r="R92" s="568"/>
      <c r="S92" s="554"/>
      <c r="T92" s="552">
        <v>0.1</v>
      </c>
      <c r="U92" s="567">
        <f t="shared" si="15"/>
        <v>7945.9530000000004</v>
      </c>
      <c r="V92" s="19"/>
      <c r="W92" s="554"/>
      <c r="X92" s="559">
        <f t="shared" si="16"/>
        <v>87405.482999999993</v>
      </c>
      <c r="Y92" s="10">
        <f>V91+R91</f>
        <v>0</v>
      </c>
      <c r="Z92" s="10">
        <f>W91+S91</f>
        <v>0</v>
      </c>
      <c r="AA92" s="23">
        <f>X91*12</f>
        <v>184933.65000000002</v>
      </c>
      <c r="AB92" s="24">
        <f t="shared" ref="AB92:AB94" si="18">AA92/12/29.33*56</f>
        <v>29424.606205250606</v>
      </c>
      <c r="AC92" s="24">
        <f t="shared" ref="AC92:AC94" si="19">AA92*1.25</f>
        <v>231167.06250000003</v>
      </c>
      <c r="AD92" s="24">
        <f t="shared" ref="AD92:AD94" si="20">AC92/12/29.33*56</f>
        <v>36780.757756563253</v>
      </c>
      <c r="AK92" s="23"/>
      <c r="AL92" s="23"/>
      <c r="AM92" s="23"/>
      <c r="AN92" s="23"/>
      <c r="AO92" s="23"/>
      <c r="AP92" s="23"/>
      <c r="AQ92" s="23"/>
    </row>
    <row r="93" spans="1:43" s="24" customFormat="1" ht="17.25" customHeight="1">
      <c r="A93" s="547">
        <v>15</v>
      </c>
      <c r="B93" s="153" t="s">
        <v>245</v>
      </c>
      <c r="C93" s="561" t="s">
        <v>99</v>
      </c>
      <c r="D93" s="563" t="s">
        <v>25</v>
      </c>
      <c r="E93" s="562" t="s">
        <v>461</v>
      </c>
      <c r="F93" s="1586" t="s">
        <v>40</v>
      </c>
      <c r="G93" s="571">
        <v>1</v>
      </c>
      <c r="H93" s="580" t="s">
        <v>102</v>
      </c>
      <c r="I93" s="580" t="s">
        <v>103</v>
      </c>
      <c r="J93" s="574">
        <v>1</v>
      </c>
      <c r="K93" s="554">
        <v>17697</v>
      </c>
      <c r="L93" s="1643">
        <v>36</v>
      </c>
      <c r="M93" s="552">
        <f t="shared" si="14"/>
        <v>2</v>
      </c>
      <c r="N93" s="574" t="s">
        <v>152</v>
      </c>
      <c r="O93" s="1591">
        <v>4.75</v>
      </c>
      <c r="P93" s="567">
        <v>0</v>
      </c>
      <c r="Q93" s="556">
        <f>'расчеты к штатному '!Q98</f>
        <v>84060.75</v>
      </c>
      <c r="R93" s="1538"/>
      <c r="S93" s="700"/>
      <c r="T93" s="552">
        <v>0.1</v>
      </c>
      <c r="U93" s="567">
        <f t="shared" si="15"/>
        <v>8406.0750000000007</v>
      </c>
      <c r="V93" s="19"/>
      <c r="W93" s="554"/>
      <c r="X93" s="559">
        <f t="shared" si="16"/>
        <v>92466.824999999997</v>
      </c>
      <c r="Y93" s="10">
        <f>V92+R92</f>
        <v>0</v>
      </c>
      <c r="Z93" s="10">
        <f>W92+S92</f>
        <v>0</v>
      </c>
      <c r="AA93" s="23">
        <f>X92*12</f>
        <v>1048865.7959999999</v>
      </c>
      <c r="AB93" s="24">
        <f t="shared" si="18"/>
        <v>166883.97708830546</v>
      </c>
      <c r="AC93" s="24">
        <f t="shared" si="19"/>
        <v>1311082.2449999999</v>
      </c>
      <c r="AD93" s="24">
        <f t="shared" si="20"/>
        <v>208604.97136038187</v>
      </c>
      <c r="AK93" s="23"/>
      <c r="AL93" s="23"/>
      <c r="AM93" s="23"/>
      <c r="AN93" s="23"/>
      <c r="AO93" s="23"/>
      <c r="AP93" s="23"/>
      <c r="AQ93" s="23"/>
    </row>
    <row r="94" spans="1:43" s="24" customFormat="1" ht="17.25" customHeight="1">
      <c r="A94" s="560">
        <v>16</v>
      </c>
      <c r="B94" s="153" t="s">
        <v>586</v>
      </c>
      <c r="C94" s="561" t="s">
        <v>99</v>
      </c>
      <c r="D94" s="563" t="s">
        <v>25</v>
      </c>
      <c r="E94" s="712" t="s">
        <v>710</v>
      </c>
      <c r="F94" s="562" t="s">
        <v>259</v>
      </c>
      <c r="G94" s="571">
        <v>1</v>
      </c>
      <c r="H94" s="580" t="s">
        <v>102</v>
      </c>
      <c r="I94" s="580" t="s">
        <v>103</v>
      </c>
      <c r="J94" s="574">
        <v>3</v>
      </c>
      <c r="K94" s="554">
        <v>17697</v>
      </c>
      <c r="L94" s="1643">
        <v>32</v>
      </c>
      <c r="M94" s="552">
        <f t="shared" si="14"/>
        <v>1.7777777777777777</v>
      </c>
      <c r="N94" s="566" t="s">
        <v>109</v>
      </c>
      <c r="O94" s="1015">
        <v>4.1399999999999997</v>
      </c>
      <c r="P94" s="567">
        <v>0</v>
      </c>
      <c r="Q94" s="556">
        <f>'расчеты к штатному '!Q99</f>
        <v>54949.18499999999</v>
      </c>
      <c r="R94" s="568"/>
      <c r="S94" s="554"/>
      <c r="T94" s="552">
        <v>0.1</v>
      </c>
      <c r="U94" s="567">
        <f t="shared" si="15"/>
        <v>5494.9184999999998</v>
      </c>
      <c r="V94" s="19"/>
      <c r="W94" s="554"/>
      <c r="X94" s="559">
        <f t="shared" si="16"/>
        <v>60444.10349999999</v>
      </c>
      <c r="Y94" s="1547"/>
      <c r="Z94" s="1547"/>
      <c r="AA94" s="23">
        <f>X93*12</f>
        <v>1109601.8999999999</v>
      </c>
      <c r="AB94" s="24">
        <f t="shared" si="18"/>
        <v>176547.63723150358</v>
      </c>
      <c r="AC94" s="24">
        <f t="shared" si="19"/>
        <v>1387002.375</v>
      </c>
      <c r="AD94" s="24">
        <f t="shared" si="20"/>
        <v>220684.54653937949</v>
      </c>
      <c r="AK94" s="23"/>
      <c r="AL94" s="23"/>
      <c r="AM94" s="23"/>
      <c r="AN94" s="23"/>
      <c r="AO94" s="23"/>
      <c r="AP94" s="23"/>
      <c r="AQ94" s="23"/>
    </row>
    <row r="95" spans="1:43" s="24" customFormat="1" ht="17.25" customHeight="1">
      <c r="A95" s="547">
        <v>17</v>
      </c>
      <c r="B95" s="998" t="s">
        <v>253</v>
      </c>
      <c r="C95" s="873" t="s">
        <v>148</v>
      </c>
      <c r="D95" s="1002" t="s">
        <v>25</v>
      </c>
      <c r="E95" s="1539" t="s">
        <v>712</v>
      </c>
      <c r="F95" s="1539" t="s">
        <v>712</v>
      </c>
      <c r="G95" s="1689">
        <v>1</v>
      </c>
      <c r="H95" s="563" t="s">
        <v>102</v>
      </c>
      <c r="I95" s="563" t="s">
        <v>103</v>
      </c>
      <c r="J95" s="629">
        <v>1</v>
      </c>
      <c r="K95" s="554">
        <v>17697</v>
      </c>
      <c r="L95" s="1648">
        <v>28</v>
      </c>
      <c r="M95" s="552">
        <f t="shared" si="14"/>
        <v>1.5555555555555556</v>
      </c>
      <c r="N95" s="1583" t="s">
        <v>152</v>
      </c>
      <c r="O95" s="1591">
        <v>4.75</v>
      </c>
      <c r="P95" s="567">
        <v>0</v>
      </c>
      <c r="Q95" s="556">
        <f>'расчеты к штатному '!Q100</f>
        <v>84060.75</v>
      </c>
      <c r="R95" s="1538"/>
      <c r="S95" s="700"/>
      <c r="T95" s="552">
        <v>0.1</v>
      </c>
      <c r="U95" s="567">
        <f t="shared" si="15"/>
        <v>8406.0750000000007</v>
      </c>
      <c r="V95" s="1541"/>
      <c r="W95" s="700"/>
      <c r="X95" s="559">
        <f t="shared" si="16"/>
        <v>92466.824999999997</v>
      </c>
      <c r="Y95" s="1547"/>
      <c r="Z95" s="1547"/>
      <c r="AA95" s="23"/>
      <c r="AK95" s="23"/>
      <c r="AL95" s="23"/>
      <c r="AM95" s="23"/>
      <c r="AN95" s="23"/>
      <c r="AO95" s="23"/>
      <c r="AP95" s="23"/>
      <c r="AQ95" s="23"/>
    </row>
    <row r="96" spans="1:43" s="24" customFormat="1" ht="17.25" customHeight="1">
      <c r="A96" s="560">
        <v>18</v>
      </c>
      <c r="B96" s="998" t="s">
        <v>792</v>
      </c>
      <c r="C96" s="873" t="s">
        <v>99</v>
      </c>
      <c r="D96" s="1002" t="s">
        <v>25</v>
      </c>
      <c r="E96" s="706" t="s">
        <v>793</v>
      </c>
      <c r="F96" s="1539" t="s">
        <v>463</v>
      </c>
      <c r="G96" s="571">
        <v>1</v>
      </c>
      <c r="H96" s="580" t="s">
        <v>102</v>
      </c>
      <c r="I96" s="580" t="s">
        <v>103</v>
      </c>
      <c r="J96" s="574">
        <v>3</v>
      </c>
      <c r="K96" s="554">
        <v>17697</v>
      </c>
      <c r="L96" s="1648">
        <v>18</v>
      </c>
      <c r="M96" s="552">
        <f t="shared" si="14"/>
        <v>1</v>
      </c>
      <c r="N96" s="1583" t="s">
        <v>109</v>
      </c>
      <c r="O96" s="1591">
        <v>4.28</v>
      </c>
      <c r="P96" s="567">
        <v>0</v>
      </c>
      <c r="Q96" s="556" t="e">
        <f>'расчеты к штатному '!#REF!</f>
        <v>#REF!</v>
      </c>
      <c r="R96" s="1538"/>
      <c r="S96" s="700"/>
      <c r="T96" s="552">
        <v>0.1</v>
      </c>
      <c r="U96" s="567" t="e">
        <f t="shared" si="15"/>
        <v>#REF!</v>
      </c>
      <c r="V96" s="1541"/>
      <c r="W96" s="700"/>
      <c r="X96" s="559" t="e">
        <f t="shared" si="16"/>
        <v>#REF!</v>
      </c>
      <c r="Y96" s="1547"/>
      <c r="Z96" s="1547"/>
      <c r="AA96" s="23"/>
      <c r="AK96" s="23"/>
      <c r="AL96" s="23"/>
      <c r="AM96" s="23"/>
      <c r="AN96" s="23"/>
      <c r="AO96" s="23"/>
      <c r="AP96" s="23"/>
      <c r="AQ96" s="23"/>
    </row>
    <row r="97" spans="1:69" s="24" customFormat="1" ht="17.25" customHeight="1">
      <c r="A97" s="547">
        <v>19</v>
      </c>
      <c r="B97" s="1008" t="s">
        <v>255</v>
      </c>
      <c r="C97" s="1009" t="s">
        <v>99</v>
      </c>
      <c r="D97" s="1592" t="s">
        <v>25</v>
      </c>
      <c r="E97" s="1586" t="s">
        <v>714</v>
      </c>
      <c r="F97" s="1586" t="s">
        <v>40</v>
      </c>
      <c r="G97" s="571">
        <v>1</v>
      </c>
      <c r="H97" s="1593" t="s">
        <v>102</v>
      </c>
      <c r="I97" s="1593" t="s">
        <v>103</v>
      </c>
      <c r="J97" s="1594">
        <v>1</v>
      </c>
      <c r="K97" s="554">
        <v>17697</v>
      </c>
      <c r="L97" s="1649">
        <v>34</v>
      </c>
      <c r="M97" s="552">
        <f t="shared" si="14"/>
        <v>1.8888888888888888</v>
      </c>
      <c r="N97" s="574" t="s">
        <v>152</v>
      </c>
      <c r="O97" s="1016">
        <v>4.75</v>
      </c>
      <c r="P97" s="567">
        <v>0</v>
      </c>
      <c r="Q97" s="556">
        <f>'расчеты к штатному '!Q101</f>
        <v>74720.666666666672</v>
      </c>
      <c r="R97" s="608"/>
      <c r="S97" s="605"/>
      <c r="T97" s="552">
        <v>0.1</v>
      </c>
      <c r="U97" s="567">
        <f t="shared" si="15"/>
        <v>7472.0666666666675</v>
      </c>
      <c r="V97" s="19"/>
      <c r="W97" s="554"/>
      <c r="X97" s="559">
        <f t="shared" si="16"/>
        <v>82192.733333333337</v>
      </c>
      <c r="Y97" s="1547"/>
      <c r="Z97" s="1547"/>
      <c r="AA97" s="23"/>
      <c r="AK97" s="23"/>
      <c r="AL97" s="23"/>
      <c r="AM97" s="23"/>
      <c r="AN97" s="23"/>
      <c r="AO97" s="23"/>
      <c r="AP97" s="23"/>
      <c r="AQ97" s="23"/>
    </row>
    <row r="98" spans="1:69" s="24" customFormat="1" ht="16.5" customHeight="1">
      <c r="A98" s="560">
        <v>20</v>
      </c>
      <c r="B98" s="153" t="s">
        <v>257</v>
      </c>
      <c r="C98" s="561" t="s">
        <v>99</v>
      </c>
      <c r="D98" s="563" t="s">
        <v>25</v>
      </c>
      <c r="E98" s="562" t="s">
        <v>715</v>
      </c>
      <c r="F98" s="562" t="s">
        <v>239</v>
      </c>
      <c r="G98" s="571">
        <v>1</v>
      </c>
      <c r="H98" s="580" t="s">
        <v>102</v>
      </c>
      <c r="I98" s="580" t="s">
        <v>103</v>
      </c>
      <c r="J98" s="574">
        <v>2</v>
      </c>
      <c r="K98" s="888">
        <v>17697</v>
      </c>
      <c r="L98" s="1649">
        <v>27</v>
      </c>
      <c r="M98" s="552">
        <f t="shared" si="14"/>
        <v>1.5</v>
      </c>
      <c r="N98" s="1583" t="s">
        <v>104</v>
      </c>
      <c r="O98" s="1595">
        <v>4.2300000000000004</v>
      </c>
      <c r="P98" s="567">
        <v>0</v>
      </c>
      <c r="Q98" s="556">
        <f>'расчеты к штатному '!Q102</f>
        <v>70699.515000000014</v>
      </c>
      <c r="R98" s="1011"/>
      <c r="S98" s="888"/>
      <c r="T98" s="552">
        <v>0.1</v>
      </c>
      <c r="U98" s="567">
        <f t="shared" si="15"/>
        <v>7069.9515000000019</v>
      </c>
      <c r="V98" s="19"/>
      <c r="W98" s="554"/>
      <c r="X98" s="559">
        <f t="shared" si="16"/>
        <v>77769.46650000001</v>
      </c>
      <c r="Y98" s="35">
        <f>V97+R97</f>
        <v>0</v>
      </c>
      <c r="Z98" s="35">
        <f>W97+S97</f>
        <v>0</v>
      </c>
      <c r="AA98" s="23">
        <f>X97*12</f>
        <v>986312.8</v>
      </c>
      <c r="AB98" s="24">
        <f>AA98/12/29.33*56</f>
        <v>156931.23309466988</v>
      </c>
      <c r="AC98" s="24">
        <f>AA98*1.25</f>
        <v>1232891</v>
      </c>
      <c r="AD98" s="24">
        <f>AC98/12/29.33*56</f>
        <v>196164.04136833735</v>
      </c>
      <c r="AK98" s="23"/>
      <c r="AL98" s="23"/>
      <c r="AM98" s="23"/>
      <c r="AN98" s="23"/>
      <c r="AO98" s="23"/>
      <c r="AP98" s="23"/>
      <c r="AQ98" s="23"/>
    </row>
    <row r="99" spans="1:69" s="24" customFormat="1" ht="16.5" customHeight="1">
      <c r="A99" s="547">
        <v>21</v>
      </c>
      <c r="B99" s="153" t="s">
        <v>388</v>
      </c>
      <c r="C99" s="561" t="s">
        <v>99</v>
      </c>
      <c r="D99" s="563" t="s">
        <v>189</v>
      </c>
      <c r="E99" s="562" t="s">
        <v>718</v>
      </c>
      <c r="F99" s="562" t="s">
        <v>34</v>
      </c>
      <c r="G99" s="571">
        <v>1</v>
      </c>
      <c r="H99" s="580" t="s">
        <v>102</v>
      </c>
      <c r="I99" s="580" t="s">
        <v>103</v>
      </c>
      <c r="J99" s="574">
        <v>1</v>
      </c>
      <c r="K99" s="554">
        <v>17697</v>
      </c>
      <c r="L99" s="1643">
        <v>9</v>
      </c>
      <c r="M99" s="552">
        <f t="shared" si="14"/>
        <v>0.5</v>
      </c>
      <c r="N99" s="574" t="s">
        <v>152</v>
      </c>
      <c r="O99" s="1015">
        <v>4.75</v>
      </c>
      <c r="P99" s="567">
        <v>0</v>
      </c>
      <c r="Q99" s="556">
        <f>'расчеты к штатному '!Q103</f>
        <v>21015.1875</v>
      </c>
      <c r="R99" s="568"/>
      <c r="S99" s="554"/>
      <c r="T99" s="552">
        <v>0.1</v>
      </c>
      <c r="U99" s="567">
        <f t="shared" si="15"/>
        <v>2101.5187500000002</v>
      </c>
      <c r="V99" s="19"/>
      <c r="W99" s="554"/>
      <c r="X99" s="559">
        <f t="shared" si="16"/>
        <v>23116.706249999999</v>
      </c>
      <c r="Y99" s="1690"/>
      <c r="Z99" s="1690"/>
      <c r="AA99" s="23">
        <f>X98*12</f>
        <v>933233.59800000011</v>
      </c>
      <c r="AB99" s="24">
        <f>AA99/12/29.33*56</f>
        <v>148485.85489260146</v>
      </c>
      <c r="AC99" s="24">
        <f>AA99*1.25</f>
        <v>1166541.9975000001</v>
      </c>
      <c r="AD99" s="24">
        <f>AC99/12/29.33*56</f>
        <v>185607.31861575181</v>
      </c>
      <c r="AK99" s="23"/>
      <c r="AL99" s="23"/>
      <c r="AM99" s="23"/>
      <c r="AN99" s="23"/>
      <c r="AO99" s="23"/>
      <c r="AP99" s="23"/>
      <c r="AQ99" s="23"/>
    </row>
    <row r="100" spans="1:69" s="486" customFormat="1" ht="17.25" customHeight="1">
      <c r="A100" s="1885"/>
      <c r="B100" s="1930" t="s">
        <v>798</v>
      </c>
      <c r="C100" s="1909"/>
      <c r="D100" s="1885"/>
      <c r="E100" s="1910"/>
      <c r="F100" s="1911"/>
      <c r="G100" s="1885"/>
      <c r="H100" s="1912"/>
      <c r="I100" s="1912"/>
      <c r="J100" s="1913"/>
      <c r="K100" s="1887"/>
      <c r="L100" s="1914">
        <f>SUM(L79:L99)</f>
        <v>477</v>
      </c>
      <c r="M100" s="1887"/>
      <c r="N100" s="1913"/>
      <c r="O100" s="1914"/>
      <c r="P100" s="1905"/>
      <c r="Q100" s="1905"/>
      <c r="R100" s="1893"/>
      <c r="S100" s="1887"/>
      <c r="T100" s="1887"/>
      <c r="U100" s="1905"/>
      <c r="V100" s="1894"/>
      <c r="W100" s="1887"/>
      <c r="X100" s="1915"/>
      <c r="Y100" s="406">
        <f>V99+R99</f>
        <v>0</v>
      </c>
      <c r="Z100" s="1545">
        <f>W99+S99</f>
        <v>0</v>
      </c>
      <c r="AA100" s="375">
        <f>X99*12</f>
        <v>277400.47499999998</v>
      </c>
      <c r="AB100" s="377">
        <f>AA100/12/29.33*56</f>
        <v>44136.909307875896</v>
      </c>
      <c r="AC100" s="377">
        <f>AA100*1.25</f>
        <v>346750.59375</v>
      </c>
      <c r="AD100" s="377">
        <f>AC100/12/29.33*56</f>
        <v>55171.136634844872</v>
      </c>
      <c r="AE100" s="375"/>
      <c r="AF100" s="375"/>
      <c r="AG100" s="375"/>
      <c r="AH100" s="375"/>
      <c r="AI100" s="375"/>
      <c r="AJ100" s="375"/>
      <c r="AK100" s="23"/>
      <c r="AL100" s="23"/>
      <c r="AM100" s="23"/>
      <c r="AN100" s="23"/>
      <c r="AO100" s="23"/>
      <c r="AP100" s="23"/>
      <c r="AQ100" s="23"/>
      <c r="AR100" s="1867"/>
      <c r="AS100" s="917"/>
      <c r="AT100" s="917"/>
      <c r="AU100" s="917"/>
      <c r="AV100" s="917"/>
      <c r="AW100" s="917"/>
      <c r="AX100" s="917"/>
      <c r="AY100" s="917"/>
      <c r="AZ100" s="917"/>
      <c r="BA100" s="917"/>
      <c r="BB100" s="917"/>
      <c r="BC100" s="917"/>
      <c r="BD100" s="917"/>
      <c r="BE100" s="917"/>
      <c r="BF100" s="917"/>
      <c r="BG100" s="917"/>
      <c r="BH100" s="917"/>
      <c r="BI100" s="917"/>
      <c r="BJ100" s="917"/>
      <c r="BK100" s="917"/>
      <c r="BL100" s="917"/>
      <c r="BM100" s="917"/>
      <c r="BN100" s="917"/>
      <c r="BO100" s="917"/>
      <c r="BP100" s="917"/>
      <c r="BQ100" s="917"/>
    </row>
    <row r="101" spans="1:69" s="24" customFormat="1" ht="17.25" customHeight="1">
      <c r="A101" s="966"/>
      <c r="B101" s="1516" t="s">
        <v>788</v>
      </c>
      <c r="C101" s="968"/>
      <c r="D101" s="969"/>
      <c r="E101" s="970"/>
      <c r="F101" s="970"/>
      <c r="G101" s="971"/>
      <c r="H101" s="972"/>
      <c r="I101" s="972"/>
      <c r="J101" s="973"/>
      <c r="K101" s="974"/>
      <c r="L101" s="975"/>
      <c r="M101" s="974"/>
      <c r="N101" s="973"/>
      <c r="O101" s="976"/>
      <c r="P101" s="977"/>
      <c r="Q101" s="1031"/>
      <c r="R101" s="977"/>
      <c r="S101" s="977"/>
      <c r="T101" s="977"/>
      <c r="U101" s="977"/>
      <c r="V101" s="977"/>
      <c r="W101" s="977"/>
      <c r="X101" s="977"/>
      <c r="Y101" s="1547"/>
      <c r="Z101" s="1547"/>
      <c r="AA101" s="23"/>
      <c r="AK101" s="23"/>
      <c r="AL101" s="23"/>
      <c r="AM101" s="23"/>
      <c r="AN101" s="23"/>
      <c r="AO101" s="23"/>
      <c r="AP101" s="23"/>
      <c r="AQ101" s="23"/>
    </row>
    <row r="102" spans="1:69" s="24" customFormat="1" ht="17.25" customHeight="1">
      <c r="A102" s="547">
        <v>1</v>
      </c>
      <c r="B102" s="640" t="s">
        <v>36</v>
      </c>
      <c r="C102" s="641" t="s">
        <v>99</v>
      </c>
      <c r="D102" s="642" t="s">
        <v>25</v>
      </c>
      <c r="E102" s="643" t="s">
        <v>649</v>
      </c>
      <c r="F102" s="583" t="s">
        <v>40</v>
      </c>
      <c r="G102" s="547">
        <v>1</v>
      </c>
      <c r="H102" s="577" t="s">
        <v>102</v>
      </c>
      <c r="I102" s="577" t="s">
        <v>103</v>
      </c>
      <c r="J102" s="644">
        <v>1</v>
      </c>
      <c r="K102" s="552">
        <v>17697</v>
      </c>
      <c r="L102" s="645">
        <v>9</v>
      </c>
      <c r="M102" s="552">
        <f>L102/18</f>
        <v>0.5</v>
      </c>
      <c r="N102" s="574" t="s">
        <v>152</v>
      </c>
      <c r="O102" s="1597">
        <v>4.75</v>
      </c>
      <c r="P102" s="556">
        <v>0</v>
      </c>
      <c r="Q102" s="556">
        <f>'расчеты к штатному '!Q106</f>
        <v>21015.1875</v>
      </c>
      <c r="R102" s="557"/>
      <c r="S102" s="552"/>
      <c r="T102" s="552">
        <v>0.1</v>
      </c>
      <c r="U102" s="556">
        <f>(P102+Q102)*T102</f>
        <v>2101.5187500000002</v>
      </c>
      <c r="V102" s="19"/>
      <c r="W102" s="552"/>
      <c r="X102" s="559">
        <f>P102+Q102+U102</f>
        <v>23116.706249999999</v>
      </c>
      <c r="Y102" s="10"/>
      <c r="Z102" s="10"/>
      <c r="AA102" s="23">
        <f>X101*12</f>
        <v>0</v>
      </c>
      <c r="AB102" s="24">
        <f t="shared" ref="AB102:AB122" si="21">AA102/12/29.33*56</f>
        <v>0</v>
      </c>
      <c r="AC102" s="24">
        <f t="shared" ref="AC102:AC122" si="22">AA102*1.25</f>
        <v>0</v>
      </c>
      <c r="AD102" s="24">
        <f t="shared" ref="AD102:AD122" si="23">AC102/12/29.33*56</f>
        <v>0</v>
      </c>
      <c r="AK102" s="23"/>
      <c r="AL102" s="23"/>
      <c r="AM102" s="23"/>
      <c r="AN102" s="23"/>
      <c r="AO102" s="23"/>
      <c r="AP102" s="23"/>
      <c r="AQ102" s="23"/>
    </row>
    <row r="103" spans="1:69" s="24" customFormat="1" ht="17.25" customHeight="1">
      <c r="A103" s="547">
        <v>2</v>
      </c>
      <c r="B103" s="646" t="s">
        <v>261</v>
      </c>
      <c r="C103" s="647" t="s">
        <v>99</v>
      </c>
      <c r="D103" s="628" t="s">
        <v>25</v>
      </c>
      <c r="E103" s="586" t="s">
        <v>652</v>
      </c>
      <c r="F103" s="562" t="s">
        <v>614</v>
      </c>
      <c r="G103" s="560">
        <v>1</v>
      </c>
      <c r="H103" s="563" t="s">
        <v>102</v>
      </c>
      <c r="I103" s="563" t="s">
        <v>103</v>
      </c>
      <c r="J103" s="629">
        <v>1</v>
      </c>
      <c r="K103" s="554">
        <v>17697</v>
      </c>
      <c r="L103" s="645">
        <v>31</v>
      </c>
      <c r="M103" s="552">
        <f t="shared" ref="M103:M122" si="24">L103/18</f>
        <v>1.7222222222222223</v>
      </c>
      <c r="N103" s="574" t="s">
        <v>152</v>
      </c>
      <c r="O103" s="1598">
        <v>4.55</v>
      </c>
      <c r="P103" s="556">
        <v>0</v>
      </c>
      <c r="Q103" s="556">
        <f>'расчеты к штатному '!Q107</f>
        <v>69337.829166666663</v>
      </c>
      <c r="R103" s="568"/>
      <c r="S103" s="554"/>
      <c r="T103" s="554">
        <v>0.1</v>
      </c>
      <c r="U103" s="556">
        <f t="shared" ref="U103:U122" si="25">(P103+Q103)*T103</f>
        <v>6933.782916666667</v>
      </c>
      <c r="V103" s="19"/>
      <c r="W103" s="552"/>
      <c r="X103" s="559">
        <f t="shared" ref="X103:X121" si="26">P103+Q103+U103</f>
        <v>76271.612083333326</v>
      </c>
      <c r="Y103" s="70">
        <f>V102+R102</f>
        <v>0</v>
      </c>
      <c r="Z103" s="70">
        <f>W102+S102</f>
        <v>0</v>
      </c>
      <c r="AA103" s="23">
        <f>X102*12</f>
        <v>277400.47499999998</v>
      </c>
      <c r="AB103" s="24">
        <f t="shared" si="21"/>
        <v>44136.909307875896</v>
      </c>
      <c r="AC103" s="24">
        <f t="shared" si="22"/>
        <v>346750.59375</v>
      </c>
      <c r="AD103" s="24">
        <f t="shared" si="23"/>
        <v>55171.136634844872</v>
      </c>
      <c r="AK103" s="23"/>
      <c r="AL103" s="23"/>
      <c r="AM103" s="23"/>
      <c r="AN103" s="23"/>
      <c r="AO103" s="23"/>
      <c r="AP103" s="23"/>
      <c r="AQ103" s="23"/>
    </row>
    <row r="104" spans="1:69" s="24" customFormat="1" ht="17.25" customHeight="1">
      <c r="A104" s="547">
        <v>3</v>
      </c>
      <c r="B104" s="872" t="s">
        <v>760</v>
      </c>
      <c r="C104" s="692" t="s">
        <v>99</v>
      </c>
      <c r="D104" s="875" t="s">
        <v>25</v>
      </c>
      <c r="E104" s="1599" t="s">
        <v>761</v>
      </c>
      <c r="F104" s="1539" t="s">
        <v>403</v>
      </c>
      <c r="G104" s="560">
        <v>1</v>
      </c>
      <c r="H104" s="563" t="s">
        <v>102</v>
      </c>
      <c r="I104" s="563" t="s">
        <v>103</v>
      </c>
      <c r="J104" s="629">
        <v>3</v>
      </c>
      <c r="K104" s="554">
        <v>17697</v>
      </c>
      <c r="L104" s="645">
        <v>26</v>
      </c>
      <c r="M104" s="552">
        <f t="shared" si="24"/>
        <v>1.4444444444444444</v>
      </c>
      <c r="N104" s="698" t="s">
        <v>109</v>
      </c>
      <c r="O104" s="1600">
        <v>4.1399999999999997</v>
      </c>
      <c r="P104" s="556">
        <v>0</v>
      </c>
      <c r="Q104" s="556">
        <f>'расчеты к штатному '!Q108</f>
        <v>67160.114999999991</v>
      </c>
      <c r="R104" s="1538"/>
      <c r="S104" s="700"/>
      <c r="T104" s="554">
        <v>0.1</v>
      </c>
      <c r="U104" s="556">
        <f t="shared" si="25"/>
        <v>6716.0114999999996</v>
      </c>
      <c r="V104" s="1541"/>
      <c r="W104" s="552"/>
      <c r="X104" s="559">
        <f t="shared" si="26"/>
        <v>73876.126499999984</v>
      </c>
      <c r="Y104" s="10">
        <f>V103+R103</f>
        <v>0</v>
      </c>
      <c r="Z104" s="10">
        <f>W103+S103</f>
        <v>0</v>
      </c>
      <c r="AA104" s="23">
        <f>X103*12</f>
        <v>915259.34499999997</v>
      </c>
      <c r="AB104" s="24">
        <f t="shared" si="21"/>
        <v>145625.98965791566</v>
      </c>
      <c r="AC104" s="24">
        <f t="shared" si="22"/>
        <v>1144074.1812499999</v>
      </c>
      <c r="AD104" s="24">
        <f t="shared" si="23"/>
        <v>182032.48707239458</v>
      </c>
      <c r="AK104" s="23"/>
      <c r="AL104" s="23"/>
      <c r="AM104" s="23"/>
      <c r="AN104" s="23"/>
      <c r="AO104" s="23"/>
      <c r="AP104" s="23"/>
      <c r="AQ104" s="23"/>
    </row>
    <row r="105" spans="1:69" s="24" customFormat="1" ht="17.25" customHeight="1">
      <c r="A105" s="547">
        <v>4</v>
      </c>
      <c r="B105" s="872" t="s">
        <v>263</v>
      </c>
      <c r="C105" s="692" t="s">
        <v>99</v>
      </c>
      <c r="D105" s="875" t="s">
        <v>25</v>
      </c>
      <c r="E105" s="1599" t="s">
        <v>655</v>
      </c>
      <c r="F105" s="582" t="s">
        <v>271</v>
      </c>
      <c r="G105" s="874">
        <v>1</v>
      </c>
      <c r="H105" s="563" t="s">
        <v>102</v>
      </c>
      <c r="I105" s="563" t="s">
        <v>103</v>
      </c>
      <c r="J105" s="629">
        <v>2</v>
      </c>
      <c r="K105" s="554">
        <v>17697</v>
      </c>
      <c r="L105" s="645">
        <v>18</v>
      </c>
      <c r="M105" s="552">
        <f t="shared" si="24"/>
        <v>1</v>
      </c>
      <c r="N105" s="698" t="s">
        <v>104</v>
      </c>
      <c r="O105" s="1600">
        <v>4.37</v>
      </c>
      <c r="P105" s="556">
        <v>0</v>
      </c>
      <c r="Q105" s="556">
        <f>'расчеты к штатному '!Q109</f>
        <v>38667.945</v>
      </c>
      <c r="R105" s="1538"/>
      <c r="S105" s="700"/>
      <c r="T105" s="554">
        <v>0.1</v>
      </c>
      <c r="U105" s="556">
        <f>(P105+Q105)*T105</f>
        <v>3866.7945</v>
      </c>
      <c r="V105" s="1541"/>
      <c r="W105" s="552"/>
      <c r="X105" s="559">
        <f t="shared" si="26"/>
        <v>42534.739499999996</v>
      </c>
      <c r="Y105" s="1547"/>
      <c r="Z105" s="1547"/>
      <c r="AA105" s="23"/>
      <c r="AK105" s="23"/>
      <c r="AL105" s="23"/>
      <c r="AM105" s="23"/>
      <c r="AN105" s="23"/>
      <c r="AO105" s="23"/>
      <c r="AP105" s="23"/>
      <c r="AQ105" s="23"/>
    </row>
    <row r="106" spans="1:69" s="24" customFormat="1" ht="17.25" customHeight="1">
      <c r="A106" s="547">
        <v>5</v>
      </c>
      <c r="B106" s="647" t="s">
        <v>264</v>
      </c>
      <c r="C106" s="647" t="s">
        <v>99</v>
      </c>
      <c r="D106" s="628" t="s">
        <v>25</v>
      </c>
      <c r="E106" s="586" t="s">
        <v>658</v>
      </c>
      <c r="F106" s="562" t="s">
        <v>40</v>
      </c>
      <c r="G106" s="560">
        <v>1</v>
      </c>
      <c r="H106" s="563" t="s">
        <v>102</v>
      </c>
      <c r="I106" s="563" t="s">
        <v>103</v>
      </c>
      <c r="J106" s="629">
        <v>1</v>
      </c>
      <c r="K106" s="554">
        <v>17697</v>
      </c>
      <c r="L106" s="645">
        <v>32</v>
      </c>
      <c r="M106" s="552">
        <f t="shared" si="24"/>
        <v>1.7777777777777777</v>
      </c>
      <c r="N106" s="574" t="s">
        <v>152</v>
      </c>
      <c r="O106" s="1598">
        <v>4.75</v>
      </c>
      <c r="P106" s="556">
        <v>0</v>
      </c>
      <c r="Q106" s="556">
        <f>'расчеты к штатному '!Q110</f>
        <v>74720.666666666672</v>
      </c>
      <c r="R106" s="568"/>
      <c r="S106" s="554"/>
      <c r="T106" s="554">
        <v>0.1</v>
      </c>
      <c r="U106" s="556">
        <f t="shared" si="25"/>
        <v>7472.0666666666675</v>
      </c>
      <c r="V106" s="19"/>
      <c r="W106" s="552"/>
      <c r="X106" s="559">
        <f t="shared" si="26"/>
        <v>82192.733333333337</v>
      </c>
      <c r="Y106" s="1547"/>
      <c r="Z106" s="1547"/>
      <c r="AA106" s="23"/>
      <c r="AK106" s="23"/>
      <c r="AL106" s="23"/>
      <c r="AM106" s="23"/>
      <c r="AN106" s="23"/>
      <c r="AO106" s="23"/>
      <c r="AP106" s="23"/>
      <c r="AQ106" s="23"/>
    </row>
    <row r="107" spans="1:69" s="24" customFormat="1" ht="16.5" customHeight="1">
      <c r="A107" s="547">
        <v>7</v>
      </c>
      <c r="B107" s="647" t="s">
        <v>268</v>
      </c>
      <c r="C107" s="647" t="s">
        <v>99</v>
      </c>
      <c r="D107" s="628" t="s">
        <v>25</v>
      </c>
      <c r="E107" s="586" t="s">
        <v>664</v>
      </c>
      <c r="F107" s="562" t="s">
        <v>40</v>
      </c>
      <c r="G107" s="560">
        <v>1</v>
      </c>
      <c r="H107" s="563" t="s">
        <v>102</v>
      </c>
      <c r="I107" s="563" t="s">
        <v>103</v>
      </c>
      <c r="J107" s="629">
        <v>1</v>
      </c>
      <c r="K107" s="554">
        <v>17697</v>
      </c>
      <c r="L107" s="645">
        <v>32</v>
      </c>
      <c r="M107" s="552">
        <f t="shared" si="24"/>
        <v>1.7777777777777777</v>
      </c>
      <c r="N107" s="574" t="s">
        <v>152</v>
      </c>
      <c r="O107" s="1598">
        <v>4.75</v>
      </c>
      <c r="P107" s="556">
        <v>0</v>
      </c>
      <c r="Q107" s="556">
        <f>'расчеты к штатному '!Q111</f>
        <v>77055.6875</v>
      </c>
      <c r="R107" s="568"/>
      <c r="S107" s="554"/>
      <c r="T107" s="554">
        <v>0.1</v>
      </c>
      <c r="U107" s="556">
        <f t="shared" si="25"/>
        <v>7705.5687500000004</v>
      </c>
      <c r="V107" s="19"/>
      <c r="W107" s="552"/>
      <c r="X107" s="559">
        <f t="shared" si="26"/>
        <v>84761.256250000006</v>
      </c>
      <c r="Y107" s="1547"/>
      <c r="Z107" s="1547"/>
      <c r="AA107" s="23"/>
      <c r="AK107" s="23"/>
      <c r="AL107" s="23"/>
      <c r="AM107" s="23"/>
      <c r="AN107" s="23"/>
      <c r="AO107" s="23"/>
      <c r="AP107" s="23"/>
      <c r="AQ107" s="23"/>
    </row>
    <row r="108" spans="1:69" s="24" customFormat="1" ht="17.25" customHeight="1">
      <c r="A108" s="547">
        <v>8</v>
      </c>
      <c r="B108" s="647" t="s">
        <v>269</v>
      </c>
      <c r="C108" s="647" t="s">
        <v>99</v>
      </c>
      <c r="D108" s="628" t="s">
        <v>25</v>
      </c>
      <c r="E108" s="586" t="s">
        <v>670</v>
      </c>
      <c r="F108" s="582" t="s">
        <v>271</v>
      </c>
      <c r="G108" s="560">
        <v>1</v>
      </c>
      <c r="H108" s="563" t="s">
        <v>102</v>
      </c>
      <c r="I108" s="563" t="s">
        <v>103</v>
      </c>
      <c r="J108" s="629">
        <v>1</v>
      </c>
      <c r="K108" s="554">
        <v>17697</v>
      </c>
      <c r="L108" s="645">
        <v>34</v>
      </c>
      <c r="M108" s="552">
        <f t="shared" si="24"/>
        <v>1.8888888888888888</v>
      </c>
      <c r="N108" s="574" t="s">
        <v>152</v>
      </c>
      <c r="O108" s="1598">
        <v>4.62</v>
      </c>
      <c r="P108" s="556">
        <v>0</v>
      </c>
      <c r="Q108" s="556">
        <f>'расчеты к штатному '!Q112</f>
        <v>79489.024999999994</v>
      </c>
      <c r="R108" s="568"/>
      <c r="S108" s="554"/>
      <c r="T108" s="554">
        <v>0.1</v>
      </c>
      <c r="U108" s="556">
        <f t="shared" si="25"/>
        <v>7948.9025000000001</v>
      </c>
      <c r="V108" s="19"/>
      <c r="W108" s="552"/>
      <c r="X108" s="559">
        <f t="shared" si="26"/>
        <v>87437.927499999991</v>
      </c>
      <c r="Y108" s="10">
        <f>V107+R107</f>
        <v>0</v>
      </c>
      <c r="Z108" s="10">
        <f>W107+S107</f>
        <v>0</v>
      </c>
      <c r="AA108" s="23">
        <f>X107*12</f>
        <v>1017135.0750000001</v>
      </c>
      <c r="AB108" s="24">
        <f t="shared" si="21"/>
        <v>161835.33412887831</v>
      </c>
      <c r="AC108" s="24">
        <f t="shared" si="22"/>
        <v>1271418.84375</v>
      </c>
      <c r="AD108" s="24">
        <f t="shared" si="23"/>
        <v>202294.16766109786</v>
      </c>
      <c r="AK108" s="23"/>
      <c r="AL108" s="23"/>
      <c r="AM108" s="23"/>
      <c r="AN108" s="23"/>
      <c r="AO108" s="23"/>
      <c r="AP108" s="23"/>
      <c r="AQ108" s="23"/>
    </row>
    <row r="109" spans="1:69" s="24" customFormat="1" ht="16.5" customHeight="1">
      <c r="A109" s="547">
        <v>9</v>
      </c>
      <c r="B109" s="647" t="s">
        <v>391</v>
      </c>
      <c r="C109" s="647" t="s">
        <v>99</v>
      </c>
      <c r="D109" s="563" t="s">
        <v>25</v>
      </c>
      <c r="E109" s="586" t="s">
        <v>673</v>
      </c>
      <c r="F109" s="582" t="s">
        <v>77</v>
      </c>
      <c r="G109" s="560">
        <v>1</v>
      </c>
      <c r="H109" s="563" t="s">
        <v>102</v>
      </c>
      <c r="I109" s="563" t="s">
        <v>103</v>
      </c>
      <c r="J109" s="629">
        <v>4</v>
      </c>
      <c r="K109" s="554">
        <v>17697</v>
      </c>
      <c r="L109" s="645">
        <v>24</v>
      </c>
      <c r="M109" s="552">
        <f t="shared" si="24"/>
        <v>1.3333333333333333</v>
      </c>
      <c r="N109" s="1601" t="s">
        <v>112</v>
      </c>
      <c r="O109" s="1602">
        <v>3.71</v>
      </c>
      <c r="P109" s="556">
        <v>0</v>
      </c>
      <c r="Q109" s="556">
        <f>'расчеты к штатному '!Q113</f>
        <v>47192</v>
      </c>
      <c r="R109" s="568"/>
      <c r="S109" s="554"/>
      <c r="T109" s="554">
        <v>0.1</v>
      </c>
      <c r="U109" s="556">
        <f t="shared" si="25"/>
        <v>4719.2</v>
      </c>
      <c r="V109" s="19"/>
      <c r="W109" s="552"/>
      <c r="X109" s="559">
        <f t="shared" si="26"/>
        <v>51911.199999999997</v>
      </c>
      <c r="Y109" s="10">
        <f>V108+R108</f>
        <v>0</v>
      </c>
      <c r="Z109" s="10">
        <f>W108+S108</f>
        <v>0</v>
      </c>
      <c r="AA109" s="23">
        <f>X108*12</f>
        <v>1049255.1299999999</v>
      </c>
      <c r="AB109" s="24">
        <f t="shared" si="21"/>
        <v>166945.92362768494</v>
      </c>
      <c r="AC109" s="24">
        <f t="shared" si="22"/>
        <v>1311568.9124999999</v>
      </c>
      <c r="AD109" s="24">
        <f t="shared" si="23"/>
        <v>208682.40453460618</v>
      </c>
      <c r="AK109" s="23"/>
      <c r="AL109" s="23"/>
      <c r="AM109" s="23"/>
      <c r="AN109" s="23"/>
      <c r="AO109" s="23"/>
      <c r="AP109" s="23"/>
      <c r="AQ109" s="23"/>
    </row>
    <row r="110" spans="1:69" s="24" customFormat="1" ht="16.5" customHeight="1">
      <c r="A110" s="547">
        <v>10</v>
      </c>
      <c r="B110" s="998" t="s">
        <v>803</v>
      </c>
      <c r="C110" s="873" t="s">
        <v>99</v>
      </c>
      <c r="D110" s="1002" t="s">
        <v>25</v>
      </c>
      <c r="E110" s="1586" t="s">
        <v>807</v>
      </c>
      <c r="F110" s="1586" t="s">
        <v>34</v>
      </c>
      <c r="G110" s="547">
        <v>1</v>
      </c>
      <c r="H110" s="563" t="s">
        <v>102</v>
      </c>
      <c r="I110" s="563" t="s">
        <v>103</v>
      </c>
      <c r="J110" s="581">
        <v>1</v>
      </c>
      <c r="K110" s="554">
        <v>17697</v>
      </c>
      <c r="L110" s="1540">
        <v>6</v>
      </c>
      <c r="M110" s="552">
        <f t="shared" si="24"/>
        <v>0.33333333333333331</v>
      </c>
      <c r="N110" s="698" t="s">
        <v>152</v>
      </c>
      <c r="O110" s="1157">
        <v>4.75</v>
      </c>
      <c r="P110" s="556">
        <v>0</v>
      </c>
      <c r="Q110" s="556">
        <f>'расчеты к штатному '!Q114</f>
        <v>9340.0833333333339</v>
      </c>
      <c r="R110" s="1538"/>
      <c r="S110" s="700"/>
      <c r="T110" s="554">
        <v>0.1</v>
      </c>
      <c r="U110" s="556">
        <f t="shared" si="25"/>
        <v>934.00833333333344</v>
      </c>
      <c r="V110" s="1541"/>
      <c r="W110" s="552"/>
      <c r="X110" s="559">
        <f t="shared" si="26"/>
        <v>10274.091666666667</v>
      </c>
      <c r="Y110" s="1547"/>
      <c r="Z110" s="1547"/>
      <c r="AA110" s="23"/>
      <c r="AK110" s="23"/>
      <c r="AL110" s="23"/>
      <c r="AM110" s="23"/>
      <c r="AN110" s="23"/>
      <c r="AO110" s="23"/>
      <c r="AP110" s="23"/>
      <c r="AQ110" s="23"/>
    </row>
    <row r="111" spans="1:69" s="24" customFormat="1" ht="17.25" customHeight="1">
      <c r="A111" s="547">
        <v>11</v>
      </c>
      <c r="B111" s="647" t="s">
        <v>272</v>
      </c>
      <c r="C111" s="647" t="s">
        <v>617</v>
      </c>
      <c r="D111" s="628" t="s">
        <v>25</v>
      </c>
      <c r="E111" s="586" t="s">
        <v>685</v>
      </c>
      <c r="F111" s="582" t="s">
        <v>434</v>
      </c>
      <c r="G111" s="560">
        <v>1</v>
      </c>
      <c r="H111" s="563" t="s">
        <v>102</v>
      </c>
      <c r="I111" s="563" t="s">
        <v>103</v>
      </c>
      <c r="J111" s="629">
        <v>1</v>
      </c>
      <c r="K111" s="554">
        <v>17697</v>
      </c>
      <c r="L111" s="645">
        <v>32</v>
      </c>
      <c r="M111" s="552">
        <f t="shared" si="24"/>
        <v>1.7777777777777777</v>
      </c>
      <c r="N111" s="574" t="s">
        <v>152</v>
      </c>
      <c r="O111" s="1598">
        <v>4.6900000000000004</v>
      </c>
      <c r="P111" s="556">
        <v>0</v>
      </c>
      <c r="Q111" s="556">
        <f>'расчеты к штатному '!Q115</f>
        <v>82998.930000000008</v>
      </c>
      <c r="R111" s="568"/>
      <c r="S111" s="554"/>
      <c r="T111" s="554">
        <v>0.1</v>
      </c>
      <c r="U111" s="556">
        <f t="shared" si="25"/>
        <v>8299.8930000000018</v>
      </c>
      <c r="V111" s="19"/>
      <c r="W111" s="552"/>
      <c r="X111" s="559">
        <f t="shared" si="26"/>
        <v>91298.823000000004</v>
      </c>
      <c r="Y111" s="10">
        <f>V109+R109</f>
        <v>0</v>
      </c>
      <c r="Z111" s="10">
        <f>W109+S109</f>
        <v>0</v>
      </c>
      <c r="AA111" s="23">
        <f>X109*12</f>
        <v>622934.39999999991</v>
      </c>
      <c r="AB111" s="24">
        <f>AA111/12/29.33*56</f>
        <v>99114.463007159895</v>
      </c>
      <c r="AC111" s="24">
        <f>AA111*1.25</f>
        <v>778667.99999999988</v>
      </c>
      <c r="AD111" s="24">
        <f>AC111/12/29.33*56</f>
        <v>123893.07875894987</v>
      </c>
      <c r="AK111" s="23"/>
      <c r="AL111" s="23"/>
      <c r="AM111" s="23"/>
      <c r="AN111" s="23"/>
      <c r="AO111" s="23"/>
      <c r="AP111" s="23"/>
      <c r="AQ111" s="23"/>
    </row>
    <row r="112" spans="1:69" s="24" customFormat="1" ht="17.25" customHeight="1">
      <c r="A112" s="547">
        <v>12</v>
      </c>
      <c r="B112" s="646" t="s">
        <v>274</v>
      </c>
      <c r="C112" s="647" t="s">
        <v>99</v>
      </c>
      <c r="D112" s="628" t="s">
        <v>25</v>
      </c>
      <c r="E112" s="586" t="s">
        <v>686</v>
      </c>
      <c r="F112" s="562" t="s">
        <v>239</v>
      </c>
      <c r="G112" s="560">
        <v>1</v>
      </c>
      <c r="H112" s="563" t="s">
        <v>102</v>
      </c>
      <c r="I112" s="563" t="s">
        <v>103</v>
      </c>
      <c r="J112" s="629">
        <v>2</v>
      </c>
      <c r="K112" s="554">
        <v>17697</v>
      </c>
      <c r="L112" s="645">
        <v>23</v>
      </c>
      <c r="M112" s="552">
        <f t="shared" si="24"/>
        <v>1.2777777777777777</v>
      </c>
      <c r="N112" s="698" t="s">
        <v>104</v>
      </c>
      <c r="O112" s="1598">
        <v>4.2300000000000004</v>
      </c>
      <c r="P112" s="556">
        <v>0</v>
      </c>
      <c r="Q112" s="556">
        <f>'расчеты к штатному '!Q116</f>
        <v>50765.810833333329</v>
      </c>
      <c r="R112" s="568"/>
      <c r="S112" s="554"/>
      <c r="T112" s="554">
        <v>0.1</v>
      </c>
      <c r="U112" s="556">
        <f t="shared" si="25"/>
        <v>5076.5810833333335</v>
      </c>
      <c r="V112" s="19"/>
      <c r="W112" s="552"/>
      <c r="X112" s="559">
        <f t="shared" si="26"/>
        <v>55842.39191666666</v>
      </c>
      <c r="Y112" s="10"/>
      <c r="Z112" s="10"/>
      <c r="AA112" s="23">
        <f>X111*12</f>
        <v>1095585.8760000002</v>
      </c>
      <c r="AB112" s="24">
        <f t="shared" si="21"/>
        <v>174317.56181384253</v>
      </c>
      <c r="AC112" s="24">
        <f t="shared" si="22"/>
        <v>1369482.3450000002</v>
      </c>
      <c r="AD112" s="24">
        <f t="shared" si="23"/>
        <v>217896.95226730313</v>
      </c>
      <c r="AK112" s="23"/>
      <c r="AL112" s="23"/>
      <c r="AM112" s="23"/>
      <c r="AN112" s="23"/>
      <c r="AO112" s="23"/>
      <c r="AP112" s="23"/>
      <c r="AQ112" s="23"/>
    </row>
    <row r="113" spans="1:69" s="24" customFormat="1" ht="17.25" customHeight="1">
      <c r="A113" s="547">
        <v>13</v>
      </c>
      <c r="B113" s="646" t="s">
        <v>420</v>
      </c>
      <c r="C113" s="647" t="s">
        <v>99</v>
      </c>
      <c r="D113" s="628" t="s">
        <v>25</v>
      </c>
      <c r="E113" s="586" t="s">
        <v>687</v>
      </c>
      <c r="F113" s="562" t="s">
        <v>239</v>
      </c>
      <c r="G113" s="560">
        <v>1</v>
      </c>
      <c r="H113" s="563" t="s">
        <v>102</v>
      </c>
      <c r="I113" s="563" t="s">
        <v>103</v>
      </c>
      <c r="J113" s="629">
        <v>3</v>
      </c>
      <c r="K113" s="554">
        <v>17697</v>
      </c>
      <c r="L113" s="645">
        <v>20</v>
      </c>
      <c r="M113" s="552">
        <f t="shared" si="24"/>
        <v>1.1111111111111112</v>
      </c>
      <c r="N113" s="1601" t="s">
        <v>109</v>
      </c>
      <c r="O113" s="1598">
        <v>4.21</v>
      </c>
      <c r="P113" s="556">
        <v>0</v>
      </c>
      <c r="Q113" s="556">
        <f>'расчеты к штатному '!Q117</f>
        <v>49669.579999999994</v>
      </c>
      <c r="R113" s="568"/>
      <c r="S113" s="554"/>
      <c r="T113" s="554">
        <v>0.1</v>
      </c>
      <c r="U113" s="556">
        <f t="shared" si="25"/>
        <v>4966.9579999999996</v>
      </c>
      <c r="V113" s="19"/>
      <c r="W113" s="552"/>
      <c r="X113" s="559">
        <f t="shared" si="26"/>
        <v>54636.537999999993</v>
      </c>
      <c r="Y113" s="10">
        <f t="shared" ref="Y113:Z115" si="27">V112+R112</f>
        <v>0</v>
      </c>
      <c r="Z113" s="10">
        <f t="shared" si="27"/>
        <v>0</v>
      </c>
      <c r="AA113" s="23">
        <f>X112*12</f>
        <v>670108.70299999998</v>
      </c>
      <c r="AB113" s="24">
        <f>AA113/12/29.33*56</f>
        <v>106620.3186953063</v>
      </c>
      <c r="AC113" s="24">
        <f>AA113*1.25</f>
        <v>837635.87874999992</v>
      </c>
      <c r="AD113" s="24">
        <f>AC113/12/29.33*56</f>
        <v>133275.39836913283</v>
      </c>
      <c r="AK113" s="23"/>
      <c r="AL113" s="23"/>
      <c r="AM113" s="23"/>
      <c r="AN113" s="23"/>
      <c r="AO113" s="23"/>
      <c r="AP113" s="23"/>
      <c r="AQ113" s="23"/>
    </row>
    <row r="114" spans="1:69" s="24" customFormat="1" ht="17.25" customHeight="1">
      <c r="A114" s="547">
        <v>14</v>
      </c>
      <c r="B114" s="153" t="s">
        <v>175</v>
      </c>
      <c r="C114" s="647" t="s">
        <v>617</v>
      </c>
      <c r="D114" s="563" t="s">
        <v>25</v>
      </c>
      <c r="E114" s="562" t="s">
        <v>737</v>
      </c>
      <c r="F114" s="562" t="s">
        <v>114</v>
      </c>
      <c r="G114" s="560">
        <v>1</v>
      </c>
      <c r="H114" s="563" t="s">
        <v>102</v>
      </c>
      <c r="I114" s="563" t="s">
        <v>103</v>
      </c>
      <c r="J114" s="564">
        <v>1</v>
      </c>
      <c r="K114" s="554">
        <v>17697</v>
      </c>
      <c r="L114" s="645">
        <v>16</v>
      </c>
      <c r="M114" s="552">
        <f t="shared" si="24"/>
        <v>0.88888888888888884</v>
      </c>
      <c r="N114" s="574" t="s">
        <v>152</v>
      </c>
      <c r="O114" s="1014">
        <v>4.75</v>
      </c>
      <c r="P114" s="556">
        <v>0</v>
      </c>
      <c r="Q114" s="556" t="e">
        <f>'расчеты к штатному '!#REF!</f>
        <v>#REF!</v>
      </c>
      <c r="R114" s="568"/>
      <c r="S114" s="554"/>
      <c r="T114" s="554">
        <v>0.1</v>
      </c>
      <c r="U114" s="556" t="e">
        <f t="shared" si="25"/>
        <v>#REF!</v>
      </c>
      <c r="V114" s="19"/>
      <c r="W114" s="552"/>
      <c r="X114" s="559" t="e">
        <f t="shared" si="26"/>
        <v>#REF!</v>
      </c>
      <c r="Y114" s="10">
        <f t="shared" si="27"/>
        <v>0</v>
      </c>
      <c r="Z114" s="10">
        <f t="shared" si="27"/>
        <v>0</v>
      </c>
      <c r="AA114" s="23">
        <f>X113*12</f>
        <v>655638.45599999989</v>
      </c>
      <c r="AB114" s="24">
        <f>AA114/12/29.33*56</f>
        <v>104317.97231503579</v>
      </c>
      <c r="AC114" s="24">
        <f>AA114*1.25</f>
        <v>819548.06999999983</v>
      </c>
      <c r="AD114" s="24">
        <f>AC114/12/29.33*56</f>
        <v>130397.46539379473</v>
      </c>
      <c r="AK114" s="23"/>
      <c r="AL114" s="23"/>
      <c r="AM114" s="23"/>
      <c r="AN114" s="23"/>
      <c r="AO114" s="23"/>
      <c r="AP114" s="23"/>
      <c r="AQ114" s="23"/>
    </row>
    <row r="115" spans="1:69" s="24" customFormat="1" ht="17.25" customHeight="1">
      <c r="A115" s="547">
        <v>15</v>
      </c>
      <c r="B115" s="647" t="s">
        <v>281</v>
      </c>
      <c r="C115" s="647" t="s">
        <v>99</v>
      </c>
      <c r="D115" s="628" t="s">
        <v>25</v>
      </c>
      <c r="E115" s="586" t="s">
        <v>694</v>
      </c>
      <c r="F115" s="562" t="s">
        <v>40</v>
      </c>
      <c r="G115" s="560">
        <v>1</v>
      </c>
      <c r="H115" s="563" t="s">
        <v>102</v>
      </c>
      <c r="I115" s="563" t="s">
        <v>103</v>
      </c>
      <c r="J115" s="1603">
        <v>1</v>
      </c>
      <c r="K115" s="554">
        <v>17697</v>
      </c>
      <c r="L115" s="645">
        <v>12</v>
      </c>
      <c r="M115" s="552">
        <f t="shared" si="24"/>
        <v>0.66666666666666663</v>
      </c>
      <c r="N115" s="574" t="s">
        <v>152</v>
      </c>
      <c r="O115" s="1598">
        <v>4.75</v>
      </c>
      <c r="P115" s="556">
        <v>0</v>
      </c>
      <c r="Q115" s="556">
        <f>'расчеты к штатному '!Q118</f>
        <v>28020.25</v>
      </c>
      <c r="R115" s="568"/>
      <c r="S115" s="554"/>
      <c r="T115" s="554">
        <v>0.1</v>
      </c>
      <c r="U115" s="556">
        <f t="shared" si="25"/>
        <v>2802.0250000000001</v>
      </c>
      <c r="V115" s="19"/>
      <c r="W115" s="552"/>
      <c r="X115" s="559">
        <f t="shared" si="26"/>
        <v>30822.275000000001</v>
      </c>
      <c r="Y115" s="7">
        <f t="shared" si="27"/>
        <v>0</v>
      </c>
      <c r="Z115" s="7">
        <f t="shared" si="27"/>
        <v>0</v>
      </c>
      <c r="AA115" s="23" t="e">
        <f>X114*12</f>
        <v>#REF!</v>
      </c>
      <c r="AB115" s="24" t="e">
        <f t="shared" si="21"/>
        <v>#REF!</v>
      </c>
      <c r="AC115" s="24" t="e">
        <f t="shared" si="22"/>
        <v>#REF!</v>
      </c>
      <c r="AD115" s="24" t="e">
        <f t="shared" si="23"/>
        <v>#REF!</v>
      </c>
      <c r="AK115" s="23"/>
      <c r="AL115" s="23"/>
      <c r="AM115" s="23"/>
      <c r="AN115" s="23"/>
      <c r="AO115" s="23"/>
      <c r="AP115" s="23"/>
      <c r="AQ115" s="23"/>
    </row>
    <row r="116" spans="1:69" s="24" customFormat="1" ht="17.25" customHeight="1">
      <c r="A116" s="547">
        <v>16</v>
      </c>
      <c r="B116" s="692" t="s">
        <v>762</v>
      </c>
      <c r="C116" s="692" t="s">
        <v>763</v>
      </c>
      <c r="D116" s="1002" t="s">
        <v>152</v>
      </c>
      <c r="E116" s="1599" t="s">
        <v>764</v>
      </c>
      <c r="F116" s="1539" t="s">
        <v>367</v>
      </c>
      <c r="G116" s="874"/>
      <c r="H116" s="563" t="s">
        <v>102</v>
      </c>
      <c r="I116" s="563" t="s">
        <v>103</v>
      </c>
      <c r="J116" s="1603">
        <v>3</v>
      </c>
      <c r="K116" s="554">
        <v>17697</v>
      </c>
      <c r="L116" s="645">
        <v>26</v>
      </c>
      <c r="M116" s="552">
        <f t="shared" si="24"/>
        <v>1.4444444444444444</v>
      </c>
      <c r="N116" s="1604" t="s">
        <v>109</v>
      </c>
      <c r="O116" s="1605">
        <v>4.3600000000000003</v>
      </c>
      <c r="P116" s="556">
        <v>0</v>
      </c>
      <c r="Q116" s="556">
        <f>'расчеты к штатному '!Q123</f>
        <v>68585.70666666668</v>
      </c>
      <c r="R116" s="1538"/>
      <c r="S116" s="700"/>
      <c r="T116" s="554">
        <v>0.1</v>
      </c>
      <c r="U116" s="556">
        <f>(P116+Q116)*T116</f>
        <v>6858.5706666666683</v>
      </c>
      <c r="V116" s="1541"/>
      <c r="W116" s="552"/>
      <c r="X116" s="559">
        <f t="shared" si="26"/>
        <v>75444.277333333346</v>
      </c>
      <c r="Y116" s="7"/>
      <c r="Z116" s="7"/>
      <c r="AA116" s="23">
        <f>X115*12</f>
        <v>369867.30000000005</v>
      </c>
      <c r="AB116" s="24">
        <f t="shared" si="21"/>
        <v>58849.212410501212</v>
      </c>
      <c r="AC116" s="24">
        <f t="shared" si="22"/>
        <v>462334.12500000006</v>
      </c>
      <c r="AD116" s="24">
        <f t="shared" si="23"/>
        <v>73561.515513126506</v>
      </c>
      <c r="AK116" s="23"/>
      <c r="AL116" s="23"/>
      <c r="AM116" s="23"/>
      <c r="AN116" s="23"/>
      <c r="AO116" s="23"/>
      <c r="AP116" s="23"/>
      <c r="AQ116" s="23"/>
    </row>
    <row r="117" spans="1:69" s="24" customFormat="1" ht="17.25" customHeight="1">
      <c r="A117" s="547">
        <v>17</v>
      </c>
      <c r="B117" s="647" t="s">
        <v>282</v>
      </c>
      <c r="C117" s="647" t="s">
        <v>617</v>
      </c>
      <c r="D117" s="628" t="s">
        <v>25</v>
      </c>
      <c r="E117" s="586" t="s">
        <v>699</v>
      </c>
      <c r="F117" s="562" t="s">
        <v>40</v>
      </c>
      <c r="G117" s="560">
        <v>1</v>
      </c>
      <c r="H117" s="563" t="s">
        <v>102</v>
      </c>
      <c r="I117" s="563" t="s">
        <v>103</v>
      </c>
      <c r="J117" s="1603">
        <v>1</v>
      </c>
      <c r="K117" s="554">
        <v>17697</v>
      </c>
      <c r="L117" s="645">
        <v>34</v>
      </c>
      <c r="M117" s="552">
        <f t="shared" si="24"/>
        <v>1.8888888888888888</v>
      </c>
      <c r="N117" s="574" t="s">
        <v>152</v>
      </c>
      <c r="O117" s="1598">
        <v>4.75</v>
      </c>
      <c r="P117" s="556">
        <v>0</v>
      </c>
      <c r="Q117" s="556">
        <f>'расчеты к штатному '!Q119</f>
        <v>84060.75</v>
      </c>
      <c r="R117" s="568"/>
      <c r="S117" s="554"/>
      <c r="T117" s="554">
        <v>0.1</v>
      </c>
      <c r="U117" s="556">
        <f t="shared" si="25"/>
        <v>8406.0750000000007</v>
      </c>
      <c r="V117" s="19"/>
      <c r="W117" s="552"/>
      <c r="X117" s="559">
        <f t="shared" si="26"/>
        <v>92466.824999999997</v>
      </c>
      <c r="Y117" s="1547"/>
      <c r="Z117" s="1547"/>
      <c r="AA117" s="23"/>
      <c r="AK117" s="23"/>
      <c r="AL117" s="23"/>
      <c r="AM117" s="23"/>
      <c r="AN117" s="23"/>
      <c r="AO117" s="23"/>
      <c r="AP117" s="23"/>
      <c r="AQ117" s="23"/>
    </row>
    <row r="118" spans="1:69" s="24" customFormat="1" ht="16.5" customHeight="1">
      <c r="A118" s="547">
        <v>18</v>
      </c>
      <c r="B118" s="647" t="s">
        <v>392</v>
      </c>
      <c r="C118" s="647" t="s">
        <v>99</v>
      </c>
      <c r="D118" s="628" t="s">
        <v>25</v>
      </c>
      <c r="E118" s="586" t="s">
        <v>700</v>
      </c>
      <c r="F118" s="582" t="s">
        <v>434</v>
      </c>
      <c r="G118" s="560">
        <v>1</v>
      </c>
      <c r="H118" s="563" t="s">
        <v>102</v>
      </c>
      <c r="I118" s="563" t="s">
        <v>103</v>
      </c>
      <c r="J118" s="1584">
        <v>2</v>
      </c>
      <c r="K118" s="554">
        <v>17697</v>
      </c>
      <c r="L118" s="645">
        <v>24</v>
      </c>
      <c r="M118" s="552">
        <f t="shared" si="24"/>
        <v>1.3333333333333333</v>
      </c>
      <c r="N118" s="698" t="s">
        <v>104</v>
      </c>
      <c r="O118" s="1602">
        <v>4.4400000000000004</v>
      </c>
      <c r="P118" s="556">
        <v>0</v>
      </c>
      <c r="Q118" s="556">
        <f>'расчеты к штатному '!Q120</f>
        <v>48017.86</v>
      </c>
      <c r="R118" s="568"/>
      <c r="S118" s="554"/>
      <c r="T118" s="554">
        <v>0.1</v>
      </c>
      <c r="U118" s="556">
        <f t="shared" si="25"/>
        <v>4801.7860000000001</v>
      </c>
      <c r="V118" s="19"/>
      <c r="W118" s="552"/>
      <c r="X118" s="559">
        <f t="shared" si="26"/>
        <v>52819.646000000001</v>
      </c>
      <c r="Y118" s="7">
        <f>V117+R117</f>
        <v>0</v>
      </c>
      <c r="Z118" s="7">
        <f>W117+S117</f>
        <v>0</v>
      </c>
      <c r="AA118" s="23">
        <f>X117*12</f>
        <v>1109601.8999999999</v>
      </c>
      <c r="AB118" s="24">
        <f t="shared" si="21"/>
        <v>176547.63723150358</v>
      </c>
      <c r="AC118" s="24">
        <f t="shared" si="22"/>
        <v>1387002.375</v>
      </c>
      <c r="AD118" s="24">
        <f t="shared" si="23"/>
        <v>220684.54653937949</v>
      </c>
      <c r="AK118" s="23"/>
      <c r="AL118" s="23"/>
      <c r="AM118" s="23"/>
      <c r="AN118" s="23"/>
      <c r="AO118" s="23"/>
      <c r="AP118" s="23"/>
      <c r="AQ118" s="23"/>
    </row>
    <row r="119" spans="1:69" s="24" customFormat="1" ht="17.25" customHeight="1">
      <c r="A119" s="547">
        <v>19</v>
      </c>
      <c r="B119" s="647" t="s">
        <v>184</v>
      </c>
      <c r="C119" s="647" t="s">
        <v>99</v>
      </c>
      <c r="D119" s="628" t="s">
        <v>25</v>
      </c>
      <c r="E119" s="586" t="s">
        <v>265</v>
      </c>
      <c r="F119" s="562" t="s">
        <v>40</v>
      </c>
      <c r="G119" s="560">
        <v>1</v>
      </c>
      <c r="H119" s="563" t="s">
        <v>102</v>
      </c>
      <c r="I119" s="563" t="s">
        <v>103</v>
      </c>
      <c r="J119" s="629">
        <v>1</v>
      </c>
      <c r="K119" s="554">
        <v>17697</v>
      </c>
      <c r="L119" s="645">
        <v>4</v>
      </c>
      <c r="M119" s="552">
        <f t="shared" si="24"/>
        <v>0.22222222222222221</v>
      </c>
      <c r="N119" s="574" t="s">
        <v>152</v>
      </c>
      <c r="O119" s="1600">
        <v>4.75</v>
      </c>
      <c r="P119" s="556">
        <v>0</v>
      </c>
      <c r="Q119" s="556">
        <f>'расчеты к штатному '!Q121</f>
        <v>9340.0833333333339</v>
      </c>
      <c r="R119" s="1538"/>
      <c r="S119" s="700"/>
      <c r="T119" s="700">
        <v>0.1</v>
      </c>
      <c r="U119" s="556">
        <f t="shared" si="25"/>
        <v>934.00833333333344</v>
      </c>
      <c r="V119" s="1541"/>
      <c r="W119" s="552"/>
      <c r="X119" s="559">
        <f t="shared" si="26"/>
        <v>10274.091666666667</v>
      </c>
      <c r="Y119" s="7">
        <f>V118+R118</f>
        <v>0</v>
      </c>
      <c r="Z119" s="7">
        <f>W118+S118</f>
        <v>0</v>
      </c>
      <c r="AA119" s="23">
        <f>X118*12</f>
        <v>633835.75199999998</v>
      </c>
      <c r="AB119" s="24">
        <f>AA119/12/29.33*56</f>
        <v>100848.96610978521</v>
      </c>
      <c r="AC119" s="24">
        <f>AA119*1.25</f>
        <v>792294.69</v>
      </c>
      <c r="AD119" s="24">
        <f>AC119/12/29.33*56</f>
        <v>126061.20763723151</v>
      </c>
      <c r="AK119" s="23"/>
      <c r="AL119" s="23"/>
      <c r="AM119" s="23"/>
      <c r="AN119" s="23"/>
      <c r="AO119" s="23"/>
      <c r="AP119" s="23"/>
      <c r="AQ119" s="23"/>
    </row>
    <row r="120" spans="1:69" s="24" customFormat="1" ht="17.25" customHeight="1">
      <c r="A120" s="547">
        <v>20</v>
      </c>
      <c r="B120" s="692" t="s">
        <v>706</v>
      </c>
      <c r="C120" s="692" t="s">
        <v>99</v>
      </c>
      <c r="D120" s="1002" t="s">
        <v>75</v>
      </c>
      <c r="E120" s="1599" t="s">
        <v>707</v>
      </c>
      <c r="F120" s="1539" t="s">
        <v>159</v>
      </c>
      <c r="G120" s="874">
        <v>1</v>
      </c>
      <c r="H120" s="1002" t="s">
        <v>102</v>
      </c>
      <c r="I120" s="563" t="s">
        <v>118</v>
      </c>
      <c r="J120" s="1603">
        <v>4</v>
      </c>
      <c r="K120" s="554">
        <v>17697</v>
      </c>
      <c r="L120" s="645">
        <v>15</v>
      </c>
      <c r="M120" s="552">
        <f t="shared" si="24"/>
        <v>0.83333333333333337</v>
      </c>
      <c r="N120" s="1601" t="s">
        <v>112</v>
      </c>
      <c r="O120" s="1605">
        <v>3.32</v>
      </c>
      <c r="P120" s="556">
        <v>0</v>
      </c>
      <c r="Q120" s="556">
        <f>'расчеты к штатному '!Q122</f>
        <v>27061.662499999999</v>
      </c>
      <c r="R120" s="1538"/>
      <c r="S120" s="700"/>
      <c r="T120" s="554">
        <v>0.1</v>
      </c>
      <c r="U120" s="556">
        <f>(P120+Q120)*T120</f>
        <v>2706.1662500000002</v>
      </c>
      <c r="V120" s="1541"/>
      <c r="W120" s="552"/>
      <c r="X120" s="559">
        <f t="shared" si="26"/>
        <v>29767.828750000001</v>
      </c>
      <c r="Y120" s="882"/>
      <c r="Z120" s="882"/>
      <c r="AA120" s="23">
        <f>X119*12</f>
        <v>123289.1</v>
      </c>
      <c r="AB120" s="24">
        <f t="shared" si="21"/>
        <v>19616.404136833735</v>
      </c>
      <c r="AC120" s="24">
        <f t="shared" si="22"/>
        <v>154111.375</v>
      </c>
      <c r="AD120" s="24">
        <f t="shared" si="23"/>
        <v>24520.505171042169</v>
      </c>
      <c r="AK120" s="23"/>
      <c r="AL120" s="23"/>
      <c r="AM120" s="23"/>
      <c r="AN120" s="23"/>
      <c r="AO120" s="23"/>
      <c r="AP120" s="23"/>
      <c r="AQ120" s="23"/>
    </row>
    <row r="121" spans="1:69" s="24" customFormat="1" ht="17.25" customHeight="1">
      <c r="A121" s="547">
        <v>21</v>
      </c>
      <c r="B121" s="647" t="s">
        <v>287</v>
      </c>
      <c r="C121" s="647" t="s">
        <v>99</v>
      </c>
      <c r="D121" s="628" t="s">
        <v>25</v>
      </c>
      <c r="E121" s="586" t="s">
        <v>711</v>
      </c>
      <c r="F121" s="562" t="s">
        <v>40</v>
      </c>
      <c r="G121" s="560">
        <v>1</v>
      </c>
      <c r="H121" s="563" t="s">
        <v>102</v>
      </c>
      <c r="I121" s="563" t="s">
        <v>103</v>
      </c>
      <c r="J121" s="1603">
        <v>1</v>
      </c>
      <c r="K121" s="554">
        <v>17697</v>
      </c>
      <c r="L121" s="645">
        <v>24</v>
      </c>
      <c r="M121" s="552">
        <f t="shared" si="24"/>
        <v>1.3333333333333333</v>
      </c>
      <c r="N121" s="574" t="s">
        <v>152</v>
      </c>
      <c r="O121" s="1598">
        <v>4.75</v>
      </c>
      <c r="P121" s="556">
        <v>0</v>
      </c>
      <c r="Q121" s="556">
        <f>'расчеты к штатному '!Q124</f>
        <v>60710.541666666672</v>
      </c>
      <c r="R121" s="568"/>
      <c r="S121" s="554"/>
      <c r="T121" s="554">
        <v>0.1</v>
      </c>
      <c r="U121" s="556">
        <f t="shared" si="25"/>
        <v>6071.0541666666677</v>
      </c>
      <c r="V121" s="19"/>
      <c r="W121" s="552"/>
      <c r="X121" s="559">
        <f t="shared" si="26"/>
        <v>66781.59583333334</v>
      </c>
      <c r="Y121" s="1547"/>
      <c r="Z121" s="1547"/>
      <c r="AA121" s="23"/>
      <c r="AK121" s="23"/>
      <c r="AL121" s="23"/>
      <c r="AM121" s="23"/>
      <c r="AN121" s="23"/>
      <c r="AO121" s="23"/>
      <c r="AP121" s="23"/>
      <c r="AQ121" s="23"/>
    </row>
    <row r="122" spans="1:69" s="24" customFormat="1" ht="17.25" customHeight="1">
      <c r="A122" s="547">
        <v>22</v>
      </c>
      <c r="B122" s="647" t="s">
        <v>289</v>
      </c>
      <c r="C122" s="647" t="s">
        <v>99</v>
      </c>
      <c r="D122" s="563" t="s">
        <v>64</v>
      </c>
      <c r="E122" s="586" t="s">
        <v>713</v>
      </c>
      <c r="F122" s="582" t="s">
        <v>77</v>
      </c>
      <c r="G122" s="560">
        <v>1</v>
      </c>
      <c r="H122" s="563" t="s">
        <v>102</v>
      </c>
      <c r="I122" s="563" t="s">
        <v>118</v>
      </c>
      <c r="J122" s="1603">
        <v>4</v>
      </c>
      <c r="K122" s="554">
        <v>17697</v>
      </c>
      <c r="L122" s="645">
        <v>18</v>
      </c>
      <c r="M122" s="552">
        <f t="shared" si="24"/>
        <v>1</v>
      </c>
      <c r="N122" s="1601" t="s">
        <v>112</v>
      </c>
      <c r="O122" s="1602">
        <v>3.45</v>
      </c>
      <c r="P122" s="556">
        <v>0</v>
      </c>
      <c r="Q122" s="556">
        <f>'расчеты к штатному '!Q125</f>
        <v>22047.512500000001</v>
      </c>
      <c r="R122" s="568"/>
      <c r="S122" s="554"/>
      <c r="T122" s="554">
        <v>0.1</v>
      </c>
      <c r="U122" s="556">
        <f t="shared" si="25"/>
        <v>2204.7512500000003</v>
      </c>
      <c r="V122" s="19"/>
      <c r="W122" s="552"/>
      <c r="X122" s="559">
        <f>P122+Q122+U122</f>
        <v>24252.263750000002</v>
      </c>
      <c r="Y122" s="7">
        <f>V121+R121</f>
        <v>0</v>
      </c>
      <c r="Z122" s="7">
        <f>W121+S121</f>
        <v>0</v>
      </c>
      <c r="AA122" s="23">
        <f>X121*12</f>
        <v>801379.15000000014</v>
      </c>
      <c r="AB122" s="24">
        <f t="shared" si="21"/>
        <v>127506.62688941928</v>
      </c>
      <c r="AC122" s="24">
        <f t="shared" si="22"/>
        <v>1001723.9375000002</v>
      </c>
      <c r="AD122" s="24">
        <f t="shared" si="23"/>
        <v>159383.2836117741</v>
      </c>
      <c r="AK122" s="23"/>
      <c r="AL122" s="23"/>
      <c r="AM122" s="23"/>
      <c r="AN122" s="23"/>
      <c r="AO122" s="23"/>
      <c r="AP122" s="23"/>
      <c r="AQ122" s="23"/>
    </row>
    <row r="123" spans="1:69" s="377" customFormat="1" ht="17.25" customHeight="1">
      <c r="A123" s="1880"/>
      <c r="B123" s="1930" t="s">
        <v>798</v>
      </c>
      <c r="C123" s="1881"/>
      <c r="D123" s="1882"/>
      <c r="E123" s="1883"/>
      <c r="F123" s="1884"/>
      <c r="G123" s="1885"/>
      <c r="H123" s="1882"/>
      <c r="I123" s="1882"/>
      <c r="J123" s="1886"/>
      <c r="K123" s="1887"/>
      <c r="L123" s="1888">
        <f>SUM(L102:L122)</f>
        <v>460</v>
      </c>
      <c r="M123" s="1889"/>
      <c r="N123" s="1890"/>
      <c r="O123" s="1891"/>
      <c r="P123" s="1892"/>
      <c r="Q123" s="1892"/>
      <c r="R123" s="1893"/>
      <c r="S123" s="1887"/>
      <c r="T123" s="1887"/>
      <c r="U123" s="1892"/>
      <c r="V123" s="1894"/>
      <c r="W123" s="1889"/>
      <c r="X123" s="1895"/>
      <c r="Y123" s="359">
        <f>V122+R122</f>
        <v>0</v>
      </c>
      <c r="Z123" s="359">
        <f>W122+S122</f>
        <v>0</v>
      </c>
      <c r="AA123" s="375">
        <f>X122*12</f>
        <v>291027.16500000004</v>
      </c>
      <c r="AB123" s="377">
        <f>AA123/12/29.33*56</f>
        <v>46305.038186157522</v>
      </c>
      <c r="AC123" s="377">
        <f>AA123*1.25</f>
        <v>363783.95625000005</v>
      </c>
      <c r="AD123" s="377">
        <f>AC123/12/29.33*56</f>
        <v>57881.297732696905</v>
      </c>
      <c r="AK123" s="23"/>
      <c r="AL123" s="23"/>
      <c r="AM123" s="23"/>
      <c r="AN123" s="23"/>
      <c r="AO123" s="23"/>
      <c r="AP123" s="23"/>
      <c r="AQ123" s="23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</row>
    <row r="124" spans="1:69" s="1346" customFormat="1" ht="17.25" customHeight="1">
      <c r="A124" s="560">
        <v>1</v>
      </c>
      <c r="B124" s="661" t="s">
        <v>516</v>
      </c>
      <c r="C124" s="647" t="s">
        <v>99</v>
      </c>
      <c r="D124" s="663" t="s">
        <v>25</v>
      </c>
      <c r="E124" s="664" t="s">
        <v>594</v>
      </c>
      <c r="F124" s="664" t="s">
        <v>40</v>
      </c>
      <c r="G124" s="177">
        <v>1</v>
      </c>
      <c r="H124" s="177" t="s">
        <v>102</v>
      </c>
      <c r="I124" s="177" t="s">
        <v>103</v>
      </c>
      <c r="J124" s="178">
        <v>1</v>
      </c>
      <c r="K124" s="554">
        <v>17697</v>
      </c>
      <c r="L124" s="665">
        <v>18</v>
      </c>
      <c r="M124" s="567">
        <f>L124/18</f>
        <v>1</v>
      </c>
      <c r="N124" s="574" t="s">
        <v>152</v>
      </c>
      <c r="O124" s="1608">
        <v>4.75</v>
      </c>
      <c r="P124" s="567">
        <v>0</v>
      </c>
      <c r="Q124" s="697">
        <f>'расчеты к штатному '!Q127</f>
        <v>39695.354166666672</v>
      </c>
      <c r="R124" s="666">
        <v>0.25</v>
      </c>
      <c r="S124" s="554">
        <f>'расчеты к штатному '!AK127</f>
        <v>0</v>
      </c>
      <c r="T124" s="554">
        <v>0.1</v>
      </c>
      <c r="U124" s="567">
        <f>(P124+Q124+S124)*T124</f>
        <v>3969.5354166666675</v>
      </c>
      <c r="V124" s="19"/>
      <c r="W124" s="554"/>
      <c r="X124" s="570">
        <f>Q124+S124+U124</f>
        <v>43664.889583333337</v>
      </c>
      <c r="Y124" s="1347"/>
      <c r="Z124" s="1347"/>
      <c r="AA124" s="1345"/>
      <c r="AK124" s="1943"/>
      <c r="AL124" s="1943"/>
      <c r="AM124" s="23"/>
      <c r="AN124" s="23"/>
      <c r="AO124" s="23"/>
      <c r="AP124" s="23"/>
      <c r="AQ124" s="23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</row>
    <row r="125" spans="1:69" s="225" customFormat="1" ht="17.25" customHeight="1">
      <c r="A125" s="560">
        <v>2</v>
      </c>
      <c r="B125" s="661" t="s">
        <v>38</v>
      </c>
      <c r="C125" s="647" t="s">
        <v>99</v>
      </c>
      <c r="D125" s="663" t="s">
        <v>25</v>
      </c>
      <c r="E125" s="664" t="s">
        <v>663</v>
      </c>
      <c r="F125" s="664" t="s">
        <v>40</v>
      </c>
      <c r="G125" s="177">
        <v>1</v>
      </c>
      <c r="H125" s="177" t="s">
        <v>102</v>
      </c>
      <c r="I125" s="177" t="s">
        <v>103</v>
      </c>
      <c r="J125" s="178">
        <v>1</v>
      </c>
      <c r="K125" s="554">
        <v>17697</v>
      </c>
      <c r="L125" s="665">
        <v>9</v>
      </c>
      <c r="M125" s="567">
        <f t="shared" ref="M125:M137" si="28">L125/18</f>
        <v>0.5</v>
      </c>
      <c r="N125" s="997" t="s">
        <v>152</v>
      </c>
      <c r="O125" s="1608">
        <v>4.75</v>
      </c>
      <c r="P125" s="567">
        <v>0</v>
      </c>
      <c r="Q125" s="697">
        <f>'расчеты к штатному '!Q128</f>
        <v>21015.1875</v>
      </c>
      <c r="R125" s="666">
        <v>0.25</v>
      </c>
      <c r="S125" s="554">
        <f>'расчеты к штатному '!AK128</f>
        <v>0</v>
      </c>
      <c r="T125" s="554">
        <v>0.1</v>
      </c>
      <c r="U125" s="567">
        <f t="shared" ref="U125:U137" si="29">(P125+Q125+S125)*T125</f>
        <v>2101.5187500000002</v>
      </c>
      <c r="V125" s="19"/>
      <c r="W125" s="554"/>
      <c r="X125" s="570">
        <f t="shared" ref="X125:X136" si="30">Q125+S125+U125</f>
        <v>23116.706249999999</v>
      </c>
      <c r="Y125" s="238"/>
      <c r="Z125" s="238"/>
      <c r="AA125" s="1370">
        <f t="shared" ref="AA125:AA132" si="31">X124*12</f>
        <v>523978.67500000005</v>
      </c>
      <c r="AB125" s="225">
        <f>AA125/12/29.33*56</f>
        <v>83369.717581543373</v>
      </c>
      <c r="AC125" s="225">
        <f>AA125*1.25</f>
        <v>654973.34375</v>
      </c>
      <c r="AD125" s="225">
        <f>AC125/12/29.33*56</f>
        <v>104212.1469769292</v>
      </c>
      <c r="AK125" s="1943"/>
      <c r="AL125" s="1943"/>
      <c r="AM125" s="23"/>
      <c r="AN125" s="23"/>
      <c r="AO125" s="23"/>
      <c r="AP125" s="23"/>
      <c r="AQ125" s="23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</row>
    <row r="126" spans="1:69" s="377" customFormat="1" ht="15.75">
      <c r="A126" s="560">
        <v>3</v>
      </c>
      <c r="B126" s="669" t="s">
        <v>306</v>
      </c>
      <c r="C126" s="647" t="s">
        <v>99</v>
      </c>
      <c r="D126" s="663" t="s">
        <v>25</v>
      </c>
      <c r="E126" s="1609" t="s">
        <v>666</v>
      </c>
      <c r="F126" s="670" t="s">
        <v>68</v>
      </c>
      <c r="G126" s="177">
        <v>1</v>
      </c>
      <c r="H126" s="177" t="s">
        <v>102</v>
      </c>
      <c r="I126" s="177" t="s">
        <v>103</v>
      </c>
      <c r="J126" s="182">
        <v>4</v>
      </c>
      <c r="K126" s="554">
        <v>17697</v>
      </c>
      <c r="L126" s="665">
        <v>31</v>
      </c>
      <c r="M126" s="567">
        <f t="shared" si="28"/>
        <v>1.7222222222222223</v>
      </c>
      <c r="N126" s="997" t="s">
        <v>112</v>
      </c>
      <c r="O126" s="1610">
        <v>3.64</v>
      </c>
      <c r="P126" s="567">
        <v>0</v>
      </c>
      <c r="Q126" s="697">
        <f>'расчеты к штатному '!Q129</f>
        <v>55470.263333333336</v>
      </c>
      <c r="R126" s="666">
        <v>0.25</v>
      </c>
      <c r="S126" s="554">
        <f>'расчеты к штатному '!AK129</f>
        <v>0</v>
      </c>
      <c r="T126" s="554">
        <v>0.1</v>
      </c>
      <c r="U126" s="567">
        <f t="shared" si="29"/>
        <v>5547.0263333333342</v>
      </c>
      <c r="V126" s="19"/>
      <c r="W126" s="554"/>
      <c r="X126" s="570">
        <f t="shared" si="30"/>
        <v>61017.289666666671</v>
      </c>
      <c r="Y126" s="406">
        <f>V125+T125+R125</f>
        <v>0.35</v>
      </c>
      <c r="Z126" s="406">
        <f>W125+U125+S125</f>
        <v>2101.5187500000002</v>
      </c>
      <c r="AA126" s="375">
        <f t="shared" si="31"/>
        <v>277400.47499999998</v>
      </c>
      <c r="AB126" s="377">
        <f>AA126/12/29.33*56</f>
        <v>44136.909307875896</v>
      </c>
      <c r="AC126" s="377">
        <f>AA126*1.25</f>
        <v>346750.59375</v>
      </c>
      <c r="AD126" s="377">
        <f>AC126/12/29.33*56</f>
        <v>55171.136634844872</v>
      </c>
      <c r="AK126" s="1943"/>
      <c r="AL126" s="1943"/>
      <c r="AM126" s="23"/>
      <c r="AN126" s="23"/>
      <c r="AO126" s="23"/>
      <c r="AP126" s="23"/>
      <c r="AQ126" s="23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</row>
    <row r="127" spans="1:69" s="377" customFormat="1" ht="17.25" customHeight="1">
      <c r="A127" s="560">
        <v>4</v>
      </c>
      <c r="B127" s="661" t="s">
        <v>309</v>
      </c>
      <c r="C127" s="647" t="s">
        <v>99</v>
      </c>
      <c r="D127" s="663" t="s">
        <v>25</v>
      </c>
      <c r="E127" s="664" t="s">
        <v>668</v>
      </c>
      <c r="F127" s="664" t="s">
        <v>40</v>
      </c>
      <c r="G127" s="177">
        <v>1</v>
      </c>
      <c r="H127" s="177" t="s">
        <v>102</v>
      </c>
      <c r="I127" s="177" t="s">
        <v>103</v>
      </c>
      <c r="J127" s="178">
        <v>1</v>
      </c>
      <c r="K127" s="554">
        <v>17697</v>
      </c>
      <c r="L127" s="665">
        <v>24</v>
      </c>
      <c r="M127" s="567">
        <f t="shared" si="28"/>
        <v>1.3333333333333333</v>
      </c>
      <c r="N127" s="997" t="s">
        <v>152</v>
      </c>
      <c r="O127" s="1608">
        <v>4.75</v>
      </c>
      <c r="P127" s="567">
        <v>0</v>
      </c>
      <c r="Q127" s="697">
        <f>'расчеты к штатному '!Q130</f>
        <v>56040.5</v>
      </c>
      <c r="R127" s="666">
        <v>0.25</v>
      </c>
      <c r="S127" s="554">
        <f>'расчеты к штатному '!AK130</f>
        <v>0</v>
      </c>
      <c r="T127" s="554">
        <v>0.1</v>
      </c>
      <c r="U127" s="567">
        <f t="shared" si="29"/>
        <v>5604.05</v>
      </c>
      <c r="V127" s="19"/>
      <c r="W127" s="554"/>
      <c r="X127" s="570">
        <f t="shared" si="30"/>
        <v>61644.55</v>
      </c>
      <c r="Y127" s="406">
        <f>V126+R126</f>
        <v>0.25</v>
      </c>
      <c r="Z127" s="406">
        <f>W126+S126</f>
        <v>0</v>
      </c>
      <c r="AA127" s="375">
        <f t="shared" si="31"/>
        <v>732207.47600000002</v>
      </c>
      <c r="AB127" s="377">
        <f>AA127/12/29.33*56</f>
        <v>116500.79172633257</v>
      </c>
      <c r="AC127" s="377">
        <f>AA127*1.25</f>
        <v>915259.34499999997</v>
      </c>
      <c r="AD127" s="377">
        <f>AC127/12/29.33*56</f>
        <v>145625.98965791566</v>
      </c>
      <c r="AK127" s="1943"/>
      <c r="AL127" s="1943"/>
      <c r="AM127" s="23"/>
      <c r="AN127" s="23"/>
      <c r="AO127" s="23"/>
      <c r="AP127" s="23"/>
      <c r="AQ127" s="23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</row>
    <row r="128" spans="1:69" s="377" customFormat="1" ht="22.5" customHeight="1">
      <c r="A128" s="560">
        <v>5</v>
      </c>
      <c r="B128" s="153" t="s">
        <v>145</v>
      </c>
      <c r="C128" s="561" t="s">
        <v>99</v>
      </c>
      <c r="D128" s="563" t="s">
        <v>25</v>
      </c>
      <c r="E128" s="562" t="s">
        <v>672</v>
      </c>
      <c r="F128" s="562" t="s">
        <v>476</v>
      </c>
      <c r="G128" s="547">
        <v>1</v>
      </c>
      <c r="H128" s="563" t="s">
        <v>102</v>
      </c>
      <c r="I128" s="563" t="s">
        <v>103</v>
      </c>
      <c r="J128" s="581">
        <v>2</v>
      </c>
      <c r="K128" s="554">
        <v>17697</v>
      </c>
      <c r="L128" s="665">
        <v>16</v>
      </c>
      <c r="M128" s="567">
        <f t="shared" si="28"/>
        <v>0.88888888888888884</v>
      </c>
      <c r="N128" s="574" t="s">
        <v>385</v>
      </c>
      <c r="O128" s="1608">
        <v>4.09</v>
      </c>
      <c r="P128" s="567">
        <v>0</v>
      </c>
      <c r="Q128" s="697">
        <f>'расчеты к штатному '!Q131</f>
        <v>24539.84</v>
      </c>
      <c r="R128" s="666">
        <v>0.25</v>
      </c>
      <c r="S128" s="554">
        <f>'расчеты к штатному '!AK131</f>
        <v>0</v>
      </c>
      <c r="T128" s="554">
        <v>0.1</v>
      </c>
      <c r="U128" s="567">
        <f t="shared" si="29"/>
        <v>2453.9839999999999</v>
      </c>
      <c r="V128" s="19"/>
      <c r="W128" s="554"/>
      <c r="X128" s="570">
        <f t="shared" si="30"/>
        <v>26993.824000000001</v>
      </c>
      <c r="Y128" s="359">
        <f t="shared" ref="Y128:Z130" si="32">V127+T127+R127</f>
        <v>0.35</v>
      </c>
      <c r="Z128" s="359">
        <f t="shared" si="32"/>
        <v>5604.05</v>
      </c>
      <c r="AA128" s="375">
        <f t="shared" si="31"/>
        <v>739734.60000000009</v>
      </c>
      <c r="AB128" s="377">
        <f t="shared" ref="AB128" si="33">AA128/12/29.33*56</f>
        <v>117698.42482100242</v>
      </c>
      <c r="AC128" s="377">
        <f t="shared" ref="AC128" si="34">AA128*1.25</f>
        <v>924668.25000000012</v>
      </c>
      <c r="AD128" s="377">
        <f t="shared" ref="AD128" si="35">AC128/12/29.33*56</f>
        <v>147123.03102625301</v>
      </c>
      <c r="AK128" s="1943"/>
      <c r="AL128" s="1943"/>
      <c r="AM128" s="23"/>
      <c r="AN128" s="23"/>
      <c r="AO128" s="23"/>
      <c r="AP128" s="23"/>
      <c r="AQ128" s="23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</row>
    <row r="129" spans="1:69" s="986" customFormat="1" ht="17.25" customHeight="1">
      <c r="A129" s="560">
        <v>6</v>
      </c>
      <c r="B129" s="491" t="s">
        <v>447</v>
      </c>
      <c r="C129" s="647" t="s">
        <v>99</v>
      </c>
      <c r="D129" s="663" t="s">
        <v>300</v>
      </c>
      <c r="E129" s="664" t="s">
        <v>738</v>
      </c>
      <c r="F129" s="664" t="s">
        <v>602</v>
      </c>
      <c r="G129" s="177">
        <v>1</v>
      </c>
      <c r="H129" s="177" t="s">
        <v>102</v>
      </c>
      <c r="I129" s="177" t="s">
        <v>118</v>
      </c>
      <c r="J129" s="178">
        <v>4</v>
      </c>
      <c r="K129" s="554">
        <v>17697</v>
      </c>
      <c r="L129" s="665">
        <v>10</v>
      </c>
      <c r="M129" s="567">
        <f t="shared" si="28"/>
        <v>0.55555555555555558</v>
      </c>
      <c r="N129" s="997" t="s">
        <v>112</v>
      </c>
      <c r="O129" s="1608">
        <v>3.36</v>
      </c>
      <c r="P129" s="567">
        <v>0</v>
      </c>
      <c r="Q129" s="697">
        <f>'расчеты к штатному '!Q132</f>
        <v>16517.2</v>
      </c>
      <c r="R129" s="666">
        <v>0.25</v>
      </c>
      <c r="S129" s="554">
        <f>'расчеты к штатному '!AK132</f>
        <v>0</v>
      </c>
      <c r="T129" s="554">
        <v>0.1</v>
      </c>
      <c r="U129" s="567">
        <f t="shared" si="29"/>
        <v>1651.7200000000003</v>
      </c>
      <c r="V129" s="19"/>
      <c r="W129" s="554"/>
      <c r="X129" s="570">
        <f t="shared" si="30"/>
        <v>18168.920000000002</v>
      </c>
      <c r="Y129" s="984">
        <f t="shared" si="32"/>
        <v>0.35</v>
      </c>
      <c r="Z129" s="984">
        <f t="shared" si="32"/>
        <v>2453.9839999999999</v>
      </c>
      <c r="AA129" s="81">
        <f t="shared" si="31"/>
        <v>323925.88800000004</v>
      </c>
      <c r="AB129" s="80">
        <f>AA129/12/29.33*56</f>
        <v>51539.520763723165</v>
      </c>
      <c r="AC129" s="80">
        <f>AA129*1.25</f>
        <v>404907.36000000004</v>
      </c>
      <c r="AD129" s="80">
        <f>AC129/12/29.33*56</f>
        <v>64424.400954653953</v>
      </c>
      <c r="AK129" s="1943"/>
      <c r="AL129" s="1943"/>
      <c r="AM129" s="23"/>
      <c r="AN129" s="23"/>
      <c r="AO129" s="23"/>
      <c r="AP129" s="23"/>
      <c r="AQ129" s="23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</row>
    <row r="130" spans="1:69" s="377" customFormat="1" ht="17.25" customHeight="1">
      <c r="A130" s="560">
        <v>7</v>
      </c>
      <c r="B130" s="662" t="s">
        <v>319</v>
      </c>
      <c r="C130" s="647" t="s">
        <v>99</v>
      </c>
      <c r="D130" s="663" t="s">
        <v>25</v>
      </c>
      <c r="E130" s="664" t="s">
        <v>684</v>
      </c>
      <c r="F130" s="664" t="s">
        <v>239</v>
      </c>
      <c r="G130" s="177">
        <v>1</v>
      </c>
      <c r="H130" s="177" t="s">
        <v>232</v>
      </c>
      <c r="I130" s="177" t="s">
        <v>233</v>
      </c>
      <c r="J130" s="178">
        <v>3</v>
      </c>
      <c r="K130" s="554">
        <v>17697</v>
      </c>
      <c r="L130" s="665">
        <v>21</v>
      </c>
      <c r="M130" s="567">
        <f t="shared" si="28"/>
        <v>1.1666666666666667</v>
      </c>
      <c r="N130" s="1583" t="s">
        <v>109</v>
      </c>
      <c r="O130" s="1611">
        <v>4.21</v>
      </c>
      <c r="P130" s="567">
        <v>0</v>
      </c>
      <c r="Q130" s="697">
        <f>'расчеты к штатному '!Q133</f>
        <v>43460.882499999992</v>
      </c>
      <c r="R130" s="666">
        <v>0.25</v>
      </c>
      <c r="S130" s="554">
        <f>'расчеты к штатному '!AK133</f>
        <v>0</v>
      </c>
      <c r="T130" s="554">
        <v>0.1</v>
      </c>
      <c r="U130" s="567">
        <f t="shared" si="29"/>
        <v>4346.0882499999998</v>
      </c>
      <c r="V130" s="19"/>
      <c r="W130" s="554"/>
      <c r="X130" s="570">
        <f t="shared" si="30"/>
        <v>47806.970749999993</v>
      </c>
      <c r="Y130" s="359">
        <f t="shared" si="32"/>
        <v>0.35</v>
      </c>
      <c r="Z130" s="359">
        <f t="shared" si="32"/>
        <v>1651.7200000000003</v>
      </c>
      <c r="AA130" s="375">
        <f t="shared" si="31"/>
        <v>218027.04000000004</v>
      </c>
      <c r="AB130" s="377">
        <f t="shared" ref="AB130" si="36">AA130/12/29.33*56</f>
        <v>34690.062052505971</v>
      </c>
      <c r="AC130" s="377">
        <f t="shared" ref="AC130" si="37">AA130*1.25</f>
        <v>272533.80000000005</v>
      </c>
      <c r="AD130" s="377">
        <f t="shared" ref="AD130" si="38">AC130/12/29.33*56</f>
        <v>43362.577565632469</v>
      </c>
      <c r="AK130" s="1943"/>
      <c r="AL130" s="1943"/>
      <c r="AM130" s="23"/>
      <c r="AN130" s="23"/>
      <c r="AO130" s="23"/>
      <c r="AP130" s="23"/>
      <c r="AQ130" s="23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</row>
    <row r="131" spans="1:69" s="377" customFormat="1" ht="17.25" customHeight="1">
      <c r="A131" s="560">
        <v>8</v>
      </c>
      <c r="B131" s="153" t="s">
        <v>274</v>
      </c>
      <c r="C131" s="647" t="s">
        <v>99</v>
      </c>
      <c r="D131" s="663" t="s">
        <v>25</v>
      </c>
      <c r="E131" s="586" t="s">
        <v>686</v>
      </c>
      <c r="F131" s="562" t="s">
        <v>239</v>
      </c>
      <c r="G131" s="177">
        <v>1</v>
      </c>
      <c r="H131" s="177" t="s">
        <v>102</v>
      </c>
      <c r="I131" s="177" t="s">
        <v>103</v>
      </c>
      <c r="J131" s="178">
        <v>2</v>
      </c>
      <c r="K131" s="554">
        <v>17697</v>
      </c>
      <c r="L131" s="665">
        <v>12</v>
      </c>
      <c r="M131" s="567">
        <f t="shared" si="28"/>
        <v>0.66666666666666663</v>
      </c>
      <c r="N131" s="698" t="s">
        <v>104</v>
      </c>
      <c r="O131" s="1612">
        <v>4.2300000000000004</v>
      </c>
      <c r="P131" s="567">
        <v>0</v>
      </c>
      <c r="Q131" s="697">
        <f>'расчеты к штатному '!Q134</f>
        <v>26486.51</v>
      </c>
      <c r="R131" s="666">
        <v>0.25</v>
      </c>
      <c r="S131" s="554">
        <f>'расчеты к штатному '!AK134</f>
        <v>0</v>
      </c>
      <c r="T131" s="554">
        <v>0.1</v>
      </c>
      <c r="U131" s="567">
        <f t="shared" si="29"/>
        <v>2648.6509999999998</v>
      </c>
      <c r="V131" s="19"/>
      <c r="W131" s="554"/>
      <c r="X131" s="570">
        <f t="shared" si="30"/>
        <v>29135.161</v>
      </c>
      <c r="Y131" s="919"/>
      <c r="Z131" s="919"/>
      <c r="AA131" s="375">
        <f t="shared" si="31"/>
        <v>573683.64899999998</v>
      </c>
      <c r="AB131" s="377">
        <f>AA131/12/29.33*56</f>
        <v>91278.225775656334</v>
      </c>
      <c r="AC131" s="377">
        <f>AA131*1.25</f>
        <v>717104.56125000003</v>
      </c>
      <c r="AD131" s="377">
        <f>AC131/12/29.33*56</f>
        <v>114097.78221957042</v>
      </c>
      <c r="AK131" s="1943"/>
      <c r="AL131" s="1943"/>
      <c r="AM131" s="23"/>
      <c r="AN131" s="23"/>
      <c r="AO131" s="23"/>
      <c r="AP131" s="23"/>
      <c r="AQ131" s="23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</row>
    <row r="132" spans="1:69" s="377" customFormat="1" ht="17.25" customHeight="1">
      <c r="A132" s="560">
        <v>9</v>
      </c>
      <c r="B132" s="662" t="s">
        <v>739</v>
      </c>
      <c r="C132" s="647" t="s">
        <v>99</v>
      </c>
      <c r="D132" s="663" t="s">
        <v>25</v>
      </c>
      <c r="E132" s="664" t="s">
        <v>503</v>
      </c>
      <c r="F132" s="664" t="s">
        <v>77</v>
      </c>
      <c r="G132" s="177">
        <v>1</v>
      </c>
      <c r="H132" s="177" t="s">
        <v>102</v>
      </c>
      <c r="I132" s="177" t="s">
        <v>103</v>
      </c>
      <c r="J132" s="182">
        <v>4</v>
      </c>
      <c r="K132" s="554">
        <v>17697</v>
      </c>
      <c r="L132" s="665">
        <v>10</v>
      </c>
      <c r="M132" s="567">
        <f t="shared" si="28"/>
        <v>0.55555555555555558</v>
      </c>
      <c r="N132" s="997" t="s">
        <v>112</v>
      </c>
      <c r="O132" s="1610">
        <v>3.71</v>
      </c>
      <c r="P132" s="567">
        <v>0</v>
      </c>
      <c r="Q132" s="697">
        <f>'расчеты к штатному '!Q135</f>
        <v>18237.741666666665</v>
      </c>
      <c r="R132" s="666">
        <v>0.25</v>
      </c>
      <c r="S132" s="554">
        <f>'расчеты к штатному '!AK135</f>
        <v>0</v>
      </c>
      <c r="T132" s="554">
        <v>0.1</v>
      </c>
      <c r="U132" s="567">
        <f t="shared" si="29"/>
        <v>1823.7741666666666</v>
      </c>
      <c r="V132" s="19"/>
      <c r="W132" s="554"/>
      <c r="X132" s="570">
        <f t="shared" si="30"/>
        <v>20061.515833333331</v>
      </c>
      <c r="Y132" s="919"/>
      <c r="Z132" s="919"/>
      <c r="AA132" s="375">
        <f t="shared" si="31"/>
        <v>349621.93200000003</v>
      </c>
      <c r="AB132" s="377">
        <f>AA132/12/29.33*56</f>
        <v>55627.992362768506</v>
      </c>
      <c r="AC132" s="377">
        <f>AA132*1.25</f>
        <v>437027.41500000004</v>
      </c>
      <c r="AD132" s="377">
        <f>AC132/12/29.33*56</f>
        <v>69534.990453460632</v>
      </c>
      <c r="AK132" s="1943"/>
      <c r="AL132" s="1943"/>
      <c r="AM132" s="23"/>
      <c r="AN132" s="23"/>
      <c r="AO132" s="23"/>
      <c r="AP132" s="23"/>
      <c r="AQ132" s="23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</row>
    <row r="133" spans="1:69" s="377" customFormat="1" ht="17.25" customHeight="1">
      <c r="A133" s="560">
        <v>10</v>
      </c>
      <c r="B133" s="701" t="s">
        <v>758</v>
      </c>
      <c r="C133" s="647" t="s">
        <v>99</v>
      </c>
      <c r="D133" s="693" t="s">
        <v>25</v>
      </c>
      <c r="E133" s="694" t="s">
        <v>816</v>
      </c>
      <c r="F133" s="664" t="s">
        <v>366</v>
      </c>
      <c r="G133" s="177">
        <v>1</v>
      </c>
      <c r="H133" s="563" t="s">
        <v>102</v>
      </c>
      <c r="I133" s="563" t="s">
        <v>103</v>
      </c>
      <c r="J133" s="581">
        <v>4</v>
      </c>
      <c r="K133" s="554">
        <v>17697</v>
      </c>
      <c r="L133" s="1607">
        <v>34</v>
      </c>
      <c r="M133" s="567">
        <f t="shared" si="28"/>
        <v>1.8888888888888888</v>
      </c>
      <c r="N133" s="1004" t="s">
        <v>112</v>
      </c>
      <c r="O133" s="1612">
        <v>4.12</v>
      </c>
      <c r="P133" s="567">
        <v>0</v>
      </c>
      <c r="Q133" s="697">
        <f>'расчеты к штатному '!Q137</f>
        <v>28354.526666666665</v>
      </c>
      <c r="R133" s="666">
        <v>0.25</v>
      </c>
      <c r="S133" s="554">
        <f>'расчеты к штатному '!AK137</f>
        <v>0</v>
      </c>
      <c r="T133" s="554">
        <v>0.1</v>
      </c>
      <c r="U133" s="567">
        <f t="shared" si="29"/>
        <v>2835.4526666666666</v>
      </c>
      <c r="V133" s="1541"/>
      <c r="W133" s="552"/>
      <c r="X133" s="570">
        <f t="shared" si="30"/>
        <v>31189.979333333333</v>
      </c>
      <c r="Y133" s="406"/>
      <c r="Z133" s="406"/>
      <c r="AA133" s="375"/>
      <c r="AK133" s="1943"/>
      <c r="AL133" s="1943"/>
      <c r="AM133" s="23"/>
      <c r="AN133" s="23"/>
      <c r="AO133" s="23"/>
      <c r="AP133" s="23"/>
      <c r="AQ133" s="23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</row>
    <row r="134" spans="1:69" s="377" customFormat="1" ht="17.25" customHeight="1">
      <c r="A134" s="560">
        <v>11</v>
      </c>
      <c r="B134" s="1018" t="s">
        <v>519</v>
      </c>
      <c r="C134" s="647" t="s">
        <v>99</v>
      </c>
      <c r="D134" s="663" t="s">
        <v>25</v>
      </c>
      <c r="E134" s="664" t="s">
        <v>815</v>
      </c>
      <c r="F134" s="664" t="s">
        <v>34</v>
      </c>
      <c r="G134" s="177">
        <v>1</v>
      </c>
      <c r="H134" s="177" t="s">
        <v>102</v>
      </c>
      <c r="I134" s="177" t="s">
        <v>103</v>
      </c>
      <c r="J134" s="178">
        <v>1</v>
      </c>
      <c r="K134" s="554">
        <v>17697</v>
      </c>
      <c r="L134" s="665">
        <v>18</v>
      </c>
      <c r="M134" s="567">
        <f t="shared" si="28"/>
        <v>1</v>
      </c>
      <c r="N134" s="698" t="s">
        <v>152</v>
      </c>
      <c r="O134" s="1612">
        <v>4.75</v>
      </c>
      <c r="P134" s="567">
        <v>0</v>
      </c>
      <c r="Q134" s="697">
        <f>'расчеты к штатному '!Q138</f>
        <v>39695.354166666672</v>
      </c>
      <c r="R134" s="666">
        <v>0.25</v>
      </c>
      <c r="S134" s="554">
        <f>'расчеты к штатному '!AK138</f>
        <v>0</v>
      </c>
      <c r="T134" s="554">
        <v>0.1</v>
      </c>
      <c r="U134" s="567">
        <f t="shared" si="29"/>
        <v>3969.5354166666675</v>
      </c>
      <c r="V134" s="19"/>
      <c r="W134" s="554"/>
      <c r="X134" s="570">
        <f t="shared" si="30"/>
        <v>43664.889583333337</v>
      </c>
      <c r="Y134" s="1175"/>
      <c r="Z134" s="1175"/>
      <c r="AA134" s="375"/>
      <c r="AK134" s="1943"/>
      <c r="AL134" s="1943"/>
      <c r="AM134" s="23"/>
      <c r="AN134" s="23"/>
      <c r="AO134" s="23"/>
      <c r="AP134" s="23"/>
      <c r="AQ134" s="23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</row>
    <row r="135" spans="1:69" s="986" customFormat="1" ht="17.25" customHeight="1">
      <c r="A135" s="560">
        <v>12</v>
      </c>
      <c r="B135" s="1606" t="s">
        <v>706</v>
      </c>
      <c r="C135" s="647" t="s">
        <v>99</v>
      </c>
      <c r="D135" s="693" t="s">
        <v>75</v>
      </c>
      <c r="E135" s="694" t="s">
        <v>707</v>
      </c>
      <c r="F135" s="694" t="s">
        <v>159</v>
      </c>
      <c r="G135" s="177">
        <v>1</v>
      </c>
      <c r="H135" s="1002" t="s">
        <v>102</v>
      </c>
      <c r="I135" s="563" t="s">
        <v>118</v>
      </c>
      <c r="J135" s="1603">
        <v>4</v>
      </c>
      <c r="K135" s="554">
        <v>17697</v>
      </c>
      <c r="L135" s="1607">
        <v>8</v>
      </c>
      <c r="M135" s="567">
        <f t="shared" si="28"/>
        <v>0.44444444444444442</v>
      </c>
      <c r="N135" s="698" t="s">
        <v>112</v>
      </c>
      <c r="O135" s="1612">
        <v>3.32</v>
      </c>
      <c r="P135" s="567">
        <v>0</v>
      </c>
      <c r="Q135" s="697">
        <f>'расчеты к штатному '!Q139</f>
        <v>14432.886666666665</v>
      </c>
      <c r="R135" s="666">
        <v>0.25</v>
      </c>
      <c r="S135" s="554">
        <f>'расчеты к штатному '!AK139</f>
        <v>0</v>
      </c>
      <c r="T135" s="554">
        <v>0.1</v>
      </c>
      <c r="U135" s="567">
        <f t="shared" si="29"/>
        <v>1443.2886666666666</v>
      </c>
      <c r="V135" s="1541"/>
      <c r="W135" s="552"/>
      <c r="X135" s="570">
        <f t="shared" si="30"/>
        <v>15876.175333333333</v>
      </c>
      <c r="Y135" s="988"/>
      <c r="Z135" s="988"/>
      <c r="AA135" s="81">
        <f>X134*12</f>
        <v>523978.67500000005</v>
      </c>
      <c r="AB135" s="80">
        <f>AA135/12/29.33*56</f>
        <v>83369.717581543373</v>
      </c>
      <c r="AC135" s="80">
        <f>AA135*1.25</f>
        <v>654973.34375</v>
      </c>
      <c r="AD135" s="80">
        <f>AC135/12/29.33*56</f>
        <v>104212.1469769292</v>
      </c>
      <c r="AK135" s="1943"/>
      <c r="AL135" s="1943"/>
      <c r="AM135" s="23"/>
      <c r="AN135" s="23"/>
      <c r="AO135" s="23"/>
      <c r="AP135" s="23"/>
      <c r="AQ135" s="23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</row>
    <row r="136" spans="1:69" s="986" customFormat="1" ht="17.25" customHeight="1">
      <c r="A136" s="560">
        <v>13</v>
      </c>
      <c r="B136" s="662" t="s">
        <v>524</v>
      </c>
      <c r="C136" s="647" t="s">
        <v>99</v>
      </c>
      <c r="D136" s="663" t="s">
        <v>25</v>
      </c>
      <c r="E136" s="664" t="s">
        <v>814</v>
      </c>
      <c r="F136" s="664" t="s">
        <v>366</v>
      </c>
      <c r="G136" s="177">
        <v>1</v>
      </c>
      <c r="H136" s="177" t="s">
        <v>102</v>
      </c>
      <c r="I136" s="177" t="s">
        <v>103</v>
      </c>
      <c r="J136" s="178">
        <v>1</v>
      </c>
      <c r="K136" s="554">
        <v>17697</v>
      </c>
      <c r="L136" s="665">
        <v>17</v>
      </c>
      <c r="M136" s="567">
        <f t="shared" si="28"/>
        <v>0.94444444444444442</v>
      </c>
      <c r="N136" s="997" t="s">
        <v>152</v>
      </c>
      <c r="O136" s="1608">
        <v>4.6900000000000004</v>
      </c>
      <c r="P136" s="567">
        <v>0</v>
      </c>
      <c r="Q136" s="697">
        <f>'расчеты к штатному '!Q141</f>
        <v>39193.939166666671</v>
      </c>
      <c r="R136" s="666">
        <v>0.25</v>
      </c>
      <c r="S136" s="554">
        <f>'расчеты к штатному '!AK141</f>
        <v>0</v>
      </c>
      <c r="T136" s="554">
        <v>0.1</v>
      </c>
      <c r="U136" s="567">
        <f t="shared" si="29"/>
        <v>3919.3939166666673</v>
      </c>
      <c r="V136" s="19"/>
      <c r="W136" s="554"/>
      <c r="X136" s="570">
        <f t="shared" si="30"/>
        <v>43113.333083333338</v>
      </c>
      <c r="Y136" s="988"/>
      <c r="Z136" s="988"/>
      <c r="AA136" s="81"/>
      <c r="AB136" s="80"/>
      <c r="AC136" s="80"/>
      <c r="AD136" s="80"/>
      <c r="AK136" s="1943"/>
      <c r="AL136" s="1943"/>
      <c r="AM136" s="23"/>
      <c r="AN136" s="23"/>
      <c r="AO136" s="23"/>
      <c r="AP136" s="23"/>
      <c r="AQ136" s="23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</row>
    <row r="137" spans="1:69" s="986" customFormat="1" ht="17.25" customHeight="1">
      <c r="A137" s="560">
        <v>14</v>
      </c>
      <c r="B137" s="1613" t="s">
        <v>329</v>
      </c>
      <c r="C137" s="647" t="s">
        <v>99</v>
      </c>
      <c r="D137" s="693" t="s">
        <v>75</v>
      </c>
      <c r="E137" s="694" t="s">
        <v>684</v>
      </c>
      <c r="F137" s="694" t="s">
        <v>239</v>
      </c>
      <c r="G137" s="177">
        <v>1</v>
      </c>
      <c r="H137" s="563" t="s">
        <v>102</v>
      </c>
      <c r="I137" s="563" t="s">
        <v>118</v>
      </c>
      <c r="J137" s="564">
        <v>3</v>
      </c>
      <c r="K137" s="554">
        <v>17697</v>
      </c>
      <c r="L137" s="696">
        <v>18</v>
      </c>
      <c r="M137" s="567">
        <f t="shared" si="28"/>
        <v>1</v>
      </c>
      <c r="N137" s="698" t="s">
        <v>109</v>
      </c>
      <c r="O137" s="1612">
        <v>4.03</v>
      </c>
      <c r="P137" s="567">
        <v>0</v>
      </c>
      <c r="Q137" s="697">
        <f>'расчеты к штатному '!Q142</f>
        <v>35659.455000000002</v>
      </c>
      <c r="R137" s="666">
        <v>0.25</v>
      </c>
      <c r="S137" s="554">
        <f>'расчеты к штатному '!AK142</f>
        <v>0</v>
      </c>
      <c r="T137" s="554">
        <v>0.1</v>
      </c>
      <c r="U137" s="567">
        <f t="shared" si="29"/>
        <v>3565.9455000000003</v>
      </c>
      <c r="V137" s="1541"/>
      <c r="W137" s="700"/>
      <c r="X137" s="570">
        <f>Q137+S137+U137+2.74</f>
        <v>39228.140500000001</v>
      </c>
      <c r="Y137" s="985">
        <f>V136+T136+R136</f>
        <v>0.35</v>
      </c>
      <c r="Z137" s="985">
        <f>W136+U136+S136</f>
        <v>3919.3939166666673</v>
      </c>
      <c r="AA137" s="81">
        <f>X136*12</f>
        <v>517359.99700000009</v>
      </c>
      <c r="AB137" s="80">
        <f>AA137/12/29.33*56</f>
        <v>82316.626412092301</v>
      </c>
      <c r="AC137" s="80">
        <f>AA137*1.25</f>
        <v>646699.99625000008</v>
      </c>
      <c r="AD137" s="80">
        <f>AC137/12/29.33*56</f>
        <v>102895.78301511538</v>
      </c>
      <c r="AK137" s="1943"/>
      <c r="AL137" s="1943"/>
      <c r="AM137" s="23"/>
      <c r="AN137" s="23"/>
      <c r="AO137" s="23"/>
      <c r="AP137" s="23"/>
      <c r="AQ137" s="23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</row>
    <row r="138" spans="1:69" s="377" customFormat="1" ht="15.75">
      <c r="A138" s="1896"/>
      <c r="B138" s="1930" t="s">
        <v>798</v>
      </c>
      <c r="C138" s="1897"/>
      <c r="D138" s="1898"/>
      <c r="E138" s="1898"/>
      <c r="F138" s="1897"/>
      <c r="G138" s="1899"/>
      <c r="H138" s="1899"/>
      <c r="I138" s="1899"/>
      <c r="J138" s="1900"/>
      <c r="K138" s="1901"/>
      <c r="L138" s="1902">
        <f>SUM(L124:L137)</f>
        <v>246</v>
      </c>
      <c r="M138" s="1903"/>
      <c r="N138" s="1904"/>
      <c r="O138" s="1898"/>
      <c r="P138" s="1903"/>
      <c r="Q138" s="1905"/>
      <c r="R138" s="1906"/>
      <c r="S138" s="1901"/>
      <c r="T138" s="1901"/>
      <c r="U138" s="1903"/>
      <c r="V138" s="1907"/>
      <c r="W138" s="1901"/>
      <c r="X138" s="1908"/>
      <c r="Y138" s="1175"/>
      <c r="Z138" s="1175"/>
      <c r="AA138" s="375"/>
      <c r="AK138" s="1943"/>
      <c r="AL138" s="1943"/>
      <c r="AM138" s="23"/>
      <c r="AN138" s="23"/>
      <c r="AO138" s="23"/>
      <c r="AP138" s="23"/>
      <c r="AQ138" s="23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</row>
    <row r="139" spans="1:69" s="24" customFormat="1" ht="17.25" customHeight="1">
      <c r="A139" s="703">
        <v>130</v>
      </c>
      <c r="B139" s="548" t="s">
        <v>605</v>
      </c>
      <c r="C139" s="647" t="s">
        <v>338</v>
      </c>
      <c r="D139" s="547" t="s">
        <v>64</v>
      </c>
      <c r="E139" s="704"/>
      <c r="F139" s="705"/>
      <c r="G139" s="1019">
        <v>1.5</v>
      </c>
      <c r="H139" s="577"/>
      <c r="I139" s="707"/>
      <c r="J139" s="577">
        <v>2</v>
      </c>
      <c r="K139" s="552">
        <v>17697</v>
      </c>
      <c r="L139" s="552"/>
      <c r="M139" s="556">
        <v>1.5</v>
      </c>
      <c r="N139" s="552"/>
      <c r="O139" s="552">
        <v>2.81</v>
      </c>
      <c r="P139" s="567">
        <v>0</v>
      </c>
      <c r="Q139" s="556"/>
      <c r="R139" s="552">
        <f>K139*P140*N139</f>
        <v>0</v>
      </c>
      <c r="S139" s="557"/>
      <c r="T139" s="708">
        <v>0.1</v>
      </c>
      <c r="U139" s="552">
        <f t="shared" ref="U139:U164" si="39">T139*P139</f>
        <v>0</v>
      </c>
      <c r="V139" s="552"/>
      <c r="W139" s="558"/>
      <c r="X139" s="559">
        <f>P139+U139+W139</f>
        <v>0</v>
      </c>
      <c r="Y139" s="104"/>
      <c r="Z139" s="104"/>
      <c r="AA139" s="81" t="e">
        <f>SUM(AA27:AA138)</f>
        <v>#REF!</v>
      </c>
      <c r="AC139" s="24" t="e">
        <f>SUM(AC27:AC138)</f>
        <v>#REF!</v>
      </c>
      <c r="AD139" s="24" t="e">
        <f>SUM(AD27:AD138)</f>
        <v>#REF!</v>
      </c>
      <c r="AK139" s="23"/>
      <c r="AL139" s="23"/>
      <c r="AM139" s="23"/>
      <c r="AN139" s="23"/>
      <c r="AO139" s="23"/>
      <c r="AP139" s="23"/>
      <c r="AQ139" s="23"/>
    </row>
    <row r="140" spans="1:69" s="1459" customFormat="1" ht="18" customHeight="1">
      <c r="A140" s="709">
        <v>131</v>
      </c>
      <c r="B140" s="153" t="s">
        <v>332</v>
      </c>
      <c r="C140" s="647" t="s">
        <v>338</v>
      </c>
      <c r="D140" s="560" t="s">
        <v>64</v>
      </c>
      <c r="E140" s="710"/>
      <c r="F140" s="711"/>
      <c r="G140" s="717">
        <v>0.5</v>
      </c>
      <c r="H140" s="563"/>
      <c r="I140" s="689"/>
      <c r="J140" s="563">
        <v>2</v>
      </c>
      <c r="K140" s="554">
        <v>17697</v>
      </c>
      <c r="L140" s="554"/>
      <c r="M140" s="552">
        <v>0.5</v>
      </c>
      <c r="N140" s="554"/>
      <c r="O140" s="552">
        <v>2.81</v>
      </c>
      <c r="P140" s="567">
        <v>0</v>
      </c>
      <c r="Q140" s="556"/>
      <c r="R140" s="552">
        <f>K140*P141*N140</f>
        <v>0</v>
      </c>
      <c r="S140" s="568"/>
      <c r="T140" s="708">
        <v>0.1</v>
      </c>
      <c r="U140" s="552">
        <f t="shared" si="39"/>
        <v>0</v>
      </c>
      <c r="V140" s="554"/>
      <c r="W140" s="554"/>
      <c r="X140" s="559">
        <f t="shared" ref="X140:X164" si="40">P140+U140+W140</f>
        <v>0</v>
      </c>
      <c r="Y140" s="1276">
        <f t="shared" ref="Y140:Y165" si="41">R139+V139+X139</f>
        <v>0</v>
      </c>
      <c r="Z140" s="1276">
        <f t="shared" ref="Z140:Z165" si="42">S139+W139+Y140</f>
        <v>0</v>
      </c>
      <c r="AA140" s="1277">
        <f t="shared" ref="AA140:AA165" si="43">X139*12</f>
        <v>0</v>
      </c>
      <c r="AB140" s="1458">
        <f>AA140/12/29.33*24</f>
        <v>0</v>
      </c>
      <c r="AC140" s="1458"/>
      <c r="AD140" s="1458"/>
      <c r="AE140" s="1458"/>
      <c r="AF140" s="1458"/>
      <c r="AG140" s="1458"/>
      <c r="AH140" s="1458"/>
      <c r="AI140" s="1458"/>
      <c r="AJ140" s="1458"/>
      <c r="AK140" s="914"/>
      <c r="AL140" s="914"/>
      <c r="AM140" s="914"/>
      <c r="AN140" s="914"/>
      <c r="AO140" s="914"/>
      <c r="AP140" s="914"/>
      <c r="AQ140" s="914"/>
      <c r="AR140" s="915"/>
      <c r="AS140" s="915"/>
      <c r="AT140" s="915"/>
      <c r="AU140" s="915"/>
      <c r="AV140" s="915"/>
      <c r="AW140" s="915"/>
      <c r="AX140" s="915"/>
      <c r="AY140" s="915"/>
      <c r="AZ140" s="915"/>
      <c r="BA140" s="915"/>
      <c r="BB140" s="915"/>
      <c r="BC140" s="915"/>
      <c r="BD140" s="915"/>
      <c r="BE140" s="915"/>
      <c r="BF140" s="915"/>
      <c r="BG140" s="915"/>
      <c r="BH140" s="915"/>
      <c r="BI140" s="915"/>
      <c r="BJ140" s="915"/>
      <c r="BK140" s="915"/>
      <c r="BL140" s="915"/>
      <c r="BM140" s="915"/>
      <c r="BN140" s="915"/>
      <c r="BO140" s="915"/>
      <c r="BP140" s="915"/>
      <c r="BQ140" s="915"/>
    </row>
    <row r="141" spans="1:69" s="1459" customFormat="1" ht="15.75" customHeight="1">
      <c r="A141" s="703">
        <v>132</v>
      </c>
      <c r="B141" s="153" t="s">
        <v>735</v>
      </c>
      <c r="C141" s="647" t="s">
        <v>338</v>
      </c>
      <c r="D141" s="560" t="s">
        <v>64</v>
      </c>
      <c r="E141" s="710"/>
      <c r="F141" s="560"/>
      <c r="G141" s="717">
        <v>0.5</v>
      </c>
      <c r="H141" s="563"/>
      <c r="I141" s="689"/>
      <c r="J141" s="563">
        <v>2</v>
      </c>
      <c r="K141" s="554">
        <v>17697</v>
      </c>
      <c r="L141" s="554"/>
      <c r="M141" s="554">
        <v>0.5</v>
      </c>
      <c r="N141" s="554"/>
      <c r="O141" s="554">
        <v>2.81</v>
      </c>
      <c r="P141" s="567">
        <v>0</v>
      </c>
      <c r="Q141" s="556"/>
      <c r="R141" s="552">
        <f>K141*P142*N141</f>
        <v>0</v>
      </c>
      <c r="S141" s="554"/>
      <c r="T141" s="708">
        <v>0.1</v>
      </c>
      <c r="U141" s="552">
        <f t="shared" si="39"/>
        <v>0</v>
      </c>
      <c r="V141" s="554"/>
      <c r="W141" s="554"/>
      <c r="X141" s="559">
        <f t="shared" si="40"/>
        <v>0</v>
      </c>
      <c r="Y141" s="1276">
        <f t="shared" si="41"/>
        <v>0</v>
      </c>
      <c r="Z141" s="1276">
        <f t="shared" si="42"/>
        <v>0</v>
      </c>
      <c r="AA141" s="1277">
        <f t="shared" si="43"/>
        <v>0</v>
      </c>
      <c r="AB141" s="1458">
        <f t="shared" ref="AB141:AB165" si="44">AA141/12/29.33*24</f>
        <v>0</v>
      </c>
      <c r="AC141" s="1458"/>
      <c r="AD141" s="1458"/>
      <c r="AE141" s="1458"/>
      <c r="AF141" s="1458"/>
      <c r="AG141" s="1458"/>
      <c r="AH141" s="1458"/>
      <c r="AI141" s="1458"/>
      <c r="AJ141" s="1458"/>
      <c r="AK141" s="914"/>
      <c r="AL141" s="914"/>
      <c r="AM141" s="914"/>
      <c r="AN141" s="914"/>
      <c r="AO141" s="914"/>
      <c r="AP141" s="914"/>
      <c r="AQ141" s="914"/>
      <c r="AR141" s="915"/>
      <c r="AS141" s="915"/>
      <c r="AT141" s="915"/>
      <c r="AU141" s="915"/>
      <c r="AV141" s="915"/>
      <c r="AW141" s="915"/>
      <c r="AX141" s="915"/>
      <c r="AY141" s="915"/>
      <c r="AZ141" s="915"/>
      <c r="BA141" s="915"/>
      <c r="BB141" s="915"/>
      <c r="BC141" s="915"/>
      <c r="BD141" s="915"/>
      <c r="BE141" s="915"/>
      <c r="BF141" s="915"/>
      <c r="BG141" s="915"/>
      <c r="BH141" s="915"/>
      <c r="BI141" s="915"/>
      <c r="BJ141" s="915"/>
      <c r="BK141" s="915"/>
      <c r="BL141" s="915"/>
      <c r="BM141" s="915"/>
      <c r="BN141" s="915"/>
      <c r="BO141" s="915"/>
      <c r="BP141" s="915"/>
      <c r="BQ141" s="915"/>
    </row>
    <row r="142" spans="1:69" s="1278" customFormat="1" ht="30">
      <c r="A142" s="709">
        <v>133</v>
      </c>
      <c r="B142" s="153" t="s">
        <v>335</v>
      </c>
      <c r="C142" s="561" t="s">
        <v>336</v>
      </c>
      <c r="D142" s="560" t="s">
        <v>64</v>
      </c>
      <c r="E142" s="710"/>
      <c r="F142" s="560"/>
      <c r="G142" s="717">
        <v>1.5</v>
      </c>
      <c r="H142" s="563"/>
      <c r="I142" s="689"/>
      <c r="J142" s="563">
        <v>4</v>
      </c>
      <c r="K142" s="554">
        <v>17697</v>
      </c>
      <c r="L142" s="554"/>
      <c r="M142" s="554">
        <v>1.5</v>
      </c>
      <c r="N142" s="554"/>
      <c r="O142" s="554">
        <v>2.89</v>
      </c>
      <c r="P142" s="567">
        <v>0</v>
      </c>
      <c r="Q142" s="556"/>
      <c r="R142" s="552">
        <f>K142*P143*N142</f>
        <v>0</v>
      </c>
      <c r="S142" s="554"/>
      <c r="T142" s="708">
        <v>0.1</v>
      </c>
      <c r="U142" s="552">
        <f t="shared" si="39"/>
        <v>0</v>
      </c>
      <c r="V142" s="554"/>
      <c r="W142" s="554"/>
      <c r="X142" s="559">
        <f t="shared" si="40"/>
        <v>0</v>
      </c>
      <c r="Y142" s="1276">
        <f t="shared" si="41"/>
        <v>0</v>
      </c>
      <c r="Z142" s="1276">
        <f t="shared" si="42"/>
        <v>0</v>
      </c>
      <c r="AA142" s="1277">
        <f t="shared" si="43"/>
        <v>0</v>
      </c>
      <c r="AB142" s="1458">
        <f t="shared" si="44"/>
        <v>0</v>
      </c>
      <c r="AK142" s="23"/>
      <c r="AL142" s="23"/>
      <c r="AM142" s="23"/>
      <c r="AN142" s="23"/>
      <c r="AO142" s="23"/>
      <c r="AP142" s="23"/>
      <c r="AQ142" s="23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</row>
    <row r="143" spans="1:69" s="1278" customFormat="1" ht="19.5" customHeight="1">
      <c r="A143" s="703">
        <v>134</v>
      </c>
      <c r="B143" s="646" t="s">
        <v>337</v>
      </c>
      <c r="C143" s="647" t="s">
        <v>338</v>
      </c>
      <c r="D143" s="628" t="s">
        <v>64</v>
      </c>
      <c r="E143" s="713"/>
      <c r="F143" s="628"/>
      <c r="G143" s="628">
        <v>0.5</v>
      </c>
      <c r="H143" s="714"/>
      <c r="I143" s="715"/>
      <c r="J143" s="628">
        <v>2</v>
      </c>
      <c r="K143" s="715">
        <v>17697</v>
      </c>
      <c r="L143" s="715"/>
      <c r="M143" s="554">
        <v>0.5</v>
      </c>
      <c r="N143" s="554"/>
      <c r="O143" s="552">
        <v>2.81</v>
      </c>
      <c r="P143" s="567">
        <v>0</v>
      </c>
      <c r="Q143" s="556"/>
      <c r="R143" s="552">
        <f>K143*P144*N143</f>
        <v>0</v>
      </c>
      <c r="S143" s="554"/>
      <c r="T143" s="708">
        <v>0.1</v>
      </c>
      <c r="U143" s="552">
        <f t="shared" si="39"/>
        <v>0</v>
      </c>
      <c r="V143" s="554"/>
      <c r="W143" s="554"/>
      <c r="X143" s="559">
        <f t="shared" si="40"/>
        <v>0</v>
      </c>
      <c r="Y143" s="1276">
        <f t="shared" si="41"/>
        <v>0</v>
      </c>
      <c r="Z143" s="1276">
        <f t="shared" si="42"/>
        <v>0</v>
      </c>
      <c r="AA143" s="1277">
        <f t="shared" si="43"/>
        <v>0</v>
      </c>
      <c r="AB143" s="1458">
        <f t="shared" si="44"/>
        <v>0</v>
      </c>
      <c r="AK143" s="23"/>
      <c r="AL143" s="906"/>
      <c r="AM143" s="906"/>
      <c r="AN143" s="23"/>
      <c r="AO143" s="23"/>
      <c r="AP143" s="23"/>
      <c r="AQ143" s="23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</row>
    <row r="144" spans="1:69" s="1469" customFormat="1" ht="15.75">
      <c r="A144" s="709">
        <v>135</v>
      </c>
      <c r="B144" s="646" t="s">
        <v>382</v>
      </c>
      <c r="C144" s="647" t="s">
        <v>338</v>
      </c>
      <c r="D144" s="560" t="s">
        <v>64</v>
      </c>
      <c r="E144" s="713"/>
      <c r="F144" s="646"/>
      <c r="G144" s="628">
        <v>0.5</v>
      </c>
      <c r="H144" s="714"/>
      <c r="I144" s="715"/>
      <c r="J144" s="628">
        <v>2</v>
      </c>
      <c r="K144" s="715">
        <v>17697</v>
      </c>
      <c r="L144" s="715"/>
      <c r="M144" s="554">
        <v>0.5</v>
      </c>
      <c r="N144" s="554"/>
      <c r="O144" s="552">
        <v>2.81</v>
      </c>
      <c r="P144" s="567">
        <v>0</v>
      </c>
      <c r="Q144" s="556"/>
      <c r="R144" s="552">
        <f>K144*P146*N144</f>
        <v>0</v>
      </c>
      <c r="S144" s="554"/>
      <c r="T144" s="708">
        <v>0.1</v>
      </c>
      <c r="U144" s="552">
        <f t="shared" si="39"/>
        <v>0</v>
      </c>
      <c r="V144" s="554"/>
      <c r="W144" s="554"/>
      <c r="X144" s="559">
        <f t="shared" si="40"/>
        <v>0</v>
      </c>
      <c r="Y144" s="1276">
        <f t="shared" si="41"/>
        <v>0</v>
      </c>
      <c r="Z144" s="1276">
        <f t="shared" si="42"/>
        <v>0</v>
      </c>
      <c r="AA144" s="1277">
        <f t="shared" si="43"/>
        <v>0</v>
      </c>
      <c r="AB144" s="1458">
        <f t="shared" si="44"/>
        <v>0</v>
      </c>
      <c r="AK144" s="1778"/>
      <c r="AL144" s="1778"/>
      <c r="AM144" s="1778"/>
      <c r="AN144" s="1778"/>
      <c r="AO144" s="1778"/>
      <c r="AP144" s="1778"/>
      <c r="AQ144" s="1778"/>
      <c r="AR144" s="908"/>
      <c r="AS144" s="908"/>
      <c r="AT144" s="908"/>
      <c r="AU144" s="908"/>
      <c r="AV144" s="908"/>
      <c r="AW144" s="908"/>
      <c r="AX144" s="908"/>
      <c r="AY144" s="908"/>
      <c r="AZ144" s="908"/>
      <c r="BA144" s="908"/>
      <c r="BB144" s="908"/>
      <c r="BC144" s="908"/>
      <c r="BD144" s="908"/>
      <c r="BE144" s="908"/>
      <c r="BF144" s="908"/>
      <c r="BG144" s="908"/>
      <c r="BH144" s="908"/>
      <c r="BI144" s="908"/>
      <c r="BJ144" s="908"/>
      <c r="BK144" s="908"/>
      <c r="BL144" s="908"/>
      <c r="BM144" s="908"/>
      <c r="BN144" s="908"/>
      <c r="BO144" s="908"/>
      <c r="BP144" s="908"/>
      <c r="BQ144" s="908"/>
    </row>
    <row r="145" spans="1:69" s="1469" customFormat="1" ht="15.75">
      <c r="A145" s="703">
        <v>136</v>
      </c>
      <c r="B145" s="646" t="s">
        <v>383</v>
      </c>
      <c r="C145" s="647" t="s">
        <v>338</v>
      </c>
      <c r="D145" s="560" t="s">
        <v>75</v>
      </c>
      <c r="E145" s="713"/>
      <c r="F145" s="716"/>
      <c r="G145" s="628">
        <v>1</v>
      </c>
      <c r="H145" s="714"/>
      <c r="I145" s="715"/>
      <c r="J145" s="628">
        <v>2</v>
      </c>
      <c r="K145" s="715">
        <v>17697</v>
      </c>
      <c r="L145" s="715"/>
      <c r="M145" s="554">
        <v>1</v>
      </c>
      <c r="N145" s="554"/>
      <c r="O145" s="552">
        <v>2.81</v>
      </c>
      <c r="P145" s="567">
        <v>0</v>
      </c>
      <c r="Q145" s="556"/>
      <c r="R145" s="552">
        <f>K145*P147*N145</f>
        <v>0</v>
      </c>
      <c r="S145" s="554"/>
      <c r="T145" s="708">
        <v>0.1</v>
      </c>
      <c r="U145" s="552">
        <f t="shared" si="39"/>
        <v>0</v>
      </c>
      <c r="V145" s="554"/>
      <c r="W145" s="554"/>
      <c r="X145" s="559">
        <f t="shared" si="40"/>
        <v>0</v>
      </c>
      <c r="Y145" s="1276">
        <f t="shared" si="41"/>
        <v>0</v>
      </c>
      <c r="Z145" s="1276">
        <f t="shared" si="42"/>
        <v>0</v>
      </c>
      <c r="AA145" s="1277">
        <f t="shared" si="43"/>
        <v>0</v>
      </c>
      <c r="AB145" s="1458">
        <f t="shared" si="44"/>
        <v>0</v>
      </c>
      <c r="AK145" s="1778"/>
      <c r="AL145" s="1778"/>
      <c r="AM145" s="1778"/>
      <c r="AN145" s="1778"/>
      <c r="AO145" s="1778"/>
      <c r="AP145" s="1778"/>
      <c r="AQ145" s="1778"/>
      <c r="AR145" s="908"/>
      <c r="AS145" s="908"/>
      <c r="AT145" s="908"/>
      <c r="AU145" s="908"/>
      <c r="AV145" s="908"/>
      <c r="AW145" s="908"/>
      <c r="AX145" s="908"/>
      <c r="AY145" s="908"/>
      <c r="AZ145" s="908"/>
      <c r="BA145" s="908"/>
      <c r="BB145" s="908"/>
      <c r="BC145" s="908"/>
      <c r="BD145" s="908"/>
      <c r="BE145" s="908"/>
      <c r="BF145" s="908"/>
      <c r="BG145" s="908"/>
      <c r="BH145" s="908"/>
      <c r="BI145" s="908"/>
      <c r="BJ145" s="908"/>
      <c r="BK145" s="908"/>
      <c r="BL145" s="908"/>
      <c r="BM145" s="908"/>
      <c r="BN145" s="908"/>
      <c r="BO145" s="908"/>
      <c r="BP145" s="908"/>
      <c r="BQ145" s="908"/>
    </row>
    <row r="146" spans="1:69" s="1469" customFormat="1" ht="15.75">
      <c r="A146" s="709">
        <v>137</v>
      </c>
      <c r="B146" s="153" t="s">
        <v>339</v>
      </c>
      <c r="C146" s="647" t="s">
        <v>340</v>
      </c>
      <c r="D146" s="560" t="s">
        <v>64</v>
      </c>
      <c r="E146" s="563"/>
      <c r="F146" s="711"/>
      <c r="G146" s="712">
        <v>1</v>
      </c>
      <c r="H146" s="563"/>
      <c r="I146" s="689"/>
      <c r="J146" s="563">
        <v>2</v>
      </c>
      <c r="K146" s="554">
        <v>17697</v>
      </c>
      <c r="L146" s="554"/>
      <c r="M146" s="554">
        <v>1</v>
      </c>
      <c r="N146" s="554"/>
      <c r="O146" s="552">
        <v>2.81</v>
      </c>
      <c r="P146" s="567">
        <v>0</v>
      </c>
      <c r="Q146" s="556"/>
      <c r="R146" s="552">
        <f t="shared" ref="R146:R164" si="45">K146*P147*N146</f>
        <v>0</v>
      </c>
      <c r="S146" s="568"/>
      <c r="T146" s="708">
        <v>0.1</v>
      </c>
      <c r="U146" s="552">
        <f t="shared" si="39"/>
        <v>0</v>
      </c>
      <c r="V146" s="569">
        <v>0.3</v>
      </c>
      <c r="W146" s="554">
        <v>0</v>
      </c>
      <c r="X146" s="559">
        <f t="shared" si="40"/>
        <v>0</v>
      </c>
      <c r="Y146" s="1276">
        <f t="shared" si="41"/>
        <v>0</v>
      </c>
      <c r="Z146" s="1276">
        <f t="shared" si="42"/>
        <v>0</v>
      </c>
      <c r="AA146" s="1277">
        <f t="shared" si="43"/>
        <v>0</v>
      </c>
      <c r="AB146" s="1458">
        <f t="shared" si="44"/>
        <v>0</v>
      </c>
      <c r="AK146" s="1778"/>
      <c r="AL146" s="1778"/>
      <c r="AM146" s="1778"/>
      <c r="AN146" s="1778"/>
      <c r="AO146" s="1778"/>
      <c r="AP146" s="1778"/>
      <c r="AQ146" s="1778"/>
      <c r="AR146" s="908"/>
      <c r="AS146" s="908"/>
      <c r="AT146" s="908"/>
      <c r="AU146" s="908"/>
      <c r="AV146" s="908"/>
      <c r="AW146" s="908"/>
      <c r="AX146" s="908"/>
      <c r="AY146" s="908"/>
      <c r="AZ146" s="908"/>
      <c r="BA146" s="908"/>
      <c r="BB146" s="908"/>
      <c r="BC146" s="908"/>
      <c r="BD146" s="908"/>
      <c r="BE146" s="908"/>
      <c r="BF146" s="908"/>
      <c r="BG146" s="908"/>
      <c r="BH146" s="908"/>
      <c r="BI146" s="908"/>
      <c r="BJ146" s="908"/>
      <c r="BK146" s="908"/>
      <c r="BL146" s="908"/>
      <c r="BM146" s="908"/>
      <c r="BN146" s="908"/>
      <c r="BO146" s="908"/>
      <c r="BP146" s="908"/>
      <c r="BQ146" s="908"/>
    </row>
    <row r="147" spans="1:69" s="1459" customFormat="1" ht="15.75">
      <c r="A147" s="703">
        <v>138</v>
      </c>
      <c r="B147" s="153" t="s">
        <v>341</v>
      </c>
      <c r="C147" s="647" t="s">
        <v>340</v>
      </c>
      <c r="D147" s="560" t="s">
        <v>64</v>
      </c>
      <c r="E147" s="563"/>
      <c r="F147" s="711"/>
      <c r="G147" s="712">
        <v>1</v>
      </c>
      <c r="H147" s="563"/>
      <c r="I147" s="689"/>
      <c r="J147" s="563">
        <v>2</v>
      </c>
      <c r="K147" s="554">
        <v>17697</v>
      </c>
      <c r="L147" s="554"/>
      <c r="M147" s="554">
        <v>1</v>
      </c>
      <c r="N147" s="554"/>
      <c r="O147" s="552">
        <v>2.81</v>
      </c>
      <c r="P147" s="567">
        <v>0</v>
      </c>
      <c r="Q147" s="556"/>
      <c r="R147" s="552">
        <f t="shared" si="45"/>
        <v>0</v>
      </c>
      <c r="S147" s="568"/>
      <c r="T147" s="708">
        <v>0.1</v>
      </c>
      <c r="U147" s="552">
        <f t="shared" si="39"/>
        <v>0</v>
      </c>
      <c r="V147" s="569">
        <v>0.3</v>
      </c>
      <c r="W147" s="554">
        <v>0</v>
      </c>
      <c r="X147" s="559">
        <f t="shared" si="40"/>
        <v>0</v>
      </c>
      <c r="Y147" s="1276">
        <f t="shared" si="41"/>
        <v>0.3</v>
      </c>
      <c r="Z147" s="1276">
        <f t="shared" si="42"/>
        <v>0.3</v>
      </c>
      <c r="AA147" s="1277">
        <f t="shared" si="43"/>
        <v>0</v>
      </c>
      <c r="AB147" s="1458">
        <f t="shared" si="44"/>
        <v>0</v>
      </c>
      <c r="AC147" s="1458"/>
      <c r="AD147" s="1458"/>
      <c r="AE147" s="1458"/>
      <c r="AF147" s="1458"/>
      <c r="AG147" s="1458"/>
      <c r="AH147" s="1458"/>
      <c r="AI147" s="1458"/>
      <c r="AJ147" s="1458"/>
      <c r="AK147" s="914"/>
      <c r="AL147" s="914"/>
      <c r="AM147" s="914"/>
      <c r="AN147" s="914"/>
      <c r="AO147" s="914"/>
      <c r="AP147" s="914"/>
      <c r="AQ147" s="914"/>
      <c r="AR147" s="915"/>
      <c r="AS147" s="915"/>
      <c r="AT147" s="915"/>
      <c r="AU147" s="915"/>
      <c r="AV147" s="915"/>
      <c r="AW147" s="915"/>
      <c r="AX147" s="915"/>
      <c r="AY147" s="915"/>
      <c r="AZ147" s="915"/>
      <c r="BA147" s="915"/>
      <c r="BB147" s="915"/>
      <c r="BC147" s="915"/>
      <c r="BD147" s="915"/>
      <c r="BE147" s="915"/>
      <c r="BF147" s="915"/>
      <c r="BG147" s="915"/>
      <c r="BH147" s="915"/>
      <c r="BI147" s="915"/>
      <c r="BJ147" s="915"/>
      <c r="BK147" s="915"/>
      <c r="BL147" s="915"/>
      <c r="BM147" s="915"/>
      <c r="BN147" s="915"/>
      <c r="BO147" s="915"/>
      <c r="BP147" s="915"/>
      <c r="BQ147" s="915"/>
    </row>
    <row r="148" spans="1:69" s="1459" customFormat="1" ht="15.75">
      <c r="A148" s="709">
        <v>139</v>
      </c>
      <c r="B148" s="153" t="s">
        <v>342</v>
      </c>
      <c r="C148" s="647" t="s">
        <v>340</v>
      </c>
      <c r="D148" s="560" t="s">
        <v>64</v>
      </c>
      <c r="E148" s="563"/>
      <c r="F148" s="711"/>
      <c r="G148" s="712">
        <v>1</v>
      </c>
      <c r="H148" s="563"/>
      <c r="I148" s="689"/>
      <c r="J148" s="563">
        <v>2</v>
      </c>
      <c r="K148" s="554">
        <v>17697</v>
      </c>
      <c r="L148" s="554"/>
      <c r="M148" s="554">
        <v>1</v>
      </c>
      <c r="N148" s="554"/>
      <c r="O148" s="552">
        <v>2.81</v>
      </c>
      <c r="P148" s="567">
        <v>0</v>
      </c>
      <c r="Q148" s="556"/>
      <c r="R148" s="552">
        <f t="shared" si="45"/>
        <v>0</v>
      </c>
      <c r="S148" s="568"/>
      <c r="T148" s="708">
        <v>0.1</v>
      </c>
      <c r="U148" s="552">
        <f t="shared" si="39"/>
        <v>0</v>
      </c>
      <c r="V148" s="569">
        <v>0.3</v>
      </c>
      <c r="W148" s="554">
        <v>0</v>
      </c>
      <c r="X148" s="559">
        <f t="shared" si="40"/>
        <v>0</v>
      </c>
      <c r="Y148" s="1276">
        <f t="shared" si="41"/>
        <v>0.3</v>
      </c>
      <c r="Z148" s="1276">
        <f t="shared" si="42"/>
        <v>0.3</v>
      </c>
      <c r="AA148" s="1277">
        <f t="shared" si="43"/>
        <v>0</v>
      </c>
      <c r="AB148" s="1458">
        <f t="shared" si="44"/>
        <v>0</v>
      </c>
      <c r="AC148" s="1458"/>
      <c r="AD148" s="1458"/>
      <c r="AE148" s="1458"/>
      <c r="AF148" s="1458"/>
      <c r="AG148" s="1458"/>
      <c r="AH148" s="1458"/>
      <c r="AI148" s="1458"/>
      <c r="AJ148" s="1458"/>
      <c r="AK148" s="914"/>
      <c r="AL148" s="914"/>
      <c r="AM148" s="914"/>
      <c r="AN148" s="914"/>
      <c r="AO148" s="914"/>
      <c r="AP148" s="914"/>
      <c r="AQ148" s="914"/>
      <c r="AR148" s="915"/>
      <c r="AS148" s="915"/>
      <c r="AT148" s="915"/>
      <c r="AU148" s="915"/>
      <c r="AV148" s="915"/>
      <c r="AW148" s="915"/>
      <c r="AX148" s="915"/>
      <c r="AY148" s="915"/>
      <c r="AZ148" s="915"/>
      <c r="BA148" s="915"/>
      <c r="BB148" s="915"/>
      <c r="BC148" s="915"/>
      <c r="BD148" s="915"/>
      <c r="BE148" s="915"/>
      <c r="BF148" s="915"/>
      <c r="BG148" s="915"/>
      <c r="BH148" s="915"/>
      <c r="BI148" s="915"/>
      <c r="BJ148" s="915"/>
      <c r="BK148" s="915"/>
      <c r="BL148" s="915"/>
      <c r="BM148" s="915"/>
      <c r="BN148" s="915"/>
      <c r="BO148" s="915"/>
      <c r="BP148" s="915"/>
      <c r="BQ148" s="915"/>
    </row>
    <row r="149" spans="1:69" s="1459" customFormat="1" ht="15.75">
      <c r="A149" s="703">
        <v>140</v>
      </c>
      <c r="B149" s="153" t="s">
        <v>343</v>
      </c>
      <c r="C149" s="647" t="s">
        <v>340</v>
      </c>
      <c r="D149" s="560" t="s">
        <v>64</v>
      </c>
      <c r="E149" s="563"/>
      <c r="F149" s="711"/>
      <c r="G149" s="712">
        <v>1</v>
      </c>
      <c r="H149" s="563"/>
      <c r="I149" s="689"/>
      <c r="J149" s="563">
        <v>2</v>
      </c>
      <c r="K149" s="554">
        <v>17697</v>
      </c>
      <c r="L149" s="554"/>
      <c r="M149" s="554">
        <v>1</v>
      </c>
      <c r="N149" s="554"/>
      <c r="O149" s="552">
        <v>2.81</v>
      </c>
      <c r="P149" s="567">
        <v>0</v>
      </c>
      <c r="Q149" s="556"/>
      <c r="R149" s="552">
        <f t="shared" si="45"/>
        <v>0</v>
      </c>
      <c r="S149" s="568"/>
      <c r="T149" s="708">
        <v>0.1</v>
      </c>
      <c r="U149" s="552">
        <f t="shared" si="39"/>
        <v>0</v>
      </c>
      <c r="V149" s="569">
        <v>0.3</v>
      </c>
      <c r="W149" s="554">
        <v>0</v>
      </c>
      <c r="X149" s="559">
        <f t="shared" si="40"/>
        <v>0</v>
      </c>
      <c r="Y149" s="1276">
        <f t="shared" si="41"/>
        <v>0.3</v>
      </c>
      <c r="Z149" s="1276">
        <f t="shared" si="42"/>
        <v>0.3</v>
      </c>
      <c r="AA149" s="1277">
        <f t="shared" si="43"/>
        <v>0</v>
      </c>
      <c r="AB149" s="1458">
        <f t="shared" si="44"/>
        <v>0</v>
      </c>
      <c r="AC149" s="1458"/>
      <c r="AD149" s="1458"/>
      <c r="AE149" s="1458"/>
      <c r="AF149" s="1458"/>
      <c r="AG149" s="1458"/>
      <c r="AH149" s="1458"/>
      <c r="AI149" s="1458"/>
      <c r="AJ149" s="1458"/>
      <c r="AK149" s="914"/>
      <c r="AL149" s="914"/>
      <c r="AM149" s="914"/>
      <c r="AN149" s="914"/>
      <c r="AO149" s="914"/>
      <c r="AP149" s="914"/>
      <c r="AQ149" s="914"/>
      <c r="AR149" s="915"/>
      <c r="AS149" s="915"/>
      <c r="AT149" s="915"/>
      <c r="AU149" s="915"/>
      <c r="AV149" s="915"/>
      <c r="AW149" s="915"/>
      <c r="AX149" s="915"/>
      <c r="AY149" s="915"/>
      <c r="AZ149" s="915"/>
      <c r="BA149" s="915"/>
      <c r="BB149" s="915"/>
      <c r="BC149" s="915"/>
      <c r="BD149" s="915"/>
      <c r="BE149" s="915"/>
      <c r="BF149" s="915"/>
      <c r="BG149" s="915"/>
      <c r="BH149" s="915"/>
      <c r="BI149" s="915"/>
      <c r="BJ149" s="915"/>
      <c r="BK149" s="915"/>
      <c r="BL149" s="915"/>
      <c r="BM149" s="915"/>
      <c r="BN149" s="915"/>
      <c r="BO149" s="915"/>
      <c r="BP149" s="915"/>
      <c r="BQ149" s="915"/>
    </row>
    <row r="150" spans="1:69" s="78" customFormat="1" ht="15.75">
      <c r="A150" s="709">
        <v>141</v>
      </c>
      <c r="B150" s="153" t="s">
        <v>734</v>
      </c>
      <c r="C150" s="647" t="s">
        <v>340</v>
      </c>
      <c r="D150" s="560" t="s">
        <v>64</v>
      </c>
      <c r="E150" s="563"/>
      <c r="F150" s="717"/>
      <c r="G150" s="712" t="s">
        <v>409</v>
      </c>
      <c r="H150" s="563"/>
      <c r="I150" s="689"/>
      <c r="J150" s="563">
        <v>2</v>
      </c>
      <c r="K150" s="554">
        <v>17697</v>
      </c>
      <c r="L150" s="554"/>
      <c r="M150" s="554">
        <v>1.5</v>
      </c>
      <c r="N150" s="554"/>
      <c r="O150" s="552">
        <v>2.81</v>
      </c>
      <c r="P150" s="567">
        <v>0</v>
      </c>
      <c r="Q150" s="556"/>
      <c r="R150" s="552">
        <f t="shared" si="45"/>
        <v>0</v>
      </c>
      <c r="S150" s="554"/>
      <c r="T150" s="708">
        <v>0.1</v>
      </c>
      <c r="U150" s="552">
        <f t="shared" si="39"/>
        <v>0</v>
      </c>
      <c r="V150" s="569">
        <v>0.3</v>
      </c>
      <c r="W150" s="554">
        <v>0</v>
      </c>
      <c r="X150" s="559">
        <f t="shared" si="40"/>
        <v>0</v>
      </c>
      <c r="Y150" s="319">
        <f t="shared" si="41"/>
        <v>0.3</v>
      </c>
      <c r="Z150" s="319">
        <f t="shared" si="42"/>
        <v>0.3</v>
      </c>
      <c r="AA150" s="81">
        <f t="shared" si="43"/>
        <v>0</v>
      </c>
      <c r="AB150" s="79">
        <f t="shared" si="44"/>
        <v>0</v>
      </c>
      <c r="AC150" s="79"/>
      <c r="AD150" s="79"/>
      <c r="AE150" s="79"/>
      <c r="AF150" s="79"/>
      <c r="AG150" s="79"/>
      <c r="AH150" s="79"/>
      <c r="AI150" s="79"/>
      <c r="AJ150" s="79"/>
      <c r="AK150" s="914"/>
      <c r="AL150" s="914"/>
      <c r="AM150" s="914"/>
      <c r="AN150" s="914"/>
      <c r="AO150" s="914"/>
      <c r="AP150" s="914"/>
      <c r="AQ150" s="914"/>
      <c r="AR150" s="915"/>
      <c r="AS150" s="915"/>
      <c r="AT150" s="915"/>
      <c r="AU150" s="915"/>
      <c r="AV150" s="915"/>
      <c r="AW150" s="915"/>
      <c r="AX150" s="915"/>
      <c r="AY150" s="915"/>
      <c r="AZ150" s="915"/>
      <c r="BA150" s="915"/>
      <c r="BB150" s="915"/>
      <c r="BC150" s="915"/>
      <c r="BD150" s="915"/>
      <c r="BE150" s="915"/>
      <c r="BF150" s="915"/>
      <c r="BG150" s="915"/>
      <c r="BH150" s="915"/>
      <c r="BI150" s="915"/>
      <c r="BJ150" s="915"/>
      <c r="BK150" s="915"/>
      <c r="BL150" s="915"/>
      <c r="BM150" s="915"/>
      <c r="BN150" s="915"/>
      <c r="BO150" s="915"/>
      <c r="BP150" s="915"/>
      <c r="BQ150" s="915"/>
    </row>
    <row r="151" spans="1:69" s="80" customFormat="1" ht="15.75">
      <c r="A151" s="709">
        <v>143</v>
      </c>
      <c r="B151" s="153" t="s">
        <v>506</v>
      </c>
      <c r="C151" s="647" t="s">
        <v>340</v>
      </c>
      <c r="D151" s="560" t="s">
        <v>64</v>
      </c>
      <c r="E151" s="563"/>
      <c r="F151" s="711"/>
      <c r="G151" s="712" t="s">
        <v>409</v>
      </c>
      <c r="H151" s="563"/>
      <c r="I151" s="689"/>
      <c r="J151" s="563">
        <v>2</v>
      </c>
      <c r="K151" s="554">
        <v>17697</v>
      </c>
      <c r="L151" s="554"/>
      <c r="M151" s="554">
        <v>1.5</v>
      </c>
      <c r="N151" s="554"/>
      <c r="O151" s="552">
        <v>2.81</v>
      </c>
      <c r="P151" s="567">
        <v>0</v>
      </c>
      <c r="Q151" s="556"/>
      <c r="R151" s="552">
        <f t="shared" si="45"/>
        <v>0</v>
      </c>
      <c r="S151" s="554"/>
      <c r="T151" s="708">
        <v>0.1</v>
      </c>
      <c r="U151" s="552">
        <f t="shared" si="39"/>
        <v>0</v>
      </c>
      <c r="V151" s="569">
        <v>0.3</v>
      </c>
      <c r="W151" s="554">
        <v>0</v>
      </c>
      <c r="X151" s="559">
        <f t="shared" si="40"/>
        <v>0</v>
      </c>
      <c r="Y151" s="319">
        <f t="shared" si="41"/>
        <v>0.3</v>
      </c>
      <c r="Z151" s="319">
        <f t="shared" si="42"/>
        <v>0.3</v>
      </c>
      <c r="AA151" s="81">
        <f t="shared" si="43"/>
        <v>0</v>
      </c>
      <c r="AB151" s="79">
        <f t="shared" si="44"/>
        <v>0</v>
      </c>
      <c r="AK151" s="23"/>
      <c r="AL151" s="23"/>
      <c r="AM151" s="23"/>
      <c r="AN151" s="23"/>
      <c r="AO151" s="23"/>
      <c r="AP151" s="23"/>
      <c r="AQ151" s="23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</row>
    <row r="152" spans="1:69" s="1278" customFormat="1" ht="15.75">
      <c r="A152" s="703">
        <v>144</v>
      </c>
      <c r="B152" s="646" t="s">
        <v>507</v>
      </c>
      <c r="C152" s="647" t="s">
        <v>340</v>
      </c>
      <c r="D152" s="560" t="s">
        <v>64</v>
      </c>
      <c r="E152" s="713"/>
      <c r="F152" s="628"/>
      <c r="G152" s="712" t="s">
        <v>563</v>
      </c>
      <c r="H152" s="714"/>
      <c r="I152" s="715"/>
      <c r="J152" s="563">
        <v>2</v>
      </c>
      <c r="K152" s="715">
        <v>17697</v>
      </c>
      <c r="L152" s="715"/>
      <c r="M152" s="554">
        <v>1.3</v>
      </c>
      <c r="N152" s="554"/>
      <c r="O152" s="552">
        <v>2.81</v>
      </c>
      <c r="P152" s="567">
        <v>0</v>
      </c>
      <c r="Q152" s="556"/>
      <c r="R152" s="552">
        <f t="shared" si="45"/>
        <v>0</v>
      </c>
      <c r="S152" s="554"/>
      <c r="T152" s="708">
        <v>0.1</v>
      </c>
      <c r="U152" s="552">
        <f t="shared" si="39"/>
        <v>0</v>
      </c>
      <c r="V152" s="569">
        <v>0.3</v>
      </c>
      <c r="W152" s="554">
        <v>0</v>
      </c>
      <c r="X152" s="559">
        <f t="shared" si="40"/>
        <v>0</v>
      </c>
      <c r="Y152" s="1276">
        <f t="shared" si="41"/>
        <v>0.3</v>
      </c>
      <c r="Z152" s="1276">
        <f t="shared" si="42"/>
        <v>0.3</v>
      </c>
      <c r="AA152" s="1277">
        <f t="shared" si="43"/>
        <v>0</v>
      </c>
      <c r="AB152" s="1458">
        <f t="shared" si="44"/>
        <v>0</v>
      </c>
      <c r="AK152" s="23"/>
      <c r="AL152" s="23"/>
      <c r="AM152" s="23"/>
      <c r="AN152" s="23"/>
      <c r="AO152" s="23"/>
      <c r="AP152" s="23"/>
      <c r="AQ152" s="23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</row>
    <row r="153" spans="1:69" s="1469" customFormat="1" ht="15.75">
      <c r="A153" s="709">
        <v>145</v>
      </c>
      <c r="B153" s="718" t="s">
        <v>508</v>
      </c>
      <c r="C153" s="719" t="s">
        <v>340</v>
      </c>
      <c r="D153" s="720" t="s">
        <v>75</v>
      </c>
      <c r="E153" s="720"/>
      <c r="F153" s="721"/>
      <c r="G153" s="720">
        <v>1</v>
      </c>
      <c r="H153" s="722"/>
      <c r="I153" s="722"/>
      <c r="J153" s="601">
        <v>2</v>
      </c>
      <c r="K153" s="723">
        <v>17697</v>
      </c>
      <c r="L153" s="723"/>
      <c r="M153" s="554">
        <v>1</v>
      </c>
      <c r="N153" s="723"/>
      <c r="O153" s="552">
        <v>2.81</v>
      </c>
      <c r="P153" s="567">
        <v>0</v>
      </c>
      <c r="Q153" s="556"/>
      <c r="R153" s="552">
        <f t="shared" si="45"/>
        <v>0</v>
      </c>
      <c r="S153" s="723"/>
      <c r="T153" s="708">
        <v>0.1</v>
      </c>
      <c r="U153" s="552">
        <f t="shared" si="39"/>
        <v>0</v>
      </c>
      <c r="V153" s="609">
        <v>0.3</v>
      </c>
      <c r="W153" s="554">
        <v>0</v>
      </c>
      <c r="X153" s="559">
        <f t="shared" si="40"/>
        <v>0</v>
      </c>
      <c r="Y153" s="1276">
        <f t="shared" si="41"/>
        <v>0.3</v>
      </c>
      <c r="Z153" s="1276">
        <f t="shared" si="42"/>
        <v>0.3</v>
      </c>
      <c r="AA153" s="1277">
        <f t="shared" si="43"/>
        <v>0</v>
      </c>
      <c r="AB153" s="1458">
        <f t="shared" si="44"/>
        <v>0</v>
      </c>
      <c r="AK153" s="1778"/>
      <c r="AL153" s="1778"/>
      <c r="AM153" s="1778"/>
      <c r="AN153" s="1778"/>
      <c r="AO153" s="1778"/>
      <c r="AP153" s="1778"/>
      <c r="AQ153" s="1778"/>
      <c r="AR153" s="908"/>
      <c r="AS153" s="908"/>
      <c r="AT153" s="908"/>
      <c r="AU153" s="908"/>
      <c r="AV153" s="908"/>
      <c r="AW153" s="908"/>
      <c r="AX153" s="908"/>
      <c r="AY153" s="908"/>
      <c r="AZ153" s="908"/>
      <c r="BA153" s="908"/>
      <c r="BB153" s="908"/>
      <c r="BC153" s="908"/>
      <c r="BD153" s="908"/>
      <c r="BE153" s="908"/>
      <c r="BF153" s="908"/>
      <c r="BG153" s="908"/>
      <c r="BH153" s="908"/>
      <c r="BI153" s="908"/>
      <c r="BJ153" s="908"/>
      <c r="BK153" s="908"/>
      <c r="BL153" s="908"/>
      <c r="BM153" s="908"/>
      <c r="BN153" s="908"/>
      <c r="BO153" s="908"/>
      <c r="BP153" s="908"/>
      <c r="BQ153" s="908"/>
    </row>
    <row r="154" spans="1:69" s="1278" customFormat="1" ht="15.75">
      <c r="A154" s="703">
        <v>146</v>
      </c>
      <c r="B154" s="153" t="s">
        <v>345</v>
      </c>
      <c r="C154" s="561" t="s">
        <v>784</v>
      </c>
      <c r="D154" s="560" t="s">
        <v>64</v>
      </c>
      <c r="E154" s="563"/>
      <c r="F154" s="711"/>
      <c r="G154" s="712">
        <v>1</v>
      </c>
      <c r="H154" s="563"/>
      <c r="I154" s="689"/>
      <c r="J154" s="563">
        <v>1</v>
      </c>
      <c r="K154" s="554">
        <v>17697</v>
      </c>
      <c r="L154" s="554"/>
      <c r="M154" s="723">
        <v>1</v>
      </c>
      <c r="N154" s="554"/>
      <c r="O154" s="554">
        <v>2.77</v>
      </c>
      <c r="P154" s="567">
        <v>0</v>
      </c>
      <c r="Q154" s="556"/>
      <c r="R154" s="552">
        <f t="shared" si="45"/>
        <v>0</v>
      </c>
      <c r="S154" s="568"/>
      <c r="T154" s="708">
        <v>0.1</v>
      </c>
      <c r="U154" s="552">
        <f t="shared" si="39"/>
        <v>0</v>
      </c>
      <c r="V154" s="724">
        <v>0.5</v>
      </c>
      <c r="W154" s="554">
        <v>0</v>
      </c>
      <c r="X154" s="559">
        <f t="shared" si="40"/>
        <v>0</v>
      </c>
      <c r="Y154" s="1276">
        <f t="shared" si="41"/>
        <v>0.3</v>
      </c>
      <c r="Z154" s="1276">
        <f t="shared" si="42"/>
        <v>0.3</v>
      </c>
      <c r="AA154" s="1277">
        <f t="shared" si="43"/>
        <v>0</v>
      </c>
      <c r="AB154" s="1458">
        <f t="shared" si="44"/>
        <v>0</v>
      </c>
      <c r="AC154" s="1277"/>
      <c r="AD154" s="1277"/>
      <c r="AE154" s="1482"/>
      <c r="AF154" s="1483"/>
      <c r="AG154" s="1277"/>
      <c r="AK154" s="23"/>
      <c r="AL154" s="23"/>
      <c r="AM154" s="23"/>
      <c r="AN154" s="23"/>
      <c r="AO154" s="23"/>
      <c r="AP154" s="23"/>
      <c r="AQ154" s="23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</row>
    <row r="155" spans="1:69" s="1459" customFormat="1" ht="15.75">
      <c r="A155" s="709">
        <v>147</v>
      </c>
      <c r="B155" s="153" t="s">
        <v>347</v>
      </c>
      <c r="C155" s="561" t="s">
        <v>784</v>
      </c>
      <c r="D155" s="560" t="s">
        <v>25</v>
      </c>
      <c r="E155" s="563"/>
      <c r="F155" s="560"/>
      <c r="G155" s="712">
        <v>1</v>
      </c>
      <c r="H155" s="563"/>
      <c r="I155" s="689"/>
      <c r="J155" s="563">
        <v>1</v>
      </c>
      <c r="K155" s="554">
        <v>17697</v>
      </c>
      <c r="L155" s="554"/>
      <c r="M155" s="554">
        <v>1</v>
      </c>
      <c r="N155" s="554"/>
      <c r="O155" s="554">
        <v>2.77</v>
      </c>
      <c r="P155" s="567">
        <v>0</v>
      </c>
      <c r="Q155" s="556"/>
      <c r="R155" s="552">
        <f t="shared" si="45"/>
        <v>0</v>
      </c>
      <c r="S155" s="568"/>
      <c r="T155" s="708">
        <v>0.1</v>
      </c>
      <c r="U155" s="552">
        <f t="shared" si="39"/>
        <v>0</v>
      </c>
      <c r="V155" s="724">
        <v>0.5</v>
      </c>
      <c r="W155" s="554">
        <v>0</v>
      </c>
      <c r="X155" s="559">
        <f t="shared" si="40"/>
        <v>0</v>
      </c>
      <c r="Y155" s="1276">
        <f t="shared" si="41"/>
        <v>0.5</v>
      </c>
      <c r="Z155" s="1276">
        <f t="shared" si="42"/>
        <v>0.5</v>
      </c>
      <c r="AA155" s="1277">
        <f t="shared" si="43"/>
        <v>0</v>
      </c>
      <c r="AB155" s="1458">
        <f t="shared" si="44"/>
        <v>0</v>
      </c>
      <c r="AC155" s="1458"/>
      <c r="AD155" s="1458"/>
      <c r="AE155" s="1458"/>
      <c r="AF155" s="1458"/>
      <c r="AG155" s="1458"/>
      <c r="AH155" s="1458"/>
      <c r="AI155" s="1458"/>
      <c r="AJ155" s="1458"/>
      <c r="AK155" s="914"/>
      <c r="AL155" s="914"/>
      <c r="AM155" s="914"/>
      <c r="AN155" s="914"/>
      <c r="AO155" s="914"/>
      <c r="AP155" s="914"/>
      <c r="AQ155" s="914"/>
      <c r="AR155" s="915"/>
      <c r="AS155" s="915"/>
      <c r="AT155" s="915"/>
      <c r="AU155" s="915"/>
      <c r="AV155" s="915"/>
      <c r="AW155" s="915"/>
      <c r="AX155" s="915"/>
      <c r="AY155" s="915"/>
      <c r="AZ155" s="915"/>
      <c r="BA155" s="915"/>
      <c r="BB155" s="915"/>
      <c r="BC155" s="915"/>
      <c r="BD155" s="915"/>
      <c r="BE155" s="915"/>
      <c r="BF155" s="915"/>
      <c r="BG155" s="915"/>
      <c r="BH155" s="915"/>
      <c r="BI155" s="915"/>
      <c r="BJ155" s="915"/>
      <c r="BK155" s="915"/>
      <c r="BL155" s="915"/>
      <c r="BM155" s="915"/>
      <c r="BN155" s="915"/>
      <c r="BO155" s="915"/>
      <c r="BP155" s="915"/>
      <c r="BQ155" s="915"/>
    </row>
    <row r="156" spans="1:69" s="1459" customFormat="1" ht="15.75">
      <c r="A156" s="703">
        <v>148</v>
      </c>
      <c r="B156" s="153" t="s">
        <v>606</v>
      </c>
      <c r="C156" s="561" t="s">
        <v>784</v>
      </c>
      <c r="D156" s="560" t="s">
        <v>64</v>
      </c>
      <c r="E156" s="563"/>
      <c r="F156" s="560"/>
      <c r="G156" s="712">
        <v>1</v>
      </c>
      <c r="H156" s="563"/>
      <c r="I156" s="689"/>
      <c r="J156" s="563">
        <v>1</v>
      </c>
      <c r="K156" s="554">
        <v>17697</v>
      </c>
      <c r="L156" s="554"/>
      <c r="M156" s="554">
        <v>1</v>
      </c>
      <c r="N156" s="554"/>
      <c r="O156" s="554">
        <v>2.77</v>
      </c>
      <c r="P156" s="567">
        <v>0</v>
      </c>
      <c r="Q156" s="556"/>
      <c r="R156" s="552">
        <f t="shared" si="45"/>
        <v>0</v>
      </c>
      <c r="S156" s="568"/>
      <c r="T156" s="708">
        <v>0.1</v>
      </c>
      <c r="U156" s="552">
        <f t="shared" si="39"/>
        <v>0</v>
      </c>
      <c r="V156" s="724">
        <v>0.5</v>
      </c>
      <c r="W156" s="554">
        <v>0</v>
      </c>
      <c r="X156" s="559">
        <f t="shared" si="40"/>
        <v>0</v>
      </c>
      <c r="Y156" s="1276">
        <f t="shared" si="41"/>
        <v>0.5</v>
      </c>
      <c r="Z156" s="1276">
        <f t="shared" si="42"/>
        <v>0.5</v>
      </c>
      <c r="AA156" s="1277">
        <f t="shared" si="43"/>
        <v>0</v>
      </c>
      <c r="AB156" s="1458">
        <f t="shared" si="44"/>
        <v>0</v>
      </c>
      <c r="AC156" s="1458"/>
      <c r="AD156" s="1458"/>
      <c r="AE156" s="1458"/>
      <c r="AF156" s="1458"/>
      <c r="AG156" s="1458"/>
      <c r="AH156" s="1458"/>
      <c r="AI156" s="1458"/>
      <c r="AJ156" s="1458"/>
      <c r="AK156" s="914"/>
      <c r="AL156" s="914"/>
      <c r="AM156" s="914"/>
      <c r="AN156" s="914"/>
      <c r="AO156" s="914"/>
      <c r="AP156" s="914"/>
      <c r="AQ156" s="914"/>
      <c r="AR156" s="915"/>
      <c r="AS156" s="915"/>
      <c r="AT156" s="915"/>
      <c r="AU156" s="915"/>
      <c r="AV156" s="915"/>
      <c r="AW156" s="915"/>
      <c r="AX156" s="915"/>
      <c r="AY156" s="915"/>
      <c r="AZ156" s="915"/>
      <c r="BA156" s="915"/>
      <c r="BB156" s="915"/>
      <c r="BC156" s="915"/>
      <c r="BD156" s="915"/>
      <c r="BE156" s="915"/>
      <c r="BF156" s="915"/>
      <c r="BG156" s="915"/>
      <c r="BH156" s="915"/>
      <c r="BI156" s="915"/>
      <c r="BJ156" s="915"/>
      <c r="BK156" s="915"/>
      <c r="BL156" s="915"/>
      <c r="BM156" s="915"/>
      <c r="BN156" s="915"/>
      <c r="BO156" s="915"/>
      <c r="BP156" s="915"/>
      <c r="BQ156" s="915"/>
    </row>
    <row r="157" spans="1:69" s="1459" customFormat="1" ht="15.75">
      <c r="A157" s="709">
        <v>149</v>
      </c>
      <c r="B157" s="153" t="s">
        <v>735</v>
      </c>
      <c r="C157" s="725" t="s">
        <v>785</v>
      </c>
      <c r="D157" s="560" t="s">
        <v>64</v>
      </c>
      <c r="E157" s="563"/>
      <c r="F157" s="560"/>
      <c r="G157" s="712">
        <v>1</v>
      </c>
      <c r="H157" s="563"/>
      <c r="I157" s="689"/>
      <c r="J157" s="563">
        <v>1</v>
      </c>
      <c r="K157" s="554">
        <v>17697</v>
      </c>
      <c r="L157" s="554"/>
      <c r="M157" s="554">
        <v>1</v>
      </c>
      <c r="N157" s="554"/>
      <c r="O157" s="554">
        <v>2.77</v>
      </c>
      <c r="P157" s="567">
        <v>0</v>
      </c>
      <c r="Q157" s="556"/>
      <c r="R157" s="552">
        <f t="shared" si="45"/>
        <v>0</v>
      </c>
      <c r="S157" s="554"/>
      <c r="T157" s="708">
        <v>0.1</v>
      </c>
      <c r="U157" s="552">
        <f t="shared" si="39"/>
        <v>0</v>
      </c>
      <c r="V157" s="724">
        <v>0.5</v>
      </c>
      <c r="W157" s="554">
        <v>0</v>
      </c>
      <c r="X157" s="559">
        <f t="shared" si="40"/>
        <v>0</v>
      </c>
      <c r="Y157" s="1276">
        <f t="shared" si="41"/>
        <v>0.5</v>
      </c>
      <c r="Z157" s="1276">
        <f t="shared" si="42"/>
        <v>0.5</v>
      </c>
      <c r="AA157" s="1277">
        <f t="shared" si="43"/>
        <v>0</v>
      </c>
      <c r="AB157" s="1458">
        <f t="shared" si="44"/>
        <v>0</v>
      </c>
      <c r="AC157" s="1458"/>
      <c r="AD157" s="1458"/>
      <c r="AE157" s="1458"/>
      <c r="AF157" s="1458"/>
      <c r="AG157" s="1458"/>
      <c r="AH157" s="1458"/>
      <c r="AI157" s="1458"/>
      <c r="AJ157" s="1458"/>
      <c r="AK157" s="914"/>
      <c r="AL157" s="1787"/>
      <c r="AM157" s="914"/>
      <c r="AN157" s="914"/>
      <c r="AO157" s="914"/>
      <c r="AP157" s="914"/>
      <c r="AQ157" s="914"/>
      <c r="AR157" s="915"/>
      <c r="AS157" s="915"/>
      <c r="AT157" s="915"/>
      <c r="AU157" s="915"/>
      <c r="AV157" s="915"/>
      <c r="AW157" s="915"/>
      <c r="AX157" s="915"/>
      <c r="AY157" s="915"/>
      <c r="AZ157" s="915"/>
      <c r="BA157" s="915"/>
      <c r="BB157" s="915"/>
      <c r="BC157" s="915"/>
      <c r="BD157" s="915"/>
      <c r="BE157" s="915"/>
      <c r="BF157" s="915"/>
      <c r="BG157" s="915"/>
      <c r="BH157" s="915"/>
      <c r="BI157" s="915"/>
      <c r="BJ157" s="915"/>
      <c r="BK157" s="915"/>
      <c r="BL157" s="915"/>
      <c r="BM157" s="915"/>
      <c r="BN157" s="915"/>
      <c r="BO157" s="915"/>
      <c r="BP157" s="915"/>
      <c r="BQ157" s="915"/>
    </row>
    <row r="158" spans="1:69" s="1278" customFormat="1" ht="15.75">
      <c r="A158" s="703">
        <v>150</v>
      </c>
      <c r="B158" s="153" t="s">
        <v>333</v>
      </c>
      <c r="C158" s="725" t="s">
        <v>785</v>
      </c>
      <c r="D158" s="560" t="s">
        <v>64</v>
      </c>
      <c r="E158" s="563"/>
      <c r="F158" s="560"/>
      <c r="G158" s="712">
        <v>1</v>
      </c>
      <c r="H158" s="563"/>
      <c r="I158" s="689"/>
      <c r="J158" s="563">
        <v>1</v>
      </c>
      <c r="K158" s="554">
        <v>17697</v>
      </c>
      <c r="L158" s="554"/>
      <c r="M158" s="554">
        <v>1</v>
      </c>
      <c r="N158" s="554"/>
      <c r="O158" s="554">
        <v>2.77</v>
      </c>
      <c r="P158" s="567">
        <v>0</v>
      </c>
      <c r="Q158" s="556"/>
      <c r="R158" s="552">
        <f t="shared" si="45"/>
        <v>0</v>
      </c>
      <c r="S158" s="554"/>
      <c r="T158" s="708">
        <v>0.1</v>
      </c>
      <c r="U158" s="552">
        <f t="shared" si="39"/>
        <v>0</v>
      </c>
      <c r="V158" s="724">
        <v>0.5</v>
      </c>
      <c r="W158" s="554">
        <v>0</v>
      </c>
      <c r="X158" s="559">
        <f t="shared" si="40"/>
        <v>0</v>
      </c>
      <c r="Y158" s="1276">
        <f t="shared" si="41"/>
        <v>0.5</v>
      </c>
      <c r="Z158" s="1276">
        <f t="shared" si="42"/>
        <v>0.5</v>
      </c>
      <c r="AA158" s="1277">
        <f t="shared" si="43"/>
        <v>0</v>
      </c>
      <c r="AB158" s="1458">
        <f t="shared" si="44"/>
        <v>0</v>
      </c>
      <c r="AK158" s="23"/>
      <c r="AL158" s="23"/>
      <c r="AM158" s="23"/>
      <c r="AN158" s="23"/>
      <c r="AO158" s="23"/>
      <c r="AP158" s="23"/>
      <c r="AQ158" s="23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</row>
    <row r="159" spans="1:69" s="1278" customFormat="1" ht="15.75">
      <c r="A159" s="709">
        <v>151</v>
      </c>
      <c r="B159" s="153" t="s">
        <v>350</v>
      </c>
      <c r="C159" s="725" t="s">
        <v>785</v>
      </c>
      <c r="D159" s="560" t="s">
        <v>64</v>
      </c>
      <c r="E159" s="563"/>
      <c r="F159" s="560"/>
      <c r="G159" s="712">
        <v>1</v>
      </c>
      <c r="H159" s="563"/>
      <c r="I159" s="689"/>
      <c r="J159" s="563">
        <v>1</v>
      </c>
      <c r="K159" s="554">
        <v>17697</v>
      </c>
      <c r="L159" s="554"/>
      <c r="M159" s="554">
        <v>1</v>
      </c>
      <c r="N159" s="554"/>
      <c r="O159" s="554">
        <v>2.77</v>
      </c>
      <c r="P159" s="567">
        <v>0</v>
      </c>
      <c r="Q159" s="556"/>
      <c r="R159" s="552">
        <f t="shared" si="45"/>
        <v>0</v>
      </c>
      <c r="S159" s="554"/>
      <c r="T159" s="708">
        <v>0.1</v>
      </c>
      <c r="U159" s="552">
        <f t="shared" si="39"/>
        <v>0</v>
      </c>
      <c r="V159" s="724">
        <v>0.5</v>
      </c>
      <c r="W159" s="554">
        <v>0</v>
      </c>
      <c r="X159" s="559">
        <f t="shared" si="40"/>
        <v>0</v>
      </c>
      <c r="Y159" s="1276">
        <f t="shared" si="41"/>
        <v>0.5</v>
      </c>
      <c r="Z159" s="1276">
        <f t="shared" si="42"/>
        <v>0.5</v>
      </c>
      <c r="AA159" s="1277">
        <f t="shared" si="43"/>
        <v>0</v>
      </c>
      <c r="AB159" s="1458">
        <f t="shared" si="44"/>
        <v>0</v>
      </c>
      <c r="AK159" s="23"/>
      <c r="AL159" s="23"/>
      <c r="AM159" s="906"/>
      <c r="AN159" s="906"/>
      <c r="AO159" s="23"/>
      <c r="AP159" s="23"/>
      <c r="AQ159" s="23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</row>
    <row r="160" spans="1:69" s="1278" customFormat="1" ht="15.75">
      <c r="A160" s="703">
        <v>152</v>
      </c>
      <c r="B160" s="726" t="s">
        <v>351</v>
      </c>
      <c r="C160" s="662" t="s">
        <v>786</v>
      </c>
      <c r="D160" s="663" t="s">
        <v>75</v>
      </c>
      <c r="E160" s="663"/>
      <c r="F160" s="727"/>
      <c r="G160" s="663">
        <v>1</v>
      </c>
      <c r="H160" s="728"/>
      <c r="I160" s="728"/>
      <c r="J160" s="663">
        <v>1</v>
      </c>
      <c r="K160" s="567">
        <v>17697</v>
      </c>
      <c r="L160" s="567"/>
      <c r="M160" s="554">
        <v>1</v>
      </c>
      <c r="N160" s="567"/>
      <c r="O160" s="554">
        <v>2.77</v>
      </c>
      <c r="P160" s="567">
        <v>0</v>
      </c>
      <c r="Q160" s="556"/>
      <c r="R160" s="552">
        <f t="shared" si="45"/>
        <v>0</v>
      </c>
      <c r="S160" s="567"/>
      <c r="T160" s="708">
        <v>0.1</v>
      </c>
      <c r="U160" s="552">
        <f t="shared" si="39"/>
        <v>0</v>
      </c>
      <c r="V160" s="567">
        <v>0</v>
      </c>
      <c r="W160" s="554">
        <v>0</v>
      </c>
      <c r="X160" s="559">
        <f t="shared" si="40"/>
        <v>0</v>
      </c>
      <c r="Y160" s="1276">
        <f t="shared" si="41"/>
        <v>0.5</v>
      </c>
      <c r="Z160" s="1276">
        <f t="shared" si="42"/>
        <v>0.5</v>
      </c>
      <c r="AA160" s="1277">
        <f t="shared" si="43"/>
        <v>0</v>
      </c>
      <c r="AB160" s="1458">
        <f t="shared" si="44"/>
        <v>0</v>
      </c>
      <c r="AK160" s="23"/>
      <c r="AL160" s="23"/>
      <c r="AM160" s="906"/>
      <c r="AN160" s="23"/>
      <c r="AO160" s="23"/>
      <c r="AP160" s="23"/>
      <c r="AQ160" s="23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</row>
    <row r="161" spans="1:69" s="1278" customFormat="1" ht="15.75">
      <c r="A161" s="709">
        <v>153</v>
      </c>
      <c r="B161" s="726" t="s">
        <v>607</v>
      </c>
      <c r="C161" s="662" t="s">
        <v>786</v>
      </c>
      <c r="D161" s="663" t="s">
        <v>75</v>
      </c>
      <c r="E161" s="663"/>
      <c r="F161" s="727"/>
      <c r="G161" s="663">
        <v>1</v>
      </c>
      <c r="H161" s="728"/>
      <c r="I161" s="728"/>
      <c r="J161" s="663">
        <v>1</v>
      </c>
      <c r="K161" s="567">
        <v>17697</v>
      </c>
      <c r="L161" s="567"/>
      <c r="M161" s="554">
        <v>1</v>
      </c>
      <c r="N161" s="567"/>
      <c r="O161" s="554">
        <v>2.77</v>
      </c>
      <c r="P161" s="567">
        <v>0</v>
      </c>
      <c r="Q161" s="556"/>
      <c r="R161" s="552">
        <f t="shared" si="45"/>
        <v>0</v>
      </c>
      <c r="S161" s="567"/>
      <c r="T161" s="708">
        <v>0.1</v>
      </c>
      <c r="U161" s="552">
        <f t="shared" si="39"/>
        <v>0</v>
      </c>
      <c r="V161" s="567">
        <v>0</v>
      </c>
      <c r="W161" s="554">
        <v>0</v>
      </c>
      <c r="X161" s="559">
        <f t="shared" si="40"/>
        <v>0</v>
      </c>
      <c r="Y161" s="1276">
        <f t="shared" si="41"/>
        <v>0</v>
      </c>
      <c r="Z161" s="1276">
        <f t="shared" si="42"/>
        <v>0</v>
      </c>
      <c r="AA161" s="1277">
        <f t="shared" si="43"/>
        <v>0</v>
      </c>
      <c r="AB161" s="1458">
        <f t="shared" si="44"/>
        <v>0</v>
      </c>
      <c r="AC161" s="1277"/>
      <c r="AD161" s="1277"/>
      <c r="AE161" s="1482"/>
      <c r="AF161" s="1483"/>
      <c r="AG161" s="1277"/>
      <c r="AK161" s="23"/>
      <c r="AL161" s="23"/>
      <c r="AM161" s="906"/>
      <c r="AN161" s="23"/>
      <c r="AO161" s="23"/>
      <c r="AP161" s="23"/>
      <c r="AQ161" s="23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</row>
    <row r="162" spans="1:69" s="1278" customFormat="1" ht="15.75">
      <c r="A162" s="703">
        <v>154</v>
      </c>
      <c r="B162" s="729" t="s">
        <v>354</v>
      </c>
      <c r="C162" s="662" t="s">
        <v>786</v>
      </c>
      <c r="D162" s="663" t="s">
        <v>75</v>
      </c>
      <c r="E162" s="663"/>
      <c r="F162" s="727"/>
      <c r="G162" s="663">
        <v>1</v>
      </c>
      <c r="H162" s="728"/>
      <c r="I162" s="728"/>
      <c r="J162" s="663">
        <v>1</v>
      </c>
      <c r="K162" s="567">
        <v>17697</v>
      </c>
      <c r="L162" s="567"/>
      <c r="M162" s="554">
        <v>1</v>
      </c>
      <c r="N162" s="567"/>
      <c r="O162" s="554">
        <v>2.77</v>
      </c>
      <c r="P162" s="567">
        <v>0</v>
      </c>
      <c r="Q162" s="556"/>
      <c r="R162" s="552">
        <f t="shared" si="45"/>
        <v>0</v>
      </c>
      <c r="S162" s="567"/>
      <c r="T162" s="708">
        <v>0.1</v>
      </c>
      <c r="U162" s="552">
        <f t="shared" si="39"/>
        <v>0</v>
      </c>
      <c r="V162" s="567">
        <v>0</v>
      </c>
      <c r="W162" s="554">
        <v>0</v>
      </c>
      <c r="X162" s="559">
        <f t="shared" si="40"/>
        <v>0</v>
      </c>
      <c r="Y162" s="1276">
        <f t="shared" si="41"/>
        <v>0</v>
      </c>
      <c r="Z162" s="1276">
        <f t="shared" si="42"/>
        <v>0</v>
      </c>
      <c r="AA162" s="1277">
        <f t="shared" si="43"/>
        <v>0</v>
      </c>
      <c r="AB162" s="1458">
        <f t="shared" si="44"/>
        <v>0</v>
      </c>
      <c r="AC162" s="1277"/>
      <c r="AD162" s="1277"/>
      <c r="AE162" s="1482"/>
      <c r="AF162" s="1483"/>
      <c r="AG162" s="1277"/>
      <c r="AK162" s="23"/>
      <c r="AL162" s="23"/>
      <c r="AM162" s="23"/>
      <c r="AN162" s="23"/>
      <c r="AO162" s="23"/>
      <c r="AP162" s="23"/>
      <c r="AQ162" s="23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</row>
    <row r="163" spans="1:69" s="1278" customFormat="1" ht="15.75">
      <c r="A163" s="709">
        <v>155</v>
      </c>
      <c r="B163" s="646" t="s">
        <v>355</v>
      </c>
      <c r="C163" s="647" t="s">
        <v>356</v>
      </c>
      <c r="D163" s="663" t="s">
        <v>75</v>
      </c>
      <c r="E163" s="646"/>
      <c r="F163" s="646"/>
      <c r="G163" s="628">
        <v>1</v>
      </c>
      <c r="H163" s="714"/>
      <c r="I163" s="715"/>
      <c r="J163" s="628">
        <v>1</v>
      </c>
      <c r="K163" s="715">
        <v>17697</v>
      </c>
      <c r="L163" s="715"/>
      <c r="M163" s="554">
        <v>1</v>
      </c>
      <c r="N163" s="554"/>
      <c r="O163" s="554">
        <v>2.77</v>
      </c>
      <c r="P163" s="567">
        <v>0</v>
      </c>
      <c r="Q163" s="556"/>
      <c r="R163" s="552">
        <f t="shared" si="45"/>
        <v>0</v>
      </c>
      <c r="S163" s="554"/>
      <c r="T163" s="708">
        <v>0.1</v>
      </c>
      <c r="U163" s="552">
        <f t="shared" si="39"/>
        <v>0</v>
      </c>
      <c r="V163" s="567">
        <v>0</v>
      </c>
      <c r="W163" s="554">
        <v>0</v>
      </c>
      <c r="X163" s="559">
        <f t="shared" si="40"/>
        <v>0</v>
      </c>
      <c r="Y163" s="1276">
        <f t="shared" si="41"/>
        <v>0</v>
      </c>
      <c r="Z163" s="1276">
        <f t="shared" si="42"/>
        <v>0</v>
      </c>
      <c r="AA163" s="1277">
        <f t="shared" si="43"/>
        <v>0</v>
      </c>
      <c r="AB163" s="1458">
        <f t="shared" si="44"/>
        <v>0</v>
      </c>
      <c r="AC163" s="1277"/>
      <c r="AD163" s="1277"/>
      <c r="AE163" s="1482"/>
      <c r="AF163" s="1483"/>
      <c r="AG163" s="1277"/>
      <c r="AK163" s="23"/>
      <c r="AL163" s="23"/>
      <c r="AM163" s="23"/>
      <c r="AN163" s="23"/>
      <c r="AO163" s="23"/>
      <c r="AP163" s="23"/>
      <c r="AQ163" s="23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</row>
    <row r="164" spans="1:69" s="1469" customFormat="1" ht="15.75">
      <c r="A164" s="703">
        <v>156</v>
      </c>
      <c r="B164" s="646" t="s">
        <v>357</v>
      </c>
      <c r="C164" s="561" t="s">
        <v>358</v>
      </c>
      <c r="D164" s="560" t="s">
        <v>64</v>
      </c>
      <c r="E164" s="646"/>
      <c r="F164" s="646"/>
      <c r="G164" s="628">
        <v>1</v>
      </c>
      <c r="H164" s="714"/>
      <c r="I164" s="715"/>
      <c r="J164" s="628">
        <v>1</v>
      </c>
      <c r="K164" s="715">
        <v>17697</v>
      </c>
      <c r="L164" s="715"/>
      <c r="M164" s="554">
        <v>1</v>
      </c>
      <c r="N164" s="554"/>
      <c r="O164" s="554">
        <v>2.77</v>
      </c>
      <c r="P164" s="567">
        <v>0</v>
      </c>
      <c r="Q164" s="556"/>
      <c r="R164" s="552">
        <f t="shared" si="45"/>
        <v>0</v>
      </c>
      <c r="S164" s="554"/>
      <c r="T164" s="708">
        <v>0.1</v>
      </c>
      <c r="U164" s="552">
        <f t="shared" si="39"/>
        <v>0</v>
      </c>
      <c r="V164" s="567">
        <v>0</v>
      </c>
      <c r="W164" s="554">
        <v>0</v>
      </c>
      <c r="X164" s="559">
        <f t="shared" si="40"/>
        <v>0</v>
      </c>
      <c r="Y164" s="1276">
        <f t="shared" si="41"/>
        <v>0</v>
      </c>
      <c r="Z164" s="1276">
        <f t="shared" si="42"/>
        <v>0</v>
      </c>
      <c r="AA164" s="1277">
        <f t="shared" si="43"/>
        <v>0</v>
      </c>
      <c r="AB164" s="1458">
        <f t="shared" si="44"/>
        <v>0</v>
      </c>
      <c r="AC164" s="1493">
        <f>SUM(X139:X164)</f>
        <v>0</v>
      </c>
      <c r="AK164" s="1778"/>
      <c r="AL164" s="1778"/>
      <c r="AM164" s="1778"/>
      <c r="AN164" s="1778"/>
      <c r="AO164" s="1778"/>
      <c r="AP164" s="1778"/>
      <c r="AQ164" s="1778"/>
      <c r="AR164" s="908"/>
      <c r="AS164" s="908"/>
      <c r="AT164" s="908"/>
      <c r="AU164" s="908"/>
      <c r="AV164" s="908"/>
      <c r="AW164" s="908"/>
      <c r="AX164" s="908"/>
      <c r="AY164" s="908"/>
      <c r="AZ164" s="908"/>
      <c r="BA164" s="908"/>
      <c r="BB164" s="908"/>
      <c r="BC164" s="908"/>
      <c r="BD164" s="908"/>
      <c r="BE164" s="908"/>
      <c r="BF164" s="908"/>
      <c r="BG164" s="908"/>
      <c r="BH164" s="908"/>
      <c r="BI164" s="908"/>
      <c r="BJ164" s="908"/>
      <c r="BK164" s="908"/>
      <c r="BL164" s="908"/>
      <c r="BM164" s="908"/>
      <c r="BN164" s="908"/>
      <c r="BO164" s="908"/>
      <c r="BP164" s="908"/>
      <c r="BQ164" s="908"/>
    </row>
    <row r="165" spans="1:69" s="1469" customFormat="1" ht="15.75">
      <c r="A165" s="2307" t="s">
        <v>359</v>
      </c>
      <c r="B165" s="2307"/>
      <c r="C165" s="2307"/>
      <c r="D165" s="2307"/>
      <c r="E165" s="1878"/>
      <c r="F165" s="1878"/>
      <c r="G165" s="943"/>
      <c r="H165" s="1878"/>
      <c r="I165" s="1878"/>
      <c r="J165" s="1878"/>
      <c r="K165" s="1878"/>
      <c r="L165" s="944">
        <f>L138+L100+L77+L123</f>
        <v>2282</v>
      </c>
      <c r="M165" s="1035">
        <f>SUM(M6:M164)</f>
        <v>170.57777777777773</v>
      </c>
      <c r="N165" s="626"/>
      <c r="O165" s="626"/>
      <c r="P165" s="626">
        <f>SUM(P6:P164)</f>
        <v>0</v>
      </c>
      <c r="Q165" s="626" t="e">
        <f>SUM(Q6:Q164)</f>
        <v>#REF!</v>
      </c>
      <c r="R165" s="626"/>
      <c r="S165" s="626">
        <f>SUM(S6:S164)</f>
        <v>6381.08</v>
      </c>
      <c r="T165" s="626"/>
      <c r="U165" s="626" t="e">
        <f>SUM(U6:U164)</f>
        <v>#REF!</v>
      </c>
      <c r="V165" s="626"/>
      <c r="W165" s="626">
        <f>SUM(W6:W164)</f>
        <v>0</v>
      </c>
      <c r="X165" s="626" t="e">
        <f>SUM(X6:X164)</f>
        <v>#REF!</v>
      </c>
      <c r="Y165" s="1276">
        <f t="shared" si="41"/>
        <v>0</v>
      </c>
      <c r="Z165" s="1276">
        <f t="shared" si="42"/>
        <v>0</v>
      </c>
      <c r="AA165" s="1277">
        <f t="shared" si="43"/>
        <v>0</v>
      </c>
      <c r="AB165" s="1458">
        <f t="shared" si="44"/>
        <v>0</v>
      </c>
      <c r="AK165" s="1778"/>
      <c r="AL165" s="1784"/>
      <c r="AM165" s="1778"/>
      <c r="AN165" s="1778"/>
      <c r="AO165" s="1778"/>
      <c r="AP165" s="1778"/>
      <c r="AQ165" s="1778"/>
      <c r="AR165" s="908"/>
      <c r="AS165" s="908"/>
      <c r="AT165" s="908"/>
      <c r="AU165" s="908"/>
      <c r="AV165" s="908"/>
      <c r="AW165" s="908"/>
      <c r="AX165" s="908"/>
      <c r="AY165" s="908"/>
      <c r="AZ165" s="908"/>
      <c r="BA165" s="908"/>
      <c r="BB165" s="908"/>
      <c r="BC165" s="908"/>
      <c r="BD165" s="908"/>
      <c r="BE165" s="908"/>
      <c r="BF165" s="908"/>
      <c r="BG165" s="908"/>
      <c r="BH165" s="908"/>
      <c r="BI165" s="908"/>
      <c r="BJ165" s="908"/>
      <c r="BK165" s="908"/>
      <c r="BL165" s="908"/>
      <c r="BM165" s="908"/>
      <c r="BN165" s="908"/>
      <c r="BO165" s="908"/>
      <c r="BP165" s="908"/>
      <c r="BQ165" s="908"/>
    </row>
    <row r="166" spans="1:69" s="84" customFormat="1" ht="22.5" customHeight="1">
      <c r="A166" s="24"/>
      <c r="B166" s="24"/>
      <c r="C166" s="89"/>
      <c r="D166" s="24"/>
      <c r="E166" s="24"/>
      <c r="F166" s="24"/>
      <c r="G166" s="24"/>
      <c r="H166" s="24"/>
      <c r="I166" s="24"/>
      <c r="J166" s="24"/>
      <c r="K166" s="262"/>
      <c r="L166" s="262"/>
      <c r="M166" s="262"/>
      <c r="N166" s="262"/>
      <c r="O166" s="262"/>
      <c r="P166" s="262"/>
      <c r="Q166" s="939"/>
      <c r="R166" s="262"/>
      <c r="S166" s="262"/>
      <c r="T166" s="262"/>
      <c r="U166" s="939"/>
      <c r="V166" s="262"/>
      <c r="W166" s="262"/>
      <c r="X166" s="262"/>
      <c r="Y166" s="141">
        <f>SUM(Y6:Y165)</f>
        <v>9.85</v>
      </c>
      <c r="Z166" s="141">
        <f>SUM(Z6:Z165)</f>
        <v>50561.247666666699</v>
      </c>
      <c r="AA166" s="262"/>
      <c r="AB166" s="1026" t="e">
        <f>SUM(AB6:AB165)</f>
        <v>#REF!</v>
      </c>
      <c r="AC166" s="262"/>
      <c r="AD166" s="262" t="e">
        <f>SUM(AD27:AD165)</f>
        <v>#REF!</v>
      </c>
      <c r="AE166" s="262"/>
      <c r="AF166" s="262"/>
      <c r="AG166" s="262"/>
      <c r="AH166" s="262"/>
      <c r="AI166" s="262"/>
      <c r="AJ166" s="262"/>
      <c r="AK166" s="1785"/>
      <c r="AL166" s="1785"/>
      <c r="AM166" s="1786"/>
      <c r="AN166" s="1786"/>
      <c r="AO166" s="1786"/>
      <c r="AP166" s="1786"/>
      <c r="AQ166" s="1786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62"/>
      <c r="BH166" s="262"/>
      <c r="BI166" s="262"/>
      <c r="BJ166" s="262"/>
      <c r="BK166" s="262"/>
      <c r="BL166" s="262"/>
      <c r="BM166" s="262"/>
      <c r="BN166" s="262"/>
      <c r="BO166" s="262"/>
      <c r="BP166" s="262"/>
      <c r="BQ166" s="262"/>
    </row>
    <row r="167" spans="1:69" ht="25.5" customHeight="1">
      <c r="M167" s="85"/>
      <c r="N167" s="86"/>
      <c r="O167" s="23"/>
      <c r="P167" s="87"/>
      <c r="Q167" s="87"/>
      <c r="R167" s="88"/>
      <c r="S167" s="3"/>
      <c r="X167" s="3"/>
      <c r="AD167" s="1027">
        <f>SUM(AB6:AB24)</f>
        <v>352663.69178315718</v>
      </c>
      <c r="AL167" s="906"/>
    </row>
    <row r="168" spans="1:69" s="24" customFormat="1">
      <c r="A168" s="1"/>
      <c r="B168" s="1"/>
      <c r="C168" s="1869"/>
      <c r="D168" s="1"/>
      <c r="E168" s="1"/>
      <c r="F168" s="1"/>
      <c r="G168" s="1"/>
      <c r="H168" s="1"/>
      <c r="I168" s="1"/>
      <c r="J168" s="1"/>
      <c r="K168" s="982" t="s">
        <v>604</v>
      </c>
      <c r="L168" s="983">
        <f>SUM(M139:M164)</f>
        <v>26.3</v>
      </c>
      <c r="M168" s="22">
        <f>SUM(X139:X164)</f>
        <v>0</v>
      </c>
      <c r="N168" s="89"/>
      <c r="R168" s="1"/>
      <c r="S168" s="1"/>
      <c r="T168" s="1"/>
      <c r="U168" s="1"/>
      <c r="V168" s="1"/>
      <c r="W168" s="1"/>
      <c r="X168" s="3"/>
      <c r="Y168" s="3"/>
      <c r="Z168" s="3"/>
      <c r="AB168" s="24">
        <f>SUM(AB140:AB165)</f>
        <v>0</v>
      </c>
      <c r="AD168" s="24">
        <f>SUM(AB140:AB165)</f>
        <v>0</v>
      </c>
      <c r="AK168" s="906"/>
      <c r="AL168" s="23"/>
      <c r="AM168" s="23"/>
      <c r="AN168" s="23"/>
      <c r="AO168" s="23"/>
      <c r="AP168" s="23"/>
      <c r="AQ168" s="23"/>
    </row>
    <row r="169" spans="1:69" s="24" customFormat="1">
      <c r="A169" s="1"/>
      <c r="B169" s="1"/>
      <c r="C169" s="1869"/>
      <c r="D169" s="1"/>
      <c r="E169" s="1"/>
      <c r="F169" s="1"/>
      <c r="G169" s="1"/>
      <c r="H169" s="1"/>
      <c r="I169" s="1"/>
      <c r="J169" s="1"/>
      <c r="K169" s="1"/>
      <c r="L169" s="1"/>
      <c r="M169" s="3"/>
      <c r="N169" s="1869"/>
      <c r="O169" s="1"/>
      <c r="P169" s="1"/>
      <c r="Q169" s="1"/>
      <c r="R169" s="1"/>
      <c r="S169" s="1"/>
      <c r="T169" s="1"/>
      <c r="U169" s="1"/>
      <c r="V169" s="3"/>
      <c r="W169" s="3"/>
      <c r="X169" s="3"/>
      <c r="Y169" s="3"/>
      <c r="Z169" s="3"/>
      <c r="AD169" s="24" t="e">
        <f>SUM(AD166:AD168)</f>
        <v>#REF!</v>
      </c>
      <c r="AK169" s="23"/>
      <c r="AL169" s="23"/>
      <c r="AM169" s="23"/>
      <c r="AN169" s="23"/>
      <c r="AO169" s="23"/>
      <c r="AP169" s="23"/>
      <c r="AQ169" s="23"/>
    </row>
    <row r="170" spans="1:69" s="24" customFormat="1">
      <c r="A170" s="1"/>
      <c r="B170" s="1"/>
      <c r="C170" s="1869"/>
      <c r="D170" s="1"/>
      <c r="E170" s="1"/>
      <c r="F170" s="1"/>
      <c r="G170" s="1"/>
      <c r="H170" s="1"/>
      <c r="I170" s="1"/>
      <c r="J170" s="1"/>
      <c r="K170" s="983" t="s">
        <v>638</v>
      </c>
      <c r="L170" s="983">
        <f>SUM(M27:M137)</f>
        <v>126.77777777777773</v>
      </c>
      <c r="M170" s="3">
        <f>SUM(L170)</f>
        <v>126.77777777777773</v>
      </c>
      <c r="N170" s="995" t="e">
        <f>SUM(X27:X137)</f>
        <v>#REF!</v>
      </c>
      <c r="O170" s="1"/>
      <c r="P170" s="1"/>
      <c r="Q170" s="1"/>
      <c r="R170" s="90"/>
      <c r="S170" s="90"/>
      <c r="T170" s="1"/>
      <c r="U170" s="1"/>
      <c r="V170" s="1"/>
      <c r="W170" s="1"/>
      <c r="X170" s="3"/>
      <c r="Y170" s="1"/>
      <c r="Z170" s="1"/>
      <c r="AK170" s="23"/>
      <c r="AL170" s="23"/>
      <c r="AM170" s="23"/>
      <c r="AN170" s="23"/>
      <c r="AO170" s="23"/>
      <c r="AP170" s="23"/>
      <c r="AQ170" s="23"/>
    </row>
    <row r="171" spans="1:69" s="24" customFormat="1">
      <c r="A171" s="1"/>
      <c r="B171" s="1"/>
      <c r="C171" s="1869"/>
      <c r="D171" s="1"/>
      <c r="E171" s="1"/>
      <c r="F171" s="1"/>
      <c r="G171" s="1"/>
      <c r="H171" s="1"/>
      <c r="I171" s="3"/>
      <c r="J171" s="1"/>
      <c r="K171" s="3"/>
      <c r="L171" s="3">
        <f>M26</f>
        <v>0</v>
      </c>
      <c r="M171" s="3"/>
      <c r="N171" s="995"/>
      <c r="O171" s="1"/>
      <c r="P171" s="1"/>
      <c r="Q171" s="3"/>
      <c r="R171" s="996"/>
      <c r="S171" s="1"/>
      <c r="T171" s="1"/>
      <c r="U171" s="1"/>
      <c r="V171" s="1"/>
      <c r="W171" s="1"/>
      <c r="X171" s="3"/>
      <c r="Y171" s="1"/>
      <c r="Z171" s="1"/>
      <c r="AK171" s="23"/>
      <c r="AL171" s="23"/>
      <c r="AM171" s="23"/>
      <c r="AN171" s="23"/>
      <c r="AO171" s="23"/>
      <c r="AP171" s="23"/>
      <c r="AQ171" s="23"/>
    </row>
    <row r="172" spans="1:69" s="24" customFormat="1">
      <c r="A172" s="1"/>
      <c r="B172" s="1"/>
      <c r="C172" s="1869"/>
      <c r="D172" s="1"/>
      <c r="E172" s="1"/>
      <c r="F172" s="1"/>
      <c r="G172" s="1"/>
      <c r="H172" s="1"/>
      <c r="I172" s="1"/>
      <c r="J172" s="1"/>
      <c r="K172" s="3"/>
      <c r="L172" s="3">
        <f>SUM(L168:L171)</f>
        <v>153.07777777777773</v>
      </c>
      <c r="M172" s="3"/>
      <c r="N172" s="1869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22"/>
      <c r="AK172" s="23"/>
      <c r="AL172" s="23"/>
      <c r="AM172" s="23"/>
      <c r="AN172" s="23"/>
      <c r="AO172" s="23"/>
      <c r="AP172" s="23"/>
      <c r="AQ172" s="23"/>
    </row>
    <row r="173" spans="1:69">
      <c r="K173" s="3"/>
    </row>
    <row r="174" spans="1:69">
      <c r="K174" s="88"/>
      <c r="L174" s="88"/>
      <c r="M174" s="3"/>
    </row>
    <row r="175" spans="1:69">
      <c r="K175" s="982" t="s">
        <v>564</v>
      </c>
      <c r="L175" s="983">
        <f>SUM(M6:M25)</f>
        <v>17.5</v>
      </c>
      <c r="M175" s="3">
        <f>SUM(X6:X25)</f>
        <v>344787.53600000002</v>
      </c>
      <c r="AA175" s="22"/>
    </row>
    <row r="176" spans="1:69">
      <c r="M176" s="3"/>
      <c r="O176" s="3"/>
      <c r="U176" s="3"/>
    </row>
    <row r="177" spans="1:43" s="24" customFormat="1">
      <c r="A177" s="1"/>
      <c r="B177" s="1"/>
      <c r="C177" s="1869"/>
      <c r="D177" s="1"/>
      <c r="E177" s="1"/>
      <c r="F177" s="1"/>
      <c r="G177" s="1"/>
      <c r="H177" s="1"/>
      <c r="I177" s="1"/>
      <c r="J177" s="1"/>
      <c r="K177" s="1"/>
      <c r="L177" s="3"/>
      <c r="M177" s="3"/>
      <c r="N177" s="1869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K177" s="23"/>
      <c r="AL177" s="23"/>
      <c r="AM177" s="23"/>
      <c r="AN177" s="23"/>
      <c r="AO177" s="23"/>
      <c r="AP177" s="23"/>
      <c r="AQ177" s="23"/>
    </row>
    <row r="179" spans="1:43">
      <c r="M179" s="3">
        <f>M175+M168</f>
        <v>344787.53600000002</v>
      </c>
    </row>
  </sheetData>
  <mergeCells count="25">
    <mergeCell ref="A2:X2"/>
    <mergeCell ref="A3:X3"/>
    <mergeCell ref="A4:A5"/>
    <mergeCell ref="B4:B5"/>
    <mergeCell ref="C4:C5"/>
    <mergeCell ref="D4:D5"/>
    <mergeCell ref="E4:E5"/>
    <mergeCell ref="F4:F5"/>
    <mergeCell ref="G4:G5"/>
    <mergeCell ref="H4:H5"/>
    <mergeCell ref="Y4:Y5"/>
    <mergeCell ref="Z4:Z5"/>
    <mergeCell ref="A165:D165"/>
    <mergeCell ref="O4:O5"/>
    <mergeCell ref="P4:P5"/>
    <mergeCell ref="R4:S4"/>
    <mergeCell ref="T4:U4"/>
    <mergeCell ref="V4:W4"/>
    <mergeCell ref="X4:X5"/>
    <mergeCell ref="I4:I5"/>
    <mergeCell ref="J4:J5"/>
    <mergeCell ref="K4:K5"/>
    <mergeCell ref="L4:L5"/>
    <mergeCell ref="M4:M5"/>
    <mergeCell ref="N4:N5"/>
  </mergeCells>
  <pageMargins left="0" right="0" top="0.62992125984251968" bottom="0" header="0.43307086614173229" footer="0.31496062992125984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8"/>
  <sheetViews>
    <sheetView view="pageBreakPreview" topLeftCell="A10" zoomScaleNormal="100" zoomScaleSheetLayoutView="100" workbookViewId="0">
      <selection activeCell="A10" sqref="A10:Q10"/>
    </sheetView>
  </sheetViews>
  <sheetFormatPr defaultRowHeight="12.75"/>
  <cols>
    <col min="1" max="1" width="5" style="745" customWidth="1"/>
    <col min="2" max="2" width="30.85546875" style="749" customWidth="1"/>
    <col min="3" max="3" width="6" style="749" customWidth="1"/>
    <col min="4" max="4" width="5.7109375" style="749" customWidth="1"/>
    <col min="5" max="5" width="5.85546875" style="745" customWidth="1"/>
    <col min="6" max="6" width="12.42578125" style="807" customWidth="1"/>
    <col min="7" max="7" width="6.140625" style="807" customWidth="1"/>
    <col min="8" max="8" width="9.42578125" style="807" customWidth="1"/>
    <col min="9" max="9" width="13.85546875" style="807" customWidth="1"/>
    <col min="10" max="10" width="6.28515625" style="807" customWidth="1"/>
    <col min="11" max="11" width="13.7109375" style="807" customWidth="1"/>
    <col min="12" max="12" width="6.85546875" style="807" customWidth="1"/>
    <col min="13" max="13" width="12.140625" style="807" customWidth="1"/>
    <col min="14" max="14" width="5.7109375" style="807" customWidth="1"/>
    <col min="15" max="15" width="11.140625" style="807" customWidth="1"/>
    <col min="16" max="16" width="15.42578125" style="807" customWidth="1"/>
    <col min="17" max="17" width="16.28515625" style="745" customWidth="1"/>
    <col min="18" max="18" width="16.42578125" style="745" customWidth="1"/>
    <col min="19" max="19" width="15" style="745" customWidth="1"/>
    <col min="20" max="20" width="25.28515625" style="745" customWidth="1"/>
    <col min="21" max="21" width="25.7109375" style="745" customWidth="1"/>
    <col min="22" max="256" width="9.140625" style="745"/>
    <col min="257" max="257" width="5" style="745" customWidth="1"/>
    <col min="258" max="258" width="29.85546875" style="745" customWidth="1"/>
    <col min="259" max="259" width="6" style="745" customWidth="1"/>
    <col min="260" max="260" width="5.7109375" style="745" customWidth="1"/>
    <col min="261" max="261" width="5.85546875" style="745" customWidth="1"/>
    <col min="262" max="262" width="12.42578125" style="745" customWidth="1"/>
    <col min="263" max="263" width="6.140625" style="745" customWidth="1"/>
    <col min="264" max="264" width="9.42578125" style="745" customWidth="1"/>
    <col min="265" max="265" width="12.5703125" style="745" customWidth="1"/>
    <col min="266" max="266" width="6.28515625" style="745" customWidth="1"/>
    <col min="267" max="267" width="11.42578125" style="745" customWidth="1"/>
    <col min="268" max="268" width="6.85546875" style="745" customWidth="1"/>
    <col min="269" max="269" width="12.140625" style="745" customWidth="1"/>
    <col min="270" max="270" width="5.7109375" style="745" customWidth="1"/>
    <col min="271" max="271" width="11.140625" style="745" customWidth="1"/>
    <col min="272" max="272" width="15.42578125" style="745" customWidth="1"/>
    <col min="273" max="273" width="14.7109375" style="745" customWidth="1"/>
    <col min="274" max="274" width="13.42578125" style="745" customWidth="1"/>
    <col min="275" max="275" width="15" style="745" customWidth="1"/>
    <col min="276" max="276" width="25.28515625" style="745" customWidth="1"/>
    <col min="277" max="277" width="25.7109375" style="745" customWidth="1"/>
    <col min="278" max="512" width="9.140625" style="745"/>
    <col min="513" max="513" width="5" style="745" customWidth="1"/>
    <col min="514" max="514" width="29.85546875" style="745" customWidth="1"/>
    <col min="515" max="515" width="6" style="745" customWidth="1"/>
    <col min="516" max="516" width="5.7109375" style="745" customWidth="1"/>
    <col min="517" max="517" width="5.85546875" style="745" customWidth="1"/>
    <col min="518" max="518" width="12.42578125" style="745" customWidth="1"/>
    <col min="519" max="519" width="6.140625" style="745" customWidth="1"/>
    <col min="520" max="520" width="9.42578125" style="745" customWidth="1"/>
    <col min="521" max="521" width="12.5703125" style="745" customWidth="1"/>
    <col min="522" max="522" width="6.28515625" style="745" customWidth="1"/>
    <col min="523" max="523" width="11.42578125" style="745" customWidth="1"/>
    <col min="524" max="524" width="6.85546875" style="745" customWidth="1"/>
    <col min="525" max="525" width="12.140625" style="745" customWidth="1"/>
    <col min="526" max="526" width="5.7109375" style="745" customWidth="1"/>
    <col min="527" max="527" width="11.140625" style="745" customWidth="1"/>
    <col min="528" max="528" width="15.42578125" style="745" customWidth="1"/>
    <col min="529" max="529" width="14.7109375" style="745" customWidth="1"/>
    <col min="530" max="530" width="13.42578125" style="745" customWidth="1"/>
    <col min="531" max="531" width="15" style="745" customWidth="1"/>
    <col min="532" max="532" width="25.28515625" style="745" customWidth="1"/>
    <col min="533" max="533" width="25.7109375" style="745" customWidth="1"/>
    <col min="534" max="768" width="9.140625" style="745"/>
    <col min="769" max="769" width="5" style="745" customWidth="1"/>
    <col min="770" max="770" width="29.85546875" style="745" customWidth="1"/>
    <col min="771" max="771" width="6" style="745" customWidth="1"/>
    <col min="772" max="772" width="5.7109375" style="745" customWidth="1"/>
    <col min="773" max="773" width="5.85546875" style="745" customWidth="1"/>
    <col min="774" max="774" width="12.42578125" style="745" customWidth="1"/>
    <col min="775" max="775" width="6.140625" style="745" customWidth="1"/>
    <col min="776" max="776" width="9.42578125" style="745" customWidth="1"/>
    <col min="777" max="777" width="12.5703125" style="745" customWidth="1"/>
    <col min="778" max="778" width="6.28515625" style="745" customWidth="1"/>
    <col min="779" max="779" width="11.42578125" style="745" customWidth="1"/>
    <col min="780" max="780" width="6.85546875" style="745" customWidth="1"/>
    <col min="781" max="781" width="12.140625" style="745" customWidth="1"/>
    <col min="782" max="782" width="5.7109375" style="745" customWidth="1"/>
    <col min="783" max="783" width="11.140625" style="745" customWidth="1"/>
    <col min="784" max="784" width="15.42578125" style="745" customWidth="1"/>
    <col min="785" max="785" width="14.7109375" style="745" customWidth="1"/>
    <col min="786" max="786" width="13.42578125" style="745" customWidth="1"/>
    <col min="787" max="787" width="15" style="745" customWidth="1"/>
    <col min="788" max="788" width="25.28515625" style="745" customWidth="1"/>
    <col min="789" max="789" width="25.7109375" style="745" customWidth="1"/>
    <col min="790" max="1024" width="9.140625" style="745"/>
    <col min="1025" max="1025" width="5" style="745" customWidth="1"/>
    <col min="1026" max="1026" width="29.85546875" style="745" customWidth="1"/>
    <col min="1027" max="1027" width="6" style="745" customWidth="1"/>
    <col min="1028" max="1028" width="5.7109375" style="745" customWidth="1"/>
    <col min="1029" max="1029" width="5.85546875" style="745" customWidth="1"/>
    <col min="1030" max="1030" width="12.42578125" style="745" customWidth="1"/>
    <col min="1031" max="1031" width="6.140625" style="745" customWidth="1"/>
    <col min="1032" max="1032" width="9.42578125" style="745" customWidth="1"/>
    <col min="1033" max="1033" width="12.5703125" style="745" customWidth="1"/>
    <col min="1034" max="1034" width="6.28515625" style="745" customWidth="1"/>
    <col min="1035" max="1035" width="11.42578125" style="745" customWidth="1"/>
    <col min="1036" max="1036" width="6.85546875" style="745" customWidth="1"/>
    <col min="1037" max="1037" width="12.140625" style="745" customWidth="1"/>
    <col min="1038" max="1038" width="5.7109375" style="745" customWidth="1"/>
    <col min="1039" max="1039" width="11.140625" style="745" customWidth="1"/>
    <col min="1040" max="1040" width="15.42578125" style="745" customWidth="1"/>
    <col min="1041" max="1041" width="14.7109375" style="745" customWidth="1"/>
    <col min="1042" max="1042" width="13.42578125" style="745" customWidth="1"/>
    <col min="1043" max="1043" width="15" style="745" customWidth="1"/>
    <col min="1044" max="1044" width="25.28515625" style="745" customWidth="1"/>
    <col min="1045" max="1045" width="25.7109375" style="745" customWidth="1"/>
    <col min="1046" max="1280" width="9.140625" style="745"/>
    <col min="1281" max="1281" width="5" style="745" customWidth="1"/>
    <col min="1282" max="1282" width="29.85546875" style="745" customWidth="1"/>
    <col min="1283" max="1283" width="6" style="745" customWidth="1"/>
    <col min="1284" max="1284" width="5.7109375" style="745" customWidth="1"/>
    <col min="1285" max="1285" width="5.85546875" style="745" customWidth="1"/>
    <col min="1286" max="1286" width="12.42578125" style="745" customWidth="1"/>
    <col min="1287" max="1287" width="6.140625" style="745" customWidth="1"/>
    <col min="1288" max="1288" width="9.42578125" style="745" customWidth="1"/>
    <col min="1289" max="1289" width="12.5703125" style="745" customWidth="1"/>
    <col min="1290" max="1290" width="6.28515625" style="745" customWidth="1"/>
    <col min="1291" max="1291" width="11.42578125" style="745" customWidth="1"/>
    <col min="1292" max="1292" width="6.85546875" style="745" customWidth="1"/>
    <col min="1293" max="1293" width="12.140625" style="745" customWidth="1"/>
    <col min="1294" max="1294" width="5.7109375" style="745" customWidth="1"/>
    <col min="1295" max="1295" width="11.140625" style="745" customWidth="1"/>
    <col min="1296" max="1296" width="15.42578125" style="745" customWidth="1"/>
    <col min="1297" max="1297" width="14.7109375" style="745" customWidth="1"/>
    <col min="1298" max="1298" width="13.42578125" style="745" customWidth="1"/>
    <col min="1299" max="1299" width="15" style="745" customWidth="1"/>
    <col min="1300" max="1300" width="25.28515625" style="745" customWidth="1"/>
    <col min="1301" max="1301" width="25.7109375" style="745" customWidth="1"/>
    <col min="1302" max="1536" width="9.140625" style="745"/>
    <col min="1537" max="1537" width="5" style="745" customWidth="1"/>
    <col min="1538" max="1538" width="29.85546875" style="745" customWidth="1"/>
    <col min="1539" max="1539" width="6" style="745" customWidth="1"/>
    <col min="1540" max="1540" width="5.7109375" style="745" customWidth="1"/>
    <col min="1541" max="1541" width="5.85546875" style="745" customWidth="1"/>
    <col min="1542" max="1542" width="12.42578125" style="745" customWidth="1"/>
    <col min="1543" max="1543" width="6.140625" style="745" customWidth="1"/>
    <col min="1544" max="1544" width="9.42578125" style="745" customWidth="1"/>
    <col min="1545" max="1545" width="12.5703125" style="745" customWidth="1"/>
    <col min="1546" max="1546" width="6.28515625" style="745" customWidth="1"/>
    <col min="1547" max="1547" width="11.42578125" style="745" customWidth="1"/>
    <col min="1548" max="1548" width="6.85546875" style="745" customWidth="1"/>
    <col min="1549" max="1549" width="12.140625" style="745" customWidth="1"/>
    <col min="1550" max="1550" width="5.7109375" style="745" customWidth="1"/>
    <col min="1551" max="1551" width="11.140625" style="745" customWidth="1"/>
    <col min="1552" max="1552" width="15.42578125" style="745" customWidth="1"/>
    <col min="1553" max="1553" width="14.7109375" style="745" customWidth="1"/>
    <col min="1554" max="1554" width="13.42578125" style="745" customWidth="1"/>
    <col min="1555" max="1555" width="15" style="745" customWidth="1"/>
    <col min="1556" max="1556" width="25.28515625" style="745" customWidth="1"/>
    <col min="1557" max="1557" width="25.7109375" style="745" customWidth="1"/>
    <col min="1558" max="1792" width="9.140625" style="745"/>
    <col min="1793" max="1793" width="5" style="745" customWidth="1"/>
    <col min="1794" max="1794" width="29.85546875" style="745" customWidth="1"/>
    <col min="1795" max="1795" width="6" style="745" customWidth="1"/>
    <col min="1796" max="1796" width="5.7109375" style="745" customWidth="1"/>
    <col min="1797" max="1797" width="5.85546875" style="745" customWidth="1"/>
    <col min="1798" max="1798" width="12.42578125" style="745" customWidth="1"/>
    <col min="1799" max="1799" width="6.140625" style="745" customWidth="1"/>
    <col min="1800" max="1800" width="9.42578125" style="745" customWidth="1"/>
    <col min="1801" max="1801" width="12.5703125" style="745" customWidth="1"/>
    <col min="1802" max="1802" width="6.28515625" style="745" customWidth="1"/>
    <col min="1803" max="1803" width="11.42578125" style="745" customWidth="1"/>
    <col min="1804" max="1804" width="6.85546875" style="745" customWidth="1"/>
    <col min="1805" max="1805" width="12.140625" style="745" customWidth="1"/>
    <col min="1806" max="1806" width="5.7109375" style="745" customWidth="1"/>
    <col min="1807" max="1807" width="11.140625" style="745" customWidth="1"/>
    <col min="1808" max="1808" width="15.42578125" style="745" customWidth="1"/>
    <col min="1809" max="1809" width="14.7109375" style="745" customWidth="1"/>
    <col min="1810" max="1810" width="13.42578125" style="745" customWidth="1"/>
    <col min="1811" max="1811" width="15" style="745" customWidth="1"/>
    <col min="1812" max="1812" width="25.28515625" style="745" customWidth="1"/>
    <col min="1813" max="1813" width="25.7109375" style="745" customWidth="1"/>
    <col min="1814" max="2048" width="9.140625" style="745"/>
    <col min="2049" max="2049" width="5" style="745" customWidth="1"/>
    <col min="2050" max="2050" width="29.85546875" style="745" customWidth="1"/>
    <col min="2051" max="2051" width="6" style="745" customWidth="1"/>
    <col min="2052" max="2052" width="5.7109375" style="745" customWidth="1"/>
    <col min="2053" max="2053" width="5.85546875" style="745" customWidth="1"/>
    <col min="2054" max="2054" width="12.42578125" style="745" customWidth="1"/>
    <col min="2055" max="2055" width="6.140625" style="745" customWidth="1"/>
    <col min="2056" max="2056" width="9.42578125" style="745" customWidth="1"/>
    <col min="2057" max="2057" width="12.5703125" style="745" customWidth="1"/>
    <col min="2058" max="2058" width="6.28515625" style="745" customWidth="1"/>
    <col min="2059" max="2059" width="11.42578125" style="745" customWidth="1"/>
    <col min="2060" max="2060" width="6.85546875" style="745" customWidth="1"/>
    <col min="2061" max="2061" width="12.140625" style="745" customWidth="1"/>
    <col min="2062" max="2062" width="5.7109375" style="745" customWidth="1"/>
    <col min="2063" max="2063" width="11.140625" style="745" customWidth="1"/>
    <col min="2064" max="2064" width="15.42578125" style="745" customWidth="1"/>
    <col min="2065" max="2065" width="14.7109375" style="745" customWidth="1"/>
    <col min="2066" max="2066" width="13.42578125" style="745" customWidth="1"/>
    <col min="2067" max="2067" width="15" style="745" customWidth="1"/>
    <col min="2068" max="2068" width="25.28515625" style="745" customWidth="1"/>
    <col min="2069" max="2069" width="25.7109375" style="745" customWidth="1"/>
    <col min="2070" max="2304" width="9.140625" style="745"/>
    <col min="2305" max="2305" width="5" style="745" customWidth="1"/>
    <col min="2306" max="2306" width="29.85546875" style="745" customWidth="1"/>
    <col min="2307" max="2307" width="6" style="745" customWidth="1"/>
    <col min="2308" max="2308" width="5.7109375" style="745" customWidth="1"/>
    <col min="2309" max="2309" width="5.85546875" style="745" customWidth="1"/>
    <col min="2310" max="2310" width="12.42578125" style="745" customWidth="1"/>
    <col min="2311" max="2311" width="6.140625" style="745" customWidth="1"/>
    <col min="2312" max="2312" width="9.42578125" style="745" customWidth="1"/>
    <col min="2313" max="2313" width="12.5703125" style="745" customWidth="1"/>
    <col min="2314" max="2314" width="6.28515625" style="745" customWidth="1"/>
    <col min="2315" max="2315" width="11.42578125" style="745" customWidth="1"/>
    <col min="2316" max="2316" width="6.85546875" style="745" customWidth="1"/>
    <col min="2317" max="2317" width="12.140625" style="745" customWidth="1"/>
    <col min="2318" max="2318" width="5.7109375" style="745" customWidth="1"/>
    <col min="2319" max="2319" width="11.140625" style="745" customWidth="1"/>
    <col min="2320" max="2320" width="15.42578125" style="745" customWidth="1"/>
    <col min="2321" max="2321" width="14.7109375" style="745" customWidth="1"/>
    <col min="2322" max="2322" width="13.42578125" style="745" customWidth="1"/>
    <col min="2323" max="2323" width="15" style="745" customWidth="1"/>
    <col min="2324" max="2324" width="25.28515625" style="745" customWidth="1"/>
    <col min="2325" max="2325" width="25.7109375" style="745" customWidth="1"/>
    <col min="2326" max="2560" width="9.140625" style="745"/>
    <col min="2561" max="2561" width="5" style="745" customWidth="1"/>
    <col min="2562" max="2562" width="29.85546875" style="745" customWidth="1"/>
    <col min="2563" max="2563" width="6" style="745" customWidth="1"/>
    <col min="2564" max="2564" width="5.7109375" style="745" customWidth="1"/>
    <col min="2565" max="2565" width="5.85546875" style="745" customWidth="1"/>
    <col min="2566" max="2566" width="12.42578125" style="745" customWidth="1"/>
    <col min="2567" max="2567" width="6.140625" style="745" customWidth="1"/>
    <col min="2568" max="2568" width="9.42578125" style="745" customWidth="1"/>
    <col min="2569" max="2569" width="12.5703125" style="745" customWidth="1"/>
    <col min="2570" max="2570" width="6.28515625" style="745" customWidth="1"/>
    <col min="2571" max="2571" width="11.42578125" style="745" customWidth="1"/>
    <col min="2572" max="2572" width="6.85546875" style="745" customWidth="1"/>
    <col min="2573" max="2573" width="12.140625" style="745" customWidth="1"/>
    <col min="2574" max="2574" width="5.7109375" style="745" customWidth="1"/>
    <col min="2575" max="2575" width="11.140625" style="745" customWidth="1"/>
    <col min="2576" max="2576" width="15.42578125" style="745" customWidth="1"/>
    <col min="2577" max="2577" width="14.7109375" style="745" customWidth="1"/>
    <col min="2578" max="2578" width="13.42578125" style="745" customWidth="1"/>
    <col min="2579" max="2579" width="15" style="745" customWidth="1"/>
    <col min="2580" max="2580" width="25.28515625" style="745" customWidth="1"/>
    <col min="2581" max="2581" width="25.7109375" style="745" customWidth="1"/>
    <col min="2582" max="2816" width="9.140625" style="745"/>
    <col min="2817" max="2817" width="5" style="745" customWidth="1"/>
    <col min="2818" max="2818" width="29.85546875" style="745" customWidth="1"/>
    <col min="2819" max="2819" width="6" style="745" customWidth="1"/>
    <col min="2820" max="2820" width="5.7109375" style="745" customWidth="1"/>
    <col min="2821" max="2821" width="5.85546875" style="745" customWidth="1"/>
    <col min="2822" max="2822" width="12.42578125" style="745" customWidth="1"/>
    <col min="2823" max="2823" width="6.140625" style="745" customWidth="1"/>
    <col min="2824" max="2824" width="9.42578125" style="745" customWidth="1"/>
    <col min="2825" max="2825" width="12.5703125" style="745" customWidth="1"/>
    <col min="2826" max="2826" width="6.28515625" style="745" customWidth="1"/>
    <col min="2827" max="2827" width="11.42578125" style="745" customWidth="1"/>
    <col min="2828" max="2828" width="6.85546875" style="745" customWidth="1"/>
    <col min="2829" max="2829" width="12.140625" style="745" customWidth="1"/>
    <col min="2830" max="2830" width="5.7109375" style="745" customWidth="1"/>
    <col min="2831" max="2831" width="11.140625" style="745" customWidth="1"/>
    <col min="2832" max="2832" width="15.42578125" style="745" customWidth="1"/>
    <col min="2833" max="2833" width="14.7109375" style="745" customWidth="1"/>
    <col min="2834" max="2834" width="13.42578125" style="745" customWidth="1"/>
    <col min="2835" max="2835" width="15" style="745" customWidth="1"/>
    <col min="2836" max="2836" width="25.28515625" style="745" customWidth="1"/>
    <col min="2837" max="2837" width="25.7109375" style="745" customWidth="1"/>
    <col min="2838" max="3072" width="9.140625" style="745"/>
    <col min="3073" max="3073" width="5" style="745" customWidth="1"/>
    <col min="3074" max="3074" width="29.85546875" style="745" customWidth="1"/>
    <col min="3075" max="3075" width="6" style="745" customWidth="1"/>
    <col min="3076" max="3076" width="5.7109375" style="745" customWidth="1"/>
    <col min="3077" max="3077" width="5.85546875" style="745" customWidth="1"/>
    <col min="3078" max="3078" width="12.42578125" style="745" customWidth="1"/>
    <col min="3079" max="3079" width="6.140625" style="745" customWidth="1"/>
    <col min="3080" max="3080" width="9.42578125" style="745" customWidth="1"/>
    <col min="3081" max="3081" width="12.5703125" style="745" customWidth="1"/>
    <col min="3082" max="3082" width="6.28515625" style="745" customWidth="1"/>
    <col min="3083" max="3083" width="11.42578125" style="745" customWidth="1"/>
    <col min="3084" max="3084" width="6.85546875" style="745" customWidth="1"/>
    <col min="3085" max="3085" width="12.140625" style="745" customWidth="1"/>
    <col min="3086" max="3086" width="5.7109375" style="745" customWidth="1"/>
    <col min="3087" max="3087" width="11.140625" style="745" customWidth="1"/>
    <col min="3088" max="3088" width="15.42578125" style="745" customWidth="1"/>
    <col min="3089" max="3089" width="14.7109375" style="745" customWidth="1"/>
    <col min="3090" max="3090" width="13.42578125" style="745" customWidth="1"/>
    <col min="3091" max="3091" width="15" style="745" customWidth="1"/>
    <col min="3092" max="3092" width="25.28515625" style="745" customWidth="1"/>
    <col min="3093" max="3093" width="25.7109375" style="745" customWidth="1"/>
    <col min="3094" max="3328" width="9.140625" style="745"/>
    <col min="3329" max="3329" width="5" style="745" customWidth="1"/>
    <col min="3330" max="3330" width="29.85546875" style="745" customWidth="1"/>
    <col min="3331" max="3331" width="6" style="745" customWidth="1"/>
    <col min="3332" max="3332" width="5.7109375" style="745" customWidth="1"/>
    <col min="3333" max="3333" width="5.85546875" style="745" customWidth="1"/>
    <col min="3334" max="3334" width="12.42578125" style="745" customWidth="1"/>
    <col min="3335" max="3335" width="6.140625" style="745" customWidth="1"/>
    <col min="3336" max="3336" width="9.42578125" style="745" customWidth="1"/>
    <col min="3337" max="3337" width="12.5703125" style="745" customWidth="1"/>
    <col min="3338" max="3338" width="6.28515625" style="745" customWidth="1"/>
    <col min="3339" max="3339" width="11.42578125" style="745" customWidth="1"/>
    <col min="3340" max="3340" width="6.85546875" style="745" customWidth="1"/>
    <col min="3341" max="3341" width="12.140625" style="745" customWidth="1"/>
    <col min="3342" max="3342" width="5.7109375" style="745" customWidth="1"/>
    <col min="3343" max="3343" width="11.140625" style="745" customWidth="1"/>
    <col min="3344" max="3344" width="15.42578125" style="745" customWidth="1"/>
    <col min="3345" max="3345" width="14.7109375" style="745" customWidth="1"/>
    <col min="3346" max="3346" width="13.42578125" style="745" customWidth="1"/>
    <col min="3347" max="3347" width="15" style="745" customWidth="1"/>
    <col min="3348" max="3348" width="25.28515625" style="745" customWidth="1"/>
    <col min="3349" max="3349" width="25.7109375" style="745" customWidth="1"/>
    <col min="3350" max="3584" width="9.140625" style="745"/>
    <col min="3585" max="3585" width="5" style="745" customWidth="1"/>
    <col min="3586" max="3586" width="29.85546875" style="745" customWidth="1"/>
    <col min="3587" max="3587" width="6" style="745" customWidth="1"/>
    <col min="3588" max="3588" width="5.7109375" style="745" customWidth="1"/>
    <col min="3589" max="3589" width="5.85546875" style="745" customWidth="1"/>
    <col min="3590" max="3590" width="12.42578125" style="745" customWidth="1"/>
    <col min="3591" max="3591" width="6.140625" style="745" customWidth="1"/>
    <col min="3592" max="3592" width="9.42578125" style="745" customWidth="1"/>
    <col min="3593" max="3593" width="12.5703125" style="745" customWidth="1"/>
    <col min="3594" max="3594" width="6.28515625" style="745" customWidth="1"/>
    <col min="3595" max="3595" width="11.42578125" style="745" customWidth="1"/>
    <col min="3596" max="3596" width="6.85546875" style="745" customWidth="1"/>
    <col min="3597" max="3597" width="12.140625" style="745" customWidth="1"/>
    <col min="3598" max="3598" width="5.7109375" style="745" customWidth="1"/>
    <col min="3599" max="3599" width="11.140625" style="745" customWidth="1"/>
    <col min="3600" max="3600" width="15.42578125" style="745" customWidth="1"/>
    <col min="3601" max="3601" width="14.7109375" style="745" customWidth="1"/>
    <col min="3602" max="3602" width="13.42578125" style="745" customWidth="1"/>
    <col min="3603" max="3603" width="15" style="745" customWidth="1"/>
    <col min="3604" max="3604" width="25.28515625" style="745" customWidth="1"/>
    <col min="3605" max="3605" width="25.7109375" style="745" customWidth="1"/>
    <col min="3606" max="3840" width="9.140625" style="745"/>
    <col min="3841" max="3841" width="5" style="745" customWidth="1"/>
    <col min="3842" max="3842" width="29.85546875" style="745" customWidth="1"/>
    <col min="3843" max="3843" width="6" style="745" customWidth="1"/>
    <col min="3844" max="3844" width="5.7109375" style="745" customWidth="1"/>
    <col min="3845" max="3845" width="5.85546875" style="745" customWidth="1"/>
    <col min="3846" max="3846" width="12.42578125" style="745" customWidth="1"/>
    <col min="3847" max="3847" width="6.140625" style="745" customWidth="1"/>
    <col min="3848" max="3848" width="9.42578125" style="745" customWidth="1"/>
    <col min="3849" max="3849" width="12.5703125" style="745" customWidth="1"/>
    <col min="3850" max="3850" width="6.28515625" style="745" customWidth="1"/>
    <col min="3851" max="3851" width="11.42578125" style="745" customWidth="1"/>
    <col min="3852" max="3852" width="6.85546875" style="745" customWidth="1"/>
    <col min="3853" max="3853" width="12.140625" style="745" customWidth="1"/>
    <col min="3854" max="3854" width="5.7109375" style="745" customWidth="1"/>
    <col min="3855" max="3855" width="11.140625" style="745" customWidth="1"/>
    <col min="3856" max="3856" width="15.42578125" style="745" customWidth="1"/>
    <col min="3857" max="3857" width="14.7109375" style="745" customWidth="1"/>
    <col min="3858" max="3858" width="13.42578125" style="745" customWidth="1"/>
    <col min="3859" max="3859" width="15" style="745" customWidth="1"/>
    <col min="3860" max="3860" width="25.28515625" style="745" customWidth="1"/>
    <col min="3861" max="3861" width="25.7109375" style="745" customWidth="1"/>
    <col min="3862" max="4096" width="9.140625" style="745"/>
    <col min="4097" max="4097" width="5" style="745" customWidth="1"/>
    <col min="4098" max="4098" width="29.85546875" style="745" customWidth="1"/>
    <col min="4099" max="4099" width="6" style="745" customWidth="1"/>
    <col min="4100" max="4100" width="5.7109375" style="745" customWidth="1"/>
    <col min="4101" max="4101" width="5.85546875" style="745" customWidth="1"/>
    <col min="4102" max="4102" width="12.42578125" style="745" customWidth="1"/>
    <col min="4103" max="4103" width="6.140625" style="745" customWidth="1"/>
    <col min="4104" max="4104" width="9.42578125" style="745" customWidth="1"/>
    <col min="4105" max="4105" width="12.5703125" style="745" customWidth="1"/>
    <col min="4106" max="4106" width="6.28515625" style="745" customWidth="1"/>
    <col min="4107" max="4107" width="11.42578125" style="745" customWidth="1"/>
    <col min="4108" max="4108" width="6.85546875" style="745" customWidth="1"/>
    <col min="4109" max="4109" width="12.140625" style="745" customWidth="1"/>
    <col min="4110" max="4110" width="5.7109375" style="745" customWidth="1"/>
    <col min="4111" max="4111" width="11.140625" style="745" customWidth="1"/>
    <col min="4112" max="4112" width="15.42578125" style="745" customWidth="1"/>
    <col min="4113" max="4113" width="14.7109375" style="745" customWidth="1"/>
    <col min="4114" max="4114" width="13.42578125" style="745" customWidth="1"/>
    <col min="4115" max="4115" width="15" style="745" customWidth="1"/>
    <col min="4116" max="4116" width="25.28515625" style="745" customWidth="1"/>
    <col min="4117" max="4117" width="25.7109375" style="745" customWidth="1"/>
    <col min="4118" max="4352" width="9.140625" style="745"/>
    <col min="4353" max="4353" width="5" style="745" customWidth="1"/>
    <col min="4354" max="4354" width="29.85546875" style="745" customWidth="1"/>
    <col min="4355" max="4355" width="6" style="745" customWidth="1"/>
    <col min="4356" max="4356" width="5.7109375" style="745" customWidth="1"/>
    <col min="4357" max="4357" width="5.85546875" style="745" customWidth="1"/>
    <col min="4358" max="4358" width="12.42578125" style="745" customWidth="1"/>
    <col min="4359" max="4359" width="6.140625" style="745" customWidth="1"/>
    <col min="4360" max="4360" width="9.42578125" style="745" customWidth="1"/>
    <col min="4361" max="4361" width="12.5703125" style="745" customWidth="1"/>
    <col min="4362" max="4362" width="6.28515625" style="745" customWidth="1"/>
    <col min="4363" max="4363" width="11.42578125" style="745" customWidth="1"/>
    <col min="4364" max="4364" width="6.85546875" style="745" customWidth="1"/>
    <col min="4365" max="4365" width="12.140625" style="745" customWidth="1"/>
    <col min="4366" max="4366" width="5.7109375" style="745" customWidth="1"/>
    <col min="4367" max="4367" width="11.140625" style="745" customWidth="1"/>
    <col min="4368" max="4368" width="15.42578125" style="745" customWidth="1"/>
    <col min="4369" max="4369" width="14.7109375" style="745" customWidth="1"/>
    <col min="4370" max="4370" width="13.42578125" style="745" customWidth="1"/>
    <col min="4371" max="4371" width="15" style="745" customWidth="1"/>
    <col min="4372" max="4372" width="25.28515625" style="745" customWidth="1"/>
    <col min="4373" max="4373" width="25.7109375" style="745" customWidth="1"/>
    <col min="4374" max="4608" width="9.140625" style="745"/>
    <col min="4609" max="4609" width="5" style="745" customWidth="1"/>
    <col min="4610" max="4610" width="29.85546875" style="745" customWidth="1"/>
    <col min="4611" max="4611" width="6" style="745" customWidth="1"/>
    <col min="4612" max="4612" width="5.7109375" style="745" customWidth="1"/>
    <col min="4613" max="4613" width="5.85546875" style="745" customWidth="1"/>
    <col min="4614" max="4614" width="12.42578125" style="745" customWidth="1"/>
    <col min="4615" max="4615" width="6.140625" style="745" customWidth="1"/>
    <col min="4616" max="4616" width="9.42578125" style="745" customWidth="1"/>
    <col min="4617" max="4617" width="12.5703125" style="745" customWidth="1"/>
    <col min="4618" max="4618" width="6.28515625" style="745" customWidth="1"/>
    <col min="4619" max="4619" width="11.42578125" style="745" customWidth="1"/>
    <col min="4620" max="4620" width="6.85546875" style="745" customWidth="1"/>
    <col min="4621" max="4621" width="12.140625" style="745" customWidth="1"/>
    <col min="4622" max="4622" width="5.7109375" style="745" customWidth="1"/>
    <col min="4623" max="4623" width="11.140625" style="745" customWidth="1"/>
    <col min="4624" max="4624" width="15.42578125" style="745" customWidth="1"/>
    <col min="4625" max="4625" width="14.7109375" style="745" customWidth="1"/>
    <col min="4626" max="4626" width="13.42578125" style="745" customWidth="1"/>
    <col min="4627" max="4627" width="15" style="745" customWidth="1"/>
    <col min="4628" max="4628" width="25.28515625" style="745" customWidth="1"/>
    <col min="4629" max="4629" width="25.7109375" style="745" customWidth="1"/>
    <col min="4630" max="4864" width="9.140625" style="745"/>
    <col min="4865" max="4865" width="5" style="745" customWidth="1"/>
    <col min="4866" max="4866" width="29.85546875" style="745" customWidth="1"/>
    <col min="4867" max="4867" width="6" style="745" customWidth="1"/>
    <col min="4868" max="4868" width="5.7109375" style="745" customWidth="1"/>
    <col min="4869" max="4869" width="5.85546875" style="745" customWidth="1"/>
    <col min="4870" max="4870" width="12.42578125" style="745" customWidth="1"/>
    <col min="4871" max="4871" width="6.140625" style="745" customWidth="1"/>
    <col min="4872" max="4872" width="9.42578125" style="745" customWidth="1"/>
    <col min="4873" max="4873" width="12.5703125" style="745" customWidth="1"/>
    <col min="4874" max="4874" width="6.28515625" style="745" customWidth="1"/>
    <col min="4875" max="4875" width="11.42578125" style="745" customWidth="1"/>
    <col min="4876" max="4876" width="6.85546875" style="745" customWidth="1"/>
    <col min="4877" max="4877" width="12.140625" style="745" customWidth="1"/>
    <col min="4878" max="4878" width="5.7109375" style="745" customWidth="1"/>
    <col min="4879" max="4879" width="11.140625" style="745" customWidth="1"/>
    <col min="4880" max="4880" width="15.42578125" style="745" customWidth="1"/>
    <col min="4881" max="4881" width="14.7109375" style="745" customWidth="1"/>
    <col min="4882" max="4882" width="13.42578125" style="745" customWidth="1"/>
    <col min="4883" max="4883" width="15" style="745" customWidth="1"/>
    <col min="4884" max="4884" width="25.28515625" style="745" customWidth="1"/>
    <col min="4885" max="4885" width="25.7109375" style="745" customWidth="1"/>
    <col min="4886" max="5120" width="9.140625" style="745"/>
    <col min="5121" max="5121" width="5" style="745" customWidth="1"/>
    <col min="5122" max="5122" width="29.85546875" style="745" customWidth="1"/>
    <col min="5123" max="5123" width="6" style="745" customWidth="1"/>
    <col min="5124" max="5124" width="5.7109375" style="745" customWidth="1"/>
    <col min="5125" max="5125" width="5.85546875" style="745" customWidth="1"/>
    <col min="5126" max="5126" width="12.42578125" style="745" customWidth="1"/>
    <col min="5127" max="5127" width="6.140625" style="745" customWidth="1"/>
    <col min="5128" max="5128" width="9.42578125" style="745" customWidth="1"/>
    <col min="5129" max="5129" width="12.5703125" style="745" customWidth="1"/>
    <col min="5130" max="5130" width="6.28515625" style="745" customWidth="1"/>
    <col min="5131" max="5131" width="11.42578125" style="745" customWidth="1"/>
    <col min="5132" max="5132" width="6.85546875" style="745" customWidth="1"/>
    <col min="5133" max="5133" width="12.140625" style="745" customWidth="1"/>
    <col min="5134" max="5134" width="5.7109375" style="745" customWidth="1"/>
    <col min="5135" max="5135" width="11.140625" style="745" customWidth="1"/>
    <col min="5136" max="5136" width="15.42578125" style="745" customWidth="1"/>
    <col min="5137" max="5137" width="14.7109375" style="745" customWidth="1"/>
    <col min="5138" max="5138" width="13.42578125" style="745" customWidth="1"/>
    <col min="5139" max="5139" width="15" style="745" customWidth="1"/>
    <col min="5140" max="5140" width="25.28515625" style="745" customWidth="1"/>
    <col min="5141" max="5141" width="25.7109375" style="745" customWidth="1"/>
    <col min="5142" max="5376" width="9.140625" style="745"/>
    <col min="5377" max="5377" width="5" style="745" customWidth="1"/>
    <col min="5378" max="5378" width="29.85546875" style="745" customWidth="1"/>
    <col min="5379" max="5379" width="6" style="745" customWidth="1"/>
    <col min="5380" max="5380" width="5.7109375" style="745" customWidth="1"/>
    <col min="5381" max="5381" width="5.85546875" style="745" customWidth="1"/>
    <col min="5382" max="5382" width="12.42578125" style="745" customWidth="1"/>
    <col min="5383" max="5383" width="6.140625" style="745" customWidth="1"/>
    <col min="5384" max="5384" width="9.42578125" style="745" customWidth="1"/>
    <col min="5385" max="5385" width="12.5703125" style="745" customWidth="1"/>
    <col min="5386" max="5386" width="6.28515625" style="745" customWidth="1"/>
    <col min="5387" max="5387" width="11.42578125" style="745" customWidth="1"/>
    <col min="5388" max="5388" width="6.85546875" style="745" customWidth="1"/>
    <col min="5389" max="5389" width="12.140625" style="745" customWidth="1"/>
    <col min="5390" max="5390" width="5.7109375" style="745" customWidth="1"/>
    <col min="5391" max="5391" width="11.140625" style="745" customWidth="1"/>
    <col min="5392" max="5392" width="15.42578125" style="745" customWidth="1"/>
    <col min="5393" max="5393" width="14.7109375" style="745" customWidth="1"/>
    <col min="5394" max="5394" width="13.42578125" style="745" customWidth="1"/>
    <col min="5395" max="5395" width="15" style="745" customWidth="1"/>
    <col min="5396" max="5396" width="25.28515625" style="745" customWidth="1"/>
    <col min="5397" max="5397" width="25.7109375" style="745" customWidth="1"/>
    <col min="5398" max="5632" width="9.140625" style="745"/>
    <col min="5633" max="5633" width="5" style="745" customWidth="1"/>
    <col min="5634" max="5634" width="29.85546875" style="745" customWidth="1"/>
    <col min="5635" max="5635" width="6" style="745" customWidth="1"/>
    <col min="5636" max="5636" width="5.7109375" style="745" customWidth="1"/>
    <col min="5637" max="5637" width="5.85546875" style="745" customWidth="1"/>
    <col min="5638" max="5638" width="12.42578125" style="745" customWidth="1"/>
    <col min="5639" max="5639" width="6.140625" style="745" customWidth="1"/>
    <col min="5640" max="5640" width="9.42578125" style="745" customWidth="1"/>
    <col min="5641" max="5641" width="12.5703125" style="745" customWidth="1"/>
    <col min="5642" max="5642" width="6.28515625" style="745" customWidth="1"/>
    <col min="5643" max="5643" width="11.42578125" style="745" customWidth="1"/>
    <col min="5644" max="5644" width="6.85546875" style="745" customWidth="1"/>
    <col min="5645" max="5645" width="12.140625" style="745" customWidth="1"/>
    <col min="5646" max="5646" width="5.7109375" style="745" customWidth="1"/>
    <col min="5647" max="5647" width="11.140625" style="745" customWidth="1"/>
    <col min="5648" max="5648" width="15.42578125" style="745" customWidth="1"/>
    <col min="5649" max="5649" width="14.7109375" style="745" customWidth="1"/>
    <col min="5650" max="5650" width="13.42578125" style="745" customWidth="1"/>
    <col min="5651" max="5651" width="15" style="745" customWidth="1"/>
    <col min="5652" max="5652" width="25.28515625" style="745" customWidth="1"/>
    <col min="5653" max="5653" width="25.7109375" style="745" customWidth="1"/>
    <col min="5654" max="5888" width="9.140625" style="745"/>
    <col min="5889" max="5889" width="5" style="745" customWidth="1"/>
    <col min="5890" max="5890" width="29.85546875" style="745" customWidth="1"/>
    <col min="5891" max="5891" width="6" style="745" customWidth="1"/>
    <col min="5892" max="5892" width="5.7109375" style="745" customWidth="1"/>
    <col min="5893" max="5893" width="5.85546875" style="745" customWidth="1"/>
    <col min="5894" max="5894" width="12.42578125" style="745" customWidth="1"/>
    <col min="5895" max="5895" width="6.140625" style="745" customWidth="1"/>
    <col min="5896" max="5896" width="9.42578125" style="745" customWidth="1"/>
    <col min="5897" max="5897" width="12.5703125" style="745" customWidth="1"/>
    <col min="5898" max="5898" width="6.28515625" style="745" customWidth="1"/>
    <col min="5899" max="5899" width="11.42578125" style="745" customWidth="1"/>
    <col min="5900" max="5900" width="6.85546875" style="745" customWidth="1"/>
    <col min="5901" max="5901" width="12.140625" style="745" customWidth="1"/>
    <col min="5902" max="5902" width="5.7109375" style="745" customWidth="1"/>
    <col min="5903" max="5903" width="11.140625" style="745" customWidth="1"/>
    <col min="5904" max="5904" width="15.42578125" style="745" customWidth="1"/>
    <col min="5905" max="5905" width="14.7109375" style="745" customWidth="1"/>
    <col min="5906" max="5906" width="13.42578125" style="745" customWidth="1"/>
    <col min="5907" max="5907" width="15" style="745" customWidth="1"/>
    <col min="5908" max="5908" width="25.28515625" style="745" customWidth="1"/>
    <col min="5909" max="5909" width="25.7109375" style="745" customWidth="1"/>
    <col min="5910" max="6144" width="9.140625" style="745"/>
    <col min="6145" max="6145" width="5" style="745" customWidth="1"/>
    <col min="6146" max="6146" width="29.85546875" style="745" customWidth="1"/>
    <col min="6147" max="6147" width="6" style="745" customWidth="1"/>
    <col min="6148" max="6148" width="5.7109375" style="745" customWidth="1"/>
    <col min="6149" max="6149" width="5.85546875" style="745" customWidth="1"/>
    <col min="6150" max="6150" width="12.42578125" style="745" customWidth="1"/>
    <col min="6151" max="6151" width="6.140625" style="745" customWidth="1"/>
    <col min="6152" max="6152" width="9.42578125" style="745" customWidth="1"/>
    <col min="6153" max="6153" width="12.5703125" style="745" customWidth="1"/>
    <col min="6154" max="6154" width="6.28515625" style="745" customWidth="1"/>
    <col min="6155" max="6155" width="11.42578125" style="745" customWidth="1"/>
    <col min="6156" max="6156" width="6.85546875" style="745" customWidth="1"/>
    <col min="6157" max="6157" width="12.140625" style="745" customWidth="1"/>
    <col min="6158" max="6158" width="5.7109375" style="745" customWidth="1"/>
    <col min="6159" max="6159" width="11.140625" style="745" customWidth="1"/>
    <col min="6160" max="6160" width="15.42578125" style="745" customWidth="1"/>
    <col min="6161" max="6161" width="14.7109375" style="745" customWidth="1"/>
    <col min="6162" max="6162" width="13.42578125" style="745" customWidth="1"/>
    <col min="6163" max="6163" width="15" style="745" customWidth="1"/>
    <col min="6164" max="6164" width="25.28515625" style="745" customWidth="1"/>
    <col min="6165" max="6165" width="25.7109375" style="745" customWidth="1"/>
    <col min="6166" max="6400" width="9.140625" style="745"/>
    <col min="6401" max="6401" width="5" style="745" customWidth="1"/>
    <col min="6402" max="6402" width="29.85546875" style="745" customWidth="1"/>
    <col min="6403" max="6403" width="6" style="745" customWidth="1"/>
    <col min="6404" max="6404" width="5.7109375" style="745" customWidth="1"/>
    <col min="6405" max="6405" width="5.85546875" style="745" customWidth="1"/>
    <col min="6406" max="6406" width="12.42578125" style="745" customWidth="1"/>
    <col min="6407" max="6407" width="6.140625" style="745" customWidth="1"/>
    <col min="6408" max="6408" width="9.42578125" style="745" customWidth="1"/>
    <col min="6409" max="6409" width="12.5703125" style="745" customWidth="1"/>
    <col min="6410" max="6410" width="6.28515625" style="745" customWidth="1"/>
    <col min="6411" max="6411" width="11.42578125" style="745" customWidth="1"/>
    <col min="6412" max="6412" width="6.85546875" style="745" customWidth="1"/>
    <col min="6413" max="6413" width="12.140625" style="745" customWidth="1"/>
    <col min="6414" max="6414" width="5.7109375" style="745" customWidth="1"/>
    <col min="6415" max="6415" width="11.140625" style="745" customWidth="1"/>
    <col min="6416" max="6416" width="15.42578125" style="745" customWidth="1"/>
    <col min="6417" max="6417" width="14.7109375" style="745" customWidth="1"/>
    <col min="6418" max="6418" width="13.42578125" style="745" customWidth="1"/>
    <col min="6419" max="6419" width="15" style="745" customWidth="1"/>
    <col min="6420" max="6420" width="25.28515625" style="745" customWidth="1"/>
    <col min="6421" max="6421" width="25.7109375" style="745" customWidth="1"/>
    <col min="6422" max="6656" width="9.140625" style="745"/>
    <col min="6657" max="6657" width="5" style="745" customWidth="1"/>
    <col min="6658" max="6658" width="29.85546875" style="745" customWidth="1"/>
    <col min="6659" max="6659" width="6" style="745" customWidth="1"/>
    <col min="6660" max="6660" width="5.7109375" style="745" customWidth="1"/>
    <col min="6661" max="6661" width="5.85546875" style="745" customWidth="1"/>
    <col min="6662" max="6662" width="12.42578125" style="745" customWidth="1"/>
    <col min="6663" max="6663" width="6.140625" style="745" customWidth="1"/>
    <col min="6664" max="6664" width="9.42578125" style="745" customWidth="1"/>
    <col min="6665" max="6665" width="12.5703125" style="745" customWidth="1"/>
    <col min="6666" max="6666" width="6.28515625" style="745" customWidth="1"/>
    <col min="6667" max="6667" width="11.42578125" style="745" customWidth="1"/>
    <col min="6668" max="6668" width="6.85546875" style="745" customWidth="1"/>
    <col min="6669" max="6669" width="12.140625" style="745" customWidth="1"/>
    <col min="6670" max="6670" width="5.7109375" style="745" customWidth="1"/>
    <col min="6671" max="6671" width="11.140625" style="745" customWidth="1"/>
    <col min="6672" max="6672" width="15.42578125" style="745" customWidth="1"/>
    <col min="6673" max="6673" width="14.7109375" style="745" customWidth="1"/>
    <col min="6674" max="6674" width="13.42578125" style="745" customWidth="1"/>
    <col min="6675" max="6675" width="15" style="745" customWidth="1"/>
    <col min="6676" max="6676" width="25.28515625" style="745" customWidth="1"/>
    <col min="6677" max="6677" width="25.7109375" style="745" customWidth="1"/>
    <col min="6678" max="6912" width="9.140625" style="745"/>
    <col min="6913" max="6913" width="5" style="745" customWidth="1"/>
    <col min="6914" max="6914" width="29.85546875" style="745" customWidth="1"/>
    <col min="6915" max="6915" width="6" style="745" customWidth="1"/>
    <col min="6916" max="6916" width="5.7109375" style="745" customWidth="1"/>
    <col min="6917" max="6917" width="5.85546875" style="745" customWidth="1"/>
    <col min="6918" max="6918" width="12.42578125" style="745" customWidth="1"/>
    <col min="6919" max="6919" width="6.140625" style="745" customWidth="1"/>
    <col min="6920" max="6920" width="9.42578125" style="745" customWidth="1"/>
    <col min="6921" max="6921" width="12.5703125" style="745" customWidth="1"/>
    <col min="6922" max="6922" width="6.28515625" style="745" customWidth="1"/>
    <col min="6923" max="6923" width="11.42578125" style="745" customWidth="1"/>
    <col min="6924" max="6924" width="6.85546875" style="745" customWidth="1"/>
    <col min="6925" max="6925" width="12.140625" style="745" customWidth="1"/>
    <col min="6926" max="6926" width="5.7109375" style="745" customWidth="1"/>
    <col min="6927" max="6927" width="11.140625" style="745" customWidth="1"/>
    <col min="6928" max="6928" width="15.42578125" style="745" customWidth="1"/>
    <col min="6929" max="6929" width="14.7109375" style="745" customWidth="1"/>
    <col min="6930" max="6930" width="13.42578125" style="745" customWidth="1"/>
    <col min="6931" max="6931" width="15" style="745" customWidth="1"/>
    <col min="6932" max="6932" width="25.28515625" style="745" customWidth="1"/>
    <col min="6933" max="6933" width="25.7109375" style="745" customWidth="1"/>
    <col min="6934" max="7168" width="9.140625" style="745"/>
    <col min="7169" max="7169" width="5" style="745" customWidth="1"/>
    <col min="7170" max="7170" width="29.85546875" style="745" customWidth="1"/>
    <col min="7171" max="7171" width="6" style="745" customWidth="1"/>
    <col min="7172" max="7172" width="5.7109375" style="745" customWidth="1"/>
    <col min="7173" max="7173" width="5.85546875" style="745" customWidth="1"/>
    <col min="7174" max="7174" width="12.42578125" style="745" customWidth="1"/>
    <col min="7175" max="7175" width="6.140625" style="745" customWidth="1"/>
    <col min="7176" max="7176" width="9.42578125" style="745" customWidth="1"/>
    <col min="7177" max="7177" width="12.5703125" style="745" customWidth="1"/>
    <col min="7178" max="7178" width="6.28515625" style="745" customWidth="1"/>
    <col min="7179" max="7179" width="11.42578125" style="745" customWidth="1"/>
    <col min="7180" max="7180" width="6.85546875" style="745" customWidth="1"/>
    <col min="7181" max="7181" width="12.140625" style="745" customWidth="1"/>
    <col min="7182" max="7182" width="5.7109375" style="745" customWidth="1"/>
    <col min="7183" max="7183" width="11.140625" style="745" customWidth="1"/>
    <col min="7184" max="7184" width="15.42578125" style="745" customWidth="1"/>
    <col min="7185" max="7185" width="14.7109375" style="745" customWidth="1"/>
    <col min="7186" max="7186" width="13.42578125" style="745" customWidth="1"/>
    <col min="7187" max="7187" width="15" style="745" customWidth="1"/>
    <col min="7188" max="7188" width="25.28515625" style="745" customWidth="1"/>
    <col min="7189" max="7189" width="25.7109375" style="745" customWidth="1"/>
    <col min="7190" max="7424" width="9.140625" style="745"/>
    <col min="7425" max="7425" width="5" style="745" customWidth="1"/>
    <col min="7426" max="7426" width="29.85546875" style="745" customWidth="1"/>
    <col min="7427" max="7427" width="6" style="745" customWidth="1"/>
    <col min="7428" max="7428" width="5.7109375" style="745" customWidth="1"/>
    <col min="7429" max="7429" width="5.85546875" style="745" customWidth="1"/>
    <col min="7430" max="7430" width="12.42578125" style="745" customWidth="1"/>
    <col min="7431" max="7431" width="6.140625" style="745" customWidth="1"/>
    <col min="7432" max="7432" width="9.42578125" style="745" customWidth="1"/>
    <col min="7433" max="7433" width="12.5703125" style="745" customWidth="1"/>
    <col min="7434" max="7434" width="6.28515625" style="745" customWidth="1"/>
    <col min="7435" max="7435" width="11.42578125" style="745" customWidth="1"/>
    <col min="7436" max="7436" width="6.85546875" style="745" customWidth="1"/>
    <col min="7437" max="7437" width="12.140625" style="745" customWidth="1"/>
    <col min="7438" max="7438" width="5.7109375" style="745" customWidth="1"/>
    <col min="7439" max="7439" width="11.140625" style="745" customWidth="1"/>
    <col min="7440" max="7440" width="15.42578125" style="745" customWidth="1"/>
    <col min="7441" max="7441" width="14.7109375" style="745" customWidth="1"/>
    <col min="7442" max="7442" width="13.42578125" style="745" customWidth="1"/>
    <col min="7443" max="7443" width="15" style="745" customWidth="1"/>
    <col min="7444" max="7444" width="25.28515625" style="745" customWidth="1"/>
    <col min="7445" max="7445" width="25.7109375" style="745" customWidth="1"/>
    <col min="7446" max="7680" width="9.140625" style="745"/>
    <col min="7681" max="7681" width="5" style="745" customWidth="1"/>
    <col min="7682" max="7682" width="29.85546875" style="745" customWidth="1"/>
    <col min="7683" max="7683" width="6" style="745" customWidth="1"/>
    <col min="7684" max="7684" width="5.7109375" style="745" customWidth="1"/>
    <col min="7685" max="7685" width="5.85546875" style="745" customWidth="1"/>
    <col min="7686" max="7686" width="12.42578125" style="745" customWidth="1"/>
    <col min="7687" max="7687" width="6.140625" style="745" customWidth="1"/>
    <col min="7688" max="7688" width="9.42578125" style="745" customWidth="1"/>
    <col min="7689" max="7689" width="12.5703125" style="745" customWidth="1"/>
    <col min="7690" max="7690" width="6.28515625" style="745" customWidth="1"/>
    <col min="7691" max="7691" width="11.42578125" style="745" customWidth="1"/>
    <col min="7692" max="7692" width="6.85546875" style="745" customWidth="1"/>
    <col min="7693" max="7693" width="12.140625" style="745" customWidth="1"/>
    <col min="7694" max="7694" width="5.7109375" style="745" customWidth="1"/>
    <col min="7695" max="7695" width="11.140625" style="745" customWidth="1"/>
    <col min="7696" max="7696" width="15.42578125" style="745" customWidth="1"/>
    <col min="7697" max="7697" width="14.7109375" style="745" customWidth="1"/>
    <col min="7698" max="7698" width="13.42578125" style="745" customWidth="1"/>
    <col min="7699" max="7699" width="15" style="745" customWidth="1"/>
    <col min="7700" max="7700" width="25.28515625" style="745" customWidth="1"/>
    <col min="7701" max="7701" width="25.7109375" style="745" customWidth="1"/>
    <col min="7702" max="7936" width="9.140625" style="745"/>
    <col min="7937" max="7937" width="5" style="745" customWidth="1"/>
    <col min="7938" max="7938" width="29.85546875" style="745" customWidth="1"/>
    <col min="7939" max="7939" width="6" style="745" customWidth="1"/>
    <col min="7940" max="7940" width="5.7109375" style="745" customWidth="1"/>
    <col min="7941" max="7941" width="5.85546875" style="745" customWidth="1"/>
    <col min="7942" max="7942" width="12.42578125" style="745" customWidth="1"/>
    <col min="7943" max="7943" width="6.140625" style="745" customWidth="1"/>
    <col min="7944" max="7944" width="9.42578125" style="745" customWidth="1"/>
    <col min="7945" max="7945" width="12.5703125" style="745" customWidth="1"/>
    <col min="7946" max="7946" width="6.28515625" style="745" customWidth="1"/>
    <col min="7947" max="7947" width="11.42578125" style="745" customWidth="1"/>
    <col min="7948" max="7948" width="6.85546875" style="745" customWidth="1"/>
    <col min="7949" max="7949" width="12.140625" style="745" customWidth="1"/>
    <col min="7950" max="7950" width="5.7109375" style="745" customWidth="1"/>
    <col min="7951" max="7951" width="11.140625" style="745" customWidth="1"/>
    <col min="7952" max="7952" width="15.42578125" style="745" customWidth="1"/>
    <col min="7953" max="7953" width="14.7109375" style="745" customWidth="1"/>
    <col min="7954" max="7954" width="13.42578125" style="745" customWidth="1"/>
    <col min="7955" max="7955" width="15" style="745" customWidth="1"/>
    <col min="7956" max="7956" width="25.28515625" style="745" customWidth="1"/>
    <col min="7957" max="7957" width="25.7109375" style="745" customWidth="1"/>
    <col min="7958" max="8192" width="9.140625" style="745"/>
    <col min="8193" max="8193" width="5" style="745" customWidth="1"/>
    <col min="8194" max="8194" width="29.85546875" style="745" customWidth="1"/>
    <col min="8195" max="8195" width="6" style="745" customWidth="1"/>
    <col min="8196" max="8196" width="5.7109375" style="745" customWidth="1"/>
    <col min="8197" max="8197" width="5.85546875" style="745" customWidth="1"/>
    <col min="8198" max="8198" width="12.42578125" style="745" customWidth="1"/>
    <col min="8199" max="8199" width="6.140625" style="745" customWidth="1"/>
    <col min="8200" max="8200" width="9.42578125" style="745" customWidth="1"/>
    <col min="8201" max="8201" width="12.5703125" style="745" customWidth="1"/>
    <col min="8202" max="8202" width="6.28515625" style="745" customWidth="1"/>
    <col min="8203" max="8203" width="11.42578125" style="745" customWidth="1"/>
    <col min="8204" max="8204" width="6.85546875" style="745" customWidth="1"/>
    <col min="8205" max="8205" width="12.140625" style="745" customWidth="1"/>
    <col min="8206" max="8206" width="5.7109375" style="745" customWidth="1"/>
    <col min="8207" max="8207" width="11.140625" style="745" customWidth="1"/>
    <col min="8208" max="8208" width="15.42578125" style="745" customWidth="1"/>
    <col min="8209" max="8209" width="14.7109375" style="745" customWidth="1"/>
    <col min="8210" max="8210" width="13.42578125" style="745" customWidth="1"/>
    <col min="8211" max="8211" width="15" style="745" customWidth="1"/>
    <col min="8212" max="8212" width="25.28515625" style="745" customWidth="1"/>
    <col min="8213" max="8213" width="25.7109375" style="745" customWidth="1"/>
    <col min="8214" max="8448" width="9.140625" style="745"/>
    <col min="8449" max="8449" width="5" style="745" customWidth="1"/>
    <col min="8450" max="8450" width="29.85546875" style="745" customWidth="1"/>
    <col min="8451" max="8451" width="6" style="745" customWidth="1"/>
    <col min="8452" max="8452" width="5.7109375" style="745" customWidth="1"/>
    <col min="8453" max="8453" width="5.85546875" style="745" customWidth="1"/>
    <col min="8454" max="8454" width="12.42578125" style="745" customWidth="1"/>
    <col min="8455" max="8455" width="6.140625" style="745" customWidth="1"/>
    <col min="8456" max="8456" width="9.42578125" style="745" customWidth="1"/>
    <col min="8457" max="8457" width="12.5703125" style="745" customWidth="1"/>
    <col min="8458" max="8458" width="6.28515625" style="745" customWidth="1"/>
    <col min="8459" max="8459" width="11.42578125" style="745" customWidth="1"/>
    <col min="8460" max="8460" width="6.85546875" style="745" customWidth="1"/>
    <col min="8461" max="8461" width="12.140625" style="745" customWidth="1"/>
    <col min="8462" max="8462" width="5.7109375" style="745" customWidth="1"/>
    <col min="8463" max="8463" width="11.140625" style="745" customWidth="1"/>
    <col min="8464" max="8464" width="15.42578125" style="745" customWidth="1"/>
    <col min="8465" max="8465" width="14.7109375" style="745" customWidth="1"/>
    <col min="8466" max="8466" width="13.42578125" style="745" customWidth="1"/>
    <col min="8467" max="8467" width="15" style="745" customWidth="1"/>
    <col min="8468" max="8468" width="25.28515625" style="745" customWidth="1"/>
    <col min="8469" max="8469" width="25.7109375" style="745" customWidth="1"/>
    <col min="8470" max="8704" width="9.140625" style="745"/>
    <col min="8705" max="8705" width="5" style="745" customWidth="1"/>
    <col min="8706" max="8706" width="29.85546875" style="745" customWidth="1"/>
    <col min="8707" max="8707" width="6" style="745" customWidth="1"/>
    <col min="8708" max="8708" width="5.7109375" style="745" customWidth="1"/>
    <col min="8709" max="8709" width="5.85546875" style="745" customWidth="1"/>
    <col min="8710" max="8710" width="12.42578125" style="745" customWidth="1"/>
    <col min="8711" max="8711" width="6.140625" style="745" customWidth="1"/>
    <col min="8712" max="8712" width="9.42578125" style="745" customWidth="1"/>
    <col min="8713" max="8713" width="12.5703125" style="745" customWidth="1"/>
    <col min="8714" max="8714" width="6.28515625" style="745" customWidth="1"/>
    <col min="8715" max="8715" width="11.42578125" style="745" customWidth="1"/>
    <col min="8716" max="8716" width="6.85546875" style="745" customWidth="1"/>
    <col min="8717" max="8717" width="12.140625" style="745" customWidth="1"/>
    <col min="8718" max="8718" width="5.7109375" style="745" customWidth="1"/>
    <col min="8719" max="8719" width="11.140625" style="745" customWidth="1"/>
    <col min="8720" max="8720" width="15.42578125" style="745" customWidth="1"/>
    <col min="8721" max="8721" width="14.7109375" style="745" customWidth="1"/>
    <col min="8722" max="8722" width="13.42578125" style="745" customWidth="1"/>
    <col min="8723" max="8723" width="15" style="745" customWidth="1"/>
    <col min="8724" max="8724" width="25.28515625" style="745" customWidth="1"/>
    <col min="8725" max="8725" width="25.7109375" style="745" customWidth="1"/>
    <col min="8726" max="8960" width="9.140625" style="745"/>
    <col min="8961" max="8961" width="5" style="745" customWidth="1"/>
    <col min="8962" max="8962" width="29.85546875" style="745" customWidth="1"/>
    <col min="8963" max="8963" width="6" style="745" customWidth="1"/>
    <col min="8964" max="8964" width="5.7109375" style="745" customWidth="1"/>
    <col min="8965" max="8965" width="5.85546875" style="745" customWidth="1"/>
    <col min="8966" max="8966" width="12.42578125" style="745" customWidth="1"/>
    <col min="8967" max="8967" width="6.140625" style="745" customWidth="1"/>
    <col min="8968" max="8968" width="9.42578125" style="745" customWidth="1"/>
    <col min="8969" max="8969" width="12.5703125" style="745" customWidth="1"/>
    <col min="8970" max="8970" width="6.28515625" style="745" customWidth="1"/>
    <col min="8971" max="8971" width="11.42578125" style="745" customWidth="1"/>
    <col min="8972" max="8972" width="6.85546875" style="745" customWidth="1"/>
    <col min="8973" max="8973" width="12.140625" style="745" customWidth="1"/>
    <col min="8974" max="8974" width="5.7109375" style="745" customWidth="1"/>
    <col min="8975" max="8975" width="11.140625" style="745" customWidth="1"/>
    <col min="8976" max="8976" width="15.42578125" style="745" customWidth="1"/>
    <col min="8977" max="8977" width="14.7109375" style="745" customWidth="1"/>
    <col min="8978" max="8978" width="13.42578125" style="745" customWidth="1"/>
    <col min="8979" max="8979" width="15" style="745" customWidth="1"/>
    <col min="8980" max="8980" width="25.28515625" style="745" customWidth="1"/>
    <col min="8981" max="8981" width="25.7109375" style="745" customWidth="1"/>
    <col min="8982" max="9216" width="9.140625" style="745"/>
    <col min="9217" max="9217" width="5" style="745" customWidth="1"/>
    <col min="9218" max="9218" width="29.85546875" style="745" customWidth="1"/>
    <col min="9219" max="9219" width="6" style="745" customWidth="1"/>
    <col min="9220" max="9220" width="5.7109375" style="745" customWidth="1"/>
    <col min="9221" max="9221" width="5.85546875" style="745" customWidth="1"/>
    <col min="9222" max="9222" width="12.42578125" style="745" customWidth="1"/>
    <col min="9223" max="9223" width="6.140625" style="745" customWidth="1"/>
    <col min="9224" max="9224" width="9.42578125" style="745" customWidth="1"/>
    <col min="9225" max="9225" width="12.5703125" style="745" customWidth="1"/>
    <col min="9226" max="9226" width="6.28515625" style="745" customWidth="1"/>
    <col min="9227" max="9227" width="11.42578125" style="745" customWidth="1"/>
    <col min="9228" max="9228" width="6.85546875" style="745" customWidth="1"/>
    <col min="9229" max="9229" width="12.140625" style="745" customWidth="1"/>
    <col min="9230" max="9230" width="5.7109375" style="745" customWidth="1"/>
    <col min="9231" max="9231" width="11.140625" style="745" customWidth="1"/>
    <col min="9232" max="9232" width="15.42578125" style="745" customWidth="1"/>
    <col min="9233" max="9233" width="14.7109375" style="745" customWidth="1"/>
    <col min="9234" max="9234" width="13.42578125" style="745" customWidth="1"/>
    <col min="9235" max="9235" width="15" style="745" customWidth="1"/>
    <col min="9236" max="9236" width="25.28515625" style="745" customWidth="1"/>
    <col min="9237" max="9237" width="25.7109375" style="745" customWidth="1"/>
    <col min="9238" max="9472" width="9.140625" style="745"/>
    <col min="9473" max="9473" width="5" style="745" customWidth="1"/>
    <col min="9474" max="9474" width="29.85546875" style="745" customWidth="1"/>
    <col min="9475" max="9475" width="6" style="745" customWidth="1"/>
    <col min="9476" max="9476" width="5.7109375" style="745" customWidth="1"/>
    <col min="9477" max="9477" width="5.85546875" style="745" customWidth="1"/>
    <col min="9478" max="9478" width="12.42578125" style="745" customWidth="1"/>
    <col min="9479" max="9479" width="6.140625" style="745" customWidth="1"/>
    <col min="9480" max="9480" width="9.42578125" style="745" customWidth="1"/>
    <col min="9481" max="9481" width="12.5703125" style="745" customWidth="1"/>
    <col min="9482" max="9482" width="6.28515625" style="745" customWidth="1"/>
    <col min="9483" max="9483" width="11.42578125" style="745" customWidth="1"/>
    <col min="9484" max="9484" width="6.85546875" style="745" customWidth="1"/>
    <col min="9485" max="9485" width="12.140625" style="745" customWidth="1"/>
    <col min="9486" max="9486" width="5.7109375" style="745" customWidth="1"/>
    <col min="9487" max="9487" width="11.140625" style="745" customWidth="1"/>
    <col min="9488" max="9488" width="15.42578125" style="745" customWidth="1"/>
    <col min="9489" max="9489" width="14.7109375" style="745" customWidth="1"/>
    <col min="9490" max="9490" width="13.42578125" style="745" customWidth="1"/>
    <col min="9491" max="9491" width="15" style="745" customWidth="1"/>
    <col min="9492" max="9492" width="25.28515625" style="745" customWidth="1"/>
    <col min="9493" max="9493" width="25.7109375" style="745" customWidth="1"/>
    <col min="9494" max="9728" width="9.140625" style="745"/>
    <col min="9729" max="9729" width="5" style="745" customWidth="1"/>
    <col min="9730" max="9730" width="29.85546875" style="745" customWidth="1"/>
    <col min="9731" max="9731" width="6" style="745" customWidth="1"/>
    <col min="9732" max="9732" width="5.7109375" style="745" customWidth="1"/>
    <col min="9733" max="9733" width="5.85546875" style="745" customWidth="1"/>
    <col min="9734" max="9734" width="12.42578125" style="745" customWidth="1"/>
    <col min="9735" max="9735" width="6.140625" style="745" customWidth="1"/>
    <col min="9736" max="9736" width="9.42578125" style="745" customWidth="1"/>
    <col min="9737" max="9737" width="12.5703125" style="745" customWidth="1"/>
    <col min="9738" max="9738" width="6.28515625" style="745" customWidth="1"/>
    <col min="9739" max="9739" width="11.42578125" style="745" customWidth="1"/>
    <col min="9740" max="9740" width="6.85546875" style="745" customWidth="1"/>
    <col min="9741" max="9741" width="12.140625" style="745" customWidth="1"/>
    <col min="9742" max="9742" width="5.7109375" style="745" customWidth="1"/>
    <col min="9743" max="9743" width="11.140625" style="745" customWidth="1"/>
    <col min="9744" max="9744" width="15.42578125" style="745" customWidth="1"/>
    <col min="9745" max="9745" width="14.7109375" style="745" customWidth="1"/>
    <col min="9746" max="9746" width="13.42578125" style="745" customWidth="1"/>
    <col min="9747" max="9747" width="15" style="745" customWidth="1"/>
    <col min="9748" max="9748" width="25.28515625" style="745" customWidth="1"/>
    <col min="9749" max="9749" width="25.7109375" style="745" customWidth="1"/>
    <col min="9750" max="9984" width="9.140625" style="745"/>
    <col min="9985" max="9985" width="5" style="745" customWidth="1"/>
    <col min="9986" max="9986" width="29.85546875" style="745" customWidth="1"/>
    <col min="9987" max="9987" width="6" style="745" customWidth="1"/>
    <col min="9988" max="9988" width="5.7109375" style="745" customWidth="1"/>
    <col min="9989" max="9989" width="5.85546875" style="745" customWidth="1"/>
    <col min="9990" max="9990" width="12.42578125" style="745" customWidth="1"/>
    <col min="9991" max="9991" width="6.140625" style="745" customWidth="1"/>
    <col min="9992" max="9992" width="9.42578125" style="745" customWidth="1"/>
    <col min="9993" max="9993" width="12.5703125" style="745" customWidth="1"/>
    <col min="9994" max="9994" width="6.28515625" style="745" customWidth="1"/>
    <col min="9995" max="9995" width="11.42578125" style="745" customWidth="1"/>
    <col min="9996" max="9996" width="6.85546875" style="745" customWidth="1"/>
    <col min="9997" max="9997" width="12.140625" style="745" customWidth="1"/>
    <col min="9998" max="9998" width="5.7109375" style="745" customWidth="1"/>
    <col min="9999" max="9999" width="11.140625" style="745" customWidth="1"/>
    <col min="10000" max="10000" width="15.42578125" style="745" customWidth="1"/>
    <col min="10001" max="10001" width="14.7109375" style="745" customWidth="1"/>
    <col min="10002" max="10002" width="13.42578125" style="745" customWidth="1"/>
    <col min="10003" max="10003" width="15" style="745" customWidth="1"/>
    <col min="10004" max="10004" width="25.28515625" style="745" customWidth="1"/>
    <col min="10005" max="10005" width="25.7109375" style="745" customWidth="1"/>
    <col min="10006" max="10240" width="9.140625" style="745"/>
    <col min="10241" max="10241" width="5" style="745" customWidth="1"/>
    <col min="10242" max="10242" width="29.85546875" style="745" customWidth="1"/>
    <col min="10243" max="10243" width="6" style="745" customWidth="1"/>
    <col min="10244" max="10244" width="5.7109375" style="745" customWidth="1"/>
    <col min="10245" max="10245" width="5.85546875" style="745" customWidth="1"/>
    <col min="10246" max="10246" width="12.42578125" style="745" customWidth="1"/>
    <col min="10247" max="10247" width="6.140625" style="745" customWidth="1"/>
    <col min="10248" max="10248" width="9.42578125" style="745" customWidth="1"/>
    <col min="10249" max="10249" width="12.5703125" style="745" customWidth="1"/>
    <col min="10250" max="10250" width="6.28515625" style="745" customWidth="1"/>
    <col min="10251" max="10251" width="11.42578125" style="745" customWidth="1"/>
    <col min="10252" max="10252" width="6.85546875" style="745" customWidth="1"/>
    <col min="10253" max="10253" width="12.140625" style="745" customWidth="1"/>
    <col min="10254" max="10254" width="5.7109375" style="745" customWidth="1"/>
    <col min="10255" max="10255" width="11.140625" style="745" customWidth="1"/>
    <col min="10256" max="10256" width="15.42578125" style="745" customWidth="1"/>
    <col min="10257" max="10257" width="14.7109375" style="745" customWidth="1"/>
    <col min="10258" max="10258" width="13.42578125" style="745" customWidth="1"/>
    <col min="10259" max="10259" width="15" style="745" customWidth="1"/>
    <col min="10260" max="10260" width="25.28515625" style="745" customWidth="1"/>
    <col min="10261" max="10261" width="25.7109375" style="745" customWidth="1"/>
    <col min="10262" max="10496" width="9.140625" style="745"/>
    <col min="10497" max="10497" width="5" style="745" customWidth="1"/>
    <col min="10498" max="10498" width="29.85546875" style="745" customWidth="1"/>
    <col min="10499" max="10499" width="6" style="745" customWidth="1"/>
    <col min="10500" max="10500" width="5.7109375" style="745" customWidth="1"/>
    <col min="10501" max="10501" width="5.85546875" style="745" customWidth="1"/>
    <col min="10502" max="10502" width="12.42578125" style="745" customWidth="1"/>
    <col min="10503" max="10503" width="6.140625" style="745" customWidth="1"/>
    <col min="10504" max="10504" width="9.42578125" style="745" customWidth="1"/>
    <col min="10505" max="10505" width="12.5703125" style="745" customWidth="1"/>
    <col min="10506" max="10506" width="6.28515625" style="745" customWidth="1"/>
    <col min="10507" max="10507" width="11.42578125" style="745" customWidth="1"/>
    <col min="10508" max="10508" width="6.85546875" style="745" customWidth="1"/>
    <col min="10509" max="10509" width="12.140625" style="745" customWidth="1"/>
    <col min="10510" max="10510" width="5.7109375" style="745" customWidth="1"/>
    <col min="10511" max="10511" width="11.140625" style="745" customWidth="1"/>
    <col min="10512" max="10512" width="15.42578125" style="745" customWidth="1"/>
    <col min="10513" max="10513" width="14.7109375" style="745" customWidth="1"/>
    <col min="10514" max="10514" width="13.42578125" style="745" customWidth="1"/>
    <col min="10515" max="10515" width="15" style="745" customWidth="1"/>
    <col min="10516" max="10516" width="25.28515625" style="745" customWidth="1"/>
    <col min="10517" max="10517" width="25.7109375" style="745" customWidth="1"/>
    <col min="10518" max="10752" width="9.140625" style="745"/>
    <col min="10753" max="10753" width="5" style="745" customWidth="1"/>
    <col min="10754" max="10754" width="29.85546875" style="745" customWidth="1"/>
    <col min="10755" max="10755" width="6" style="745" customWidth="1"/>
    <col min="10756" max="10756" width="5.7109375" style="745" customWidth="1"/>
    <col min="10757" max="10757" width="5.85546875" style="745" customWidth="1"/>
    <col min="10758" max="10758" width="12.42578125" style="745" customWidth="1"/>
    <col min="10759" max="10759" width="6.140625" style="745" customWidth="1"/>
    <col min="10760" max="10760" width="9.42578125" style="745" customWidth="1"/>
    <col min="10761" max="10761" width="12.5703125" style="745" customWidth="1"/>
    <col min="10762" max="10762" width="6.28515625" style="745" customWidth="1"/>
    <col min="10763" max="10763" width="11.42578125" style="745" customWidth="1"/>
    <col min="10764" max="10764" width="6.85546875" style="745" customWidth="1"/>
    <col min="10765" max="10765" width="12.140625" style="745" customWidth="1"/>
    <col min="10766" max="10766" width="5.7109375" style="745" customWidth="1"/>
    <col min="10767" max="10767" width="11.140625" style="745" customWidth="1"/>
    <col min="10768" max="10768" width="15.42578125" style="745" customWidth="1"/>
    <col min="10769" max="10769" width="14.7109375" style="745" customWidth="1"/>
    <col min="10770" max="10770" width="13.42578125" style="745" customWidth="1"/>
    <col min="10771" max="10771" width="15" style="745" customWidth="1"/>
    <col min="10772" max="10772" width="25.28515625" style="745" customWidth="1"/>
    <col min="10773" max="10773" width="25.7109375" style="745" customWidth="1"/>
    <col min="10774" max="11008" width="9.140625" style="745"/>
    <col min="11009" max="11009" width="5" style="745" customWidth="1"/>
    <col min="11010" max="11010" width="29.85546875" style="745" customWidth="1"/>
    <col min="11011" max="11011" width="6" style="745" customWidth="1"/>
    <col min="11012" max="11012" width="5.7109375" style="745" customWidth="1"/>
    <col min="11013" max="11013" width="5.85546875" style="745" customWidth="1"/>
    <col min="11014" max="11014" width="12.42578125" style="745" customWidth="1"/>
    <col min="11015" max="11015" width="6.140625" style="745" customWidth="1"/>
    <col min="11016" max="11016" width="9.42578125" style="745" customWidth="1"/>
    <col min="11017" max="11017" width="12.5703125" style="745" customWidth="1"/>
    <col min="11018" max="11018" width="6.28515625" style="745" customWidth="1"/>
    <col min="11019" max="11019" width="11.42578125" style="745" customWidth="1"/>
    <col min="11020" max="11020" width="6.85546875" style="745" customWidth="1"/>
    <col min="11021" max="11021" width="12.140625" style="745" customWidth="1"/>
    <col min="11022" max="11022" width="5.7109375" style="745" customWidth="1"/>
    <col min="11023" max="11023" width="11.140625" style="745" customWidth="1"/>
    <col min="11024" max="11024" width="15.42578125" style="745" customWidth="1"/>
    <col min="11025" max="11025" width="14.7109375" style="745" customWidth="1"/>
    <col min="11026" max="11026" width="13.42578125" style="745" customWidth="1"/>
    <col min="11027" max="11027" width="15" style="745" customWidth="1"/>
    <col min="11028" max="11028" width="25.28515625" style="745" customWidth="1"/>
    <col min="11029" max="11029" width="25.7109375" style="745" customWidth="1"/>
    <col min="11030" max="11264" width="9.140625" style="745"/>
    <col min="11265" max="11265" width="5" style="745" customWidth="1"/>
    <col min="11266" max="11266" width="29.85546875" style="745" customWidth="1"/>
    <col min="11267" max="11267" width="6" style="745" customWidth="1"/>
    <col min="11268" max="11268" width="5.7109375" style="745" customWidth="1"/>
    <col min="11269" max="11269" width="5.85546875" style="745" customWidth="1"/>
    <col min="11270" max="11270" width="12.42578125" style="745" customWidth="1"/>
    <col min="11271" max="11271" width="6.140625" style="745" customWidth="1"/>
    <col min="11272" max="11272" width="9.42578125" style="745" customWidth="1"/>
    <col min="11273" max="11273" width="12.5703125" style="745" customWidth="1"/>
    <col min="11274" max="11274" width="6.28515625" style="745" customWidth="1"/>
    <col min="11275" max="11275" width="11.42578125" style="745" customWidth="1"/>
    <col min="11276" max="11276" width="6.85546875" style="745" customWidth="1"/>
    <col min="11277" max="11277" width="12.140625" style="745" customWidth="1"/>
    <col min="11278" max="11278" width="5.7109375" style="745" customWidth="1"/>
    <col min="11279" max="11279" width="11.140625" style="745" customWidth="1"/>
    <col min="11280" max="11280" width="15.42578125" style="745" customWidth="1"/>
    <col min="11281" max="11281" width="14.7109375" style="745" customWidth="1"/>
    <col min="11282" max="11282" width="13.42578125" style="745" customWidth="1"/>
    <col min="11283" max="11283" width="15" style="745" customWidth="1"/>
    <col min="11284" max="11284" width="25.28515625" style="745" customWidth="1"/>
    <col min="11285" max="11285" width="25.7109375" style="745" customWidth="1"/>
    <col min="11286" max="11520" width="9.140625" style="745"/>
    <col min="11521" max="11521" width="5" style="745" customWidth="1"/>
    <col min="11522" max="11522" width="29.85546875" style="745" customWidth="1"/>
    <col min="11523" max="11523" width="6" style="745" customWidth="1"/>
    <col min="11524" max="11524" width="5.7109375" style="745" customWidth="1"/>
    <col min="11525" max="11525" width="5.85546875" style="745" customWidth="1"/>
    <col min="11526" max="11526" width="12.42578125" style="745" customWidth="1"/>
    <col min="11527" max="11527" width="6.140625" style="745" customWidth="1"/>
    <col min="11528" max="11528" width="9.42578125" style="745" customWidth="1"/>
    <col min="11529" max="11529" width="12.5703125" style="745" customWidth="1"/>
    <col min="11530" max="11530" width="6.28515625" style="745" customWidth="1"/>
    <col min="11531" max="11531" width="11.42578125" style="745" customWidth="1"/>
    <col min="11532" max="11532" width="6.85546875" style="745" customWidth="1"/>
    <col min="11533" max="11533" width="12.140625" style="745" customWidth="1"/>
    <col min="11534" max="11534" width="5.7109375" style="745" customWidth="1"/>
    <col min="11535" max="11535" width="11.140625" style="745" customWidth="1"/>
    <col min="11536" max="11536" width="15.42578125" style="745" customWidth="1"/>
    <col min="11537" max="11537" width="14.7109375" style="745" customWidth="1"/>
    <col min="11538" max="11538" width="13.42578125" style="745" customWidth="1"/>
    <col min="11539" max="11539" width="15" style="745" customWidth="1"/>
    <col min="11540" max="11540" width="25.28515625" style="745" customWidth="1"/>
    <col min="11541" max="11541" width="25.7109375" style="745" customWidth="1"/>
    <col min="11542" max="11776" width="9.140625" style="745"/>
    <col min="11777" max="11777" width="5" style="745" customWidth="1"/>
    <col min="11778" max="11778" width="29.85546875" style="745" customWidth="1"/>
    <col min="11779" max="11779" width="6" style="745" customWidth="1"/>
    <col min="11780" max="11780" width="5.7109375" style="745" customWidth="1"/>
    <col min="11781" max="11781" width="5.85546875" style="745" customWidth="1"/>
    <col min="11782" max="11782" width="12.42578125" style="745" customWidth="1"/>
    <col min="11783" max="11783" width="6.140625" style="745" customWidth="1"/>
    <col min="11784" max="11784" width="9.42578125" style="745" customWidth="1"/>
    <col min="11785" max="11785" width="12.5703125" style="745" customWidth="1"/>
    <col min="11786" max="11786" width="6.28515625" style="745" customWidth="1"/>
    <col min="11787" max="11787" width="11.42578125" style="745" customWidth="1"/>
    <col min="11788" max="11788" width="6.85546875" style="745" customWidth="1"/>
    <col min="11789" max="11789" width="12.140625" style="745" customWidth="1"/>
    <col min="11790" max="11790" width="5.7109375" style="745" customWidth="1"/>
    <col min="11791" max="11791" width="11.140625" style="745" customWidth="1"/>
    <col min="11792" max="11792" width="15.42578125" style="745" customWidth="1"/>
    <col min="11793" max="11793" width="14.7109375" style="745" customWidth="1"/>
    <col min="11794" max="11794" width="13.42578125" style="745" customWidth="1"/>
    <col min="11795" max="11795" width="15" style="745" customWidth="1"/>
    <col min="11796" max="11796" width="25.28515625" style="745" customWidth="1"/>
    <col min="11797" max="11797" width="25.7109375" style="745" customWidth="1"/>
    <col min="11798" max="12032" width="9.140625" style="745"/>
    <col min="12033" max="12033" width="5" style="745" customWidth="1"/>
    <col min="12034" max="12034" width="29.85546875" style="745" customWidth="1"/>
    <col min="12035" max="12035" width="6" style="745" customWidth="1"/>
    <col min="12036" max="12036" width="5.7109375" style="745" customWidth="1"/>
    <col min="12037" max="12037" width="5.85546875" style="745" customWidth="1"/>
    <col min="12038" max="12038" width="12.42578125" style="745" customWidth="1"/>
    <col min="12039" max="12039" width="6.140625" style="745" customWidth="1"/>
    <col min="12040" max="12040" width="9.42578125" style="745" customWidth="1"/>
    <col min="12041" max="12041" width="12.5703125" style="745" customWidth="1"/>
    <col min="12042" max="12042" width="6.28515625" style="745" customWidth="1"/>
    <col min="12043" max="12043" width="11.42578125" style="745" customWidth="1"/>
    <col min="12044" max="12044" width="6.85546875" style="745" customWidth="1"/>
    <col min="12045" max="12045" width="12.140625" style="745" customWidth="1"/>
    <col min="12046" max="12046" width="5.7109375" style="745" customWidth="1"/>
    <col min="12047" max="12047" width="11.140625" style="745" customWidth="1"/>
    <col min="12048" max="12048" width="15.42578125" style="745" customWidth="1"/>
    <col min="12049" max="12049" width="14.7109375" style="745" customWidth="1"/>
    <col min="12050" max="12050" width="13.42578125" style="745" customWidth="1"/>
    <col min="12051" max="12051" width="15" style="745" customWidth="1"/>
    <col min="12052" max="12052" width="25.28515625" style="745" customWidth="1"/>
    <col min="12053" max="12053" width="25.7109375" style="745" customWidth="1"/>
    <col min="12054" max="12288" width="9.140625" style="745"/>
    <col min="12289" max="12289" width="5" style="745" customWidth="1"/>
    <col min="12290" max="12290" width="29.85546875" style="745" customWidth="1"/>
    <col min="12291" max="12291" width="6" style="745" customWidth="1"/>
    <col min="12292" max="12292" width="5.7109375" style="745" customWidth="1"/>
    <col min="12293" max="12293" width="5.85546875" style="745" customWidth="1"/>
    <col min="12294" max="12294" width="12.42578125" style="745" customWidth="1"/>
    <col min="12295" max="12295" width="6.140625" style="745" customWidth="1"/>
    <col min="12296" max="12296" width="9.42578125" style="745" customWidth="1"/>
    <col min="12297" max="12297" width="12.5703125" style="745" customWidth="1"/>
    <col min="12298" max="12298" width="6.28515625" style="745" customWidth="1"/>
    <col min="12299" max="12299" width="11.42578125" style="745" customWidth="1"/>
    <col min="12300" max="12300" width="6.85546875" style="745" customWidth="1"/>
    <col min="12301" max="12301" width="12.140625" style="745" customWidth="1"/>
    <col min="12302" max="12302" width="5.7109375" style="745" customWidth="1"/>
    <col min="12303" max="12303" width="11.140625" style="745" customWidth="1"/>
    <col min="12304" max="12304" width="15.42578125" style="745" customWidth="1"/>
    <col min="12305" max="12305" width="14.7109375" style="745" customWidth="1"/>
    <col min="12306" max="12306" width="13.42578125" style="745" customWidth="1"/>
    <col min="12307" max="12307" width="15" style="745" customWidth="1"/>
    <col min="12308" max="12308" width="25.28515625" style="745" customWidth="1"/>
    <col min="12309" max="12309" width="25.7109375" style="745" customWidth="1"/>
    <col min="12310" max="12544" width="9.140625" style="745"/>
    <col min="12545" max="12545" width="5" style="745" customWidth="1"/>
    <col min="12546" max="12546" width="29.85546875" style="745" customWidth="1"/>
    <col min="12547" max="12547" width="6" style="745" customWidth="1"/>
    <col min="12548" max="12548" width="5.7109375" style="745" customWidth="1"/>
    <col min="12549" max="12549" width="5.85546875" style="745" customWidth="1"/>
    <col min="12550" max="12550" width="12.42578125" style="745" customWidth="1"/>
    <col min="12551" max="12551" width="6.140625" style="745" customWidth="1"/>
    <col min="12552" max="12552" width="9.42578125" style="745" customWidth="1"/>
    <col min="12553" max="12553" width="12.5703125" style="745" customWidth="1"/>
    <col min="12554" max="12554" width="6.28515625" style="745" customWidth="1"/>
    <col min="12555" max="12555" width="11.42578125" style="745" customWidth="1"/>
    <col min="12556" max="12556" width="6.85546875" style="745" customWidth="1"/>
    <col min="12557" max="12557" width="12.140625" style="745" customWidth="1"/>
    <col min="12558" max="12558" width="5.7109375" style="745" customWidth="1"/>
    <col min="12559" max="12559" width="11.140625" style="745" customWidth="1"/>
    <col min="12560" max="12560" width="15.42578125" style="745" customWidth="1"/>
    <col min="12561" max="12561" width="14.7109375" style="745" customWidth="1"/>
    <col min="12562" max="12562" width="13.42578125" style="745" customWidth="1"/>
    <col min="12563" max="12563" width="15" style="745" customWidth="1"/>
    <col min="12564" max="12564" width="25.28515625" style="745" customWidth="1"/>
    <col min="12565" max="12565" width="25.7109375" style="745" customWidth="1"/>
    <col min="12566" max="12800" width="9.140625" style="745"/>
    <col min="12801" max="12801" width="5" style="745" customWidth="1"/>
    <col min="12802" max="12802" width="29.85546875" style="745" customWidth="1"/>
    <col min="12803" max="12803" width="6" style="745" customWidth="1"/>
    <col min="12804" max="12804" width="5.7109375" style="745" customWidth="1"/>
    <col min="12805" max="12805" width="5.85546875" style="745" customWidth="1"/>
    <col min="12806" max="12806" width="12.42578125" style="745" customWidth="1"/>
    <col min="12807" max="12807" width="6.140625" style="745" customWidth="1"/>
    <col min="12808" max="12808" width="9.42578125" style="745" customWidth="1"/>
    <col min="12809" max="12809" width="12.5703125" style="745" customWidth="1"/>
    <col min="12810" max="12810" width="6.28515625" style="745" customWidth="1"/>
    <col min="12811" max="12811" width="11.42578125" style="745" customWidth="1"/>
    <col min="12812" max="12812" width="6.85546875" style="745" customWidth="1"/>
    <col min="12813" max="12813" width="12.140625" style="745" customWidth="1"/>
    <col min="12814" max="12814" width="5.7109375" style="745" customWidth="1"/>
    <col min="12815" max="12815" width="11.140625" style="745" customWidth="1"/>
    <col min="12816" max="12816" width="15.42578125" style="745" customWidth="1"/>
    <col min="12817" max="12817" width="14.7109375" style="745" customWidth="1"/>
    <col min="12818" max="12818" width="13.42578125" style="745" customWidth="1"/>
    <col min="12819" max="12819" width="15" style="745" customWidth="1"/>
    <col min="12820" max="12820" width="25.28515625" style="745" customWidth="1"/>
    <col min="12821" max="12821" width="25.7109375" style="745" customWidth="1"/>
    <col min="12822" max="13056" width="9.140625" style="745"/>
    <col min="13057" max="13057" width="5" style="745" customWidth="1"/>
    <col min="13058" max="13058" width="29.85546875" style="745" customWidth="1"/>
    <col min="13059" max="13059" width="6" style="745" customWidth="1"/>
    <col min="13060" max="13060" width="5.7109375" style="745" customWidth="1"/>
    <col min="13061" max="13061" width="5.85546875" style="745" customWidth="1"/>
    <col min="13062" max="13062" width="12.42578125" style="745" customWidth="1"/>
    <col min="13063" max="13063" width="6.140625" style="745" customWidth="1"/>
    <col min="13064" max="13064" width="9.42578125" style="745" customWidth="1"/>
    <col min="13065" max="13065" width="12.5703125" style="745" customWidth="1"/>
    <col min="13066" max="13066" width="6.28515625" style="745" customWidth="1"/>
    <col min="13067" max="13067" width="11.42578125" style="745" customWidth="1"/>
    <col min="13068" max="13068" width="6.85546875" style="745" customWidth="1"/>
    <col min="13069" max="13069" width="12.140625" style="745" customWidth="1"/>
    <col min="13070" max="13070" width="5.7109375" style="745" customWidth="1"/>
    <col min="13071" max="13071" width="11.140625" style="745" customWidth="1"/>
    <col min="13072" max="13072" width="15.42578125" style="745" customWidth="1"/>
    <col min="13073" max="13073" width="14.7109375" style="745" customWidth="1"/>
    <col min="13074" max="13074" width="13.42578125" style="745" customWidth="1"/>
    <col min="13075" max="13075" width="15" style="745" customWidth="1"/>
    <col min="13076" max="13076" width="25.28515625" style="745" customWidth="1"/>
    <col min="13077" max="13077" width="25.7109375" style="745" customWidth="1"/>
    <col min="13078" max="13312" width="9.140625" style="745"/>
    <col min="13313" max="13313" width="5" style="745" customWidth="1"/>
    <col min="13314" max="13314" width="29.85546875" style="745" customWidth="1"/>
    <col min="13315" max="13315" width="6" style="745" customWidth="1"/>
    <col min="13316" max="13316" width="5.7109375" style="745" customWidth="1"/>
    <col min="13317" max="13317" width="5.85546875" style="745" customWidth="1"/>
    <col min="13318" max="13318" width="12.42578125" style="745" customWidth="1"/>
    <col min="13319" max="13319" width="6.140625" style="745" customWidth="1"/>
    <col min="13320" max="13320" width="9.42578125" style="745" customWidth="1"/>
    <col min="13321" max="13321" width="12.5703125" style="745" customWidth="1"/>
    <col min="13322" max="13322" width="6.28515625" style="745" customWidth="1"/>
    <col min="13323" max="13323" width="11.42578125" style="745" customWidth="1"/>
    <col min="13324" max="13324" width="6.85546875" style="745" customWidth="1"/>
    <col min="13325" max="13325" width="12.140625" style="745" customWidth="1"/>
    <col min="13326" max="13326" width="5.7109375" style="745" customWidth="1"/>
    <col min="13327" max="13327" width="11.140625" style="745" customWidth="1"/>
    <col min="13328" max="13328" width="15.42578125" style="745" customWidth="1"/>
    <col min="13329" max="13329" width="14.7109375" style="745" customWidth="1"/>
    <col min="13330" max="13330" width="13.42578125" style="745" customWidth="1"/>
    <col min="13331" max="13331" width="15" style="745" customWidth="1"/>
    <col min="13332" max="13332" width="25.28515625" style="745" customWidth="1"/>
    <col min="13333" max="13333" width="25.7109375" style="745" customWidth="1"/>
    <col min="13334" max="13568" width="9.140625" style="745"/>
    <col min="13569" max="13569" width="5" style="745" customWidth="1"/>
    <col min="13570" max="13570" width="29.85546875" style="745" customWidth="1"/>
    <col min="13571" max="13571" width="6" style="745" customWidth="1"/>
    <col min="13572" max="13572" width="5.7109375" style="745" customWidth="1"/>
    <col min="13573" max="13573" width="5.85546875" style="745" customWidth="1"/>
    <col min="13574" max="13574" width="12.42578125" style="745" customWidth="1"/>
    <col min="13575" max="13575" width="6.140625" style="745" customWidth="1"/>
    <col min="13576" max="13576" width="9.42578125" style="745" customWidth="1"/>
    <col min="13577" max="13577" width="12.5703125" style="745" customWidth="1"/>
    <col min="13578" max="13578" width="6.28515625" style="745" customWidth="1"/>
    <col min="13579" max="13579" width="11.42578125" style="745" customWidth="1"/>
    <col min="13580" max="13580" width="6.85546875" style="745" customWidth="1"/>
    <col min="13581" max="13581" width="12.140625" style="745" customWidth="1"/>
    <col min="13582" max="13582" width="5.7109375" style="745" customWidth="1"/>
    <col min="13583" max="13583" width="11.140625" style="745" customWidth="1"/>
    <col min="13584" max="13584" width="15.42578125" style="745" customWidth="1"/>
    <col min="13585" max="13585" width="14.7109375" style="745" customWidth="1"/>
    <col min="13586" max="13586" width="13.42578125" style="745" customWidth="1"/>
    <col min="13587" max="13587" width="15" style="745" customWidth="1"/>
    <col min="13588" max="13588" width="25.28515625" style="745" customWidth="1"/>
    <col min="13589" max="13589" width="25.7109375" style="745" customWidth="1"/>
    <col min="13590" max="13824" width="9.140625" style="745"/>
    <col min="13825" max="13825" width="5" style="745" customWidth="1"/>
    <col min="13826" max="13826" width="29.85546875" style="745" customWidth="1"/>
    <col min="13827" max="13827" width="6" style="745" customWidth="1"/>
    <col min="13828" max="13828" width="5.7109375" style="745" customWidth="1"/>
    <col min="13829" max="13829" width="5.85546875" style="745" customWidth="1"/>
    <col min="13830" max="13830" width="12.42578125" style="745" customWidth="1"/>
    <col min="13831" max="13831" width="6.140625" style="745" customWidth="1"/>
    <col min="13832" max="13832" width="9.42578125" style="745" customWidth="1"/>
    <col min="13833" max="13833" width="12.5703125" style="745" customWidth="1"/>
    <col min="13834" max="13834" width="6.28515625" style="745" customWidth="1"/>
    <col min="13835" max="13835" width="11.42578125" style="745" customWidth="1"/>
    <col min="13836" max="13836" width="6.85546875" style="745" customWidth="1"/>
    <col min="13837" max="13837" width="12.140625" style="745" customWidth="1"/>
    <col min="13838" max="13838" width="5.7109375" style="745" customWidth="1"/>
    <col min="13839" max="13839" width="11.140625" style="745" customWidth="1"/>
    <col min="13840" max="13840" width="15.42578125" style="745" customWidth="1"/>
    <col min="13841" max="13841" width="14.7109375" style="745" customWidth="1"/>
    <col min="13842" max="13842" width="13.42578125" style="745" customWidth="1"/>
    <col min="13843" max="13843" width="15" style="745" customWidth="1"/>
    <col min="13844" max="13844" width="25.28515625" style="745" customWidth="1"/>
    <col min="13845" max="13845" width="25.7109375" style="745" customWidth="1"/>
    <col min="13846" max="14080" width="9.140625" style="745"/>
    <col min="14081" max="14081" width="5" style="745" customWidth="1"/>
    <col min="14082" max="14082" width="29.85546875" style="745" customWidth="1"/>
    <col min="14083" max="14083" width="6" style="745" customWidth="1"/>
    <col min="14084" max="14084" width="5.7109375" style="745" customWidth="1"/>
    <col min="14085" max="14085" width="5.85546875" style="745" customWidth="1"/>
    <col min="14086" max="14086" width="12.42578125" style="745" customWidth="1"/>
    <col min="14087" max="14087" width="6.140625" style="745" customWidth="1"/>
    <col min="14088" max="14088" width="9.42578125" style="745" customWidth="1"/>
    <col min="14089" max="14089" width="12.5703125" style="745" customWidth="1"/>
    <col min="14090" max="14090" width="6.28515625" style="745" customWidth="1"/>
    <col min="14091" max="14091" width="11.42578125" style="745" customWidth="1"/>
    <col min="14092" max="14092" width="6.85546875" style="745" customWidth="1"/>
    <col min="14093" max="14093" width="12.140625" style="745" customWidth="1"/>
    <col min="14094" max="14094" width="5.7109375" style="745" customWidth="1"/>
    <col min="14095" max="14095" width="11.140625" style="745" customWidth="1"/>
    <col min="14096" max="14096" width="15.42578125" style="745" customWidth="1"/>
    <col min="14097" max="14097" width="14.7109375" style="745" customWidth="1"/>
    <col min="14098" max="14098" width="13.42578125" style="745" customWidth="1"/>
    <col min="14099" max="14099" width="15" style="745" customWidth="1"/>
    <col min="14100" max="14100" width="25.28515625" style="745" customWidth="1"/>
    <col min="14101" max="14101" width="25.7109375" style="745" customWidth="1"/>
    <col min="14102" max="14336" width="9.140625" style="745"/>
    <col min="14337" max="14337" width="5" style="745" customWidth="1"/>
    <col min="14338" max="14338" width="29.85546875" style="745" customWidth="1"/>
    <col min="14339" max="14339" width="6" style="745" customWidth="1"/>
    <col min="14340" max="14340" width="5.7109375" style="745" customWidth="1"/>
    <col min="14341" max="14341" width="5.85546875" style="745" customWidth="1"/>
    <col min="14342" max="14342" width="12.42578125" style="745" customWidth="1"/>
    <col min="14343" max="14343" width="6.140625" style="745" customWidth="1"/>
    <col min="14344" max="14344" width="9.42578125" style="745" customWidth="1"/>
    <col min="14345" max="14345" width="12.5703125" style="745" customWidth="1"/>
    <col min="14346" max="14346" width="6.28515625" style="745" customWidth="1"/>
    <col min="14347" max="14347" width="11.42578125" style="745" customWidth="1"/>
    <col min="14348" max="14348" width="6.85546875" style="745" customWidth="1"/>
    <col min="14349" max="14349" width="12.140625" style="745" customWidth="1"/>
    <col min="14350" max="14350" width="5.7109375" style="745" customWidth="1"/>
    <col min="14351" max="14351" width="11.140625" style="745" customWidth="1"/>
    <col min="14352" max="14352" width="15.42578125" style="745" customWidth="1"/>
    <col min="14353" max="14353" width="14.7109375" style="745" customWidth="1"/>
    <col min="14354" max="14354" width="13.42578125" style="745" customWidth="1"/>
    <col min="14355" max="14355" width="15" style="745" customWidth="1"/>
    <col min="14356" max="14356" width="25.28515625" style="745" customWidth="1"/>
    <col min="14357" max="14357" width="25.7109375" style="745" customWidth="1"/>
    <col min="14358" max="14592" width="9.140625" style="745"/>
    <col min="14593" max="14593" width="5" style="745" customWidth="1"/>
    <col min="14594" max="14594" width="29.85546875" style="745" customWidth="1"/>
    <col min="14595" max="14595" width="6" style="745" customWidth="1"/>
    <col min="14596" max="14596" width="5.7109375" style="745" customWidth="1"/>
    <col min="14597" max="14597" width="5.85546875" style="745" customWidth="1"/>
    <col min="14598" max="14598" width="12.42578125" style="745" customWidth="1"/>
    <col min="14599" max="14599" width="6.140625" style="745" customWidth="1"/>
    <col min="14600" max="14600" width="9.42578125" style="745" customWidth="1"/>
    <col min="14601" max="14601" width="12.5703125" style="745" customWidth="1"/>
    <col min="14602" max="14602" width="6.28515625" style="745" customWidth="1"/>
    <col min="14603" max="14603" width="11.42578125" style="745" customWidth="1"/>
    <col min="14604" max="14604" width="6.85546875" style="745" customWidth="1"/>
    <col min="14605" max="14605" width="12.140625" style="745" customWidth="1"/>
    <col min="14606" max="14606" width="5.7109375" style="745" customWidth="1"/>
    <col min="14607" max="14607" width="11.140625" style="745" customWidth="1"/>
    <col min="14608" max="14608" width="15.42578125" style="745" customWidth="1"/>
    <col min="14609" max="14609" width="14.7109375" style="745" customWidth="1"/>
    <col min="14610" max="14610" width="13.42578125" style="745" customWidth="1"/>
    <col min="14611" max="14611" width="15" style="745" customWidth="1"/>
    <col min="14612" max="14612" width="25.28515625" style="745" customWidth="1"/>
    <col min="14613" max="14613" width="25.7109375" style="745" customWidth="1"/>
    <col min="14614" max="14848" width="9.140625" style="745"/>
    <col min="14849" max="14849" width="5" style="745" customWidth="1"/>
    <col min="14850" max="14850" width="29.85546875" style="745" customWidth="1"/>
    <col min="14851" max="14851" width="6" style="745" customWidth="1"/>
    <col min="14852" max="14852" width="5.7109375" style="745" customWidth="1"/>
    <col min="14853" max="14853" width="5.85546875" style="745" customWidth="1"/>
    <col min="14854" max="14854" width="12.42578125" style="745" customWidth="1"/>
    <col min="14855" max="14855" width="6.140625" style="745" customWidth="1"/>
    <col min="14856" max="14856" width="9.42578125" style="745" customWidth="1"/>
    <col min="14857" max="14857" width="12.5703125" style="745" customWidth="1"/>
    <col min="14858" max="14858" width="6.28515625" style="745" customWidth="1"/>
    <col min="14859" max="14859" width="11.42578125" style="745" customWidth="1"/>
    <col min="14860" max="14860" width="6.85546875" style="745" customWidth="1"/>
    <col min="14861" max="14861" width="12.140625" style="745" customWidth="1"/>
    <col min="14862" max="14862" width="5.7109375" style="745" customWidth="1"/>
    <col min="14863" max="14863" width="11.140625" style="745" customWidth="1"/>
    <col min="14864" max="14864" width="15.42578125" style="745" customWidth="1"/>
    <col min="14865" max="14865" width="14.7109375" style="745" customWidth="1"/>
    <col min="14866" max="14866" width="13.42578125" style="745" customWidth="1"/>
    <col min="14867" max="14867" width="15" style="745" customWidth="1"/>
    <col min="14868" max="14868" width="25.28515625" style="745" customWidth="1"/>
    <col min="14869" max="14869" width="25.7109375" style="745" customWidth="1"/>
    <col min="14870" max="15104" width="9.140625" style="745"/>
    <col min="15105" max="15105" width="5" style="745" customWidth="1"/>
    <col min="15106" max="15106" width="29.85546875" style="745" customWidth="1"/>
    <col min="15107" max="15107" width="6" style="745" customWidth="1"/>
    <col min="15108" max="15108" width="5.7109375" style="745" customWidth="1"/>
    <col min="15109" max="15109" width="5.85546875" style="745" customWidth="1"/>
    <col min="15110" max="15110" width="12.42578125" style="745" customWidth="1"/>
    <col min="15111" max="15111" width="6.140625" style="745" customWidth="1"/>
    <col min="15112" max="15112" width="9.42578125" style="745" customWidth="1"/>
    <col min="15113" max="15113" width="12.5703125" style="745" customWidth="1"/>
    <col min="15114" max="15114" width="6.28515625" style="745" customWidth="1"/>
    <col min="15115" max="15115" width="11.42578125" style="745" customWidth="1"/>
    <col min="15116" max="15116" width="6.85546875" style="745" customWidth="1"/>
    <col min="15117" max="15117" width="12.140625" style="745" customWidth="1"/>
    <col min="15118" max="15118" width="5.7109375" style="745" customWidth="1"/>
    <col min="15119" max="15119" width="11.140625" style="745" customWidth="1"/>
    <col min="15120" max="15120" width="15.42578125" style="745" customWidth="1"/>
    <col min="15121" max="15121" width="14.7109375" style="745" customWidth="1"/>
    <col min="15122" max="15122" width="13.42578125" style="745" customWidth="1"/>
    <col min="15123" max="15123" width="15" style="745" customWidth="1"/>
    <col min="15124" max="15124" width="25.28515625" style="745" customWidth="1"/>
    <col min="15125" max="15125" width="25.7109375" style="745" customWidth="1"/>
    <col min="15126" max="15360" width="9.140625" style="745"/>
    <col min="15361" max="15361" width="5" style="745" customWidth="1"/>
    <col min="15362" max="15362" width="29.85546875" style="745" customWidth="1"/>
    <col min="15363" max="15363" width="6" style="745" customWidth="1"/>
    <col min="15364" max="15364" width="5.7109375" style="745" customWidth="1"/>
    <col min="15365" max="15365" width="5.85546875" style="745" customWidth="1"/>
    <col min="15366" max="15366" width="12.42578125" style="745" customWidth="1"/>
    <col min="15367" max="15367" width="6.140625" style="745" customWidth="1"/>
    <col min="15368" max="15368" width="9.42578125" style="745" customWidth="1"/>
    <col min="15369" max="15369" width="12.5703125" style="745" customWidth="1"/>
    <col min="15370" max="15370" width="6.28515625" style="745" customWidth="1"/>
    <col min="15371" max="15371" width="11.42578125" style="745" customWidth="1"/>
    <col min="15372" max="15372" width="6.85546875" style="745" customWidth="1"/>
    <col min="15373" max="15373" width="12.140625" style="745" customWidth="1"/>
    <col min="15374" max="15374" width="5.7109375" style="745" customWidth="1"/>
    <col min="15375" max="15375" width="11.140625" style="745" customWidth="1"/>
    <col min="15376" max="15376" width="15.42578125" style="745" customWidth="1"/>
    <col min="15377" max="15377" width="14.7109375" style="745" customWidth="1"/>
    <col min="15378" max="15378" width="13.42578125" style="745" customWidth="1"/>
    <col min="15379" max="15379" width="15" style="745" customWidth="1"/>
    <col min="15380" max="15380" width="25.28515625" style="745" customWidth="1"/>
    <col min="15381" max="15381" width="25.7109375" style="745" customWidth="1"/>
    <col min="15382" max="15616" width="9.140625" style="745"/>
    <col min="15617" max="15617" width="5" style="745" customWidth="1"/>
    <col min="15618" max="15618" width="29.85546875" style="745" customWidth="1"/>
    <col min="15619" max="15619" width="6" style="745" customWidth="1"/>
    <col min="15620" max="15620" width="5.7109375" style="745" customWidth="1"/>
    <col min="15621" max="15621" width="5.85546875" style="745" customWidth="1"/>
    <col min="15622" max="15622" width="12.42578125" style="745" customWidth="1"/>
    <col min="15623" max="15623" width="6.140625" style="745" customWidth="1"/>
    <col min="15624" max="15624" width="9.42578125" style="745" customWidth="1"/>
    <col min="15625" max="15625" width="12.5703125" style="745" customWidth="1"/>
    <col min="15626" max="15626" width="6.28515625" style="745" customWidth="1"/>
    <col min="15627" max="15627" width="11.42578125" style="745" customWidth="1"/>
    <col min="15628" max="15628" width="6.85546875" style="745" customWidth="1"/>
    <col min="15629" max="15629" width="12.140625" style="745" customWidth="1"/>
    <col min="15630" max="15630" width="5.7109375" style="745" customWidth="1"/>
    <col min="15631" max="15631" width="11.140625" style="745" customWidth="1"/>
    <col min="15632" max="15632" width="15.42578125" style="745" customWidth="1"/>
    <col min="15633" max="15633" width="14.7109375" style="745" customWidth="1"/>
    <col min="15634" max="15634" width="13.42578125" style="745" customWidth="1"/>
    <col min="15635" max="15635" width="15" style="745" customWidth="1"/>
    <col min="15636" max="15636" width="25.28515625" style="745" customWidth="1"/>
    <col min="15637" max="15637" width="25.7109375" style="745" customWidth="1"/>
    <col min="15638" max="15872" width="9.140625" style="745"/>
    <col min="15873" max="15873" width="5" style="745" customWidth="1"/>
    <col min="15874" max="15874" width="29.85546875" style="745" customWidth="1"/>
    <col min="15875" max="15875" width="6" style="745" customWidth="1"/>
    <col min="15876" max="15876" width="5.7109375" style="745" customWidth="1"/>
    <col min="15877" max="15877" width="5.85546875" style="745" customWidth="1"/>
    <col min="15878" max="15878" width="12.42578125" style="745" customWidth="1"/>
    <col min="15879" max="15879" width="6.140625" style="745" customWidth="1"/>
    <col min="15880" max="15880" width="9.42578125" style="745" customWidth="1"/>
    <col min="15881" max="15881" width="12.5703125" style="745" customWidth="1"/>
    <col min="15882" max="15882" width="6.28515625" style="745" customWidth="1"/>
    <col min="15883" max="15883" width="11.42578125" style="745" customWidth="1"/>
    <col min="15884" max="15884" width="6.85546875" style="745" customWidth="1"/>
    <col min="15885" max="15885" width="12.140625" style="745" customWidth="1"/>
    <col min="15886" max="15886" width="5.7109375" style="745" customWidth="1"/>
    <col min="15887" max="15887" width="11.140625" style="745" customWidth="1"/>
    <col min="15888" max="15888" width="15.42578125" style="745" customWidth="1"/>
    <col min="15889" max="15889" width="14.7109375" style="745" customWidth="1"/>
    <col min="15890" max="15890" width="13.42578125" style="745" customWidth="1"/>
    <col min="15891" max="15891" width="15" style="745" customWidth="1"/>
    <col min="15892" max="15892" width="25.28515625" style="745" customWidth="1"/>
    <col min="15893" max="15893" width="25.7109375" style="745" customWidth="1"/>
    <col min="15894" max="16128" width="9.140625" style="745"/>
    <col min="16129" max="16129" width="5" style="745" customWidth="1"/>
    <col min="16130" max="16130" width="29.85546875" style="745" customWidth="1"/>
    <col min="16131" max="16131" width="6" style="745" customWidth="1"/>
    <col min="16132" max="16132" width="5.7109375" style="745" customWidth="1"/>
    <col min="16133" max="16133" width="5.85546875" style="745" customWidth="1"/>
    <col min="16134" max="16134" width="12.42578125" style="745" customWidth="1"/>
    <col min="16135" max="16135" width="6.140625" style="745" customWidth="1"/>
    <col min="16136" max="16136" width="9.42578125" style="745" customWidth="1"/>
    <col min="16137" max="16137" width="12.5703125" style="745" customWidth="1"/>
    <col min="16138" max="16138" width="6.28515625" style="745" customWidth="1"/>
    <col min="16139" max="16139" width="11.42578125" style="745" customWidth="1"/>
    <col min="16140" max="16140" width="6.85546875" style="745" customWidth="1"/>
    <col min="16141" max="16141" width="12.140625" style="745" customWidth="1"/>
    <col min="16142" max="16142" width="5.7109375" style="745" customWidth="1"/>
    <col min="16143" max="16143" width="11.140625" style="745" customWidth="1"/>
    <col min="16144" max="16144" width="15.42578125" style="745" customWidth="1"/>
    <col min="16145" max="16145" width="14.7109375" style="745" customWidth="1"/>
    <col min="16146" max="16146" width="13.42578125" style="745" customWidth="1"/>
    <col min="16147" max="16147" width="15" style="745" customWidth="1"/>
    <col min="16148" max="16148" width="25.28515625" style="745" customWidth="1"/>
    <col min="16149" max="16149" width="25.7109375" style="745" customWidth="1"/>
    <col min="16150" max="16384" width="9.140625" style="745"/>
  </cols>
  <sheetData>
    <row r="1" spans="1:29" ht="14.25" customHeight="1">
      <c r="B1" s="1941"/>
      <c r="C1" s="1941"/>
      <c r="D1" s="1941"/>
      <c r="E1" s="747"/>
      <c r="F1" s="748"/>
      <c r="G1" s="2263" t="s">
        <v>529</v>
      </c>
      <c r="H1" s="2263"/>
      <c r="I1" s="2263"/>
      <c r="J1" s="2263"/>
      <c r="K1" s="2263"/>
      <c r="L1" s="2263"/>
      <c r="M1" s="2263"/>
      <c r="N1" s="2263"/>
      <c r="O1" s="2263"/>
      <c r="P1" s="2263"/>
      <c r="Q1" s="2263"/>
    </row>
    <row r="2" spans="1:29" ht="25.5" customHeight="1">
      <c r="B2" s="2259" t="s">
        <v>530</v>
      </c>
      <c r="C2" s="2259"/>
      <c r="D2" s="2259"/>
      <c r="E2" s="2259"/>
      <c r="F2" s="748"/>
      <c r="G2" s="2264" t="s">
        <v>562</v>
      </c>
      <c r="H2" s="2264"/>
      <c r="I2" s="2264"/>
      <c r="J2" s="2264"/>
      <c r="K2" s="2264"/>
      <c r="L2" s="2264"/>
      <c r="M2" s="2264"/>
      <c r="N2" s="2264"/>
      <c r="O2" s="2264"/>
      <c r="P2" s="2264"/>
      <c r="Q2" s="2264"/>
    </row>
    <row r="3" spans="1:29" ht="12" customHeight="1">
      <c r="E3" s="747"/>
      <c r="F3" s="748"/>
      <c r="G3" s="2264" t="s">
        <v>531</v>
      </c>
      <c r="H3" s="2264"/>
      <c r="I3" s="2264"/>
      <c r="J3" s="2264"/>
      <c r="K3" s="2264"/>
      <c r="L3" s="2264"/>
      <c r="M3" s="2264"/>
      <c r="N3" s="2264"/>
      <c r="O3" s="2265"/>
      <c r="P3" s="2265"/>
      <c r="Q3" s="750"/>
    </row>
    <row r="4" spans="1:29" ht="13.5" customHeight="1">
      <c r="E4" s="747"/>
      <c r="F4" s="748"/>
      <c r="G4" s="748"/>
      <c r="H4" s="748"/>
      <c r="I4" s="2261" t="s">
        <v>823</v>
      </c>
      <c r="J4" s="2261"/>
      <c r="K4" s="2261"/>
      <c r="L4" s="2261"/>
      <c r="M4" s="2261"/>
      <c r="N4" s="2266"/>
      <c r="O4" s="2266"/>
      <c r="P4" s="2266"/>
      <c r="Q4" s="2266"/>
    </row>
    <row r="5" spans="1:29" ht="13.5" customHeight="1">
      <c r="E5" s="747"/>
      <c r="F5" s="748"/>
      <c r="G5" s="2261" t="s">
        <v>532</v>
      </c>
      <c r="H5" s="2261"/>
      <c r="I5" s="2261"/>
      <c r="J5" s="2261"/>
      <c r="K5" s="2261"/>
      <c r="L5" s="2261"/>
      <c r="M5" s="2261"/>
      <c r="N5" s="2262"/>
      <c r="O5" s="2262"/>
      <c r="P5" s="2262"/>
      <c r="Q5" s="2262"/>
    </row>
    <row r="6" spans="1:29" ht="22.5" customHeight="1">
      <c r="E6" s="747"/>
      <c r="F6" s="2267" t="s">
        <v>829</v>
      </c>
      <c r="G6" s="2267"/>
      <c r="H6" s="2267"/>
      <c r="I6" s="2267"/>
      <c r="J6" s="2267"/>
      <c r="K6" s="2267"/>
      <c r="L6" s="2267"/>
      <c r="M6" s="2267"/>
      <c r="N6" s="2268"/>
      <c r="O6" s="2268"/>
      <c r="P6" s="2268"/>
      <c r="Q6" s="2268"/>
    </row>
    <row r="7" spans="1:29" s="751" customFormat="1" ht="11.25" customHeight="1">
      <c r="B7" s="752"/>
      <c r="C7" s="752"/>
      <c r="D7" s="752"/>
      <c r="E7" s="752"/>
      <c r="F7" s="753"/>
      <c r="G7" s="2269" t="s">
        <v>533</v>
      </c>
      <c r="H7" s="2269"/>
      <c r="I7" s="2269"/>
      <c r="J7" s="2269"/>
      <c r="K7" s="2269"/>
      <c r="L7" s="2269"/>
      <c r="M7" s="2269"/>
      <c r="N7" s="2268"/>
      <c r="O7" s="2268"/>
      <c r="P7" s="2268"/>
      <c r="Q7" s="2268"/>
    </row>
    <row r="8" spans="1:29" s="751" customFormat="1" ht="14.25" customHeight="1">
      <c r="B8" s="752"/>
      <c r="C8" s="752"/>
      <c r="D8" s="752"/>
      <c r="E8" s="752"/>
      <c r="F8" s="752"/>
      <c r="G8" s="1933"/>
      <c r="H8" s="1933"/>
      <c r="I8" s="1933"/>
      <c r="J8" s="1933"/>
      <c r="K8" s="1933"/>
      <c r="L8" s="1933"/>
      <c r="M8" s="1933"/>
    </row>
    <row r="9" spans="1:29" ht="12.75" customHeight="1">
      <c r="B9" s="2263"/>
      <c r="C9" s="2263"/>
      <c r="D9" s="2263"/>
      <c r="E9" s="2263"/>
      <c r="F9" s="2263"/>
      <c r="G9" s="2263"/>
      <c r="H9" s="2263"/>
      <c r="I9" s="2263"/>
      <c r="J9" s="2263"/>
      <c r="K9" s="2263"/>
      <c r="L9" s="2263"/>
      <c r="M9" s="2263"/>
      <c r="N9" s="2263"/>
      <c r="O9" s="2263"/>
      <c r="P9" s="2263"/>
      <c r="Q9" s="2263"/>
    </row>
    <row r="10" spans="1:29" ht="15" customHeight="1">
      <c r="A10" s="2319" t="s">
        <v>828</v>
      </c>
      <c r="B10" s="2319"/>
      <c r="C10" s="2319"/>
      <c r="D10" s="2319"/>
      <c r="E10" s="2319"/>
      <c r="F10" s="2319"/>
      <c r="G10" s="2319"/>
      <c r="H10" s="2319"/>
      <c r="I10" s="2319"/>
      <c r="J10" s="2319"/>
      <c r="K10" s="2319"/>
      <c r="L10" s="2319"/>
      <c r="M10" s="2319"/>
      <c r="N10" s="2319"/>
      <c r="O10" s="2319"/>
      <c r="P10" s="2319"/>
      <c r="Q10" s="2319"/>
      <c r="T10" s="755"/>
    </row>
    <row r="11" spans="1:29" ht="12.75" customHeight="1">
      <c r="A11" s="2270"/>
      <c r="B11" s="2271"/>
      <c r="C11" s="2271"/>
      <c r="D11" s="2271"/>
      <c r="E11" s="2271"/>
      <c r="F11" s="2271"/>
      <c r="G11" s="2271"/>
      <c r="H11" s="2271"/>
      <c r="I11" s="2271"/>
      <c r="J11" s="2271"/>
      <c r="K11" s="2271"/>
      <c r="L11" s="2271"/>
      <c r="M11" s="2271"/>
      <c r="N11" s="2271"/>
      <c r="O11" s="2271"/>
      <c r="P11" s="2271"/>
      <c r="Q11" s="2271"/>
    </row>
    <row r="12" spans="1:29">
      <c r="A12" s="2264" t="s">
        <v>561</v>
      </c>
      <c r="B12" s="2264"/>
      <c r="C12" s="2264"/>
      <c r="D12" s="2264"/>
      <c r="E12" s="2264"/>
      <c r="F12" s="2264"/>
      <c r="G12" s="2264"/>
      <c r="H12" s="2264"/>
      <c r="I12" s="2264"/>
      <c r="J12" s="2264"/>
      <c r="K12" s="2264"/>
      <c r="L12" s="2264"/>
      <c r="M12" s="2264"/>
      <c r="N12" s="2264"/>
      <c r="O12" s="2264"/>
      <c r="P12" s="2264"/>
      <c r="Q12" s="2264"/>
      <c r="T12" s="748"/>
      <c r="U12" s="748"/>
      <c r="V12" s="748"/>
      <c r="W12" s="2263"/>
      <c r="X12" s="2263"/>
      <c r="Y12" s="2263"/>
      <c r="Z12" s="2263"/>
      <c r="AA12" s="2263"/>
      <c r="AB12" s="2263"/>
      <c r="AC12" s="2263"/>
    </row>
    <row r="13" spans="1:29" ht="13.5" thickBot="1">
      <c r="B13" s="1939"/>
      <c r="C13" s="1939"/>
      <c r="D13" s="1939"/>
      <c r="E13" s="1939"/>
      <c r="F13" s="1939"/>
      <c r="G13" s="1939"/>
      <c r="H13" s="1939"/>
      <c r="I13" s="1939"/>
      <c r="J13" s="1939"/>
      <c r="K13" s="1939"/>
      <c r="L13" s="1939"/>
      <c r="M13" s="1939"/>
      <c r="N13" s="1939"/>
      <c r="O13" s="1939"/>
      <c r="P13" s="1939"/>
      <c r="T13" s="748"/>
      <c r="U13" s="2264"/>
      <c r="V13" s="2264"/>
      <c r="W13" s="2272"/>
      <c r="X13" s="2272"/>
      <c r="Y13" s="2272"/>
      <c r="Z13" s="2272"/>
      <c r="AA13" s="2272"/>
      <c r="AB13" s="2272"/>
      <c r="AC13" s="2272"/>
    </row>
    <row r="14" spans="1:29" s="757" customFormat="1" ht="69.75" customHeight="1" thickBot="1">
      <c r="A14" s="2276"/>
      <c r="B14" s="2276" t="s">
        <v>536</v>
      </c>
      <c r="C14" s="2276" t="s">
        <v>8</v>
      </c>
      <c r="D14" s="2276" t="s">
        <v>9</v>
      </c>
      <c r="E14" s="2276" t="s">
        <v>10</v>
      </c>
      <c r="F14" s="2276" t="s">
        <v>537</v>
      </c>
      <c r="G14" s="2276" t="s">
        <v>538</v>
      </c>
      <c r="H14" s="2276" t="s">
        <v>539</v>
      </c>
      <c r="I14" s="2276" t="s">
        <v>540</v>
      </c>
      <c r="J14" s="2278" t="s">
        <v>17</v>
      </c>
      <c r="K14" s="2279"/>
      <c r="L14" s="2278" t="s">
        <v>18</v>
      </c>
      <c r="M14" s="2279"/>
      <c r="N14" s="2278" t="s">
        <v>541</v>
      </c>
      <c r="O14" s="2279"/>
      <c r="P14" s="2276" t="s">
        <v>542</v>
      </c>
      <c r="Q14" s="2273" t="s">
        <v>543</v>
      </c>
      <c r="T14" s="748"/>
      <c r="U14" s="748"/>
      <c r="V14" s="748"/>
      <c r="W14" s="2261"/>
      <c r="X14" s="2261"/>
      <c r="Y14" s="2261"/>
      <c r="Z14" s="2261"/>
      <c r="AA14" s="2261"/>
      <c r="AB14" s="2261"/>
      <c r="AC14" s="2261"/>
    </row>
    <row r="15" spans="1:29" s="757" customFormat="1" ht="58.5" customHeight="1" thickBot="1">
      <c r="A15" s="2277"/>
      <c r="B15" s="2277"/>
      <c r="C15" s="2277"/>
      <c r="D15" s="2277"/>
      <c r="E15" s="2277"/>
      <c r="F15" s="2277"/>
      <c r="G15" s="2277"/>
      <c r="H15" s="2277"/>
      <c r="I15" s="2277"/>
      <c r="J15" s="1938" t="s">
        <v>21</v>
      </c>
      <c r="K15" s="1938" t="s">
        <v>22</v>
      </c>
      <c r="L15" s="1938" t="s">
        <v>21</v>
      </c>
      <c r="M15" s="1938" t="s">
        <v>22</v>
      </c>
      <c r="N15" s="1938" t="s">
        <v>21</v>
      </c>
      <c r="O15" s="1938" t="s">
        <v>544</v>
      </c>
      <c r="P15" s="2277"/>
      <c r="Q15" s="2274"/>
      <c r="T15" s="748"/>
      <c r="U15" s="2275"/>
      <c r="V15" s="2275"/>
      <c r="W15" s="2275"/>
      <c r="X15" s="2275"/>
      <c r="Y15" s="2275"/>
      <c r="Z15" s="2275"/>
      <c r="AA15" s="2275"/>
      <c r="AB15" s="2275"/>
      <c r="AC15" s="2275"/>
    </row>
    <row r="16" spans="1:29" ht="35.25" customHeight="1">
      <c r="A16" s="796"/>
      <c r="B16" s="1807" t="s">
        <v>545</v>
      </c>
      <c r="C16" s="1807"/>
      <c r="D16" s="1807"/>
      <c r="E16" s="1808"/>
      <c r="F16" s="1809"/>
      <c r="G16" s="1809"/>
      <c r="H16" s="1809"/>
      <c r="I16" s="1810"/>
      <c r="J16" s="1810"/>
      <c r="K16" s="1810"/>
      <c r="L16" s="1810"/>
      <c r="M16" s="1810"/>
      <c r="N16" s="1810"/>
      <c r="O16" s="1810"/>
      <c r="P16" s="1811"/>
      <c r="Q16" s="1812"/>
      <c r="T16" s="2280"/>
      <c r="U16" s="2280"/>
      <c r="V16" s="2280"/>
      <c r="W16" s="2280"/>
      <c r="X16" s="2280"/>
      <c r="Y16" s="2280"/>
      <c r="Z16" s="2280"/>
      <c r="AA16" s="2280"/>
      <c r="AB16" s="2280"/>
      <c r="AC16" s="2280"/>
    </row>
    <row r="17" spans="1:29" s="821" customFormat="1" ht="12.75" customHeight="1">
      <c r="A17" s="824">
        <v>1</v>
      </c>
      <c r="B17" s="760" t="s">
        <v>546</v>
      </c>
      <c r="C17" s="772" t="s">
        <v>28</v>
      </c>
      <c r="D17" s="772" t="s">
        <v>29</v>
      </c>
      <c r="E17" s="1813">
        <v>3</v>
      </c>
      <c r="F17" s="774">
        <v>1</v>
      </c>
      <c r="G17" s="1814">
        <v>7.7750000000000004</v>
      </c>
      <c r="H17" s="775">
        <v>17697</v>
      </c>
      <c r="I17" s="775">
        <v>110075.34</v>
      </c>
      <c r="J17" s="776">
        <v>0</v>
      </c>
      <c r="K17" s="777">
        <f>ROUND(I17*J17,2)+(M17*J17)</f>
        <v>0</v>
      </c>
      <c r="L17" s="776">
        <v>0.1</v>
      </c>
      <c r="M17" s="778">
        <f>ROUND(I17*L17*F17,2)</f>
        <v>11007.53</v>
      </c>
      <c r="N17" s="776"/>
      <c r="O17" s="777">
        <f>ROUND(H17*N17,2)*2</f>
        <v>0</v>
      </c>
      <c r="P17" s="775">
        <f>ROUND((I17*F17)+M17+K17+O17,2)</f>
        <v>121082.87</v>
      </c>
      <c r="Q17" s="779">
        <f>P17*12</f>
        <v>1452994.44</v>
      </c>
      <c r="S17" s="823"/>
      <c r="T17" s="1948"/>
      <c r="U17" s="2320"/>
      <c r="V17" s="2320"/>
      <c r="W17" s="2320"/>
      <c r="X17" s="2320"/>
      <c r="Y17" s="2320"/>
      <c r="Z17" s="2320"/>
      <c r="AA17" s="2320"/>
      <c r="AB17" s="2320"/>
      <c r="AC17" s="2320"/>
    </row>
    <row r="18" spans="1:29" s="821" customFormat="1" ht="12.75" customHeight="1">
      <c r="A18" s="824">
        <v>2</v>
      </c>
      <c r="B18" s="771" t="s">
        <v>32</v>
      </c>
      <c r="C18" s="772" t="s">
        <v>28</v>
      </c>
      <c r="D18" s="772" t="s">
        <v>35</v>
      </c>
      <c r="E18" s="773" t="s">
        <v>645</v>
      </c>
      <c r="F18" s="774">
        <v>2</v>
      </c>
      <c r="G18" s="774">
        <v>7.2125000000000004</v>
      </c>
      <c r="H18" s="775">
        <v>17697</v>
      </c>
      <c r="I18" s="775">
        <v>204223.38</v>
      </c>
      <c r="J18" s="776">
        <v>0</v>
      </c>
      <c r="K18" s="777">
        <f>ROUND(I18*J18,2)+(M18*J18)</f>
        <v>0</v>
      </c>
      <c r="L18" s="776">
        <v>0.1</v>
      </c>
      <c r="M18" s="778">
        <v>20422.34</v>
      </c>
      <c r="N18" s="776"/>
      <c r="O18" s="777">
        <f t="shared" ref="O18:O32" si="0">ROUND(H18*N18,2)</f>
        <v>0</v>
      </c>
      <c r="P18" s="775">
        <f>I18+M18</f>
        <v>224645.72</v>
      </c>
      <c r="Q18" s="779">
        <f>P18*12</f>
        <v>2695748.64</v>
      </c>
      <c r="R18" s="1034"/>
      <c r="S18" s="823"/>
      <c r="T18" s="1948"/>
      <c r="U18" s="1949"/>
      <c r="V18" s="1949"/>
      <c r="W18" s="1949"/>
      <c r="X18" s="1949"/>
      <c r="Y18" s="1949"/>
      <c r="Z18" s="1949"/>
      <c r="AA18" s="1949"/>
      <c r="AB18" s="1949"/>
      <c r="AC18" s="1949"/>
    </row>
    <row r="19" spans="1:29" s="1950" customFormat="1" ht="12.75" customHeight="1">
      <c r="A19" s="824">
        <v>3</v>
      </c>
      <c r="B19" s="771" t="s">
        <v>32</v>
      </c>
      <c r="C19" s="772" t="s">
        <v>28</v>
      </c>
      <c r="D19" s="772" t="s">
        <v>35</v>
      </c>
      <c r="E19" s="773" t="s">
        <v>645</v>
      </c>
      <c r="F19" s="774">
        <v>1</v>
      </c>
      <c r="G19" s="774">
        <v>7.2112499999999997</v>
      </c>
      <c r="H19" s="775">
        <v>17697</v>
      </c>
      <c r="I19" s="775">
        <v>102111.69</v>
      </c>
      <c r="J19" s="776">
        <v>0.25</v>
      </c>
      <c r="K19" s="777">
        <v>25527.919999999998</v>
      </c>
      <c r="L19" s="776">
        <v>0.1</v>
      </c>
      <c r="M19" s="778">
        <f>'по старому расчет'!U9</f>
        <v>10211.17</v>
      </c>
      <c r="N19" s="776"/>
      <c r="O19" s="777">
        <f>ROUND(H19*N19,2)</f>
        <v>0</v>
      </c>
      <c r="P19" s="775">
        <f>I19+K19+M19</f>
        <v>137850.78</v>
      </c>
      <c r="Q19" s="779">
        <f>P19*12</f>
        <v>1654209.3599999999</v>
      </c>
      <c r="R19" s="1952"/>
      <c r="S19" s="1951"/>
      <c r="T19" s="753"/>
      <c r="U19" s="1940"/>
      <c r="V19" s="1940"/>
      <c r="W19" s="1940"/>
      <c r="X19" s="1940"/>
      <c r="Y19" s="1940"/>
      <c r="Z19" s="1940"/>
      <c r="AA19" s="1940"/>
      <c r="AB19" s="1940"/>
      <c r="AC19" s="1940"/>
    </row>
    <row r="20" spans="1:29" s="1950" customFormat="1" ht="12.75" customHeight="1">
      <c r="A20" s="824">
        <v>4</v>
      </c>
      <c r="B20" s="771" t="s">
        <v>42</v>
      </c>
      <c r="C20" s="772" t="s">
        <v>28</v>
      </c>
      <c r="D20" s="772" t="s">
        <v>29</v>
      </c>
      <c r="E20" s="773" t="s">
        <v>44</v>
      </c>
      <c r="F20" s="774">
        <v>1</v>
      </c>
      <c r="G20" s="774">
        <v>7.3875000000000002</v>
      </c>
      <c r="H20" s="775">
        <v>17697</v>
      </c>
      <c r="I20" s="775">
        <v>104589.27</v>
      </c>
      <c r="J20" s="776">
        <v>0</v>
      </c>
      <c r="K20" s="777">
        <f>ROUND(I20*J20,2)+(M20*J20)</f>
        <v>0</v>
      </c>
      <c r="L20" s="776">
        <v>0.1</v>
      </c>
      <c r="M20" s="778">
        <f t="shared" ref="M20:M31" si="1">ROUND(I20*L20*F20,2)</f>
        <v>10458.93</v>
      </c>
      <c r="N20" s="1815"/>
      <c r="O20" s="777">
        <f t="shared" si="0"/>
        <v>0</v>
      </c>
      <c r="P20" s="775">
        <f>I20+M20</f>
        <v>115048.20000000001</v>
      </c>
      <c r="Q20" s="779">
        <f>P20*12</f>
        <v>1380578.4000000001</v>
      </c>
      <c r="R20" s="1952"/>
      <c r="S20" s="1951"/>
      <c r="T20" s="1953"/>
      <c r="U20" s="1951"/>
    </row>
    <row r="21" spans="1:29" s="1950" customFormat="1" ht="12.75" customHeight="1">
      <c r="A21" s="824">
        <v>5</v>
      </c>
      <c r="B21" s="771" t="s">
        <v>46</v>
      </c>
      <c r="C21" s="772" t="s">
        <v>28</v>
      </c>
      <c r="D21" s="772" t="s">
        <v>29</v>
      </c>
      <c r="E21" s="773" t="s">
        <v>44</v>
      </c>
      <c r="F21" s="774">
        <v>1</v>
      </c>
      <c r="G21" s="774">
        <v>6.9874999999999998</v>
      </c>
      <c r="H21" s="775">
        <v>17697</v>
      </c>
      <c r="I21" s="775">
        <v>98926.23</v>
      </c>
      <c r="J21" s="1816">
        <v>0</v>
      </c>
      <c r="K21" s="799">
        <v>0</v>
      </c>
      <c r="L21" s="776">
        <v>0.1</v>
      </c>
      <c r="M21" s="778">
        <f t="shared" si="1"/>
        <v>9892.6200000000008</v>
      </c>
      <c r="N21" s="1815"/>
      <c r="O21" s="777">
        <f t="shared" si="0"/>
        <v>0</v>
      </c>
      <c r="P21" s="775">
        <f>ROUND((I21*F21)+M21+K21+O21,2)</f>
        <v>108818.85</v>
      </c>
      <c r="Q21" s="779">
        <f t="shared" ref="Q21:Q34" si="2">P21*12</f>
        <v>1305826.2000000002</v>
      </c>
      <c r="R21" s="1952"/>
      <c r="S21" s="1951"/>
      <c r="T21" s="1953"/>
      <c r="U21" s="1951"/>
    </row>
    <row r="22" spans="1:29" s="1570" customFormat="1" ht="13.5" customHeight="1">
      <c r="A22" s="824">
        <v>6</v>
      </c>
      <c r="B22" s="760" t="s">
        <v>547</v>
      </c>
      <c r="C22" s="772" t="s">
        <v>28</v>
      </c>
      <c r="D22" s="772" t="s">
        <v>35</v>
      </c>
      <c r="E22" s="773" t="s">
        <v>30</v>
      </c>
      <c r="F22" s="774">
        <v>1</v>
      </c>
      <c r="G22" s="774">
        <v>5.61</v>
      </c>
      <c r="H22" s="775">
        <v>17697</v>
      </c>
      <c r="I22" s="775">
        <f t="shared" ref="I22:I31" si="3">G22*H22</f>
        <v>99280.170000000013</v>
      </c>
      <c r="J22" s="776">
        <v>0</v>
      </c>
      <c r="K22" s="777">
        <f>ROUND(I22*J22,2)</f>
        <v>0</v>
      </c>
      <c r="L22" s="776">
        <v>0.1</v>
      </c>
      <c r="M22" s="778">
        <f t="shared" si="1"/>
        <v>9928.02</v>
      </c>
      <c r="N22" s="1815"/>
      <c r="O22" s="777">
        <f t="shared" si="0"/>
        <v>0</v>
      </c>
      <c r="P22" s="775">
        <f t="shared" ref="P22:P31" si="4">ROUND((I22*F22)+M22+K22+O22,2)</f>
        <v>109208.19</v>
      </c>
      <c r="Q22" s="779">
        <f t="shared" si="2"/>
        <v>1310498.28</v>
      </c>
      <c r="S22" s="1571"/>
      <c r="T22" s="1572"/>
      <c r="U22" s="1571"/>
    </row>
    <row r="23" spans="1:29" s="1570" customFormat="1" ht="13.5" customHeight="1">
      <c r="A23" s="824">
        <v>7</v>
      </c>
      <c r="B23" s="760" t="s">
        <v>548</v>
      </c>
      <c r="C23" s="772" t="s">
        <v>56</v>
      </c>
      <c r="D23" s="1814" t="s">
        <v>56</v>
      </c>
      <c r="E23" s="773" t="s">
        <v>30</v>
      </c>
      <c r="F23" s="774">
        <v>1</v>
      </c>
      <c r="G23" s="774">
        <v>4.43</v>
      </c>
      <c r="H23" s="775">
        <v>17697</v>
      </c>
      <c r="I23" s="775">
        <f t="shared" si="3"/>
        <v>78397.709999999992</v>
      </c>
      <c r="J23" s="776">
        <v>0</v>
      </c>
      <c r="K23" s="777">
        <f>ROUND(I23*J23,2)</f>
        <v>0</v>
      </c>
      <c r="L23" s="776">
        <v>0.1</v>
      </c>
      <c r="M23" s="778">
        <f t="shared" si="1"/>
        <v>7839.77</v>
      </c>
      <c r="N23" s="1815"/>
      <c r="O23" s="777">
        <f t="shared" si="0"/>
        <v>0</v>
      </c>
      <c r="P23" s="775">
        <f t="shared" si="4"/>
        <v>86237.48</v>
      </c>
      <c r="Q23" s="779">
        <f t="shared" si="2"/>
        <v>1034849.76</v>
      </c>
      <c r="S23" s="1571"/>
      <c r="T23" s="1572"/>
      <c r="U23" s="1571"/>
    </row>
    <row r="24" spans="1:29" s="1570" customFormat="1" ht="13.5" customHeight="1">
      <c r="A24" s="824">
        <v>8</v>
      </c>
      <c r="B24" s="760" t="s">
        <v>59</v>
      </c>
      <c r="C24" s="772" t="s">
        <v>61</v>
      </c>
      <c r="D24" s="1814" t="s">
        <v>61</v>
      </c>
      <c r="E24" s="773" t="s">
        <v>156</v>
      </c>
      <c r="F24" s="774">
        <v>1</v>
      </c>
      <c r="G24" s="774">
        <v>3.04</v>
      </c>
      <c r="H24" s="775">
        <v>17697</v>
      </c>
      <c r="I24" s="775">
        <f t="shared" si="3"/>
        <v>53798.879999999997</v>
      </c>
      <c r="J24" s="776">
        <v>0</v>
      </c>
      <c r="K24" s="777">
        <f t="shared" ref="K24:K34" si="5">ROUND(I24*J24,2)</f>
        <v>0</v>
      </c>
      <c r="L24" s="776">
        <v>0.1</v>
      </c>
      <c r="M24" s="778">
        <f t="shared" si="1"/>
        <v>5379.89</v>
      </c>
      <c r="N24" s="1815"/>
      <c r="O24" s="777">
        <f t="shared" si="0"/>
        <v>0</v>
      </c>
      <c r="P24" s="775">
        <f t="shared" si="4"/>
        <v>59178.77</v>
      </c>
      <c r="Q24" s="779">
        <f t="shared" si="2"/>
        <v>710145.24</v>
      </c>
      <c r="S24" s="1571"/>
      <c r="T24" s="1572"/>
      <c r="U24" s="1571"/>
    </row>
    <row r="25" spans="1:29" s="1570" customFormat="1" ht="13.5" customHeight="1">
      <c r="A25" s="824">
        <v>9</v>
      </c>
      <c r="B25" s="760" t="s">
        <v>549</v>
      </c>
      <c r="C25" s="1817" t="s">
        <v>69</v>
      </c>
      <c r="D25" s="1817" t="s">
        <v>69</v>
      </c>
      <c r="E25" s="773" t="s">
        <v>30</v>
      </c>
      <c r="F25" s="774">
        <v>1</v>
      </c>
      <c r="G25" s="12">
        <v>3.61</v>
      </c>
      <c r="H25" s="775">
        <v>17697</v>
      </c>
      <c r="I25" s="775">
        <f t="shared" si="3"/>
        <v>63886.17</v>
      </c>
      <c r="J25" s="776">
        <v>0</v>
      </c>
      <c r="K25" s="777">
        <f t="shared" si="5"/>
        <v>0</v>
      </c>
      <c r="L25" s="776">
        <v>0.1</v>
      </c>
      <c r="M25" s="778">
        <f t="shared" si="1"/>
        <v>6388.62</v>
      </c>
      <c r="N25" s="1815"/>
      <c r="O25" s="777">
        <f t="shared" si="0"/>
        <v>0</v>
      </c>
      <c r="P25" s="775">
        <f t="shared" si="4"/>
        <v>70274.789999999994</v>
      </c>
      <c r="Q25" s="779">
        <f t="shared" si="2"/>
        <v>843297.48</v>
      </c>
      <c r="S25" s="1571"/>
      <c r="T25" s="1572"/>
      <c r="U25" s="1571"/>
    </row>
    <row r="26" spans="1:29" s="1570" customFormat="1" ht="13.5" customHeight="1">
      <c r="A26" s="824">
        <v>10</v>
      </c>
      <c r="B26" s="760" t="s">
        <v>549</v>
      </c>
      <c r="C26" s="1817" t="s">
        <v>69</v>
      </c>
      <c r="D26" s="1817" t="s">
        <v>69</v>
      </c>
      <c r="E26" s="773" t="s">
        <v>30</v>
      </c>
      <c r="F26" s="774">
        <v>1.5</v>
      </c>
      <c r="G26" s="12">
        <v>3.35</v>
      </c>
      <c r="H26" s="775">
        <v>17697</v>
      </c>
      <c r="I26" s="775">
        <f>G26*H26</f>
        <v>59284.950000000004</v>
      </c>
      <c r="J26" s="776">
        <v>0</v>
      </c>
      <c r="K26" s="777">
        <f t="shared" si="5"/>
        <v>0</v>
      </c>
      <c r="L26" s="776">
        <v>0.1</v>
      </c>
      <c r="M26" s="778">
        <f>ROUND(I26*L26*F26,2)</f>
        <v>8892.74</v>
      </c>
      <c r="N26" s="1815"/>
      <c r="O26" s="777">
        <f>ROUND(H26*N26,2)</f>
        <v>0</v>
      </c>
      <c r="P26" s="775">
        <f>ROUND((I26*F26)+M26+K26+O26,2)</f>
        <v>97820.17</v>
      </c>
      <c r="Q26" s="779">
        <f>P26*12</f>
        <v>1173842.04</v>
      </c>
      <c r="S26" s="1571"/>
      <c r="T26" s="1572"/>
      <c r="U26" s="1571"/>
    </row>
    <row r="27" spans="1:29" s="1570" customFormat="1" ht="13.5" customHeight="1">
      <c r="A27" s="824">
        <v>11</v>
      </c>
      <c r="B27" s="760" t="s">
        <v>549</v>
      </c>
      <c r="C27" s="1817" t="s">
        <v>69</v>
      </c>
      <c r="D27" s="1817" t="s">
        <v>69</v>
      </c>
      <c r="E27" s="773" t="s">
        <v>30</v>
      </c>
      <c r="F27" s="1818">
        <v>0.5</v>
      </c>
      <c r="G27" s="1819">
        <v>3.31</v>
      </c>
      <c r="H27" s="775">
        <v>17697</v>
      </c>
      <c r="I27" s="775">
        <f>G27*H27</f>
        <v>58577.07</v>
      </c>
      <c r="J27" s="1820"/>
      <c r="K27" s="777">
        <f t="shared" si="5"/>
        <v>0</v>
      </c>
      <c r="L27" s="776">
        <v>0.1</v>
      </c>
      <c r="M27" s="778">
        <f>ROUND(I27*L27*F27,2)</f>
        <v>2928.85</v>
      </c>
      <c r="N27" s="1821"/>
      <c r="O27" s="777">
        <f>ROUND(H27*N27,2)</f>
        <v>0</v>
      </c>
      <c r="P27" s="775">
        <f>ROUND((I27*F27)+M27+K27+O27,2)</f>
        <v>32217.39</v>
      </c>
      <c r="Q27" s="779">
        <f>P27*12</f>
        <v>386608.68</v>
      </c>
      <c r="S27" s="1571"/>
      <c r="T27" s="1572"/>
      <c r="U27" s="1571"/>
    </row>
    <row r="28" spans="1:29" s="821" customFormat="1" ht="13.5" customHeight="1">
      <c r="A28" s="824">
        <v>12</v>
      </c>
      <c r="B28" s="760" t="s">
        <v>86</v>
      </c>
      <c r="C28" s="1814" t="s">
        <v>56</v>
      </c>
      <c r="D28" s="1814" t="s">
        <v>56</v>
      </c>
      <c r="E28" s="773" t="s">
        <v>30</v>
      </c>
      <c r="F28" s="774">
        <v>1</v>
      </c>
      <c r="G28" s="11">
        <v>3.5</v>
      </c>
      <c r="H28" s="775">
        <v>17697</v>
      </c>
      <c r="I28" s="775">
        <f t="shared" si="3"/>
        <v>61939.5</v>
      </c>
      <c r="J28" s="776">
        <v>0</v>
      </c>
      <c r="K28" s="777">
        <f t="shared" si="5"/>
        <v>0</v>
      </c>
      <c r="L28" s="776">
        <v>0.1</v>
      </c>
      <c r="M28" s="778">
        <f t="shared" si="1"/>
        <v>6193.95</v>
      </c>
      <c r="N28" s="1815"/>
      <c r="O28" s="777">
        <f t="shared" si="0"/>
        <v>0</v>
      </c>
      <c r="P28" s="775">
        <f t="shared" si="4"/>
        <v>68133.45</v>
      </c>
      <c r="Q28" s="779">
        <f t="shared" si="2"/>
        <v>817601.39999999991</v>
      </c>
      <c r="S28" s="823"/>
      <c r="T28" s="822"/>
      <c r="U28" s="823"/>
    </row>
    <row r="29" spans="1:29" s="821" customFormat="1" ht="13.5" customHeight="1">
      <c r="A29" s="824">
        <v>13</v>
      </c>
      <c r="B29" s="760" t="s">
        <v>86</v>
      </c>
      <c r="C29" s="1814" t="s">
        <v>56</v>
      </c>
      <c r="D29" s="1814" t="s">
        <v>56</v>
      </c>
      <c r="E29" s="773" t="s">
        <v>57</v>
      </c>
      <c r="F29" s="774">
        <v>1</v>
      </c>
      <c r="G29" s="11">
        <v>4.43</v>
      </c>
      <c r="H29" s="775">
        <v>17697</v>
      </c>
      <c r="I29" s="775">
        <f>G29*H29</f>
        <v>78397.709999999992</v>
      </c>
      <c r="J29" s="776">
        <v>0</v>
      </c>
      <c r="K29" s="777">
        <f t="shared" si="5"/>
        <v>0</v>
      </c>
      <c r="L29" s="776">
        <v>0.1</v>
      </c>
      <c r="M29" s="778">
        <f>ROUND(I29*L29*F29,2)</f>
        <v>7839.77</v>
      </c>
      <c r="N29" s="1815"/>
      <c r="O29" s="777">
        <f>ROUND(H29*N29,2)</f>
        <v>0</v>
      </c>
      <c r="P29" s="775">
        <f>ROUND((I29*F29)+M29+K29+O29,2)</f>
        <v>86237.48</v>
      </c>
      <c r="Q29" s="779">
        <f>P29*12</f>
        <v>1034849.76</v>
      </c>
      <c r="S29" s="823"/>
      <c r="T29" s="822"/>
      <c r="U29" s="823"/>
    </row>
    <row r="30" spans="1:29" s="821" customFormat="1" ht="13.5" customHeight="1">
      <c r="A30" s="824">
        <v>14</v>
      </c>
      <c r="B30" s="760" t="s">
        <v>86</v>
      </c>
      <c r="C30" s="1814" t="s">
        <v>56</v>
      </c>
      <c r="D30" s="1814" t="s">
        <v>56</v>
      </c>
      <c r="E30" s="773" t="s">
        <v>57</v>
      </c>
      <c r="F30" s="1818">
        <v>1</v>
      </c>
      <c r="G30" s="1822">
        <v>4.0999999999999996</v>
      </c>
      <c r="H30" s="775">
        <v>17697</v>
      </c>
      <c r="I30" s="775">
        <v>72557.7</v>
      </c>
      <c r="J30" s="776">
        <v>0</v>
      </c>
      <c r="K30" s="777">
        <f>ROUND(I30*J30,2)</f>
        <v>0</v>
      </c>
      <c r="L30" s="776">
        <v>0.1</v>
      </c>
      <c r="M30" s="778">
        <f>ROUND(I30*L30*F30,2)</f>
        <v>7255.77</v>
      </c>
      <c r="N30" s="1815"/>
      <c r="O30" s="777">
        <f>ROUND(H30*N30,2)</f>
        <v>0</v>
      </c>
      <c r="P30" s="775">
        <f>ROUND((I30*F30)+M30+K30+O30,2)</f>
        <v>79813.47</v>
      </c>
      <c r="Q30" s="779">
        <f>P30*12</f>
        <v>957761.64</v>
      </c>
      <c r="S30" s="823"/>
      <c r="T30" s="822"/>
      <c r="U30" s="823"/>
    </row>
    <row r="31" spans="1:29" s="821" customFormat="1" ht="13.5" customHeight="1">
      <c r="A31" s="824">
        <v>15</v>
      </c>
      <c r="B31" s="760" t="s">
        <v>95</v>
      </c>
      <c r="C31" s="772" t="s">
        <v>56</v>
      </c>
      <c r="D31" s="1814" t="s">
        <v>56</v>
      </c>
      <c r="E31" s="773" t="s">
        <v>57</v>
      </c>
      <c r="F31" s="774">
        <v>1</v>
      </c>
      <c r="G31" s="11">
        <v>4.2300000000000004</v>
      </c>
      <c r="H31" s="775">
        <v>17697</v>
      </c>
      <c r="I31" s="775">
        <f t="shared" si="3"/>
        <v>74858.310000000012</v>
      </c>
      <c r="J31" s="776">
        <v>0</v>
      </c>
      <c r="K31" s="777">
        <f t="shared" si="5"/>
        <v>0</v>
      </c>
      <c r="L31" s="776">
        <v>0.1</v>
      </c>
      <c r="M31" s="778">
        <f t="shared" si="1"/>
        <v>7485.83</v>
      </c>
      <c r="N31" s="1815"/>
      <c r="O31" s="777">
        <f t="shared" si="0"/>
        <v>0</v>
      </c>
      <c r="P31" s="775">
        <f t="shared" si="4"/>
        <v>82344.14</v>
      </c>
      <c r="Q31" s="779">
        <f>P31*12</f>
        <v>988129.67999999993</v>
      </c>
      <c r="S31" s="823"/>
      <c r="T31" s="822"/>
      <c r="U31" s="823"/>
    </row>
    <row r="32" spans="1:29" s="821" customFormat="1" ht="13.5" customHeight="1">
      <c r="A32" s="824">
        <v>16</v>
      </c>
      <c r="B32" s="791" t="s">
        <v>79</v>
      </c>
      <c r="C32" s="772" t="s">
        <v>56</v>
      </c>
      <c r="D32" s="1814" t="s">
        <v>56</v>
      </c>
      <c r="E32" s="773" t="s">
        <v>57</v>
      </c>
      <c r="F32" s="11">
        <v>0.5</v>
      </c>
      <c r="G32" s="11">
        <v>3.57</v>
      </c>
      <c r="H32" s="775">
        <v>17697</v>
      </c>
      <c r="I32" s="775">
        <f>G32*H32/2</f>
        <v>31589.144999999997</v>
      </c>
      <c r="J32" s="776">
        <v>0</v>
      </c>
      <c r="K32" s="777">
        <f t="shared" si="5"/>
        <v>0</v>
      </c>
      <c r="L32" s="776">
        <v>0.1</v>
      </c>
      <c r="M32" s="778">
        <f>I32*10%</f>
        <v>3158.9144999999999</v>
      </c>
      <c r="N32" s="1815"/>
      <c r="O32" s="777">
        <f t="shared" si="0"/>
        <v>0</v>
      </c>
      <c r="P32" s="775">
        <f>I32+M32</f>
        <v>34748.059499999996</v>
      </c>
      <c r="Q32" s="779">
        <f t="shared" si="2"/>
        <v>416976.71399999992</v>
      </c>
      <c r="S32" s="823"/>
      <c r="T32" s="822"/>
      <c r="U32" s="823"/>
    </row>
    <row r="33" spans="1:22" s="821" customFormat="1" ht="13.5" customHeight="1">
      <c r="A33" s="824">
        <v>17</v>
      </c>
      <c r="B33" s="792" t="s">
        <v>71</v>
      </c>
      <c r="C33" s="772" t="s">
        <v>56</v>
      </c>
      <c r="D33" s="1814" t="s">
        <v>56</v>
      </c>
      <c r="E33" s="773" t="s">
        <v>57</v>
      </c>
      <c r="F33" s="11">
        <v>0.5</v>
      </c>
      <c r="G33" s="11">
        <v>4.0999999999999996</v>
      </c>
      <c r="H33" s="775">
        <v>17697</v>
      </c>
      <c r="I33" s="775">
        <v>36278.85</v>
      </c>
      <c r="J33" s="776">
        <v>0</v>
      </c>
      <c r="K33" s="777">
        <f>ROUND(I33*J33,2)</f>
        <v>0</v>
      </c>
      <c r="L33" s="776">
        <v>0.1</v>
      </c>
      <c r="M33" s="778">
        <f>I33*10%</f>
        <v>3627.8850000000002</v>
      </c>
      <c r="N33" s="1815">
        <v>0.2</v>
      </c>
      <c r="O33" s="777">
        <f>ROUND(H33*N33,2)/2</f>
        <v>1769.7</v>
      </c>
      <c r="P33" s="775">
        <f>I33+M33+O33</f>
        <v>41676.434999999998</v>
      </c>
      <c r="Q33" s="779">
        <f>P33*12</f>
        <v>500117.22</v>
      </c>
      <c r="S33" s="823"/>
      <c r="T33" s="822"/>
      <c r="U33" s="823"/>
    </row>
    <row r="34" spans="1:22" s="821" customFormat="1" ht="13.5" customHeight="1">
      <c r="A34" s="824">
        <v>18</v>
      </c>
      <c r="B34" s="792" t="s">
        <v>71</v>
      </c>
      <c r="C34" s="772" t="s">
        <v>56</v>
      </c>
      <c r="D34" s="1814" t="s">
        <v>56</v>
      </c>
      <c r="E34" s="773" t="s">
        <v>57</v>
      </c>
      <c r="F34" s="11">
        <v>0.5</v>
      </c>
      <c r="G34" s="11">
        <v>4.46</v>
      </c>
      <c r="H34" s="775">
        <v>17697</v>
      </c>
      <c r="I34" s="775">
        <v>39464.31</v>
      </c>
      <c r="J34" s="776">
        <v>0</v>
      </c>
      <c r="K34" s="777">
        <f t="shared" si="5"/>
        <v>0</v>
      </c>
      <c r="L34" s="776">
        <v>0.1</v>
      </c>
      <c r="M34" s="778">
        <f>I34*L34</f>
        <v>3946.431</v>
      </c>
      <c r="N34" s="1815">
        <v>0.2</v>
      </c>
      <c r="O34" s="777">
        <f>ROUND(H34*N34,2)/2</f>
        <v>1769.7</v>
      </c>
      <c r="P34" s="775">
        <f>I34+M34+O34</f>
        <v>45180.440999999992</v>
      </c>
      <c r="Q34" s="779">
        <f t="shared" si="2"/>
        <v>542165.2919999999</v>
      </c>
      <c r="S34" s="823"/>
      <c r="T34" s="822"/>
      <c r="U34" s="823"/>
    </row>
    <row r="35" spans="1:22" s="793" customFormat="1" ht="14.25" customHeight="1">
      <c r="A35" s="2293" t="s">
        <v>550</v>
      </c>
      <c r="B35" s="2294"/>
      <c r="C35" s="1934"/>
      <c r="D35" s="1934"/>
      <c r="E35" s="849"/>
      <c r="F35" s="841">
        <f>SUM(F17:F34)</f>
        <v>17.5</v>
      </c>
      <c r="G35" s="850"/>
      <c r="H35" s="850"/>
      <c r="I35" s="841">
        <f>SUM(I17:I34)</f>
        <v>1428236.385</v>
      </c>
      <c r="J35" s="850"/>
      <c r="K35" s="841">
        <f>SUM(K17:K34)</f>
        <v>25527.919999999998</v>
      </c>
      <c r="L35" s="850"/>
      <c r="M35" s="841">
        <f>SUM(M17:M34)</f>
        <v>142859.03050000005</v>
      </c>
      <c r="N35" s="850"/>
      <c r="O35" s="841">
        <f>SUM(O17:O34)</f>
        <v>3539.4</v>
      </c>
      <c r="P35" s="841">
        <f>ROUND(SUM(P17:P34),2)</f>
        <v>1600516.69</v>
      </c>
      <c r="Q35" s="851">
        <f>SUM(Q17:Q34)</f>
        <v>19206200.226</v>
      </c>
      <c r="S35" s="794"/>
      <c r="T35" s="795"/>
      <c r="U35" s="795"/>
    </row>
    <row r="36" spans="1:22" ht="21.75" customHeight="1">
      <c r="A36" s="856"/>
      <c r="B36" s="869" t="s">
        <v>551</v>
      </c>
      <c r="C36" s="870"/>
      <c r="D36" s="870"/>
      <c r="E36" s="859"/>
      <c r="F36" s="861"/>
      <c r="G36" s="861"/>
      <c r="H36" s="861"/>
      <c r="I36" s="861"/>
      <c r="J36" s="861"/>
      <c r="K36" s="861"/>
      <c r="L36" s="861"/>
      <c r="M36" s="861"/>
      <c r="N36" s="861"/>
      <c r="O36" s="861"/>
      <c r="P36" s="861"/>
      <c r="Q36" s="862"/>
      <c r="R36" s="780"/>
      <c r="S36" s="770"/>
      <c r="U36" s="770"/>
    </row>
    <row r="37" spans="1:22" s="821" customFormat="1" ht="14.25" customHeight="1">
      <c r="A37" s="796">
        <v>20</v>
      </c>
      <c r="B37" s="797" t="s">
        <v>552</v>
      </c>
      <c r="C37" s="156"/>
      <c r="D37" s="156"/>
      <c r="E37" s="55"/>
      <c r="F37" s="798">
        <v>126.7777</v>
      </c>
      <c r="G37" s="11"/>
      <c r="H37" s="775">
        <v>17697</v>
      </c>
      <c r="I37" s="775">
        <v>9843425.3399999999</v>
      </c>
      <c r="J37" s="776">
        <v>0.25</v>
      </c>
      <c r="K37" s="799">
        <v>254347.67</v>
      </c>
      <c r="L37" s="776">
        <v>0.1</v>
      </c>
      <c r="M37" s="800">
        <v>1009777.3</v>
      </c>
      <c r="N37" s="776"/>
      <c r="O37" s="799">
        <f>ROUND(H37*N37,2)</f>
        <v>0</v>
      </c>
      <c r="P37" s="775">
        <f>M37+K37+I37</f>
        <v>11107550.310000001</v>
      </c>
      <c r="Q37" s="779">
        <f>P37*12</f>
        <v>133290603.72</v>
      </c>
      <c r="R37" s="1034"/>
      <c r="S37" s="823"/>
      <c r="T37" s="822"/>
      <c r="U37" s="823"/>
    </row>
    <row r="38" spans="1:22" s="801" customFormat="1" ht="13.5" customHeight="1">
      <c r="A38" s="2285" t="s">
        <v>553</v>
      </c>
      <c r="B38" s="2286"/>
      <c r="C38" s="1934"/>
      <c r="D38" s="1934"/>
      <c r="E38" s="837"/>
      <c r="F38" s="838">
        <f>SUM(F37:F37)</f>
        <v>126.7777</v>
      </c>
      <c r="G38" s="838"/>
      <c r="H38" s="838"/>
      <c r="I38" s="839">
        <f>SUM(I37:I37)</f>
        <v>9843425.3399999999</v>
      </c>
      <c r="J38" s="839"/>
      <c r="K38" s="839">
        <f t="shared" ref="K38:Q38" si="6">SUM(K37:K37)</f>
        <v>254347.67</v>
      </c>
      <c r="L38" s="839"/>
      <c r="M38" s="839">
        <f t="shared" si="6"/>
        <v>1009777.3</v>
      </c>
      <c r="N38" s="839">
        <f t="shared" si="6"/>
        <v>0</v>
      </c>
      <c r="O38" s="839">
        <v>0</v>
      </c>
      <c r="P38" s="839">
        <f t="shared" si="6"/>
        <v>11107550.310000001</v>
      </c>
      <c r="Q38" s="839">
        <f t="shared" si="6"/>
        <v>133290603.72</v>
      </c>
      <c r="S38" s="794"/>
      <c r="T38" s="795"/>
      <c r="U38" s="795"/>
      <c r="V38" s="794"/>
    </row>
    <row r="39" spans="1:22" ht="45.75" customHeight="1">
      <c r="A39" s="856"/>
      <c r="B39" s="857" t="s">
        <v>554</v>
      </c>
      <c r="C39" s="858"/>
      <c r="D39" s="858"/>
      <c r="E39" s="859"/>
      <c r="F39" s="860"/>
      <c r="G39" s="860"/>
      <c r="H39" s="860"/>
      <c r="I39" s="861"/>
      <c r="J39" s="861"/>
      <c r="K39" s="861"/>
      <c r="L39" s="861"/>
      <c r="M39" s="861"/>
      <c r="N39" s="861"/>
      <c r="O39" s="861"/>
      <c r="P39" s="861"/>
      <c r="Q39" s="862"/>
      <c r="R39" s="755"/>
      <c r="S39" s="784"/>
      <c r="T39" s="784"/>
      <c r="U39" s="784"/>
    </row>
    <row r="40" spans="1:22" s="1570" customFormat="1" ht="15.75" customHeight="1">
      <c r="A40" s="824">
        <v>21</v>
      </c>
      <c r="B40" s="791" t="s">
        <v>555</v>
      </c>
      <c r="C40" s="825"/>
      <c r="D40" s="825"/>
      <c r="E40" s="826">
        <v>2</v>
      </c>
      <c r="F40" s="827">
        <v>9.3000000000000007</v>
      </c>
      <c r="G40" s="827">
        <v>2.81</v>
      </c>
      <c r="H40" s="828">
        <v>17697</v>
      </c>
      <c r="I40" s="828">
        <f>H40*G40*F40</f>
        <v>462475.70100000006</v>
      </c>
      <c r="J40" s="829">
        <v>0</v>
      </c>
      <c r="K40" s="830">
        <f>ROUND(I40*J40,2)</f>
        <v>0</v>
      </c>
      <c r="L40" s="829">
        <v>0.1</v>
      </c>
      <c r="M40" s="831">
        <f>I40*10%</f>
        <v>46247.570100000012</v>
      </c>
      <c r="N40" s="829">
        <v>0.3</v>
      </c>
      <c r="O40" s="830">
        <f>17697*30%*F40</f>
        <v>49374.63</v>
      </c>
      <c r="P40" s="828">
        <f>I40+M40+O40</f>
        <v>558097.90110000002</v>
      </c>
      <c r="Q40" s="832">
        <f t="shared" ref="Q40:Q45" si="7">P40*12</f>
        <v>6697174.8132000007</v>
      </c>
      <c r="S40" s="1571"/>
      <c r="T40" s="1572"/>
      <c r="U40" s="1571"/>
    </row>
    <row r="41" spans="1:22" s="1570" customFormat="1" ht="30">
      <c r="A41" s="824">
        <v>22</v>
      </c>
      <c r="B41" s="771" t="s">
        <v>556</v>
      </c>
      <c r="C41" s="825"/>
      <c r="D41" s="825"/>
      <c r="E41" s="826">
        <v>4</v>
      </c>
      <c r="F41" s="827">
        <v>1.5</v>
      </c>
      <c r="G41" s="827">
        <v>2.89</v>
      </c>
      <c r="H41" s="828">
        <v>17697</v>
      </c>
      <c r="I41" s="828">
        <f>G41*H41*1.5</f>
        <v>76716.494999999995</v>
      </c>
      <c r="J41" s="829">
        <v>0</v>
      </c>
      <c r="K41" s="830">
        <f>ROUND(I41*J41,2)</f>
        <v>0</v>
      </c>
      <c r="L41" s="829">
        <v>0.1</v>
      </c>
      <c r="M41" s="831">
        <f>I41*10%</f>
        <v>7671.6494999999995</v>
      </c>
      <c r="N41" s="829"/>
      <c r="O41" s="830">
        <f>ROUND(H41*N41,2)</f>
        <v>0</v>
      </c>
      <c r="P41" s="828">
        <f t="shared" ref="P41:P45" si="8">I41+M41+O41</f>
        <v>84388.144499999995</v>
      </c>
      <c r="Q41" s="832">
        <f t="shared" si="7"/>
        <v>1012657.7339999999</v>
      </c>
      <c r="R41" s="1573"/>
      <c r="S41" s="1572"/>
      <c r="T41" s="1572"/>
      <c r="U41" s="1571"/>
    </row>
    <row r="42" spans="1:22" s="1570" customFormat="1" ht="12.75" customHeight="1">
      <c r="A42" s="824">
        <v>23</v>
      </c>
      <c r="B42" s="771" t="s">
        <v>556</v>
      </c>
      <c r="C42" s="825"/>
      <c r="D42" s="825"/>
      <c r="E42" s="826">
        <v>2</v>
      </c>
      <c r="F42" s="827">
        <v>4.5</v>
      </c>
      <c r="G42" s="827">
        <v>2.81</v>
      </c>
      <c r="H42" s="828">
        <v>17697</v>
      </c>
      <c r="I42" s="828">
        <f>G42*H42*4.5</f>
        <v>223778.565</v>
      </c>
      <c r="J42" s="829"/>
      <c r="K42" s="830"/>
      <c r="L42" s="829">
        <v>0.1</v>
      </c>
      <c r="M42" s="831">
        <f>I42*10%</f>
        <v>22377.856500000002</v>
      </c>
      <c r="N42" s="829"/>
      <c r="O42" s="830">
        <f>ROUND(H42*N42,2)</f>
        <v>0</v>
      </c>
      <c r="P42" s="828">
        <f t="shared" si="8"/>
        <v>246156.4215</v>
      </c>
      <c r="Q42" s="832">
        <f t="shared" si="7"/>
        <v>2953877.0580000002</v>
      </c>
      <c r="S42" s="1572"/>
      <c r="T42" s="1572"/>
      <c r="U42" s="1571"/>
    </row>
    <row r="43" spans="1:22" s="1570" customFormat="1" ht="11.25" customHeight="1">
      <c r="A43" s="824">
        <v>24</v>
      </c>
      <c r="B43" s="771" t="s">
        <v>358</v>
      </c>
      <c r="C43" s="825"/>
      <c r="D43" s="825"/>
      <c r="E43" s="826">
        <v>1</v>
      </c>
      <c r="F43" s="827">
        <v>1</v>
      </c>
      <c r="G43" s="827">
        <v>2.77</v>
      </c>
      <c r="H43" s="828">
        <v>17697</v>
      </c>
      <c r="I43" s="828">
        <f>G43*H43</f>
        <v>49020.69</v>
      </c>
      <c r="J43" s="829"/>
      <c r="K43" s="830"/>
      <c r="L43" s="829">
        <v>0.1</v>
      </c>
      <c r="M43" s="831">
        <f>ROUND(I43*L43*F43,2)</f>
        <v>4902.07</v>
      </c>
      <c r="N43" s="829"/>
      <c r="O43" s="830">
        <f>ROUND(H43*N43,2)</f>
        <v>0</v>
      </c>
      <c r="P43" s="828">
        <f t="shared" si="8"/>
        <v>53922.76</v>
      </c>
      <c r="Q43" s="832">
        <f t="shared" si="7"/>
        <v>647073.12</v>
      </c>
      <c r="S43" s="1572"/>
      <c r="T43" s="1572"/>
      <c r="U43" s="1571"/>
    </row>
    <row r="44" spans="1:22" s="1570" customFormat="1" ht="11.25" customHeight="1">
      <c r="A44" s="824">
        <v>25</v>
      </c>
      <c r="B44" s="802" t="s">
        <v>346</v>
      </c>
      <c r="C44" s="825"/>
      <c r="D44" s="825"/>
      <c r="E44" s="826">
        <v>1</v>
      </c>
      <c r="F44" s="827">
        <v>9</v>
      </c>
      <c r="G44" s="833">
        <v>2.77</v>
      </c>
      <c r="H44" s="828">
        <v>17697</v>
      </c>
      <c r="I44" s="828">
        <v>441186.21</v>
      </c>
      <c r="J44" s="829"/>
      <c r="K44" s="830"/>
      <c r="L44" s="829">
        <v>0.1</v>
      </c>
      <c r="M44" s="831">
        <v>44118.62</v>
      </c>
      <c r="N44" s="829">
        <v>0.5</v>
      </c>
      <c r="O44" s="830">
        <v>111954.06</v>
      </c>
      <c r="P44" s="828">
        <f t="shared" si="8"/>
        <v>597258.89</v>
      </c>
      <c r="Q44" s="832">
        <f t="shared" si="7"/>
        <v>7167106.6799999997</v>
      </c>
      <c r="S44" s="1572"/>
      <c r="T44" s="1572"/>
      <c r="U44" s="1571"/>
    </row>
    <row r="45" spans="1:22" s="1570" customFormat="1" ht="11.25" customHeight="1">
      <c r="A45" s="824">
        <v>26</v>
      </c>
      <c r="B45" s="803" t="s">
        <v>557</v>
      </c>
      <c r="C45" s="825"/>
      <c r="D45" s="825"/>
      <c r="E45" s="834">
        <v>1</v>
      </c>
      <c r="F45" s="835">
        <v>1</v>
      </c>
      <c r="G45" s="833">
        <v>2.77</v>
      </c>
      <c r="H45" s="828">
        <v>17697</v>
      </c>
      <c r="I45" s="828">
        <f>G45*H45</f>
        <v>49020.69</v>
      </c>
      <c r="J45" s="829"/>
      <c r="K45" s="830"/>
      <c r="L45" s="829">
        <v>0.1</v>
      </c>
      <c r="M45" s="831">
        <f>ROUND(I45*L45*F45,2)</f>
        <v>4902.07</v>
      </c>
      <c r="N45" s="829"/>
      <c r="O45" s="830">
        <f>ROUND(H45*N45,2)</f>
        <v>0</v>
      </c>
      <c r="P45" s="828">
        <f t="shared" si="8"/>
        <v>53922.76</v>
      </c>
      <c r="Q45" s="832">
        <f t="shared" si="7"/>
        <v>647073.12</v>
      </c>
      <c r="S45" s="1572"/>
      <c r="T45" s="1572"/>
      <c r="U45" s="1571"/>
    </row>
    <row r="46" spans="1:22" s="801" customFormat="1" ht="20.25" customHeight="1" thickBot="1">
      <c r="A46" s="2287" t="s">
        <v>359</v>
      </c>
      <c r="B46" s="2288"/>
      <c r="C46" s="843"/>
      <c r="D46" s="843"/>
      <c r="E46" s="844"/>
      <c r="F46" s="847">
        <f>SUM(F39:F45)</f>
        <v>26.3</v>
      </c>
      <c r="G46" s="846"/>
      <c r="H46" s="845"/>
      <c r="I46" s="845"/>
      <c r="J46" s="845"/>
      <c r="K46" s="845">
        <f>SUM(K39:K45)</f>
        <v>0</v>
      </c>
      <c r="L46" s="845"/>
      <c r="M46" s="847">
        <f>SUM(M39:M45)</f>
        <v>130219.83610000001</v>
      </c>
      <c r="N46" s="845"/>
      <c r="O46" s="847">
        <f>SUM(O39:O45)</f>
        <v>161328.69</v>
      </c>
      <c r="P46" s="847">
        <f>SUM(P39:P45)</f>
        <v>1593746.8770999999</v>
      </c>
      <c r="Q46" s="848">
        <f>SUM(Q39:Q45)</f>
        <v>19124962.525199998</v>
      </c>
      <c r="R46" s="1568"/>
      <c r="S46" s="804"/>
      <c r="T46" s="805"/>
      <c r="U46" s="795"/>
    </row>
    <row r="47" spans="1:22" s="801" customFormat="1" ht="19.5" customHeight="1" thickBot="1">
      <c r="A47" s="2289" t="s">
        <v>558</v>
      </c>
      <c r="B47" s="2290"/>
      <c r="C47" s="1935"/>
      <c r="D47" s="1935"/>
      <c r="E47" s="853"/>
      <c r="F47" s="853">
        <f>F35+F38+F46</f>
        <v>170.57769999999999</v>
      </c>
      <c r="G47" s="855"/>
      <c r="H47" s="855"/>
      <c r="I47" s="855"/>
      <c r="J47" s="855"/>
      <c r="K47" s="853">
        <f>K38+K35</f>
        <v>279875.59000000003</v>
      </c>
      <c r="L47" s="855"/>
      <c r="M47" s="853">
        <f>M35+M38+M46</f>
        <v>1282856.1666000001</v>
      </c>
      <c r="N47" s="855">
        <f>N35+N38+N46</f>
        <v>0</v>
      </c>
      <c r="O47" s="853">
        <f>O35+O38+O46</f>
        <v>164868.09</v>
      </c>
      <c r="P47" s="853">
        <f>P35+P38+P46</f>
        <v>14301813.8771</v>
      </c>
      <c r="Q47" s="853">
        <f>Q46+Q38+Q35</f>
        <v>171621766.47120002</v>
      </c>
      <c r="R47" s="794"/>
      <c r="S47" s="945"/>
      <c r="T47" s="806"/>
      <c r="U47" s="806"/>
    </row>
    <row r="48" spans="1:22">
      <c r="R48" s="755"/>
      <c r="S48" s="2282"/>
      <c r="T48" s="808"/>
      <c r="U48" s="808"/>
    </row>
    <row r="49" spans="1:21" ht="15" customHeight="1">
      <c r="B49" s="1941" t="s">
        <v>53</v>
      </c>
      <c r="C49" s="1941"/>
      <c r="D49" s="1941"/>
      <c r="E49" s="1936"/>
      <c r="F49" s="1936"/>
      <c r="G49" s="1936"/>
      <c r="H49" s="810"/>
      <c r="I49" s="2291"/>
      <c r="J49" s="2291"/>
      <c r="K49" s="2291"/>
      <c r="L49" s="2291"/>
      <c r="M49" s="2291"/>
      <c r="N49" s="2291"/>
      <c r="O49" s="2291"/>
      <c r="P49" s="811"/>
      <c r="S49" s="2282"/>
      <c r="T49" s="812"/>
      <c r="U49" s="812"/>
    </row>
    <row r="50" spans="1:21">
      <c r="F50" s="1937" t="s">
        <v>559</v>
      </c>
      <c r="I50" s="2292" t="s">
        <v>560</v>
      </c>
      <c r="J50" s="2292"/>
      <c r="K50" s="2292"/>
      <c r="L50" s="2292"/>
      <c r="M50" s="2292"/>
      <c r="N50" s="2292"/>
      <c r="O50" s="2292"/>
      <c r="P50" s="811"/>
      <c r="S50" s="814"/>
      <c r="T50" s="815"/>
      <c r="U50" s="815"/>
    </row>
    <row r="51" spans="1:21">
      <c r="N51" s="816"/>
      <c r="P51" s="811"/>
      <c r="Q51" s="780"/>
      <c r="S51" s="784"/>
      <c r="T51" s="784"/>
      <c r="U51" s="784"/>
    </row>
    <row r="52" spans="1:21">
      <c r="A52" s="784"/>
      <c r="P52" s="811"/>
      <c r="S52" s="2282"/>
      <c r="T52" s="808"/>
      <c r="U52" s="808"/>
    </row>
    <row r="53" spans="1:21">
      <c r="A53" s="784"/>
      <c r="N53" s="816"/>
      <c r="S53" s="2282"/>
      <c r="T53" s="812"/>
      <c r="U53" s="812"/>
    </row>
    <row r="54" spans="1:21" s="818" customFormat="1" ht="41.25" customHeight="1">
      <c r="A54" s="817"/>
      <c r="B54" s="2283"/>
      <c r="C54" s="2283"/>
      <c r="D54" s="2283"/>
      <c r="E54" s="2284"/>
      <c r="F54" s="2284"/>
      <c r="G54" s="2284"/>
      <c r="H54" s="2284"/>
      <c r="I54" s="2284"/>
      <c r="J54" s="2284"/>
      <c r="K54" s="2284"/>
      <c r="L54" s="2284"/>
      <c r="M54" s="2284"/>
      <c r="N54" s="2284"/>
      <c r="O54" s="2284"/>
      <c r="P54" s="2284"/>
      <c r="Q54" s="2284"/>
      <c r="S54" s="817"/>
      <c r="T54" s="817"/>
      <c r="U54" s="817"/>
    </row>
    <row r="55" spans="1:21">
      <c r="A55" s="784"/>
      <c r="S55" s="2282"/>
      <c r="T55" s="808"/>
      <c r="U55" s="808"/>
    </row>
    <row r="56" spans="1:21" s="818" customFormat="1">
      <c r="A56" s="817"/>
      <c r="B56" s="2283"/>
      <c r="C56" s="2283"/>
      <c r="D56" s="2283"/>
      <c r="E56" s="2284"/>
      <c r="F56" s="2284"/>
      <c r="G56" s="2284"/>
      <c r="H56" s="2284"/>
      <c r="I56" s="2284"/>
      <c r="J56" s="2284"/>
      <c r="K56" s="2284"/>
      <c r="L56" s="2284"/>
      <c r="M56" s="2284"/>
      <c r="N56" s="819"/>
      <c r="O56" s="819"/>
      <c r="P56" s="819"/>
      <c r="S56" s="2282"/>
      <c r="T56" s="820"/>
      <c r="U56" s="820"/>
    </row>
    <row r="57" spans="1:21">
      <c r="A57" s="784"/>
    </row>
    <row r="58" spans="1:21">
      <c r="M58" s="811"/>
    </row>
  </sheetData>
  <mergeCells count="44">
    <mergeCell ref="U17:AC17"/>
    <mergeCell ref="S52:S53"/>
    <mergeCell ref="B54:Q54"/>
    <mergeCell ref="S55:S56"/>
    <mergeCell ref="B56:M56"/>
    <mergeCell ref="A38:B38"/>
    <mergeCell ref="A46:B46"/>
    <mergeCell ref="A47:B47"/>
    <mergeCell ref="S48:S49"/>
    <mergeCell ref="I49:O49"/>
    <mergeCell ref="I50:O50"/>
    <mergeCell ref="A35:B35"/>
    <mergeCell ref="F14:F15"/>
    <mergeCell ref="G14:G15"/>
    <mergeCell ref="T16:AC16"/>
    <mergeCell ref="N14:O14"/>
    <mergeCell ref="P14:P15"/>
    <mergeCell ref="W12:AC12"/>
    <mergeCell ref="U13:V13"/>
    <mergeCell ref="W13:AC13"/>
    <mergeCell ref="A12:Q12"/>
    <mergeCell ref="Q14:Q15"/>
    <mergeCell ref="W14:AC14"/>
    <mergeCell ref="U15:AC15"/>
    <mergeCell ref="H14:H15"/>
    <mergeCell ref="I14:I15"/>
    <mergeCell ref="J14:K14"/>
    <mergeCell ref="L14:M14"/>
    <mergeCell ref="A14:A15"/>
    <mergeCell ref="B14:B15"/>
    <mergeCell ref="C14:C15"/>
    <mergeCell ref="D14:D15"/>
    <mergeCell ref="E14:E15"/>
    <mergeCell ref="F6:Q6"/>
    <mergeCell ref="G7:Q7"/>
    <mergeCell ref="B9:Q9"/>
    <mergeCell ref="A10:Q10"/>
    <mergeCell ref="A11:Q11"/>
    <mergeCell ref="G5:Q5"/>
    <mergeCell ref="G1:Q1"/>
    <mergeCell ref="B2:E2"/>
    <mergeCell ref="G2:Q2"/>
    <mergeCell ref="G3:P3"/>
    <mergeCell ref="I4:Q4"/>
  </mergeCells>
  <pageMargins left="0.98425196850393704" right="0.19685039370078741" top="0.24" bottom="0.23622047244094491" header="0.23622047244094491" footer="0.23622047244094491"/>
  <pageSetup paperSize="9" scale="65" orientation="landscape" r:id="rId1"/>
  <headerFooter alignWithMargins="0"/>
  <colBreaks count="1" manualBreakCount="1">
    <brk id="1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7030A0"/>
  </sheetPr>
  <dimension ref="A1:BQ179"/>
  <sheetViews>
    <sheetView topLeftCell="A43" zoomScale="70" zoomScaleNormal="70" zoomScaleSheetLayoutView="40" workbookViewId="0">
      <pane xSplit="3" topLeftCell="D1" activePane="topRight" state="frozen"/>
      <selection pane="topRight" activeCell="X165" sqref="X165"/>
    </sheetView>
  </sheetViews>
  <sheetFormatPr defaultRowHeight="12.75"/>
  <cols>
    <col min="1" max="1" width="6.42578125" style="1" customWidth="1"/>
    <col min="2" max="2" width="22.7109375" style="1" customWidth="1"/>
    <col min="3" max="3" width="21.7109375" style="1931" customWidth="1"/>
    <col min="4" max="4" width="11.28515625" style="1" customWidth="1"/>
    <col min="5" max="5" width="14.140625" style="1" customWidth="1"/>
    <col min="6" max="6" width="13.28515625" style="1" customWidth="1"/>
    <col min="7" max="7" width="7.42578125" style="1" customWidth="1"/>
    <col min="8" max="8" width="4.7109375" style="1" customWidth="1"/>
    <col min="9" max="9" width="8.5703125" style="1" customWidth="1"/>
    <col min="10" max="10" width="5.5703125" style="1" customWidth="1"/>
    <col min="11" max="11" width="11.5703125" style="1" customWidth="1"/>
    <col min="12" max="12" width="12.28515625" style="1" customWidth="1"/>
    <col min="13" max="13" width="12.85546875" style="1" customWidth="1"/>
    <col min="14" max="14" width="13.42578125" style="1931" customWidth="1"/>
    <col min="15" max="15" width="8.85546875" style="1" customWidth="1"/>
    <col min="16" max="16" width="16.28515625" style="1" customWidth="1"/>
    <col min="17" max="17" width="10" style="1" customWidth="1"/>
    <col min="18" max="18" width="10" style="1" bestFit="1" customWidth="1"/>
    <col min="19" max="19" width="13.85546875" style="1" customWidth="1"/>
    <col min="20" max="20" width="9" style="1" customWidth="1"/>
    <col min="21" max="21" width="15.140625" style="1" customWidth="1"/>
    <col min="22" max="22" width="8.5703125" style="1" customWidth="1"/>
    <col min="23" max="23" width="12.28515625" style="1" customWidth="1"/>
    <col min="24" max="24" width="16.140625" style="1" customWidth="1"/>
    <col min="25" max="26" width="18.28515625" style="1" hidden="1" customWidth="1"/>
    <col min="27" max="27" width="13" style="24" hidden="1" customWidth="1"/>
    <col min="28" max="28" width="16" style="24" hidden="1" customWidth="1"/>
    <col min="29" max="29" width="13" style="24" hidden="1" customWidth="1"/>
    <col min="30" max="30" width="12" style="24" hidden="1" customWidth="1"/>
    <col min="31" max="33" width="0" style="24" hidden="1" customWidth="1"/>
    <col min="34" max="34" width="11.28515625" style="24" hidden="1" customWidth="1"/>
    <col min="35" max="35" width="1.5703125" style="24" hidden="1" customWidth="1"/>
    <col min="36" max="36" width="1" style="24" hidden="1" customWidth="1"/>
    <col min="37" max="37" width="12" style="23" bestFit="1" customWidth="1"/>
    <col min="38" max="38" width="12.140625" style="23" bestFit="1" customWidth="1"/>
    <col min="39" max="40" width="10.28515625" style="23" bestFit="1" customWidth="1"/>
    <col min="41" max="43" width="9.140625" style="23"/>
    <col min="44" max="69" width="9.140625" style="24"/>
    <col min="70" max="257" width="9.140625" style="1"/>
    <col min="258" max="258" width="6.42578125" style="1" customWidth="1"/>
    <col min="259" max="259" width="20.7109375" style="1" customWidth="1"/>
    <col min="260" max="260" width="24.7109375" style="1" customWidth="1"/>
    <col min="261" max="261" width="11.140625" style="1" customWidth="1"/>
    <col min="262" max="262" width="12.28515625" style="1" customWidth="1"/>
    <col min="263" max="263" width="11.140625" style="1" customWidth="1"/>
    <col min="264" max="264" width="10.42578125" style="1" customWidth="1"/>
    <col min="265" max="265" width="4.7109375" style="1" customWidth="1"/>
    <col min="266" max="266" width="8.5703125" style="1" customWidth="1"/>
    <col min="267" max="267" width="5.5703125" style="1" customWidth="1"/>
    <col min="268" max="269" width="11.5703125" style="1" customWidth="1"/>
    <col min="270" max="270" width="10.85546875" style="1" customWidth="1"/>
    <col min="271" max="271" width="7.7109375" style="1" customWidth="1"/>
    <col min="272" max="272" width="8" style="1" customWidth="1"/>
    <col min="273" max="273" width="16.28515625" style="1" customWidth="1"/>
    <col min="274" max="274" width="10.5703125" style="1" customWidth="1"/>
    <col min="275" max="275" width="14.140625" style="1" customWidth="1"/>
    <col min="276" max="276" width="10.140625" style="1" customWidth="1"/>
    <col min="277" max="277" width="15.140625" style="1" customWidth="1"/>
    <col min="278" max="278" width="8.5703125" style="1" customWidth="1"/>
    <col min="279" max="279" width="14.28515625" style="1" customWidth="1"/>
    <col min="280" max="280" width="18.28515625" style="1" customWidth="1"/>
    <col min="281" max="281" width="13" style="1" bestFit="1" customWidth="1"/>
    <col min="282" max="282" width="11.7109375" style="1" bestFit="1" customWidth="1"/>
    <col min="283" max="289" width="9.140625" style="1"/>
    <col min="290" max="290" width="11.28515625" style="1" bestFit="1" customWidth="1"/>
    <col min="291" max="291" width="10.7109375" style="1" bestFit="1" customWidth="1"/>
    <col min="292" max="513" width="9.140625" style="1"/>
    <col min="514" max="514" width="6.42578125" style="1" customWidth="1"/>
    <col min="515" max="515" width="20.7109375" style="1" customWidth="1"/>
    <col min="516" max="516" width="24.7109375" style="1" customWidth="1"/>
    <col min="517" max="517" width="11.140625" style="1" customWidth="1"/>
    <col min="518" max="518" width="12.28515625" style="1" customWidth="1"/>
    <col min="519" max="519" width="11.140625" style="1" customWidth="1"/>
    <col min="520" max="520" width="10.42578125" style="1" customWidth="1"/>
    <col min="521" max="521" width="4.7109375" style="1" customWidth="1"/>
    <col min="522" max="522" width="8.5703125" style="1" customWidth="1"/>
    <col min="523" max="523" width="5.5703125" style="1" customWidth="1"/>
    <col min="524" max="525" width="11.5703125" style="1" customWidth="1"/>
    <col min="526" max="526" width="10.85546875" style="1" customWidth="1"/>
    <col min="527" max="527" width="7.7109375" style="1" customWidth="1"/>
    <col min="528" max="528" width="8" style="1" customWidth="1"/>
    <col min="529" max="529" width="16.28515625" style="1" customWidth="1"/>
    <col min="530" max="530" width="10.5703125" style="1" customWidth="1"/>
    <col min="531" max="531" width="14.140625" style="1" customWidth="1"/>
    <col min="532" max="532" width="10.140625" style="1" customWidth="1"/>
    <col min="533" max="533" width="15.140625" style="1" customWidth="1"/>
    <col min="534" max="534" width="8.5703125" style="1" customWidth="1"/>
    <col min="535" max="535" width="14.28515625" style="1" customWidth="1"/>
    <col min="536" max="536" width="18.28515625" style="1" customWidth="1"/>
    <col min="537" max="537" width="13" style="1" bestFit="1" customWidth="1"/>
    <col min="538" max="538" width="11.7109375" style="1" bestFit="1" customWidth="1"/>
    <col min="539" max="545" width="9.140625" style="1"/>
    <col min="546" max="546" width="11.28515625" style="1" bestFit="1" customWidth="1"/>
    <col min="547" max="547" width="10.7109375" style="1" bestFit="1" customWidth="1"/>
    <col min="548" max="769" width="9.140625" style="1"/>
    <col min="770" max="770" width="6.42578125" style="1" customWidth="1"/>
    <col min="771" max="771" width="20.7109375" style="1" customWidth="1"/>
    <col min="772" max="772" width="24.7109375" style="1" customWidth="1"/>
    <col min="773" max="773" width="11.140625" style="1" customWidth="1"/>
    <col min="774" max="774" width="12.28515625" style="1" customWidth="1"/>
    <col min="775" max="775" width="11.140625" style="1" customWidth="1"/>
    <col min="776" max="776" width="10.42578125" style="1" customWidth="1"/>
    <col min="777" max="777" width="4.7109375" style="1" customWidth="1"/>
    <col min="778" max="778" width="8.5703125" style="1" customWidth="1"/>
    <col min="779" max="779" width="5.5703125" style="1" customWidth="1"/>
    <col min="780" max="781" width="11.5703125" style="1" customWidth="1"/>
    <col min="782" max="782" width="10.85546875" style="1" customWidth="1"/>
    <col min="783" max="783" width="7.7109375" style="1" customWidth="1"/>
    <col min="784" max="784" width="8" style="1" customWidth="1"/>
    <col min="785" max="785" width="16.28515625" style="1" customWidth="1"/>
    <col min="786" max="786" width="10.5703125" style="1" customWidth="1"/>
    <col min="787" max="787" width="14.140625" style="1" customWidth="1"/>
    <col min="788" max="788" width="10.140625" style="1" customWidth="1"/>
    <col min="789" max="789" width="15.140625" style="1" customWidth="1"/>
    <col min="790" max="790" width="8.5703125" style="1" customWidth="1"/>
    <col min="791" max="791" width="14.28515625" style="1" customWidth="1"/>
    <col min="792" max="792" width="18.28515625" style="1" customWidth="1"/>
    <col min="793" max="793" width="13" style="1" bestFit="1" customWidth="1"/>
    <col min="794" max="794" width="11.7109375" style="1" bestFit="1" customWidth="1"/>
    <col min="795" max="801" width="9.140625" style="1"/>
    <col min="802" max="802" width="11.28515625" style="1" bestFit="1" customWidth="1"/>
    <col min="803" max="803" width="10.7109375" style="1" bestFit="1" customWidth="1"/>
    <col min="804" max="1025" width="9.140625" style="1"/>
    <col min="1026" max="1026" width="6.42578125" style="1" customWidth="1"/>
    <col min="1027" max="1027" width="20.7109375" style="1" customWidth="1"/>
    <col min="1028" max="1028" width="24.7109375" style="1" customWidth="1"/>
    <col min="1029" max="1029" width="11.140625" style="1" customWidth="1"/>
    <col min="1030" max="1030" width="12.28515625" style="1" customWidth="1"/>
    <col min="1031" max="1031" width="11.140625" style="1" customWidth="1"/>
    <col min="1032" max="1032" width="10.42578125" style="1" customWidth="1"/>
    <col min="1033" max="1033" width="4.7109375" style="1" customWidth="1"/>
    <col min="1034" max="1034" width="8.5703125" style="1" customWidth="1"/>
    <col min="1035" max="1035" width="5.5703125" style="1" customWidth="1"/>
    <col min="1036" max="1037" width="11.5703125" style="1" customWidth="1"/>
    <col min="1038" max="1038" width="10.85546875" style="1" customWidth="1"/>
    <col min="1039" max="1039" width="7.7109375" style="1" customWidth="1"/>
    <col min="1040" max="1040" width="8" style="1" customWidth="1"/>
    <col min="1041" max="1041" width="16.28515625" style="1" customWidth="1"/>
    <col min="1042" max="1042" width="10.5703125" style="1" customWidth="1"/>
    <col min="1043" max="1043" width="14.140625" style="1" customWidth="1"/>
    <col min="1044" max="1044" width="10.140625" style="1" customWidth="1"/>
    <col min="1045" max="1045" width="15.140625" style="1" customWidth="1"/>
    <col min="1046" max="1046" width="8.5703125" style="1" customWidth="1"/>
    <col min="1047" max="1047" width="14.28515625" style="1" customWidth="1"/>
    <col min="1048" max="1048" width="18.28515625" style="1" customWidth="1"/>
    <col min="1049" max="1049" width="13" style="1" bestFit="1" customWidth="1"/>
    <col min="1050" max="1050" width="11.7109375" style="1" bestFit="1" customWidth="1"/>
    <col min="1051" max="1057" width="9.140625" style="1"/>
    <col min="1058" max="1058" width="11.28515625" style="1" bestFit="1" customWidth="1"/>
    <col min="1059" max="1059" width="10.7109375" style="1" bestFit="1" customWidth="1"/>
    <col min="1060" max="1281" width="9.140625" style="1"/>
    <col min="1282" max="1282" width="6.42578125" style="1" customWidth="1"/>
    <col min="1283" max="1283" width="20.7109375" style="1" customWidth="1"/>
    <col min="1284" max="1284" width="24.7109375" style="1" customWidth="1"/>
    <col min="1285" max="1285" width="11.140625" style="1" customWidth="1"/>
    <col min="1286" max="1286" width="12.28515625" style="1" customWidth="1"/>
    <col min="1287" max="1287" width="11.140625" style="1" customWidth="1"/>
    <col min="1288" max="1288" width="10.42578125" style="1" customWidth="1"/>
    <col min="1289" max="1289" width="4.7109375" style="1" customWidth="1"/>
    <col min="1290" max="1290" width="8.5703125" style="1" customWidth="1"/>
    <col min="1291" max="1291" width="5.5703125" style="1" customWidth="1"/>
    <col min="1292" max="1293" width="11.5703125" style="1" customWidth="1"/>
    <col min="1294" max="1294" width="10.85546875" style="1" customWidth="1"/>
    <col min="1295" max="1295" width="7.7109375" style="1" customWidth="1"/>
    <col min="1296" max="1296" width="8" style="1" customWidth="1"/>
    <col min="1297" max="1297" width="16.28515625" style="1" customWidth="1"/>
    <col min="1298" max="1298" width="10.5703125" style="1" customWidth="1"/>
    <col min="1299" max="1299" width="14.140625" style="1" customWidth="1"/>
    <col min="1300" max="1300" width="10.140625" style="1" customWidth="1"/>
    <col min="1301" max="1301" width="15.140625" style="1" customWidth="1"/>
    <col min="1302" max="1302" width="8.5703125" style="1" customWidth="1"/>
    <col min="1303" max="1303" width="14.28515625" style="1" customWidth="1"/>
    <col min="1304" max="1304" width="18.28515625" style="1" customWidth="1"/>
    <col min="1305" max="1305" width="13" style="1" bestFit="1" customWidth="1"/>
    <col min="1306" max="1306" width="11.7109375" style="1" bestFit="1" customWidth="1"/>
    <col min="1307" max="1313" width="9.140625" style="1"/>
    <col min="1314" max="1314" width="11.28515625" style="1" bestFit="1" customWidth="1"/>
    <col min="1315" max="1315" width="10.7109375" style="1" bestFit="1" customWidth="1"/>
    <col min="1316" max="1537" width="9.140625" style="1"/>
    <col min="1538" max="1538" width="6.42578125" style="1" customWidth="1"/>
    <col min="1539" max="1539" width="20.7109375" style="1" customWidth="1"/>
    <col min="1540" max="1540" width="24.7109375" style="1" customWidth="1"/>
    <col min="1541" max="1541" width="11.140625" style="1" customWidth="1"/>
    <col min="1542" max="1542" width="12.28515625" style="1" customWidth="1"/>
    <col min="1543" max="1543" width="11.140625" style="1" customWidth="1"/>
    <col min="1544" max="1544" width="10.42578125" style="1" customWidth="1"/>
    <col min="1545" max="1545" width="4.7109375" style="1" customWidth="1"/>
    <col min="1546" max="1546" width="8.5703125" style="1" customWidth="1"/>
    <col min="1547" max="1547" width="5.5703125" style="1" customWidth="1"/>
    <col min="1548" max="1549" width="11.5703125" style="1" customWidth="1"/>
    <col min="1550" max="1550" width="10.85546875" style="1" customWidth="1"/>
    <col min="1551" max="1551" width="7.7109375" style="1" customWidth="1"/>
    <col min="1552" max="1552" width="8" style="1" customWidth="1"/>
    <col min="1553" max="1553" width="16.28515625" style="1" customWidth="1"/>
    <col min="1554" max="1554" width="10.5703125" style="1" customWidth="1"/>
    <col min="1555" max="1555" width="14.140625" style="1" customWidth="1"/>
    <col min="1556" max="1556" width="10.140625" style="1" customWidth="1"/>
    <col min="1557" max="1557" width="15.140625" style="1" customWidth="1"/>
    <col min="1558" max="1558" width="8.5703125" style="1" customWidth="1"/>
    <col min="1559" max="1559" width="14.28515625" style="1" customWidth="1"/>
    <col min="1560" max="1560" width="18.28515625" style="1" customWidth="1"/>
    <col min="1561" max="1561" width="13" style="1" bestFit="1" customWidth="1"/>
    <col min="1562" max="1562" width="11.7109375" style="1" bestFit="1" customWidth="1"/>
    <col min="1563" max="1569" width="9.140625" style="1"/>
    <col min="1570" max="1570" width="11.28515625" style="1" bestFit="1" customWidth="1"/>
    <col min="1571" max="1571" width="10.7109375" style="1" bestFit="1" customWidth="1"/>
    <col min="1572" max="1793" width="9.140625" style="1"/>
    <col min="1794" max="1794" width="6.42578125" style="1" customWidth="1"/>
    <col min="1795" max="1795" width="20.7109375" style="1" customWidth="1"/>
    <col min="1796" max="1796" width="24.7109375" style="1" customWidth="1"/>
    <col min="1797" max="1797" width="11.140625" style="1" customWidth="1"/>
    <col min="1798" max="1798" width="12.28515625" style="1" customWidth="1"/>
    <col min="1799" max="1799" width="11.140625" style="1" customWidth="1"/>
    <col min="1800" max="1800" width="10.42578125" style="1" customWidth="1"/>
    <col min="1801" max="1801" width="4.7109375" style="1" customWidth="1"/>
    <col min="1802" max="1802" width="8.5703125" style="1" customWidth="1"/>
    <col min="1803" max="1803" width="5.5703125" style="1" customWidth="1"/>
    <col min="1804" max="1805" width="11.5703125" style="1" customWidth="1"/>
    <col min="1806" max="1806" width="10.85546875" style="1" customWidth="1"/>
    <col min="1807" max="1807" width="7.7109375" style="1" customWidth="1"/>
    <col min="1808" max="1808" width="8" style="1" customWidth="1"/>
    <col min="1809" max="1809" width="16.28515625" style="1" customWidth="1"/>
    <col min="1810" max="1810" width="10.5703125" style="1" customWidth="1"/>
    <col min="1811" max="1811" width="14.140625" style="1" customWidth="1"/>
    <col min="1812" max="1812" width="10.140625" style="1" customWidth="1"/>
    <col min="1813" max="1813" width="15.140625" style="1" customWidth="1"/>
    <col min="1814" max="1814" width="8.5703125" style="1" customWidth="1"/>
    <col min="1815" max="1815" width="14.28515625" style="1" customWidth="1"/>
    <col min="1816" max="1816" width="18.28515625" style="1" customWidth="1"/>
    <col min="1817" max="1817" width="13" style="1" bestFit="1" customWidth="1"/>
    <col min="1818" max="1818" width="11.7109375" style="1" bestFit="1" customWidth="1"/>
    <col min="1819" max="1825" width="9.140625" style="1"/>
    <col min="1826" max="1826" width="11.28515625" style="1" bestFit="1" customWidth="1"/>
    <col min="1827" max="1827" width="10.7109375" style="1" bestFit="1" customWidth="1"/>
    <col min="1828" max="2049" width="9.140625" style="1"/>
    <col min="2050" max="2050" width="6.42578125" style="1" customWidth="1"/>
    <col min="2051" max="2051" width="20.7109375" style="1" customWidth="1"/>
    <col min="2052" max="2052" width="24.7109375" style="1" customWidth="1"/>
    <col min="2053" max="2053" width="11.140625" style="1" customWidth="1"/>
    <col min="2054" max="2054" width="12.28515625" style="1" customWidth="1"/>
    <col min="2055" max="2055" width="11.140625" style="1" customWidth="1"/>
    <col min="2056" max="2056" width="10.42578125" style="1" customWidth="1"/>
    <col min="2057" max="2057" width="4.7109375" style="1" customWidth="1"/>
    <col min="2058" max="2058" width="8.5703125" style="1" customWidth="1"/>
    <col min="2059" max="2059" width="5.5703125" style="1" customWidth="1"/>
    <col min="2060" max="2061" width="11.5703125" style="1" customWidth="1"/>
    <col min="2062" max="2062" width="10.85546875" style="1" customWidth="1"/>
    <col min="2063" max="2063" width="7.7109375" style="1" customWidth="1"/>
    <col min="2064" max="2064" width="8" style="1" customWidth="1"/>
    <col min="2065" max="2065" width="16.28515625" style="1" customWidth="1"/>
    <col min="2066" max="2066" width="10.5703125" style="1" customWidth="1"/>
    <col min="2067" max="2067" width="14.140625" style="1" customWidth="1"/>
    <col min="2068" max="2068" width="10.140625" style="1" customWidth="1"/>
    <col min="2069" max="2069" width="15.140625" style="1" customWidth="1"/>
    <col min="2070" max="2070" width="8.5703125" style="1" customWidth="1"/>
    <col min="2071" max="2071" width="14.28515625" style="1" customWidth="1"/>
    <col min="2072" max="2072" width="18.28515625" style="1" customWidth="1"/>
    <col min="2073" max="2073" width="13" style="1" bestFit="1" customWidth="1"/>
    <col min="2074" max="2074" width="11.7109375" style="1" bestFit="1" customWidth="1"/>
    <col min="2075" max="2081" width="9.140625" style="1"/>
    <col min="2082" max="2082" width="11.28515625" style="1" bestFit="1" customWidth="1"/>
    <col min="2083" max="2083" width="10.7109375" style="1" bestFit="1" customWidth="1"/>
    <col min="2084" max="2305" width="9.140625" style="1"/>
    <col min="2306" max="2306" width="6.42578125" style="1" customWidth="1"/>
    <col min="2307" max="2307" width="20.7109375" style="1" customWidth="1"/>
    <col min="2308" max="2308" width="24.7109375" style="1" customWidth="1"/>
    <col min="2309" max="2309" width="11.140625" style="1" customWidth="1"/>
    <col min="2310" max="2310" width="12.28515625" style="1" customWidth="1"/>
    <col min="2311" max="2311" width="11.140625" style="1" customWidth="1"/>
    <col min="2312" max="2312" width="10.42578125" style="1" customWidth="1"/>
    <col min="2313" max="2313" width="4.7109375" style="1" customWidth="1"/>
    <col min="2314" max="2314" width="8.5703125" style="1" customWidth="1"/>
    <col min="2315" max="2315" width="5.5703125" style="1" customWidth="1"/>
    <col min="2316" max="2317" width="11.5703125" style="1" customWidth="1"/>
    <col min="2318" max="2318" width="10.85546875" style="1" customWidth="1"/>
    <col min="2319" max="2319" width="7.7109375" style="1" customWidth="1"/>
    <col min="2320" max="2320" width="8" style="1" customWidth="1"/>
    <col min="2321" max="2321" width="16.28515625" style="1" customWidth="1"/>
    <col min="2322" max="2322" width="10.5703125" style="1" customWidth="1"/>
    <col min="2323" max="2323" width="14.140625" style="1" customWidth="1"/>
    <col min="2324" max="2324" width="10.140625" style="1" customWidth="1"/>
    <col min="2325" max="2325" width="15.140625" style="1" customWidth="1"/>
    <col min="2326" max="2326" width="8.5703125" style="1" customWidth="1"/>
    <col min="2327" max="2327" width="14.28515625" style="1" customWidth="1"/>
    <col min="2328" max="2328" width="18.28515625" style="1" customWidth="1"/>
    <col min="2329" max="2329" width="13" style="1" bestFit="1" customWidth="1"/>
    <col min="2330" max="2330" width="11.7109375" style="1" bestFit="1" customWidth="1"/>
    <col min="2331" max="2337" width="9.140625" style="1"/>
    <col min="2338" max="2338" width="11.28515625" style="1" bestFit="1" customWidth="1"/>
    <col min="2339" max="2339" width="10.7109375" style="1" bestFit="1" customWidth="1"/>
    <col min="2340" max="2561" width="9.140625" style="1"/>
    <col min="2562" max="2562" width="6.42578125" style="1" customWidth="1"/>
    <col min="2563" max="2563" width="20.7109375" style="1" customWidth="1"/>
    <col min="2564" max="2564" width="24.7109375" style="1" customWidth="1"/>
    <col min="2565" max="2565" width="11.140625" style="1" customWidth="1"/>
    <col min="2566" max="2566" width="12.28515625" style="1" customWidth="1"/>
    <col min="2567" max="2567" width="11.140625" style="1" customWidth="1"/>
    <col min="2568" max="2568" width="10.42578125" style="1" customWidth="1"/>
    <col min="2569" max="2569" width="4.7109375" style="1" customWidth="1"/>
    <col min="2570" max="2570" width="8.5703125" style="1" customWidth="1"/>
    <col min="2571" max="2571" width="5.5703125" style="1" customWidth="1"/>
    <col min="2572" max="2573" width="11.5703125" style="1" customWidth="1"/>
    <col min="2574" max="2574" width="10.85546875" style="1" customWidth="1"/>
    <col min="2575" max="2575" width="7.7109375" style="1" customWidth="1"/>
    <col min="2576" max="2576" width="8" style="1" customWidth="1"/>
    <col min="2577" max="2577" width="16.28515625" style="1" customWidth="1"/>
    <col min="2578" max="2578" width="10.5703125" style="1" customWidth="1"/>
    <col min="2579" max="2579" width="14.140625" style="1" customWidth="1"/>
    <col min="2580" max="2580" width="10.140625" style="1" customWidth="1"/>
    <col min="2581" max="2581" width="15.140625" style="1" customWidth="1"/>
    <col min="2582" max="2582" width="8.5703125" style="1" customWidth="1"/>
    <col min="2583" max="2583" width="14.28515625" style="1" customWidth="1"/>
    <col min="2584" max="2584" width="18.28515625" style="1" customWidth="1"/>
    <col min="2585" max="2585" width="13" style="1" bestFit="1" customWidth="1"/>
    <col min="2586" max="2586" width="11.7109375" style="1" bestFit="1" customWidth="1"/>
    <col min="2587" max="2593" width="9.140625" style="1"/>
    <col min="2594" max="2594" width="11.28515625" style="1" bestFit="1" customWidth="1"/>
    <col min="2595" max="2595" width="10.7109375" style="1" bestFit="1" customWidth="1"/>
    <col min="2596" max="2817" width="9.140625" style="1"/>
    <col min="2818" max="2818" width="6.42578125" style="1" customWidth="1"/>
    <col min="2819" max="2819" width="20.7109375" style="1" customWidth="1"/>
    <col min="2820" max="2820" width="24.7109375" style="1" customWidth="1"/>
    <col min="2821" max="2821" width="11.140625" style="1" customWidth="1"/>
    <col min="2822" max="2822" width="12.28515625" style="1" customWidth="1"/>
    <col min="2823" max="2823" width="11.140625" style="1" customWidth="1"/>
    <col min="2824" max="2824" width="10.42578125" style="1" customWidth="1"/>
    <col min="2825" max="2825" width="4.7109375" style="1" customWidth="1"/>
    <col min="2826" max="2826" width="8.5703125" style="1" customWidth="1"/>
    <col min="2827" max="2827" width="5.5703125" style="1" customWidth="1"/>
    <col min="2828" max="2829" width="11.5703125" style="1" customWidth="1"/>
    <col min="2830" max="2830" width="10.85546875" style="1" customWidth="1"/>
    <col min="2831" max="2831" width="7.7109375" style="1" customWidth="1"/>
    <col min="2832" max="2832" width="8" style="1" customWidth="1"/>
    <col min="2833" max="2833" width="16.28515625" style="1" customWidth="1"/>
    <col min="2834" max="2834" width="10.5703125" style="1" customWidth="1"/>
    <col min="2835" max="2835" width="14.140625" style="1" customWidth="1"/>
    <col min="2836" max="2836" width="10.140625" style="1" customWidth="1"/>
    <col min="2837" max="2837" width="15.140625" style="1" customWidth="1"/>
    <col min="2838" max="2838" width="8.5703125" style="1" customWidth="1"/>
    <col min="2839" max="2839" width="14.28515625" style="1" customWidth="1"/>
    <col min="2840" max="2840" width="18.28515625" style="1" customWidth="1"/>
    <col min="2841" max="2841" width="13" style="1" bestFit="1" customWidth="1"/>
    <col min="2842" max="2842" width="11.7109375" style="1" bestFit="1" customWidth="1"/>
    <col min="2843" max="2849" width="9.140625" style="1"/>
    <col min="2850" max="2850" width="11.28515625" style="1" bestFit="1" customWidth="1"/>
    <col min="2851" max="2851" width="10.7109375" style="1" bestFit="1" customWidth="1"/>
    <col min="2852" max="3073" width="9.140625" style="1"/>
    <col min="3074" max="3074" width="6.42578125" style="1" customWidth="1"/>
    <col min="3075" max="3075" width="20.7109375" style="1" customWidth="1"/>
    <col min="3076" max="3076" width="24.7109375" style="1" customWidth="1"/>
    <col min="3077" max="3077" width="11.140625" style="1" customWidth="1"/>
    <col min="3078" max="3078" width="12.28515625" style="1" customWidth="1"/>
    <col min="3079" max="3079" width="11.140625" style="1" customWidth="1"/>
    <col min="3080" max="3080" width="10.42578125" style="1" customWidth="1"/>
    <col min="3081" max="3081" width="4.7109375" style="1" customWidth="1"/>
    <col min="3082" max="3082" width="8.5703125" style="1" customWidth="1"/>
    <col min="3083" max="3083" width="5.5703125" style="1" customWidth="1"/>
    <col min="3084" max="3085" width="11.5703125" style="1" customWidth="1"/>
    <col min="3086" max="3086" width="10.85546875" style="1" customWidth="1"/>
    <col min="3087" max="3087" width="7.7109375" style="1" customWidth="1"/>
    <col min="3088" max="3088" width="8" style="1" customWidth="1"/>
    <col min="3089" max="3089" width="16.28515625" style="1" customWidth="1"/>
    <col min="3090" max="3090" width="10.5703125" style="1" customWidth="1"/>
    <col min="3091" max="3091" width="14.140625" style="1" customWidth="1"/>
    <col min="3092" max="3092" width="10.140625" style="1" customWidth="1"/>
    <col min="3093" max="3093" width="15.140625" style="1" customWidth="1"/>
    <col min="3094" max="3094" width="8.5703125" style="1" customWidth="1"/>
    <col min="3095" max="3095" width="14.28515625" style="1" customWidth="1"/>
    <col min="3096" max="3096" width="18.28515625" style="1" customWidth="1"/>
    <col min="3097" max="3097" width="13" style="1" bestFit="1" customWidth="1"/>
    <col min="3098" max="3098" width="11.7109375" style="1" bestFit="1" customWidth="1"/>
    <col min="3099" max="3105" width="9.140625" style="1"/>
    <col min="3106" max="3106" width="11.28515625" style="1" bestFit="1" customWidth="1"/>
    <col min="3107" max="3107" width="10.7109375" style="1" bestFit="1" customWidth="1"/>
    <col min="3108" max="3329" width="9.140625" style="1"/>
    <col min="3330" max="3330" width="6.42578125" style="1" customWidth="1"/>
    <col min="3331" max="3331" width="20.7109375" style="1" customWidth="1"/>
    <col min="3332" max="3332" width="24.7109375" style="1" customWidth="1"/>
    <col min="3333" max="3333" width="11.140625" style="1" customWidth="1"/>
    <col min="3334" max="3334" width="12.28515625" style="1" customWidth="1"/>
    <col min="3335" max="3335" width="11.140625" style="1" customWidth="1"/>
    <col min="3336" max="3336" width="10.42578125" style="1" customWidth="1"/>
    <col min="3337" max="3337" width="4.7109375" style="1" customWidth="1"/>
    <col min="3338" max="3338" width="8.5703125" style="1" customWidth="1"/>
    <col min="3339" max="3339" width="5.5703125" style="1" customWidth="1"/>
    <col min="3340" max="3341" width="11.5703125" style="1" customWidth="1"/>
    <col min="3342" max="3342" width="10.85546875" style="1" customWidth="1"/>
    <col min="3343" max="3343" width="7.7109375" style="1" customWidth="1"/>
    <col min="3344" max="3344" width="8" style="1" customWidth="1"/>
    <col min="3345" max="3345" width="16.28515625" style="1" customWidth="1"/>
    <col min="3346" max="3346" width="10.5703125" style="1" customWidth="1"/>
    <col min="3347" max="3347" width="14.140625" style="1" customWidth="1"/>
    <col min="3348" max="3348" width="10.140625" style="1" customWidth="1"/>
    <col min="3349" max="3349" width="15.140625" style="1" customWidth="1"/>
    <col min="3350" max="3350" width="8.5703125" style="1" customWidth="1"/>
    <col min="3351" max="3351" width="14.28515625" style="1" customWidth="1"/>
    <col min="3352" max="3352" width="18.28515625" style="1" customWidth="1"/>
    <col min="3353" max="3353" width="13" style="1" bestFit="1" customWidth="1"/>
    <col min="3354" max="3354" width="11.7109375" style="1" bestFit="1" customWidth="1"/>
    <col min="3355" max="3361" width="9.140625" style="1"/>
    <col min="3362" max="3362" width="11.28515625" style="1" bestFit="1" customWidth="1"/>
    <col min="3363" max="3363" width="10.7109375" style="1" bestFit="1" customWidth="1"/>
    <col min="3364" max="3585" width="9.140625" style="1"/>
    <col min="3586" max="3586" width="6.42578125" style="1" customWidth="1"/>
    <col min="3587" max="3587" width="20.7109375" style="1" customWidth="1"/>
    <col min="3588" max="3588" width="24.7109375" style="1" customWidth="1"/>
    <col min="3589" max="3589" width="11.140625" style="1" customWidth="1"/>
    <col min="3590" max="3590" width="12.28515625" style="1" customWidth="1"/>
    <col min="3591" max="3591" width="11.140625" style="1" customWidth="1"/>
    <col min="3592" max="3592" width="10.42578125" style="1" customWidth="1"/>
    <col min="3593" max="3593" width="4.7109375" style="1" customWidth="1"/>
    <col min="3594" max="3594" width="8.5703125" style="1" customWidth="1"/>
    <col min="3595" max="3595" width="5.5703125" style="1" customWidth="1"/>
    <col min="3596" max="3597" width="11.5703125" style="1" customWidth="1"/>
    <col min="3598" max="3598" width="10.85546875" style="1" customWidth="1"/>
    <col min="3599" max="3599" width="7.7109375" style="1" customWidth="1"/>
    <col min="3600" max="3600" width="8" style="1" customWidth="1"/>
    <col min="3601" max="3601" width="16.28515625" style="1" customWidth="1"/>
    <col min="3602" max="3602" width="10.5703125" style="1" customWidth="1"/>
    <col min="3603" max="3603" width="14.140625" style="1" customWidth="1"/>
    <col min="3604" max="3604" width="10.140625" style="1" customWidth="1"/>
    <col min="3605" max="3605" width="15.140625" style="1" customWidth="1"/>
    <col min="3606" max="3606" width="8.5703125" style="1" customWidth="1"/>
    <col min="3607" max="3607" width="14.28515625" style="1" customWidth="1"/>
    <col min="3608" max="3608" width="18.28515625" style="1" customWidth="1"/>
    <col min="3609" max="3609" width="13" style="1" bestFit="1" customWidth="1"/>
    <col min="3610" max="3610" width="11.7109375" style="1" bestFit="1" customWidth="1"/>
    <col min="3611" max="3617" width="9.140625" style="1"/>
    <col min="3618" max="3618" width="11.28515625" style="1" bestFit="1" customWidth="1"/>
    <col min="3619" max="3619" width="10.7109375" style="1" bestFit="1" customWidth="1"/>
    <col min="3620" max="3841" width="9.140625" style="1"/>
    <col min="3842" max="3842" width="6.42578125" style="1" customWidth="1"/>
    <col min="3843" max="3843" width="20.7109375" style="1" customWidth="1"/>
    <col min="3844" max="3844" width="24.7109375" style="1" customWidth="1"/>
    <col min="3845" max="3845" width="11.140625" style="1" customWidth="1"/>
    <col min="3846" max="3846" width="12.28515625" style="1" customWidth="1"/>
    <col min="3847" max="3847" width="11.140625" style="1" customWidth="1"/>
    <col min="3848" max="3848" width="10.42578125" style="1" customWidth="1"/>
    <col min="3849" max="3849" width="4.7109375" style="1" customWidth="1"/>
    <col min="3850" max="3850" width="8.5703125" style="1" customWidth="1"/>
    <col min="3851" max="3851" width="5.5703125" style="1" customWidth="1"/>
    <col min="3852" max="3853" width="11.5703125" style="1" customWidth="1"/>
    <col min="3854" max="3854" width="10.85546875" style="1" customWidth="1"/>
    <col min="3855" max="3855" width="7.7109375" style="1" customWidth="1"/>
    <col min="3856" max="3856" width="8" style="1" customWidth="1"/>
    <col min="3857" max="3857" width="16.28515625" style="1" customWidth="1"/>
    <col min="3858" max="3858" width="10.5703125" style="1" customWidth="1"/>
    <col min="3859" max="3859" width="14.140625" style="1" customWidth="1"/>
    <col min="3860" max="3860" width="10.140625" style="1" customWidth="1"/>
    <col min="3861" max="3861" width="15.140625" style="1" customWidth="1"/>
    <col min="3862" max="3862" width="8.5703125" style="1" customWidth="1"/>
    <col min="3863" max="3863" width="14.28515625" style="1" customWidth="1"/>
    <col min="3864" max="3864" width="18.28515625" style="1" customWidth="1"/>
    <col min="3865" max="3865" width="13" style="1" bestFit="1" customWidth="1"/>
    <col min="3866" max="3866" width="11.7109375" style="1" bestFit="1" customWidth="1"/>
    <col min="3867" max="3873" width="9.140625" style="1"/>
    <col min="3874" max="3874" width="11.28515625" style="1" bestFit="1" customWidth="1"/>
    <col min="3875" max="3875" width="10.7109375" style="1" bestFit="1" customWidth="1"/>
    <col min="3876" max="4097" width="9.140625" style="1"/>
    <col min="4098" max="4098" width="6.42578125" style="1" customWidth="1"/>
    <col min="4099" max="4099" width="20.7109375" style="1" customWidth="1"/>
    <col min="4100" max="4100" width="24.7109375" style="1" customWidth="1"/>
    <col min="4101" max="4101" width="11.140625" style="1" customWidth="1"/>
    <col min="4102" max="4102" width="12.28515625" style="1" customWidth="1"/>
    <col min="4103" max="4103" width="11.140625" style="1" customWidth="1"/>
    <col min="4104" max="4104" width="10.42578125" style="1" customWidth="1"/>
    <col min="4105" max="4105" width="4.7109375" style="1" customWidth="1"/>
    <col min="4106" max="4106" width="8.5703125" style="1" customWidth="1"/>
    <col min="4107" max="4107" width="5.5703125" style="1" customWidth="1"/>
    <col min="4108" max="4109" width="11.5703125" style="1" customWidth="1"/>
    <col min="4110" max="4110" width="10.85546875" style="1" customWidth="1"/>
    <col min="4111" max="4111" width="7.7109375" style="1" customWidth="1"/>
    <col min="4112" max="4112" width="8" style="1" customWidth="1"/>
    <col min="4113" max="4113" width="16.28515625" style="1" customWidth="1"/>
    <col min="4114" max="4114" width="10.5703125" style="1" customWidth="1"/>
    <col min="4115" max="4115" width="14.140625" style="1" customWidth="1"/>
    <col min="4116" max="4116" width="10.140625" style="1" customWidth="1"/>
    <col min="4117" max="4117" width="15.140625" style="1" customWidth="1"/>
    <col min="4118" max="4118" width="8.5703125" style="1" customWidth="1"/>
    <col min="4119" max="4119" width="14.28515625" style="1" customWidth="1"/>
    <col min="4120" max="4120" width="18.28515625" style="1" customWidth="1"/>
    <col min="4121" max="4121" width="13" style="1" bestFit="1" customWidth="1"/>
    <col min="4122" max="4122" width="11.7109375" style="1" bestFit="1" customWidth="1"/>
    <col min="4123" max="4129" width="9.140625" style="1"/>
    <col min="4130" max="4130" width="11.28515625" style="1" bestFit="1" customWidth="1"/>
    <col min="4131" max="4131" width="10.7109375" style="1" bestFit="1" customWidth="1"/>
    <col min="4132" max="4353" width="9.140625" style="1"/>
    <col min="4354" max="4354" width="6.42578125" style="1" customWidth="1"/>
    <col min="4355" max="4355" width="20.7109375" style="1" customWidth="1"/>
    <col min="4356" max="4356" width="24.7109375" style="1" customWidth="1"/>
    <col min="4357" max="4357" width="11.140625" style="1" customWidth="1"/>
    <col min="4358" max="4358" width="12.28515625" style="1" customWidth="1"/>
    <col min="4359" max="4359" width="11.140625" style="1" customWidth="1"/>
    <col min="4360" max="4360" width="10.42578125" style="1" customWidth="1"/>
    <col min="4361" max="4361" width="4.7109375" style="1" customWidth="1"/>
    <col min="4362" max="4362" width="8.5703125" style="1" customWidth="1"/>
    <col min="4363" max="4363" width="5.5703125" style="1" customWidth="1"/>
    <col min="4364" max="4365" width="11.5703125" style="1" customWidth="1"/>
    <col min="4366" max="4366" width="10.85546875" style="1" customWidth="1"/>
    <col min="4367" max="4367" width="7.7109375" style="1" customWidth="1"/>
    <col min="4368" max="4368" width="8" style="1" customWidth="1"/>
    <col min="4369" max="4369" width="16.28515625" style="1" customWidth="1"/>
    <col min="4370" max="4370" width="10.5703125" style="1" customWidth="1"/>
    <col min="4371" max="4371" width="14.140625" style="1" customWidth="1"/>
    <col min="4372" max="4372" width="10.140625" style="1" customWidth="1"/>
    <col min="4373" max="4373" width="15.140625" style="1" customWidth="1"/>
    <col min="4374" max="4374" width="8.5703125" style="1" customWidth="1"/>
    <col min="4375" max="4375" width="14.28515625" style="1" customWidth="1"/>
    <col min="4376" max="4376" width="18.28515625" style="1" customWidth="1"/>
    <col min="4377" max="4377" width="13" style="1" bestFit="1" customWidth="1"/>
    <col min="4378" max="4378" width="11.7109375" style="1" bestFit="1" customWidth="1"/>
    <col min="4379" max="4385" width="9.140625" style="1"/>
    <col min="4386" max="4386" width="11.28515625" style="1" bestFit="1" customWidth="1"/>
    <col min="4387" max="4387" width="10.7109375" style="1" bestFit="1" customWidth="1"/>
    <col min="4388" max="4609" width="9.140625" style="1"/>
    <col min="4610" max="4610" width="6.42578125" style="1" customWidth="1"/>
    <col min="4611" max="4611" width="20.7109375" style="1" customWidth="1"/>
    <col min="4612" max="4612" width="24.7109375" style="1" customWidth="1"/>
    <col min="4613" max="4613" width="11.140625" style="1" customWidth="1"/>
    <col min="4614" max="4614" width="12.28515625" style="1" customWidth="1"/>
    <col min="4615" max="4615" width="11.140625" style="1" customWidth="1"/>
    <col min="4616" max="4616" width="10.42578125" style="1" customWidth="1"/>
    <col min="4617" max="4617" width="4.7109375" style="1" customWidth="1"/>
    <col min="4618" max="4618" width="8.5703125" style="1" customWidth="1"/>
    <col min="4619" max="4619" width="5.5703125" style="1" customWidth="1"/>
    <col min="4620" max="4621" width="11.5703125" style="1" customWidth="1"/>
    <col min="4622" max="4622" width="10.85546875" style="1" customWidth="1"/>
    <col min="4623" max="4623" width="7.7109375" style="1" customWidth="1"/>
    <col min="4624" max="4624" width="8" style="1" customWidth="1"/>
    <col min="4625" max="4625" width="16.28515625" style="1" customWidth="1"/>
    <col min="4626" max="4626" width="10.5703125" style="1" customWidth="1"/>
    <col min="4627" max="4627" width="14.140625" style="1" customWidth="1"/>
    <col min="4628" max="4628" width="10.140625" style="1" customWidth="1"/>
    <col min="4629" max="4629" width="15.140625" style="1" customWidth="1"/>
    <col min="4630" max="4630" width="8.5703125" style="1" customWidth="1"/>
    <col min="4631" max="4631" width="14.28515625" style="1" customWidth="1"/>
    <col min="4632" max="4632" width="18.28515625" style="1" customWidth="1"/>
    <col min="4633" max="4633" width="13" style="1" bestFit="1" customWidth="1"/>
    <col min="4634" max="4634" width="11.7109375" style="1" bestFit="1" customWidth="1"/>
    <col min="4635" max="4641" width="9.140625" style="1"/>
    <col min="4642" max="4642" width="11.28515625" style="1" bestFit="1" customWidth="1"/>
    <col min="4643" max="4643" width="10.7109375" style="1" bestFit="1" customWidth="1"/>
    <col min="4644" max="4865" width="9.140625" style="1"/>
    <col min="4866" max="4866" width="6.42578125" style="1" customWidth="1"/>
    <col min="4867" max="4867" width="20.7109375" style="1" customWidth="1"/>
    <col min="4868" max="4868" width="24.7109375" style="1" customWidth="1"/>
    <col min="4869" max="4869" width="11.140625" style="1" customWidth="1"/>
    <col min="4870" max="4870" width="12.28515625" style="1" customWidth="1"/>
    <col min="4871" max="4871" width="11.140625" style="1" customWidth="1"/>
    <col min="4872" max="4872" width="10.42578125" style="1" customWidth="1"/>
    <col min="4873" max="4873" width="4.7109375" style="1" customWidth="1"/>
    <col min="4874" max="4874" width="8.5703125" style="1" customWidth="1"/>
    <col min="4875" max="4875" width="5.5703125" style="1" customWidth="1"/>
    <col min="4876" max="4877" width="11.5703125" style="1" customWidth="1"/>
    <col min="4878" max="4878" width="10.85546875" style="1" customWidth="1"/>
    <col min="4879" max="4879" width="7.7109375" style="1" customWidth="1"/>
    <col min="4880" max="4880" width="8" style="1" customWidth="1"/>
    <col min="4881" max="4881" width="16.28515625" style="1" customWidth="1"/>
    <col min="4882" max="4882" width="10.5703125" style="1" customWidth="1"/>
    <col min="4883" max="4883" width="14.140625" style="1" customWidth="1"/>
    <col min="4884" max="4884" width="10.140625" style="1" customWidth="1"/>
    <col min="4885" max="4885" width="15.140625" style="1" customWidth="1"/>
    <col min="4886" max="4886" width="8.5703125" style="1" customWidth="1"/>
    <col min="4887" max="4887" width="14.28515625" style="1" customWidth="1"/>
    <col min="4888" max="4888" width="18.28515625" style="1" customWidth="1"/>
    <col min="4889" max="4889" width="13" style="1" bestFit="1" customWidth="1"/>
    <col min="4890" max="4890" width="11.7109375" style="1" bestFit="1" customWidth="1"/>
    <col min="4891" max="4897" width="9.140625" style="1"/>
    <col min="4898" max="4898" width="11.28515625" style="1" bestFit="1" customWidth="1"/>
    <col min="4899" max="4899" width="10.7109375" style="1" bestFit="1" customWidth="1"/>
    <col min="4900" max="5121" width="9.140625" style="1"/>
    <col min="5122" max="5122" width="6.42578125" style="1" customWidth="1"/>
    <col min="5123" max="5123" width="20.7109375" style="1" customWidth="1"/>
    <col min="5124" max="5124" width="24.7109375" style="1" customWidth="1"/>
    <col min="5125" max="5125" width="11.140625" style="1" customWidth="1"/>
    <col min="5126" max="5126" width="12.28515625" style="1" customWidth="1"/>
    <col min="5127" max="5127" width="11.140625" style="1" customWidth="1"/>
    <col min="5128" max="5128" width="10.42578125" style="1" customWidth="1"/>
    <col min="5129" max="5129" width="4.7109375" style="1" customWidth="1"/>
    <col min="5130" max="5130" width="8.5703125" style="1" customWidth="1"/>
    <col min="5131" max="5131" width="5.5703125" style="1" customWidth="1"/>
    <col min="5132" max="5133" width="11.5703125" style="1" customWidth="1"/>
    <col min="5134" max="5134" width="10.85546875" style="1" customWidth="1"/>
    <col min="5135" max="5135" width="7.7109375" style="1" customWidth="1"/>
    <col min="5136" max="5136" width="8" style="1" customWidth="1"/>
    <col min="5137" max="5137" width="16.28515625" style="1" customWidth="1"/>
    <col min="5138" max="5138" width="10.5703125" style="1" customWidth="1"/>
    <col min="5139" max="5139" width="14.140625" style="1" customWidth="1"/>
    <col min="5140" max="5140" width="10.140625" style="1" customWidth="1"/>
    <col min="5141" max="5141" width="15.140625" style="1" customWidth="1"/>
    <col min="5142" max="5142" width="8.5703125" style="1" customWidth="1"/>
    <col min="5143" max="5143" width="14.28515625" style="1" customWidth="1"/>
    <col min="5144" max="5144" width="18.28515625" style="1" customWidth="1"/>
    <col min="5145" max="5145" width="13" style="1" bestFit="1" customWidth="1"/>
    <col min="5146" max="5146" width="11.7109375" style="1" bestFit="1" customWidth="1"/>
    <col min="5147" max="5153" width="9.140625" style="1"/>
    <col min="5154" max="5154" width="11.28515625" style="1" bestFit="1" customWidth="1"/>
    <col min="5155" max="5155" width="10.7109375" style="1" bestFit="1" customWidth="1"/>
    <col min="5156" max="5377" width="9.140625" style="1"/>
    <col min="5378" max="5378" width="6.42578125" style="1" customWidth="1"/>
    <col min="5379" max="5379" width="20.7109375" style="1" customWidth="1"/>
    <col min="5380" max="5380" width="24.7109375" style="1" customWidth="1"/>
    <col min="5381" max="5381" width="11.140625" style="1" customWidth="1"/>
    <col min="5382" max="5382" width="12.28515625" style="1" customWidth="1"/>
    <col min="5383" max="5383" width="11.140625" style="1" customWidth="1"/>
    <col min="5384" max="5384" width="10.42578125" style="1" customWidth="1"/>
    <col min="5385" max="5385" width="4.7109375" style="1" customWidth="1"/>
    <col min="5386" max="5386" width="8.5703125" style="1" customWidth="1"/>
    <col min="5387" max="5387" width="5.5703125" style="1" customWidth="1"/>
    <col min="5388" max="5389" width="11.5703125" style="1" customWidth="1"/>
    <col min="5390" max="5390" width="10.85546875" style="1" customWidth="1"/>
    <col min="5391" max="5391" width="7.7109375" style="1" customWidth="1"/>
    <col min="5392" max="5392" width="8" style="1" customWidth="1"/>
    <col min="5393" max="5393" width="16.28515625" style="1" customWidth="1"/>
    <col min="5394" max="5394" width="10.5703125" style="1" customWidth="1"/>
    <col min="5395" max="5395" width="14.140625" style="1" customWidth="1"/>
    <col min="5396" max="5396" width="10.140625" style="1" customWidth="1"/>
    <col min="5397" max="5397" width="15.140625" style="1" customWidth="1"/>
    <col min="5398" max="5398" width="8.5703125" style="1" customWidth="1"/>
    <col min="5399" max="5399" width="14.28515625" style="1" customWidth="1"/>
    <col min="5400" max="5400" width="18.28515625" style="1" customWidth="1"/>
    <col min="5401" max="5401" width="13" style="1" bestFit="1" customWidth="1"/>
    <col min="5402" max="5402" width="11.7109375" style="1" bestFit="1" customWidth="1"/>
    <col min="5403" max="5409" width="9.140625" style="1"/>
    <col min="5410" max="5410" width="11.28515625" style="1" bestFit="1" customWidth="1"/>
    <col min="5411" max="5411" width="10.7109375" style="1" bestFit="1" customWidth="1"/>
    <col min="5412" max="5633" width="9.140625" style="1"/>
    <col min="5634" max="5634" width="6.42578125" style="1" customWidth="1"/>
    <col min="5635" max="5635" width="20.7109375" style="1" customWidth="1"/>
    <col min="5636" max="5636" width="24.7109375" style="1" customWidth="1"/>
    <col min="5637" max="5637" width="11.140625" style="1" customWidth="1"/>
    <col min="5638" max="5638" width="12.28515625" style="1" customWidth="1"/>
    <col min="5639" max="5639" width="11.140625" style="1" customWidth="1"/>
    <col min="5640" max="5640" width="10.42578125" style="1" customWidth="1"/>
    <col min="5641" max="5641" width="4.7109375" style="1" customWidth="1"/>
    <col min="5642" max="5642" width="8.5703125" style="1" customWidth="1"/>
    <col min="5643" max="5643" width="5.5703125" style="1" customWidth="1"/>
    <col min="5644" max="5645" width="11.5703125" style="1" customWidth="1"/>
    <col min="5646" max="5646" width="10.85546875" style="1" customWidth="1"/>
    <col min="5647" max="5647" width="7.7109375" style="1" customWidth="1"/>
    <col min="5648" max="5648" width="8" style="1" customWidth="1"/>
    <col min="5649" max="5649" width="16.28515625" style="1" customWidth="1"/>
    <col min="5650" max="5650" width="10.5703125" style="1" customWidth="1"/>
    <col min="5651" max="5651" width="14.140625" style="1" customWidth="1"/>
    <col min="5652" max="5652" width="10.140625" style="1" customWidth="1"/>
    <col min="5653" max="5653" width="15.140625" style="1" customWidth="1"/>
    <col min="5654" max="5654" width="8.5703125" style="1" customWidth="1"/>
    <col min="5655" max="5655" width="14.28515625" style="1" customWidth="1"/>
    <col min="5656" max="5656" width="18.28515625" style="1" customWidth="1"/>
    <col min="5657" max="5657" width="13" style="1" bestFit="1" customWidth="1"/>
    <col min="5658" max="5658" width="11.7109375" style="1" bestFit="1" customWidth="1"/>
    <col min="5659" max="5665" width="9.140625" style="1"/>
    <col min="5666" max="5666" width="11.28515625" style="1" bestFit="1" customWidth="1"/>
    <col min="5667" max="5667" width="10.7109375" style="1" bestFit="1" customWidth="1"/>
    <col min="5668" max="5889" width="9.140625" style="1"/>
    <col min="5890" max="5890" width="6.42578125" style="1" customWidth="1"/>
    <col min="5891" max="5891" width="20.7109375" style="1" customWidth="1"/>
    <col min="5892" max="5892" width="24.7109375" style="1" customWidth="1"/>
    <col min="5893" max="5893" width="11.140625" style="1" customWidth="1"/>
    <col min="5894" max="5894" width="12.28515625" style="1" customWidth="1"/>
    <col min="5895" max="5895" width="11.140625" style="1" customWidth="1"/>
    <col min="5896" max="5896" width="10.42578125" style="1" customWidth="1"/>
    <col min="5897" max="5897" width="4.7109375" style="1" customWidth="1"/>
    <col min="5898" max="5898" width="8.5703125" style="1" customWidth="1"/>
    <col min="5899" max="5899" width="5.5703125" style="1" customWidth="1"/>
    <col min="5900" max="5901" width="11.5703125" style="1" customWidth="1"/>
    <col min="5902" max="5902" width="10.85546875" style="1" customWidth="1"/>
    <col min="5903" max="5903" width="7.7109375" style="1" customWidth="1"/>
    <col min="5904" max="5904" width="8" style="1" customWidth="1"/>
    <col min="5905" max="5905" width="16.28515625" style="1" customWidth="1"/>
    <col min="5906" max="5906" width="10.5703125" style="1" customWidth="1"/>
    <col min="5907" max="5907" width="14.140625" style="1" customWidth="1"/>
    <col min="5908" max="5908" width="10.140625" style="1" customWidth="1"/>
    <col min="5909" max="5909" width="15.140625" style="1" customWidth="1"/>
    <col min="5910" max="5910" width="8.5703125" style="1" customWidth="1"/>
    <col min="5911" max="5911" width="14.28515625" style="1" customWidth="1"/>
    <col min="5912" max="5912" width="18.28515625" style="1" customWidth="1"/>
    <col min="5913" max="5913" width="13" style="1" bestFit="1" customWidth="1"/>
    <col min="5914" max="5914" width="11.7109375" style="1" bestFit="1" customWidth="1"/>
    <col min="5915" max="5921" width="9.140625" style="1"/>
    <col min="5922" max="5922" width="11.28515625" style="1" bestFit="1" customWidth="1"/>
    <col min="5923" max="5923" width="10.7109375" style="1" bestFit="1" customWidth="1"/>
    <col min="5924" max="6145" width="9.140625" style="1"/>
    <col min="6146" max="6146" width="6.42578125" style="1" customWidth="1"/>
    <col min="6147" max="6147" width="20.7109375" style="1" customWidth="1"/>
    <col min="6148" max="6148" width="24.7109375" style="1" customWidth="1"/>
    <col min="6149" max="6149" width="11.140625" style="1" customWidth="1"/>
    <col min="6150" max="6150" width="12.28515625" style="1" customWidth="1"/>
    <col min="6151" max="6151" width="11.140625" style="1" customWidth="1"/>
    <col min="6152" max="6152" width="10.42578125" style="1" customWidth="1"/>
    <col min="6153" max="6153" width="4.7109375" style="1" customWidth="1"/>
    <col min="6154" max="6154" width="8.5703125" style="1" customWidth="1"/>
    <col min="6155" max="6155" width="5.5703125" style="1" customWidth="1"/>
    <col min="6156" max="6157" width="11.5703125" style="1" customWidth="1"/>
    <col min="6158" max="6158" width="10.85546875" style="1" customWidth="1"/>
    <col min="6159" max="6159" width="7.7109375" style="1" customWidth="1"/>
    <col min="6160" max="6160" width="8" style="1" customWidth="1"/>
    <col min="6161" max="6161" width="16.28515625" style="1" customWidth="1"/>
    <col min="6162" max="6162" width="10.5703125" style="1" customWidth="1"/>
    <col min="6163" max="6163" width="14.140625" style="1" customWidth="1"/>
    <col min="6164" max="6164" width="10.140625" style="1" customWidth="1"/>
    <col min="6165" max="6165" width="15.140625" style="1" customWidth="1"/>
    <col min="6166" max="6166" width="8.5703125" style="1" customWidth="1"/>
    <col min="6167" max="6167" width="14.28515625" style="1" customWidth="1"/>
    <col min="6168" max="6168" width="18.28515625" style="1" customWidth="1"/>
    <col min="6169" max="6169" width="13" style="1" bestFit="1" customWidth="1"/>
    <col min="6170" max="6170" width="11.7109375" style="1" bestFit="1" customWidth="1"/>
    <col min="6171" max="6177" width="9.140625" style="1"/>
    <col min="6178" max="6178" width="11.28515625" style="1" bestFit="1" customWidth="1"/>
    <col min="6179" max="6179" width="10.7109375" style="1" bestFit="1" customWidth="1"/>
    <col min="6180" max="6401" width="9.140625" style="1"/>
    <col min="6402" max="6402" width="6.42578125" style="1" customWidth="1"/>
    <col min="6403" max="6403" width="20.7109375" style="1" customWidth="1"/>
    <col min="6404" max="6404" width="24.7109375" style="1" customWidth="1"/>
    <col min="6405" max="6405" width="11.140625" style="1" customWidth="1"/>
    <col min="6406" max="6406" width="12.28515625" style="1" customWidth="1"/>
    <col min="6407" max="6407" width="11.140625" style="1" customWidth="1"/>
    <col min="6408" max="6408" width="10.42578125" style="1" customWidth="1"/>
    <col min="6409" max="6409" width="4.7109375" style="1" customWidth="1"/>
    <col min="6410" max="6410" width="8.5703125" style="1" customWidth="1"/>
    <col min="6411" max="6411" width="5.5703125" style="1" customWidth="1"/>
    <col min="6412" max="6413" width="11.5703125" style="1" customWidth="1"/>
    <col min="6414" max="6414" width="10.85546875" style="1" customWidth="1"/>
    <col min="6415" max="6415" width="7.7109375" style="1" customWidth="1"/>
    <col min="6416" max="6416" width="8" style="1" customWidth="1"/>
    <col min="6417" max="6417" width="16.28515625" style="1" customWidth="1"/>
    <col min="6418" max="6418" width="10.5703125" style="1" customWidth="1"/>
    <col min="6419" max="6419" width="14.140625" style="1" customWidth="1"/>
    <col min="6420" max="6420" width="10.140625" style="1" customWidth="1"/>
    <col min="6421" max="6421" width="15.140625" style="1" customWidth="1"/>
    <col min="6422" max="6422" width="8.5703125" style="1" customWidth="1"/>
    <col min="6423" max="6423" width="14.28515625" style="1" customWidth="1"/>
    <col min="6424" max="6424" width="18.28515625" style="1" customWidth="1"/>
    <col min="6425" max="6425" width="13" style="1" bestFit="1" customWidth="1"/>
    <col min="6426" max="6426" width="11.7109375" style="1" bestFit="1" customWidth="1"/>
    <col min="6427" max="6433" width="9.140625" style="1"/>
    <col min="6434" max="6434" width="11.28515625" style="1" bestFit="1" customWidth="1"/>
    <col min="6435" max="6435" width="10.7109375" style="1" bestFit="1" customWidth="1"/>
    <col min="6436" max="6657" width="9.140625" style="1"/>
    <col min="6658" max="6658" width="6.42578125" style="1" customWidth="1"/>
    <col min="6659" max="6659" width="20.7109375" style="1" customWidth="1"/>
    <col min="6660" max="6660" width="24.7109375" style="1" customWidth="1"/>
    <col min="6661" max="6661" width="11.140625" style="1" customWidth="1"/>
    <col min="6662" max="6662" width="12.28515625" style="1" customWidth="1"/>
    <col min="6663" max="6663" width="11.140625" style="1" customWidth="1"/>
    <col min="6664" max="6664" width="10.42578125" style="1" customWidth="1"/>
    <col min="6665" max="6665" width="4.7109375" style="1" customWidth="1"/>
    <col min="6666" max="6666" width="8.5703125" style="1" customWidth="1"/>
    <col min="6667" max="6667" width="5.5703125" style="1" customWidth="1"/>
    <col min="6668" max="6669" width="11.5703125" style="1" customWidth="1"/>
    <col min="6670" max="6670" width="10.85546875" style="1" customWidth="1"/>
    <col min="6671" max="6671" width="7.7109375" style="1" customWidth="1"/>
    <col min="6672" max="6672" width="8" style="1" customWidth="1"/>
    <col min="6673" max="6673" width="16.28515625" style="1" customWidth="1"/>
    <col min="6674" max="6674" width="10.5703125" style="1" customWidth="1"/>
    <col min="6675" max="6675" width="14.140625" style="1" customWidth="1"/>
    <col min="6676" max="6676" width="10.140625" style="1" customWidth="1"/>
    <col min="6677" max="6677" width="15.140625" style="1" customWidth="1"/>
    <col min="6678" max="6678" width="8.5703125" style="1" customWidth="1"/>
    <col min="6679" max="6679" width="14.28515625" style="1" customWidth="1"/>
    <col min="6680" max="6680" width="18.28515625" style="1" customWidth="1"/>
    <col min="6681" max="6681" width="13" style="1" bestFit="1" customWidth="1"/>
    <col min="6682" max="6682" width="11.7109375" style="1" bestFit="1" customWidth="1"/>
    <col min="6683" max="6689" width="9.140625" style="1"/>
    <col min="6690" max="6690" width="11.28515625" style="1" bestFit="1" customWidth="1"/>
    <col min="6691" max="6691" width="10.7109375" style="1" bestFit="1" customWidth="1"/>
    <col min="6692" max="6913" width="9.140625" style="1"/>
    <col min="6914" max="6914" width="6.42578125" style="1" customWidth="1"/>
    <col min="6915" max="6915" width="20.7109375" style="1" customWidth="1"/>
    <col min="6916" max="6916" width="24.7109375" style="1" customWidth="1"/>
    <col min="6917" max="6917" width="11.140625" style="1" customWidth="1"/>
    <col min="6918" max="6918" width="12.28515625" style="1" customWidth="1"/>
    <col min="6919" max="6919" width="11.140625" style="1" customWidth="1"/>
    <col min="6920" max="6920" width="10.42578125" style="1" customWidth="1"/>
    <col min="6921" max="6921" width="4.7109375" style="1" customWidth="1"/>
    <col min="6922" max="6922" width="8.5703125" style="1" customWidth="1"/>
    <col min="6923" max="6923" width="5.5703125" style="1" customWidth="1"/>
    <col min="6924" max="6925" width="11.5703125" style="1" customWidth="1"/>
    <col min="6926" max="6926" width="10.85546875" style="1" customWidth="1"/>
    <col min="6927" max="6927" width="7.7109375" style="1" customWidth="1"/>
    <col min="6928" max="6928" width="8" style="1" customWidth="1"/>
    <col min="6929" max="6929" width="16.28515625" style="1" customWidth="1"/>
    <col min="6930" max="6930" width="10.5703125" style="1" customWidth="1"/>
    <col min="6931" max="6931" width="14.140625" style="1" customWidth="1"/>
    <col min="6932" max="6932" width="10.140625" style="1" customWidth="1"/>
    <col min="6933" max="6933" width="15.140625" style="1" customWidth="1"/>
    <col min="6934" max="6934" width="8.5703125" style="1" customWidth="1"/>
    <col min="6935" max="6935" width="14.28515625" style="1" customWidth="1"/>
    <col min="6936" max="6936" width="18.28515625" style="1" customWidth="1"/>
    <col min="6937" max="6937" width="13" style="1" bestFit="1" customWidth="1"/>
    <col min="6938" max="6938" width="11.7109375" style="1" bestFit="1" customWidth="1"/>
    <col min="6939" max="6945" width="9.140625" style="1"/>
    <col min="6946" max="6946" width="11.28515625" style="1" bestFit="1" customWidth="1"/>
    <col min="6947" max="6947" width="10.7109375" style="1" bestFit="1" customWidth="1"/>
    <col min="6948" max="7169" width="9.140625" style="1"/>
    <col min="7170" max="7170" width="6.42578125" style="1" customWidth="1"/>
    <col min="7171" max="7171" width="20.7109375" style="1" customWidth="1"/>
    <col min="7172" max="7172" width="24.7109375" style="1" customWidth="1"/>
    <col min="7173" max="7173" width="11.140625" style="1" customWidth="1"/>
    <col min="7174" max="7174" width="12.28515625" style="1" customWidth="1"/>
    <col min="7175" max="7175" width="11.140625" style="1" customWidth="1"/>
    <col min="7176" max="7176" width="10.42578125" style="1" customWidth="1"/>
    <col min="7177" max="7177" width="4.7109375" style="1" customWidth="1"/>
    <col min="7178" max="7178" width="8.5703125" style="1" customWidth="1"/>
    <col min="7179" max="7179" width="5.5703125" style="1" customWidth="1"/>
    <col min="7180" max="7181" width="11.5703125" style="1" customWidth="1"/>
    <col min="7182" max="7182" width="10.85546875" style="1" customWidth="1"/>
    <col min="7183" max="7183" width="7.7109375" style="1" customWidth="1"/>
    <col min="7184" max="7184" width="8" style="1" customWidth="1"/>
    <col min="7185" max="7185" width="16.28515625" style="1" customWidth="1"/>
    <col min="7186" max="7186" width="10.5703125" style="1" customWidth="1"/>
    <col min="7187" max="7187" width="14.140625" style="1" customWidth="1"/>
    <col min="7188" max="7188" width="10.140625" style="1" customWidth="1"/>
    <col min="7189" max="7189" width="15.140625" style="1" customWidth="1"/>
    <col min="7190" max="7190" width="8.5703125" style="1" customWidth="1"/>
    <col min="7191" max="7191" width="14.28515625" style="1" customWidth="1"/>
    <col min="7192" max="7192" width="18.28515625" style="1" customWidth="1"/>
    <col min="7193" max="7193" width="13" style="1" bestFit="1" customWidth="1"/>
    <col min="7194" max="7194" width="11.7109375" style="1" bestFit="1" customWidth="1"/>
    <col min="7195" max="7201" width="9.140625" style="1"/>
    <col min="7202" max="7202" width="11.28515625" style="1" bestFit="1" customWidth="1"/>
    <col min="7203" max="7203" width="10.7109375" style="1" bestFit="1" customWidth="1"/>
    <col min="7204" max="7425" width="9.140625" style="1"/>
    <col min="7426" max="7426" width="6.42578125" style="1" customWidth="1"/>
    <col min="7427" max="7427" width="20.7109375" style="1" customWidth="1"/>
    <col min="7428" max="7428" width="24.7109375" style="1" customWidth="1"/>
    <col min="7429" max="7429" width="11.140625" style="1" customWidth="1"/>
    <col min="7430" max="7430" width="12.28515625" style="1" customWidth="1"/>
    <col min="7431" max="7431" width="11.140625" style="1" customWidth="1"/>
    <col min="7432" max="7432" width="10.42578125" style="1" customWidth="1"/>
    <col min="7433" max="7433" width="4.7109375" style="1" customWidth="1"/>
    <col min="7434" max="7434" width="8.5703125" style="1" customWidth="1"/>
    <col min="7435" max="7435" width="5.5703125" style="1" customWidth="1"/>
    <col min="7436" max="7437" width="11.5703125" style="1" customWidth="1"/>
    <col min="7438" max="7438" width="10.85546875" style="1" customWidth="1"/>
    <col min="7439" max="7439" width="7.7109375" style="1" customWidth="1"/>
    <col min="7440" max="7440" width="8" style="1" customWidth="1"/>
    <col min="7441" max="7441" width="16.28515625" style="1" customWidth="1"/>
    <col min="7442" max="7442" width="10.5703125" style="1" customWidth="1"/>
    <col min="7443" max="7443" width="14.140625" style="1" customWidth="1"/>
    <col min="7444" max="7444" width="10.140625" style="1" customWidth="1"/>
    <col min="7445" max="7445" width="15.140625" style="1" customWidth="1"/>
    <col min="7446" max="7446" width="8.5703125" style="1" customWidth="1"/>
    <col min="7447" max="7447" width="14.28515625" style="1" customWidth="1"/>
    <col min="7448" max="7448" width="18.28515625" style="1" customWidth="1"/>
    <col min="7449" max="7449" width="13" style="1" bestFit="1" customWidth="1"/>
    <col min="7450" max="7450" width="11.7109375" style="1" bestFit="1" customWidth="1"/>
    <col min="7451" max="7457" width="9.140625" style="1"/>
    <col min="7458" max="7458" width="11.28515625" style="1" bestFit="1" customWidth="1"/>
    <col min="7459" max="7459" width="10.7109375" style="1" bestFit="1" customWidth="1"/>
    <col min="7460" max="7681" width="9.140625" style="1"/>
    <col min="7682" max="7682" width="6.42578125" style="1" customWidth="1"/>
    <col min="7683" max="7683" width="20.7109375" style="1" customWidth="1"/>
    <col min="7684" max="7684" width="24.7109375" style="1" customWidth="1"/>
    <col min="7685" max="7685" width="11.140625" style="1" customWidth="1"/>
    <col min="7686" max="7686" width="12.28515625" style="1" customWidth="1"/>
    <col min="7687" max="7687" width="11.140625" style="1" customWidth="1"/>
    <col min="7688" max="7688" width="10.42578125" style="1" customWidth="1"/>
    <col min="7689" max="7689" width="4.7109375" style="1" customWidth="1"/>
    <col min="7690" max="7690" width="8.5703125" style="1" customWidth="1"/>
    <col min="7691" max="7691" width="5.5703125" style="1" customWidth="1"/>
    <col min="7692" max="7693" width="11.5703125" style="1" customWidth="1"/>
    <col min="7694" max="7694" width="10.85546875" style="1" customWidth="1"/>
    <col min="7695" max="7695" width="7.7109375" style="1" customWidth="1"/>
    <col min="7696" max="7696" width="8" style="1" customWidth="1"/>
    <col min="7697" max="7697" width="16.28515625" style="1" customWidth="1"/>
    <col min="7698" max="7698" width="10.5703125" style="1" customWidth="1"/>
    <col min="7699" max="7699" width="14.140625" style="1" customWidth="1"/>
    <col min="7700" max="7700" width="10.140625" style="1" customWidth="1"/>
    <col min="7701" max="7701" width="15.140625" style="1" customWidth="1"/>
    <col min="7702" max="7702" width="8.5703125" style="1" customWidth="1"/>
    <col min="7703" max="7703" width="14.28515625" style="1" customWidth="1"/>
    <col min="7704" max="7704" width="18.28515625" style="1" customWidth="1"/>
    <col min="7705" max="7705" width="13" style="1" bestFit="1" customWidth="1"/>
    <col min="7706" max="7706" width="11.7109375" style="1" bestFit="1" customWidth="1"/>
    <col min="7707" max="7713" width="9.140625" style="1"/>
    <col min="7714" max="7714" width="11.28515625" style="1" bestFit="1" customWidth="1"/>
    <col min="7715" max="7715" width="10.7109375" style="1" bestFit="1" customWidth="1"/>
    <col min="7716" max="7937" width="9.140625" style="1"/>
    <col min="7938" max="7938" width="6.42578125" style="1" customWidth="1"/>
    <col min="7939" max="7939" width="20.7109375" style="1" customWidth="1"/>
    <col min="7940" max="7940" width="24.7109375" style="1" customWidth="1"/>
    <col min="7941" max="7941" width="11.140625" style="1" customWidth="1"/>
    <col min="7942" max="7942" width="12.28515625" style="1" customWidth="1"/>
    <col min="7943" max="7943" width="11.140625" style="1" customWidth="1"/>
    <col min="7944" max="7944" width="10.42578125" style="1" customWidth="1"/>
    <col min="7945" max="7945" width="4.7109375" style="1" customWidth="1"/>
    <col min="7946" max="7946" width="8.5703125" style="1" customWidth="1"/>
    <col min="7947" max="7947" width="5.5703125" style="1" customWidth="1"/>
    <col min="7948" max="7949" width="11.5703125" style="1" customWidth="1"/>
    <col min="7950" max="7950" width="10.85546875" style="1" customWidth="1"/>
    <col min="7951" max="7951" width="7.7109375" style="1" customWidth="1"/>
    <col min="7952" max="7952" width="8" style="1" customWidth="1"/>
    <col min="7953" max="7953" width="16.28515625" style="1" customWidth="1"/>
    <col min="7954" max="7954" width="10.5703125" style="1" customWidth="1"/>
    <col min="7955" max="7955" width="14.140625" style="1" customWidth="1"/>
    <col min="7956" max="7956" width="10.140625" style="1" customWidth="1"/>
    <col min="7957" max="7957" width="15.140625" style="1" customWidth="1"/>
    <col min="7958" max="7958" width="8.5703125" style="1" customWidth="1"/>
    <col min="7959" max="7959" width="14.28515625" style="1" customWidth="1"/>
    <col min="7960" max="7960" width="18.28515625" style="1" customWidth="1"/>
    <col min="7961" max="7961" width="13" style="1" bestFit="1" customWidth="1"/>
    <col min="7962" max="7962" width="11.7109375" style="1" bestFit="1" customWidth="1"/>
    <col min="7963" max="7969" width="9.140625" style="1"/>
    <col min="7970" max="7970" width="11.28515625" style="1" bestFit="1" customWidth="1"/>
    <col min="7971" max="7971" width="10.7109375" style="1" bestFit="1" customWidth="1"/>
    <col min="7972" max="8193" width="9.140625" style="1"/>
    <col min="8194" max="8194" width="6.42578125" style="1" customWidth="1"/>
    <col min="8195" max="8195" width="20.7109375" style="1" customWidth="1"/>
    <col min="8196" max="8196" width="24.7109375" style="1" customWidth="1"/>
    <col min="8197" max="8197" width="11.140625" style="1" customWidth="1"/>
    <col min="8198" max="8198" width="12.28515625" style="1" customWidth="1"/>
    <col min="8199" max="8199" width="11.140625" style="1" customWidth="1"/>
    <col min="8200" max="8200" width="10.42578125" style="1" customWidth="1"/>
    <col min="8201" max="8201" width="4.7109375" style="1" customWidth="1"/>
    <col min="8202" max="8202" width="8.5703125" style="1" customWidth="1"/>
    <col min="8203" max="8203" width="5.5703125" style="1" customWidth="1"/>
    <col min="8204" max="8205" width="11.5703125" style="1" customWidth="1"/>
    <col min="8206" max="8206" width="10.85546875" style="1" customWidth="1"/>
    <col min="8207" max="8207" width="7.7109375" style="1" customWidth="1"/>
    <col min="8208" max="8208" width="8" style="1" customWidth="1"/>
    <col min="8209" max="8209" width="16.28515625" style="1" customWidth="1"/>
    <col min="8210" max="8210" width="10.5703125" style="1" customWidth="1"/>
    <col min="8211" max="8211" width="14.140625" style="1" customWidth="1"/>
    <col min="8212" max="8212" width="10.140625" style="1" customWidth="1"/>
    <col min="8213" max="8213" width="15.140625" style="1" customWidth="1"/>
    <col min="8214" max="8214" width="8.5703125" style="1" customWidth="1"/>
    <col min="8215" max="8215" width="14.28515625" style="1" customWidth="1"/>
    <col min="8216" max="8216" width="18.28515625" style="1" customWidth="1"/>
    <col min="8217" max="8217" width="13" style="1" bestFit="1" customWidth="1"/>
    <col min="8218" max="8218" width="11.7109375" style="1" bestFit="1" customWidth="1"/>
    <col min="8219" max="8225" width="9.140625" style="1"/>
    <col min="8226" max="8226" width="11.28515625" style="1" bestFit="1" customWidth="1"/>
    <col min="8227" max="8227" width="10.7109375" style="1" bestFit="1" customWidth="1"/>
    <col min="8228" max="8449" width="9.140625" style="1"/>
    <col min="8450" max="8450" width="6.42578125" style="1" customWidth="1"/>
    <col min="8451" max="8451" width="20.7109375" style="1" customWidth="1"/>
    <col min="8452" max="8452" width="24.7109375" style="1" customWidth="1"/>
    <col min="8453" max="8453" width="11.140625" style="1" customWidth="1"/>
    <col min="8454" max="8454" width="12.28515625" style="1" customWidth="1"/>
    <col min="8455" max="8455" width="11.140625" style="1" customWidth="1"/>
    <col min="8456" max="8456" width="10.42578125" style="1" customWidth="1"/>
    <col min="8457" max="8457" width="4.7109375" style="1" customWidth="1"/>
    <col min="8458" max="8458" width="8.5703125" style="1" customWidth="1"/>
    <col min="8459" max="8459" width="5.5703125" style="1" customWidth="1"/>
    <col min="8460" max="8461" width="11.5703125" style="1" customWidth="1"/>
    <col min="8462" max="8462" width="10.85546875" style="1" customWidth="1"/>
    <col min="8463" max="8463" width="7.7109375" style="1" customWidth="1"/>
    <col min="8464" max="8464" width="8" style="1" customWidth="1"/>
    <col min="8465" max="8465" width="16.28515625" style="1" customWidth="1"/>
    <col min="8466" max="8466" width="10.5703125" style="1" customWidth="1"/>
    <col min="8467" max="8467" width="14.140625" style="1" customWidth="1"/>
    <col min="8468" max="8468" width="10.140625" style="1" customWidth="1"/>
    <col min="8469" max="8469" width="15.140625" style="1" customWidth="1"/>
    <col min="8470" max="8470" width="8.5703125" style="1" customWidth="1"/>
    <col min="8471" max="8471" width="14.28515625" style="1" customWidth="1"/>
    <col min="8472" max="8472" width="18.28515625" style="1" customWidth="1"/>
    <col min="8473" max="8473" width="13" style="1" bestFit="1" customWidth="1"/>
    <col min="8474" max="8474" width="11.7109375" style="1" bestFit="1" customWidth="1"/>
    <col min="8475" max="8481" width="9.140625" style="1"/>
    <col min="8482" max="8482" width="11.28515625" style="1" bestFit="1" customWidth="1"/>
    <col min="8483" max="8483" width="10.7109375" style="1" bestFit="1" customWidth="1"/>
    <col min="8484" max="8705" width="9.140625" style="1"/>
    <col min="8706" max="8706" width="6.42578125" style="1" customWidth="1"/>
    <col min="8707" max="8707" width="20.7109375" style="1" customWidth="1"/>
    <col min="8708" max="8708" width="24.7109375" style="1" customWidth="1"/>
    <col min="8709" max="8709" width="11.140625" style="1" customWidth="1"/>
    <col min="8710" max="8710" width="12.28515625" style="1" customWidth="1"/>
    <col min="8711" max="8711" width="11.140625" style="1" customWidth="1"/>
    <col min="8712" max="8712" width="10.42578125" style="1" customWidth="1"/>
    <col min="8713" max="8713" width="4.7109375" style="1" customWidth="1"/>
    <col min="8714" max="8714" width="8.5703125" style="1" customWidth="1"/>
    <col min="8715" max="8715" width="5.5703125" style="1" customWidth="1"/>
    <col min="8716" max="8717" width="11.5703125" style="1" customWidth="1"/>
    <col min="8718" max="8718" width="10.85546875" style="1" customWidth="1"/>
    <col min="8719" max="8719" width="7.7109375" style="1" customWidth="1"/>
    <col min="8720" max="8720" width="8" style="1" customWidth="1"/>
    <col min="8721" max="8721" width="16.28515625" style="1" customWidth="1"/>
    <col min="8722" max="8722" width="10.5703125" style="1" customWidth="1"/>
    <col min="8723" max="8723" width="14.140625" style="1" customWidth="1"/>
    <col min="8724" max="8724" width="10.140625" style="1" customWidth="1"/>
    <col min="8725" max="8725" width="15.140625" style="1" customWidth="1"/>
    <col min="8726" max="8726" width="8.5703125" style="1" customWidth="1"/>
    <col min="8727" max="8727" width="14.28515625" style="1" customWidth="1"/>
    <col min="8728" max="8728" width="18.28515625" style="1" customWidth="1"/>
    <col min="8729" max="8729" width="13" style="1" bestFit="1" customWidth="1"/>
    <col min="8730" max="8730" width="11.7109375" style="1" bestFit="1" customWidth="1"/>
    <col min="8731" max="8737" width="9.140625" style="1"/>
    <col min="8738" max="8738" width="11.28515625" style="1" bestFit="1" customWidth="1"/>
    <col min="8739" max="8739" width="10.7109375" style="1" bestFit="1" customWidth="1"/>
    <col min="8740" max="8961" width="9.140625" style="1"/>
    <col min="8962" max="8962" width="6.42578125" style="1" customWidth="1"/>
    <col min="8963" max="8963" width="20.7109375" style="1" customWidth="1"/>
    <col min="8964" max="8964" width="24.7109375" style="1" customWidth="1"/>
    <col min="8965" max="8965" width="11.140625" style="1" customWidth="1"/>
    <col min="8966" max="8966" width="12.28515625" style="1" customWidth="1"/>
    <col min="8967" max="8967" width="11.140625" style="1" customWidth="1"/>
    <col min="8968" max="8968" width="10.42578125" style="1" customWidth="1"/>
    <col min="8969" max="8969" width="4.7109375" style="1" customWidth="1"/>
    <col min="8970" max="8970" width="8.5703125" style="1" customWidth="1"/>
    <col min="8971" max="8971" width="5.5703125" style="1" customWidth="1"/>
    <col min="8972" max="8973" width="11.5703125" style="1" customWidth="1"/>
    <col min="8974" max="8974" width="10.85546875" style="1" customWidth="1"/>
    <col min="8975" max="8975" width="7.7109375" style="1" customWidth="1"/>
    <col min="8976" max="8976" width="8" style="1" customWidth="1"/>
    <col min="8977" max="8977" width="16.28515625" style="1" customWidth="1"/>
    <col min="8978" max="8978" width="10.5703125" style="1" customWidth="1"/>
    <col min="8979" max="8979" width="14.140625" style="1" customWidth="1"/>
    <col min="8980" max="8980" width="10.140625" style="1" customWidth="1"/>
    <col min="8981" max="8981" width="15.140625" style="1" customWidth="1"/>
    <col min="8982" max="8982" width="8.5703125" style="1" customWidth="1"/>
    <col min="8983" max="8983" width="14.28515625" style="1" customWidth="1"/>
    <col min="8984" max="8984" width="18.28515625" style="1" customWidth="1"/>
    <col min="8985" max="8985" width="13" style="1" bestFit="1" customWidth="1"/>
    <col min="8986" max="8986" width="11.7109375" style="1" bestFit="1" customWidth="1"/>
    <col min="8987" max="8993" width="9.140625" style="1"/>
    <col min="8994" max="8994" width="11.28515625" style="1" bestFit="1" customWidth="1"/>
    <col min="8995" max="8995" width="10.7109375" style="1" bestFit="1" customWidth="1"/>
    <col min="8996" max="9217" width="9.140625" style="1"/>
    <col min="9218" max="9218" width="6.42578125" style="1" customWidth="1"/>
    <col min="9219" max="9219" width="20.7109375" style="1" customWidth="1"/>
    <col min="9220" max="9220" width="24.7109375" style="1" customWidth="1"/>
    <col min="9221" max="9221" width="11.140625" style="1" customWidth="1"/>
    <col min="9222" max="9222" width="12.28515625" style="1" customWidth="1"/>
    <col min="9223" max="9223" width="11.140625" style="1" customWidth="1"/>
    <col min="9224" max="9224" width="10.42578125" style="1" customWidth="1"/>
    <col min="9225" max="9225" width="4.7109375" style="1" customWidth="1"/>
    <col min="9226" max="9226" width="8.5703125" style="1" customWidth="1"/>
    <col min="9227" max="9227" width="5.5703125" style="1" customWidth="1"/>
    <col min="9228" max="9229" width="11.5703125" style="1" customWidth="1"/>
    <col min="9230" max="9230" width="10.85546875" style="1" customWidth="1"/>
    <col min="9231" max="9231" width="7.7109375" style="1" customWidth="1"/>
    <col min="9232" max="9232" width="8" style="1" customWidth="1"/>
    <col min="9233" max="9233" width="16.28515625" style="1" customWidth="1"/>
    <col min="9234" max="9234" width="10.5703125" style="1" customWidth="1"/>
    <col min="9235" max="9235" width="14.140625" style="1" customWidth="1"/>
    <col min="9236" max="9236" width="10.140625" style="1" customWidth="1"/>
    <col min="9237" max="9237" width="15.140625" style="1" customWidth="1"/>
    <col min="9238" max="9238" width="8.5703125" style="1" customWidth="1"/>
    <col min="9239" max="9239" width="14.28515625" style="1" customWidth="1"/>
    <col min="9240" max="9240" width="18.28515625" style="1" customWidth="1"/>
    <col min="9241" max="9241" width="13" style="1" bestFit="1" customWidth="1"/>
    <col min="9242" max="9242" width="11.7109375" style="1" bestFit="1" customWidth="1"/>
    <col min="9243" max="9249" width="9.140625" style="1"/>
    <col min="9250" max="9250" width="11.28515625" style="1" bestFit="1" customWidth="1"/>
    <col min="9251" max="9251" width="10.7109375" style="1" bestFit="1" customWidth="1"/>
    <col min="9252" max="9473" width="9.140625" style="1"/>
    <col min="9474" max="9474" width="6.42578125" style="1" customWidth="1"/>
    <col min="9475" max="9475" width="20.7109375" style="1" customWidth="1"/>
    <col min="9476" max="9476" width="24.7109375" style="1" customWidth="1"/>
    <col min="9477" max="9477" width="11.140625" style="1" customWidth="1"/>
    <col min="9478" max="9478" width="12.28515625" style="1" customWidth="1"/>
    <col min="9479" max="9479" width="11.140625" style="1" customWidth="1"/>
    <col min="9480" max="9480" width="10.42578125" style="1" customWidth="1"/>
    <col min="9481" max="9481" width="4.7109375" style="1" customWidth="1"/>
    <col min="9482" max="9482" width="8.5703125" style="1" customWidth="1"/>
    <col min="9483" max="9483" width="5.5703125" style="1" customWidth="1"/>
    <col min="9484" max="9485" width="11.5703125" style="1" customWidth="1"/>
    <col min="9486" max="9486" width="10.85546875" style="1" customWidth="1"/>
    <col min="9487" max="9487" width="7.7109375" style="1" customWidth="1"/>
    <col min="9488" max="9488" width="8" style="1" customWidth="1"/>
    <col min="9489" max="9489" width="16.28515625" style="1" customWidth="1"/>
    <col min="9490" max="9490" width="10.5703125" style="1" customWidth="1"/>
    <col min="9491" max="9491" width="14.140625" style="1" customWidth="1"/>
    <col min="9492" max="9492" width="10.140625" style="1" customWidth="1"/>
    <col min="9493" max="9493" width="15.140625" style="1" customWidth="1"/>
    <col min="9494" max="9494" width="8.5703125" style="1" customWidth="1"/>
    <col min="9495" max="9495" width="14.28515625" style="1" customWidth="1"/>
    <col min="9496" max="9496" width="18.28515625" style="1" customWidth="1"/>
    <col min="9497" max="9497" width="13" style="1" bestFit="1" customWidth="1"/>
    <col min="9498" max="9498" width="11.7109375" style="1" bestFit="1" customWidth="1"/>
    <col min="9499" max="9505" width="9.140625" style="1"/>
    <col min="9506" max="9506" width="11.28515625" style="1" bestFit="1" customWidth="1"/>
    <col min="9507" max="9507" width="10.7109375" style="1" bestFit="1" customWidth="1"/>
    <col min="9508" max="9729" width="9.140625" style="1"/>
    <col min="9730" max="9730" width="6.42578125" style="1" customWidth="1"/>
    <col min="9731" max="9731" width="20.7109375" style="1" customWidth="1"/>
    <col min="9732" max="9732" width="24.7109375" style="1" customWidth="1"/>
    <col min="9733" max="9733" width="11.140625" style="1" customWidth="1"/>
    <col min="9734" max="9734" width="12.28515625" style="1" customWidth="1"/>
    <col min="9735" max="9735" width="11.140625" style="1" customWidth="1"/>
    <col min="9736" max="9736" width="10.42578125" style="1" customWidth="1"/>
    <col min="9737" max="9737" width="4.7109375" style="1" customWidth="1"/>
    <col min="9738" max="9738" width="8.5703125" style="1" customWidth="1"/>
    <col min="9739" max="9739" width="5.5703125" style="1" customWidth="1"/>
    <col min="9740" max="9741" width="11.5703125" style="1" customWidth="1"/>
    <col min="9742" max="9742" width="10.85546875" style="1" customWidth="1"/>
    <col min="9743" max="9743" width="7.7109375" style="1" customWidth="1"/>
    <col min="9744" max="9744" width="8" style="1" customWidth="1"/>
    <col min="9745" max="9745" width="16.28515625" style="1" customWidth="1"/>
    <col min="9746" max="9746" width="10.5703125" style="1" customWidth="1"/>
    <col min="9747" max="9747" width="14.140625" style="1" customWidth="1"/>
    <col min="9748" max="9748" width="10.140625" style="1" customWidth="1"/>
    <col min="9749" max="9749" width="15.140625" style="1" customWidth="1"/>
    <col min="9750" max="9750" width="8.5703125" style="1" customWidth="1"/>
    <col min="9751" max="9751" width="14.28515625" style="1" customWidth="1"/>
    <col min="9752" max="9752" width="18.28515625" style="1" customWidth="1"/>
    <col min="9753" max="9753" width="13" style="1" bestFit="1" customWidth="1"/>
    <col min="9754" max="9754" width="11.7109375" style="1" bestFit="1" customWidth="1"/>
    <col min="9755" max="9761" width="9.140625" style="1"/>
    <col min="9762" max="9762" width="11.28515625" style="1" bestFit="1" customWidth="1"/>
    <col min="9763" max="9763" width="10.7109375" style="1" bestFit="1" customWidth="1"/>
    <col min="9764" max="9985" width="9.140625" style="1"/>
    <col min="9986" max="9986" width="6.42578125" style="1" customWidth="1"/>
    <col min="9987" max="9987" width="20.7109375" style="1" customWidth="1"/>
    <col min="9988" max="9988" width="24.7109375" style="1" customWidth="1"/>
    <col min="9989" max="9989" width="11.140625" style="1" customWidth="1"/>
    <col min="9990" max="9990" width="12.28515625" style="1" customWidth="1"/>
    <col min="9991" max="9991" width="11.140625" style="1" customWidth="1"/>
    <col min="9992" max="9992" width="10.42578125" style="1" customWidth="1"/>
    <col min="9993" max="9993" width="4.7109375" style="1" customWidth="1"/>
    <col min="9994" max="9994" width="8.5703125" style="1" customWidth="1"/>
    <col min="9995" max="9995" width="5.5703125" style="1" customWidth="1"/>
    <col min="9996" max="9997" width="11.5703125" style="1" customWidth="1"/>
    <col min="9998" max="9998" width="10.85546875" style="1" customWidth="1"/>
    <col min="9999" max="9999" width="7.7109375" style="1" customWidth="1"/>
    <col min="10000" max="10000" width="8" style="1" customWidth="1"/>
    <col min="10001" max="10001" width="16.28515625" style="1" customWidth="1"/>
    <col min="10002" max="10002" width="10.5703125" style="1" customWidth="1"/>
    <col min="10003" max="10003" width="14.140625" style="1" customWidth="1"/>
    <col min="10004" max="10004" width="10.140625" style="1" customWidth="1"/>
    <col min="10005" max="10005" width="15.140625" style="1" customWidth="1"/>
    <col min="10006" max="10006" width="8.5703125" style="1" customWidth="1"/>
    <col min="10007" max="10007" width="14.28515625" style="1" customWidth="1"/>
    <col min="10008" max="10008" width="18.28515625" style="1" customWidth="1"/>
    <col min="10009" max="10009" width="13" style="1" bestFit="1" customWidth="1"/>
    <col min="10010" max="10010" width="11.7109375" style="1" bestFit="1" customWidth="1"/>
    <col min="10011" max="10017" width="9.140625" style="1"/>
    <col min="10018" max="10018" width="11.28515625" style="1" bestFit="1" customWidth="1"/>
    <col min="10019" max="10019" width="10.7109375" style="1" bestFit="1" customWidth="1"/>
    <col min="10020" max="10241" width="9.140625" style="1"/>
    <col min="10242" max="10242" width="6.42578125" style="1" customWidth="1"/>
    <col min="10243" max="10243" width="20.7109375" style="1" customWidth="1"/>
    <col min="10244" max="10244" width="24.7109375" style="1" customWidth="1"/>
    <col min="10245" max="10245" width="11.140625" style="1" customWidth="1"/>
    <col min="10246" max="10246" width="12.28515625" style="1" customWidth="1"/>
    <col min="10247" max="10247" width="11.140625" style="1" customWidth="1"/>
    <col min="10248" max="10248" width="10.42578125" style="1" customWidth="1"/>
    <col min="10249" max="10249" width="4.7109375" style="1" customWidth="1"/>
    <col min="10250" max="10250" width="8.5703125" style="1" customWidth="1"/>
    <col min="10251" max="10251" width="5.5703125" style="1" customWidth="1"/>
    <col min="10252" max="10253" width="11.5703125" style="1" customWidth="1"/>
    <col min="10254" max="10254" width="10.85546875" style="1" customWidth="1"/>
    <col min="10255" max="10255" width="7.7109375" style="1" customWidth="1"/>
    <col min="10256" max="10256" width="8" style="1" customWidth="1"/>
    <col min="10257" max="10257" width="16.28515625" style="1" customWidth="1"/>
    <col min="10258" max="10258" width="10.5703125" style="1" customWidth="1"/>
    <col min="10259" max="10259" width="14.140625" style="1" customWidth="1"/>
    <col min="10260" max="10260" width="10.140625" style="1" customWidth="1"/>
    <col min="10261" max="10261" width="15.140625" style="1" customWidth="1"/>
    <col min="10262" max="10262" width="8.5703125" style="1" customWidth="1"/>
    <col min="10263" max="10263" width="14.28515625" style="1" customWidth="1"/>
    <col min="10264" max="10264" width="18.28515625" style="1" customWidth="1"/>
    <col min="10265" max="10265" width="13" style="1" bestFit="1" customWidth="1"/>
    <col min="10266" max="10266" width="11.7109375" style="1" bestFit="1" customWidth="1"/>
    <col min="10267" max="10273" width="9.140625" style="1"/>
    <col min="10274" max="10274" width="11.28515625" style="1" bestFit="1" customWidth="1"/>
    <col min="10275" max="10275" width="10.7109375" style="1" bestFit="1" customWidth="1"/>
    <col min="10276" max="10497" width="9.140625" style="1"/>
    <col min="10498" max="10498" width="6.42578125" style="1" customWidth="1"/>
    <col min="10499" max="10499" width="20.7109375" style="1" customWidth="1"/>
    <col min="10500" max="10500" width="24.7109375" style="1" customWidth="1"/>
    <col min="10501" max="10501" width="11.140625" style="1" customWidth="1"/>
    <col min="10502" max="10502" width="12.28515625" style="1" customWidth="1"/>
    <col min="10503" max="10503" width="11.140625" style="1" customWidth="1"/>
    <col min="10504" max="10504" width="10.42578125" style="1" customWidth="1"/>
    <col min="10505" max="10505" width="4.7109375" style="1" customWidth="1"/>
    <col min="10506" max="10506" width="8.5703125" style="1" customWidth="1"/>
    <col min="10507" max="10507" width="5.5703125" style="1" customWidth="1"/>
    <col min="10508" max="10509" width="11.5703125" style="1" customWidth="1"/>
    <col min="10510" max="10510" width="10.85546875" style="1" customWidth="1"/>
    <col min="10511" max="10511" width="7.7109375" style="1" customWidth="1"/>
    <col min="10512" max="10512" width="8" style="1" customWidth="1"/>
    <col min="10513" max="10513" width="16.28515625" style="1" customWidth="1"/>
    <col min="10514" max="10514" width="10.5703125" style="1" customWidth="1"/>
    <col min="10515" max="10515" width="14.140625" style="1" customWidth="1"/>
    <col min="10516" max="10516" width="10.140625" style="1" customWidth="1"/>
    <col min="10517" max="10517" width="15.140625" style="1" customWidth="1"/>
    <col min="10518" max="10518" width="8.5703125" style="1" customWidth="1"/>
    <col min="10519" max="10519" width="14.28515625" style="1" customWidth="1"/>
    <col min="10520" max="10520" width="18.28515625" style="1" customWidth="1"/>
    <col min="10521" max="10521" width="13" style="1" bestFit="1" customWidth="1"/>
    <col min="10522" max="10522" width="11.7109375" style="1" bestFit="1" customWidth="1"/>
    <col min="10523" max="10529" width="9.140625" style="1"/>
    <col min="10530" max="10530" width="11.28515625" style="1" bestFit="1" customWidth="1"/>
    <col min="10531" max="10531" width="10.7109375" style="1" bestFit="1" customWidth="1"/>
    <col min="10532" max="10753" width="9.140625" style="1"/>
    <col min="10754" max="10754" width="6.42578125" style="1" customWidth="1"/>
    <col min="10755" max="10755" width="20.7109375" style="1" customWidth="1"/>
    <col min="10756" max="10756" width="24.7109375" style="1" customWidth="1"/>
    <col min="10757" max="10757" width="11.140625" style="1" customWidth="1"/>
    <col min="10758" max="10758" width="12.28515625" style="1" customWidth="1"/>
    <col min="10759" max="10759" width="11.140625" style="1" customWidth="1"/>
    <col min="10760" max="10760" width="10.42578125" style="1" customWidth="1"/>
    <col min="10761" max="10761" width="4.7109375" style="1" customWidth="1"/>
    <col min="10762" max="10762" width="8.5703125" style="1" customWidth="1"/>
    <col min="10763" max="10763" width="5.5703125" style="1" customWidth="1"/>
    <col min="10764" max="10765" width="11.5703125" style="1" customWidth="1"/>
    <col min="10766" max="10766" width="10.85546875" style="1" customWidth="1"/>
    <col min="10767" max="10767" width="7.7109375" style="1" customWidth="1"/>
    <col min="10768" max="10768" width="8" style="1" customWidth="1"/>
    <col min="10769" max="10769" width="16.28515625" style="1" customWidth="1"/>
    <col min="10770" max="10770" width="10.5703125" style="1" customWidth="1"/>
    <col min="10771" max="10771" width="14.140625" style="1" customWidth="1"/>
    <col min="10772" max="10772" width="10.140625" style="1" customWidth="1"/>
    <col min="10773" max="10773" width="15.140625" style="1" customWidth="1"/>
    <col min="10774" max="10774" width="8.5703125" style="1" customWidth="1"/>
    <col min="10775" max="10775" width="14.28515625" style="1" customWidth="1"/>
    <col min="10776" max="10776" width="18.28515625" style="1" customWidth="1"/>
    <col min="10777" max="10777" width="13" style="1" bestFit="1" customWidth="1"/>
    <col min="10778" max="10778" width="11.7109375" style="1" bestFit="1" customWidth="1"/>
    <col min="10779" max="10785" width="9.140625" style="1"/>
    <col min="10786" max="10786" width="11.28515625" style="1" bestFit="1" customWidth="1"/>
    <col min="10787" max="10787" width="10.7109375" style="1" bestFit="1" customWidth="1"/>
    <col min="10788" max="11009" width="9.140625" style="1"/>
    <col min="11010" max="11010" width="6.42578125" style="1" customWidth="1"/>
    <col min="11011" max="11011" width="20.7109375" style="1" customWidth="1"/>
    <col min="11012" max="11012" width="24.7109375" style="1" customWidth="1"/>
    <col min="11013" max="11013" width="11.140625" style="1" customWidth="1"/>
    <col min="11014" max="11014" width="12.28515625" style="1" customWidth="1"/>
    <col min="11015" max="11015" width="11.140625" style="1" customWidth="1"/>
    <col min="11016" max="11016" width="10.42578125" style="1" customWidth="1"/>
    <col min="11017" max="11017" width="4.7109375" style="1" customWidth="1"/>
    <col min="11018" max="11018" width="8.5703125" style="1" customWidth="1"/>
    <col min="11019" max="11019" width="5.5703125" style="1" customWidth="1"/>
    <col min="11020" max="11021" width="11.5703125" style="1" customWidth="1"/>
    <col min="11022" max="11022" width="10.85546875" style="1" customWidth="1"/>
    <col min="11023" max="11023" width="7.7109375" style="1" customWidth="1"/>
    <col min="11024" max="11024" width="8" style="1" customWidth="1"/>
    <col min="11025" max="11025" width="16.28515625" style="1" customWidth="1"/>
    <col min="11026" max="11026" width="10.5703125" style="1" customWidth="1"/>
    <col min="11027" max="11027" width="14.140625" style="1" customWidth="1"/>
    <col min="11028" max="11028" width="10.140625" style="1" customWidth="1"/>
    <col min="11029" max="11029" width="15.140625" style="1" customWidth="1"/>
    <col min="11030" max="11030" width="8.5703125" style="1" customWidth="1"/>
    <col min="11031" max="11031" width="14.28515625" style="1" customWidth="1"/>
    <col min="11032" max="11032" width="18.28515625" style="1" customWidth="1"/>
    <col min="11033" max="11033" width="13" style="1" bestFit="1" customWidth="1"/>
    <col min="11034" max="11034" width="11.7109375" style="1" bestFit="1" customWidth="1"/>
    <col min="11035" max="11041" width="9.140625" style="1"/>
    <col min="11042" max="11042" width="11.28515625" style="1" bestFit="1" customWidth="1"/>
    <col min="11043" max="11043" width="10.7109375" style="1" bestFit="1" customWidth="1"/>
    <col min="11044" max="11265" width="9.140625" style="1"/>
    <col min="11266" max="11266" width="6.42578125" style="1" customWidth="1"/>
    <col min="11267" max="11267" width="20.7109375" style="1" customWidth="1"/>
    <col min="11268" max="11268" width="24.7109375" style="1" customWidth="1"/>
    <col min="11269" max="11269" width="11.140625" style="1" customWidth="1"/>
    <col min="11270" max="11270" width="12.28515625" style="1" customWidth="1"/>
    <col min="11271" max="11271" width="11.140625" style="1" customWidth="1"/>
    <col min="11272" max="11272" width="10.42578125" style="1" customWidth="1"/>
    <col min="11273" max="11273" width="4.7109375" style="1" customWidth="1"/>
    <col min="11274" max="11274" width="8.5703125" style="1" customWidth="1"/>
    <col min="11275" max="11275" width="5.5703125" style="1" customWidth="1"/>
    <col min="11276" max="11277" width="11.5703125" style="1" customWidth="1"/>
    <col min="11278" max="11278" width="10.85546875" style="1" customWidth="1"/>
    <col min="11279" max="11279" width="7.7109375" style="1" customWidth="1"/>
    <col min="11280" max="11280" width="8" style="1" customWidth="1"/>
    <col min="11281" max="11281" width="16.28515625" style="1" customWidth="1"/>
    <col min="11282" max="11282" width="10.5703125" style="1" customWidth="1"/>
    <col min="11283" max="11283" width="14.140625" style="1" customWidth="1"/>
    <col min="11284" max="11284" width="10.140625" style="1" customWidth="1"/>
    <col min="11285" max="11285" width="15.140625" style="1" customWidth="1"/>
    <col min="11286" max="11286" width="8.5703125" style="1" customWidth="1"/>
    <col min="11287" max="11287" width="14.28515625" style="1" customWidth="1"/>
    <col min="11288" max="11288" width="18.28515625" style="1" customWidth="1"/>
    <col min="11289" max="11289" width="13" style="1" bestFit="1" customWidth="1"/>
    <col min="11290" max="11290" width="11.7109375" style="1" bestFit="1" customWidth="1"/>
    <col min="11291" max="11297" width="9.140625" style="1"/>
    <col min="11298" max="11298" width="11.28515625" style="1" bestFit="1" customWidth="1"/>
    <col min="11299" max="11299" width="10.7109375" style="1" bestFit="1" customWidth="1"/>
    <col min="11300" max="11521" width="9.140625" style="1"/>
    <col min="11522" max="11522" width="6.42578125" style="1" customWidth="1"/>
    <col min="11523" max="11523" width="20.7109375" style="1" customWidth="1"/>
    <col min="11524" max="11524" width="24.7109375" style="1" customWidth="1"/>
    <col min="11525" max="11525" width="11.140625" style="1" customWidth="1"/>
    <col min="11526" max="11526" width="12.28515625" style="1" customWidth="1"/>
    <col min="11527" max="11527" width="11.140625" style="1" customWidth="1"/>
    <col min="11528" max="11528" width="10.42578125" style="1" customWidth="1"/>
    <col min="11529" max="11529" width="4.7109375" style="1" customWidth="1"/>
    <col min="11530" max="11530" width="8.5703125" style="1" customWidth="1"/>
    <col min="11531" max="11531" width="5.5703125" style="1" customWidth="1"/>
    <col min="11532" max="11533" width="11.5703125" style="1" customWidth="1"/>
    <col min="11534" max="11534" width="10.85546875" style="1" customWidth="1"/>
    <col min="11535" max="11535" width="7.7109375" style="1" customWidth="1"/>
    <col min="11536" max="11536" width="8" style="1" customWidth="1"/>
    <col min="11537" max="11537" width="16.28515625" style="1" customWidth="1"/>
    <col min="11538" max="11538" width="10.5703125" style="1" customWidth="1"/>
    <col min="11539" max="11539" width="14.140625" style="1" customWidth="1"/>
    <col min="11540" max="11540" width="10.140625" style="1" customWidth="1"/>
    <col min="11541" max="11541" width="15.140625" style="1" customWidth="1"/>
    <col min="11542" max="11542" width="8.5703125" style="1" customWidth="1"/>
    <col min="11543" max="11543" width="14.28515625" style="1" customWidth="1"/>
    <col min="11544" max="11544" width="18.28515625" style="1" customWidth="1"/>
    <col min="11545" max="11545" width="13" style="1" bestFit="1" customWidth="1"/>
    <col min="11546" max="11546" width="11.7109375" style="1" bestFit="1" customWidth="1"/>
    <col min="11547" max="11553" width="9.140625" style="1"/>
    <col min="11554" max="11554" width="11.28515625" style="1" bestFit="1" customWidth="1"/>
    <col min="11555" max="11555" width="10.7109375" style="1" bestFit="1" customWidth="1"/>
    <col min="11556" max="11777" width="9.140625" style="1"/>
    <col min="11778" max="11778" width="6.42578125" style="1" customWidth="1"/>
    <col min="11779" max="11779" width="20.7109375" style="1" customWidth="1"/>
    <col min="11780" max="11780" width="24.7109375" style="1" customWidth="1"/>
    <col min="11781" max="11781" width="11.140625" style="1" customWidth="1"/>
    <col min="11782" max="11782" width="12.28515625" style="1" customWidth="1"/>
    <col min="11783" max="11783" width="11.140625" style="1" customWidth="1"/>
    <col min="11784" max="11784" width="10.42578125" style="1" customWidth="1"/>
    <col min="11785" max="11785" width="4.7109375" style="1" customWidth="1"/>
    <col min="11786" max="11786" width="8.5703125" style="1" customWidth="1"/>
    <col min="11787" max="11787" width="5.5703125" style="1" customWidth="1"/>
    <col min="11788" max="11789" width="11.5703125" style="1" customWidth="1"/>
    <col min="11790" max="11790" width="10.85546875" style="1" customWidth="1"/>
    <col min="11791" max="11791" width="7.7109375" style="1" customWidth="1"/>
    <col min="11792" max="11792" width="8" style="1" customWidth="1"/>
    <col min="11793" max="11793" width="16.28515625" style="1" customWidth="1"/>
    <col min="11794" max="11794" width="10.5703125" style="1" customWidth="1"/>
    <col min="11795" max="11795" width="14.140625" style="1" customWidth="1"/>
    <col min="11796" max="11796" width="10.140625" style="1" customWidth="1"/>
    <col min="11797" max="11797" width="15.140625" style="1" customWidth="1"/>
    <col min="11798" max="11798" width="8.5703125" style="1" customWidth="1"/>
    <col min="11799" max="11799" width="14.28515625" style="1" customWidth="1"/>
    <col min="11800" max="11800" width="18.28515625" style="1" customWidth="1"/>
    <col min="11801" max="11801" width="13" style="1" bestFit="1" customWidth="1"/>
    <col min="11802" max="11802" width="11.7109375" style="1" bestFit="1" customWidth="1"/>
    <col min="11803" max="11809" width="9.140625" style="1"/>
    <col min="11810" max="11810" width="11.28515625" style="1" bestFit="1" customWidth="1"/>
    <col min="11811" max="11811" width="10.7109375" style="1" bestFit="1" customWidth="1"/>
    <col min="11812" max="12033" width="9.140625" style="1"/>
    <col min="12034" max="12034" width="6.42578125" style="1" customWidth="1"/>
    <col min="12035" max="12035" width="20.7109375" style="1" customWidth="1"/>
    <col min="12036" max="12036" width="24.7109375" style="1" customWidth="1"/>
    <col min="12037" max="12037" width="11.140625" style="1" customWidth="1"/>
    <col min="12038" max="12038" width="12.28515625" style="1" customWidth="1"/>
    <col min="12039" max="12039" width="11.140625" style="1" customWidth="1"/>
    <col min="12040" max="12040" width="10.42578125" style="1" customWidth="1"/>
    <col min="12041" max="12041" width="4.7109375" style="1" customWidth="1"/>
    <col min="12042" max="12042" width="8.5703125" style="1" customWidth="1"/>
    <col min="12043" max="12043" width="5.5703125" style="1" customWidth="1"/>
    <col min="12044" max="12045" width="11.5703125" style="1" customWidth="1"/>
    <col min="12046" max="12046" width="10.85546875" style="1" customWidth="1"/>
    <col min="12047" max="12047" width="7.7109375" style="1" customWidth="1"/>
    <col min="12048" max="12048" width="8" style="1" customWidth="1"/>
    <col min="12049" max="12049" width="16.28515625" style="1" customWidth="1"/>
    <col min="12050" max="12050" width="10.5703125" style="1" customWidth="1"/>
    <col min="12051" max="12051" width="14.140625" style="1" customWidth="1"/>
    <col min="12052" max="12052" width="10.140625" style="1" customWidth="1"/>
    <col min="12053" max="12053" width="15.140625" style="1" customWidth="1"/>
    <col min="12054" max="12054" width="8.5703125" style="1" customWidth="1"/>
    <col min="12055" max="12055" width="14.28515625" style="1" customWidth="1"/>
    <col min="12056" max="12056" width="18.28515625" style="1" customWidth="1"/>
    <col min="12057" max="12057" width="13" style="1" bestFit="1" customWidth="1"/>
    <col min="12058" max="12058" width="11.7109375" style="1" bestFit="1" customWidth="1"/>
    <col min="12059" max="12065" width="9.140625" style="1"/>
    <col min="12066" max="12066" width="11.28515625" style="1" bestFit="1" customWidth="1"/>
    <col min="12067" max="12067" width="10.7109375" style="1" bestFit="1" customWidth="1"/>
    <col min="12068" max="12289" width="9.140625" style="1"/>
    <col min="12290" max="12290" width="6.42578125" style="1" customWidth="1"/>
    <col min="12291" max="12291" width="20.7109375" style="1" customWidth="1"/>
    <col min="12292" max="12292" width="24.7109375" style="1" customWidth="1"/>
    <col min="12293" max="12293" width="11.140625" style="1" customWidth="1"/>
    <col min="12294" max="12294" width="12.28515625" style="1" customWidth="1"/>
    <col min="12295" max="12295" width="11.140625" style="1" customWidth="1"/>
    <col min="12296" max="12296" width="10.42578125" style="1" customWidth="1"/>
    <col min="12297" max="12297" width="4.7109375" style="1" customWidth="1"/>
    <col min="12298" max="12298" width="8.5703125" style="1" customWidth="1"/>
    <col min="12299" max="12299" width="5.5703125" style="1" customWidth="1"/>
    <col min="12300" max="12301" width="11.5703125" style="1" customWidth="1"/>
    <col min="12302" max="12302" width="10.85546875" style="1" customWidth="1"/>
    <col min="12303" max="12303" width="7.7109375" style="1" customWidth="1"/>
    <col min="12304" max="12304" width="8" style="1" customWidth="1"/>
    <col min="12305" max="12305" width="16.28515625" style="1" customWidth="1"/>
    <col min="12306" max="12306" width="10.5703125" style="1" customWidth="1"/>
    <col min="12307" max="12307" width="14.140625" style="1" customWidth="1"/>
    <col min="12308" max="12308" width="10.140625" style="1" customWidth="1"/>
    <col min="12309" max="12309" width="15.140625" style="1" customWidth="1"/>
    <col min="12310" max="12310" width="8.5703125" style="1" customWidth="1"/>
    <col min="12311" max="12311" width="14.28515625" style="1" customWidth="1"/>
    <col min="12312" max="12312" width="18.28515625" style="1" customWidth="1"/>
    <col min="12313" max="12313" width="13" style="1" bestFit="1" customWidth="1"/>
    <col min="12314" max="12314" width="11.7109375" style="1" bestFit="1" customWidth="1"/>
    <col min="12315" max="12321" width="9.140625" style="1"/>
    <col min="12322" max="12322" width="11.28515625" style="1" bestFit="1" customWidth="1"/>
    <col min="12323" max="12323" width="10.7109375" style="1" bestFit="1" customWidth="1"/>
    <col min="12324" max="12545" width="9.140625" style="1"/>
    <col min="12546" max="12546" width="6.42578125" style="1" customWidth="1"/>
    <col min="12547" max="12547" width="20.7109375" style="1" customWidth="1"/>
    <col min="12548" max="12548" width="24.7109375" style="1" customWidth="1"/>
    <col min="12549" max="12549" width="11.140625" style="1" customWidth="1"/>
    <col min="12550" max="12550" width="12.28515625" style="1" customWidth="1"/>
    <col min="12551" max="12551" width="11.140625" style="1" customWidth="1"/>
    <col min="12552" max="12552" width="10.42578125" style="1" customWidth="1"/>
    <col min="12553" max="12553" width="4.7109375" style="1" customWidth="1"/>
    <col min="12554" max="12554" width="8.5703125" style="1" customWidth="1"/>
    <col min="12555" max="12555" width="5.5703125" style="1" customWidth="1"/>
    <col min="12556" max="12557" width="11.5703125" style="1" customWidth="1"/>
    <col min="12558" max="12558" width="10.85546875" style="1" customWidth="1"/>
    <col min="12559" max="12559" width="7.7109375" style="1" customWidth="1"/>
    <col min="12560" max="12560" width="8" style="1" customWidth="1"/>
    <col min="12561" max="12561" width="16.28515625" style="1" customWidth="1"/>
    <col min="12562" max="12562" width="10.5703125" style="1" customWidth="1"/>
    <col min="12563" max="12563" width="14.140625" style="1" customWidth="1"/>
    <col min="12564" max="12564" width="10.140625" style="1" customWidth="1"/>
    <col min="12565" max="12565" width="15.140625" style="1" customWidth="1"/>
    <col min="12566" max="12566" width="8.5703125" style="1" customWidth="1"/>
    <col min="12567" max="12567" width="14.28515625" style="1" customWidth="1"/>
    <col min="12568" max="12568" width="18.28515625" style="1" customWidth="1"/>
    <col min="12569" max="12569" width="13" style="1" bestFit="1" customWidth="1"/>
    <col min="12570" max="12570" width="11.7109375" style="1" bestFit="1" customWidth="1"/>
    <col min="12571" max="12577" width="9.140625" style="1"/>
    <col min="12578" max="12578" width="11.28515625" style="1" bestFit="1" customWidth="1"/>
    <col min="12579" max="12579" width="10.7109375" style="1" bestFit="1" customWidth="1"/>
    <col min="12580" max="12801" width="9.140625" style="1"/>
    <col min="12802" max="12802" width="6.42578125" style="1" customWidth="1"/>
    <col min="12803" max="12803" width="20.7109375" style="1" customWidth="1"/>
    <col min="12804" max="12804" width="24.7109375" style="1" customWidth="1"/>
    <col min="12805" max="12805" width="11.140625" style="1" customWidth="1"/>
    <col min="12806" max="12806" width="12.28515625" style="1" customWidth="1"/>
    <col min="12807" max="12807" width="11.140625" style="1" customWidth="1"/>
    <col min="12808" max="12808" width="10.42578125" style="1" customWidth="1"/>
    <col min="12809" max="12809" width="4.7109375" style="1" customWidth="1"/>
    <col min="12810" max="12810" width="8.5703125" style="1" customWidth="1"/>
    <col min="12811" max="12811" width="5.5703125" style="1" customWidth="1"/>
    <col min="12812" max="12813" width="11.5703125" style="1" customWidth="1"/>
    <col min="12814" max="12814" width="10.85546875" style="1" customWidth="1"/>
    <col min="12815" max="12815" width="7.7109375" style="1" customWidth="1"/>
    <col min="12816" max="12816" width="8" style="1" customWidth="1"/>
    <col min="12817" max="12817" width="16.28515625" style="1" customWidth="1"/>
    <col min="12818" max="12818" width="10.5703125" style="1" customWidth="1"/>
    <col min="12819" max="12819" width="14.140625" style="1" customWidth="1"/>
    <col min="12820" max="12820" width="10.140625" style="1" customWidth="1"/>
    <col min="12821" max="12821" width="15.140625" style="1" customWidth="1"/>
    <col min="12822" max="12822" width="8.5703125" style="1" customWidth="1"/>
    <col min="12823" max="12823" width="14.28515625" style="1" customWidth="1"/>
    <col min="12824" max="12824" width="18.28515625" style="1" customWidth="1"/>
    <col min="12825" max="12825" width="13" style="1" bestFit="1" customWidth="1"/>
    <col min="12826" max="12826" width="11.7109375" style="1" bestFit="1" customWidth="1"/>
    <col min="12827" max="12833" width="9.140625" style="1"/>
    <col min="12834" max="12834" width="11.28515625" style="1" bestFit="1" customWidth="1"/>
    <col min="12835" max="12835" width="10.7109375" style="1" bestFit="1" customWidth="1"/>
    <col min="12836" max="13057" width="9.140625" style="1"/>
    <col min="13058" max="13058" width="6.42578125" style="1" customWidth="1"/>
    <col min="13059" max="13059" width="20.7109375" style="1" customWidth="1"/>
    <col min="13060" max="13060" width="24.7109375" style="1" customWidth="1"/>
    <col min="13061" max="13061" width="11.140625" style="1" customWidth="1"/>
    <col min="13062" max="13062" width="12.28515625" style="1" customWidth="1"/>
    <col min="13063" max="13063" width="11.140625" style="1" customWidth="1"/>
    <col min="13064" max="13064" width="10.42578125" style="1" customWidth="1"/>
    <col min="13065" max="13065" width="4.7109375" style="1" customWidth="1"/>
    <col min="13066" max="13066" width="8.5703125" style="1" customWidth="1"/>
    <col min="13067" max="13067" width="5.5703125" style="1" customWidth="1"/>
    <col min="13068" max="13069" width="11.5703125" style="1" customWidth="1"/>
    <col min="13070" max="13070" width="10.85546875" style="1" customWidth="1"/>
    <col min="13071" max="13071" width="7.7109375" style="1" customWidth="1"/>
    <col min="13072" max="13072" width="8" style="1" customWidth="1"/>
    <col min="13073" max="13073" width="16.28515625" style="1" customWidth="1"/>
    <col min="13074" max="13074" width="10.5703125" style="1" customWidth="1"/>
    <col min="13075" max="13075" width="14.140625" style="1" customWidth="1"/>
    <col min="13076" max="13076" width="10.140625" style="1" customWidth="1"/>
    <col min="13077" max="13077" width="15.140625" style="1" customWidth="1"/>
    <col min="13078" max="13078" width="8.5703125" style="1" customWidth="1"/>
    <col min="13079" max="13079" width="14.28515625" style="1" customWidth="1"/>
    <col min="13080" max="13080" width="18.28515625" style="1" customWidth="1"/>
    <col min="13081" max="13081" width="13" style="1" bestFit="1" customWidth="1"/>
    <col min="13082" max="13082" width="11.7109375" style="1" bestFit="1" customWidth="1"/>
    <col min="13083" max="13089" width="9.140625" style="1"/>
    <col min="13090" max="13090" width="11.28515625" style="1" bestFit="1" customWidth="1"/>
    <col min="13091" max="13091" width="10.7109375" style="1" bestFit="1" customWidth="1"/>
    <col min="13092" max="13313" width="9.140625" style="1"/>
    <col min="13314" max="13314" width="6.42578125" style="1" customWidth="1"/>
    <col min="13315" max="13315" width="20.7109375" style="1" customWidth="1"/>
    <col min="13316" max="13316" width="24.7109375" style="1" customWidth="1"/>
    <col min="13317" max="13317" width="11.140625" style="1" customWidth="1"/>
    <col min="13318" max="13318" width="12.28515625" style="1" customWidth="1"/>
    <col min="13319" max="13319" width="11.140625" style="1" customWidth="1"/>
    <col min="13320" max="13320" width="10.42578125" style="1" customWidth="1"/>
    <col min="13321" max="13321" width="4.7109375" style="1" customWidth="1"/>
    <col min="13322" max="13322" width="8.5703125" style="1" customWidth="1"/>
    <col min="13323" max="13323" width="5.5703125" style="1" customWidth="1"/>
    <col min="13324" max="13325" width="11.5703125" style="1" customWidth="1"/>
    <col min="13326" max="13326" width="10.85546875" style="1" customWidth="1"/>
    <col min="13327" max="13327" width="7.7109375" style="1" customWidth="1"/>
    <col min="13328" max="13328" width="8" style="1" customWidth="1"/>
    <col min="13329" max="13329" width="16.28515625" style="1" customWidth="1"/>
    <col min="13330" max="13330" width="10.5703125" style="1" customWidth="1"/>
    <col min="13331" max="13331" width="14.140625" style="1" customWidth="1"/>
    <col min="13332" max="13332" width="10.140625" style="1" customWidth="1"/>
    <col min="13333" max="13333" width="15.140625" style="1" customWidth="1"/>
    <col min="13334" max="13334" width="8.5703125" style="1" customWidth="1"/>
    <col min="13335" max="13335" width="14.28515625" style="1" customWidth="1"/>
    <col min="13336" max="13336" width="18.28515625" style="1" customWidth="1"/>
    <col min="13337" max="13337" width="13" style="1" bestFit="1" customWidth="1"/>
    <col min="13338" max="13338" width="11.7109375" style="1" bestFit="1" customWidth="1"/>
    <col min="13339" max="13345" width="9.140625" style="1"/>
    <col min="13346" max="13346" width="11.28515625" style="1" bestFit="1" customWidth="1"/>
    <col min="13347" max="13347" width="10.7109375" style="1" bestFit="1" customWidth="1"/>
    <col min="13348" max="13569" width="9.140625" style="1"/>
    <col min="13570" max="13570" width="6.42578125" style="1" customWidth="1"/>
    <col min="13571" max="13571" width="20.7109375" style="1" customWidth="1"/>
    <col min="13572" max="13572" width="24.7109375" style="1" customWidth="1"/>
    <col min="13573" max="13573" width="11.140625" style="1" customWidth="1"/>
    <col min="13574" max="13574" width="12.28515625" style="1" customWidth="1"/>
    <col min="13575" max="13575" width="11.140625" style="1" customWidth="1"/>
    <col min="13576" max="13576" width="10.42578125" style="1" customWidth="1"/>
    <col min="13577" max="13577" width="4.7109375" style="1" customWidth="1"/>
    <col min="13578" max="13578" width="8.5703125" style="1" customWidth="1"/>
    <col min="13579" max="13579" width="5.5703125" style="1" customWidth="1"/>
    <col min="13580" max="13581" width="11.5703125" style="1" customWidth="1"/>
    <col min="13582" max="13582" width="10.85546875" style="1" customWidth="1"/>
    <col min="13583" max="13583" width="7.7109375" style="1" customWidth="1"/>
    <col min="13584" max="13584" width="8" style="1" customWidth="1"/>
    <col min="13585" max="13585" width="16.28515625" style="1" customWidth="1"/>
    <col min="13586" max="13586" width="10.5703125" style="1" customWidth="1"/>
    <col min="13587" max="13587" width="14.140625" style="1" customWidth="1"/>
    <col min="13588" max="13588" width="10.140625" style="1" customWidth="1"/>
    <col min="13589" max="13589" width="15.140625" style="1" customWidth="1"/>
    <col min="13590" max="13590" width="8.5703125" style="1" customWidth="1"/>
    <col min="13591" max="13591" width="14.28515625" style="1" customWidth="1"/>
    <col min="13592" max="13592" width="18.28515625" style="1" customWidth="1"/>
    <col min="13593" max="13593" width="13" style="1" bestFit="1" customWidth="1"/>
    <col min="13594" max="13594" width="11.7109375" style="1" bestFit="1" customWidth="1"/>
    <col min="13595" max="13601" width="9.140625" style="1"/>
    <col min="13602" max="13602" width="11.28515625" style="1" bestFit="1" customWidth="1"/>
    <col min="13603" max="13603" width="10.7109375" style="1" bestFit="1" customWidth="1"/>
    <col min="13604" max="13825" width="9.140625" style="1"/>
    <col min="13826" max="13826" width="6.42578125" style="1" customWidth="1"/>
    <col min="13827" max="13827" width="20.7109375" style="1" customWidth="1"/>
    <col min="13828" max="13828" width="24.7109375" style="1" customWidth="1"/>
    <col min="13829" max="13829" width="11.140625" style="1" customWidth="1"/>
    <col min="13830" max="13830" width="12.28515625" style="1" customWidth="1"/>
    <col min="13831" max="13831" width="11.140625" style="1" customWidth="1"/>
    <col min="13832" max="13832" width="10.42578125" style="1" customWidth="1"/>
    <col min="13833" max="13833" width="4.7109375" style="1" customWidth="1"/>
    <col min="13834" max="13834" width="8.5703125" style="1" customWidth="1"/>
    <col min="13835" max="13835" width="5.5703125" style="1" customWidth="1"/>
    <col min="13836" max="13837" width="11.5703125" style="1" customWidth="1"/>
    <col min="13838" max="13838" width="10.85546875" style="1" customWidth="1"/>
    <col min="13839" max="13839" width="7.7109375" style="1" customWidth="1"/>
    <col min="13840" max="13840" width="8" style="1" customWidth="1"/>
    <col min="13841" max="13841" width="16.28515625" style="1" customWidth="1"/>
    <col min="13842" max="13842" width="10.5703125" style="1" customWidth="1"/>
    <col min="13843" max="13843" width="14.140625" style="1" customWidth="1"/>
    <col min="13844" max="13844" width="10.140625" style="1" customWidth="1"/>
    <col min="13845" max="13845" width="15.140625" style="1" customWidth="1"/>
    <col min="13846" max="13846" width="8.5703125" style="1" customWidth="1"/>
    <col min="13847" max="13847" width="14.28515625" style="1" customWidth="1"/>
    <col min="13848" max="13848" width="18.28515625" style="1" customWidth="1"/>
    <col min="13849" max="13849" width="13" style="1" bestFit="1" customWidth="1"/>
    <col min="13850" max="13850" width="11.7109375" style="1" bestFit="1" customWidth="1"/>
    <col min="13851" max="13857" width="9.140625" style="1"/>
    <col min="13858" max="13858" width="11.28515625" style="1" bestFit="1" customWidth="1"/>
    <col min="13859" max="13859" width="10.7109375" style="1" bestFit="1" customWidth="1"/>
    <col min="13860" max="14081" width="9.140625" style="1"/>
    <col min="14082" max="14082" width="6.42578125" style="1" customWidth="1"/>
    <col min="14083" max="14083" width="20.7109375" style="1" customWidth="1"/>
    <col min="14084" max="14084" width="24.7109375" style="1" customWidth="1"/>
    <col min="14085" max="14085" width="11.140625" style="1" customWidth="1"/>
    <col min="14086" max="14086" width="12.28515625" style="1" customWidth="1"/>
    <col min="14087" max="14087" width="11.140625" style="1" customWidth="1"/>
    <col min="14088" max="14088" width="10.42578125" style="1" customWidth="1"/>
    <col min="14089" max="14089" width="4.7109375" style="1" customWidth="1"/>
    <col min="14090" max="14090" width="8.5703125" style="1" customWidth="1"/>
    <col min="14091" max="14091" width="5.5703125" style="1" customWidth="1"/>
    <col min="14092" max="14093" width="11.5703125" style="1" customWidth="1"/>
    <col min="14094" max="14094" width="10.85546875" style="1" customWidth="1"/>
    <col min="14095" max="14095" width="7.7109375" style="1" customWidth="1"/>
    <col min="14096" max="14096" width="8" style="1" customWidth="1"/>
    <col min="14097" max="14097" width="16.28515625" style="1" customWidth="1"/>
    <col min="14098" max="14098" width="10.5703125" style="1" customWidth="1"/>
    <col min="14099" max="14099" width="14.140625" style="1" customWidth="1"/>
    <col min="14100" max="14100" width="10.140625" style="1" customWidth="1"/>
    <col min="14101" max="14101" width="15.140625" style="1" customWidth="1"/>
    <col min="14102" max="14102" width="8.5703125" style="1" customWidth="1"/>
    <col min="14103" max="14103" width="14.28515625" style="1" customWidth="1"/>
    <col min="14104" max="14104" width="18.28515625" style="1" customWidth="1"/>
    <col min="14105" max="14105" width="13" style="1" bestFit="1" customWidth="1"/>
    <col min="14106" max="14106" width="11.7109375" style="1" bestFit="1" customWidth="1"/>
    <col min="14107" max="14113" width="9.140625" style="1"/>
    <col min="14114" max="14114" width="11.28515625" style="1" bestFit="1" customWidth="1"/>
    <col min="14115" max="14115" width="10.7109375" style="1" bestFit="1" customWidth="1"/>
    <col min="14116" max="14337" width="9.140625" style="1"/>
    <col min="14338" max="14338" width="6.42578125" style="1" customWidth="1"/>
    <col min="14339" max="14339" width="20.7109375" style="1" customWidth="1"/>
    <col min="14340" max="14340" width="24.7109375" style="1" customWidth="1"/>
    <col min="14341" max="14341" width="11.140625" style="1" customWidth="1"/>
    <col min="14342" max="14342" width="12.28515625" style="1" customWidth="1"/>
    <col min="14343" max="14343" width="11.140625" style="1" customWidth="1"/>
    <col min="14344" max="14344" width="10.42578125" style="1" customWidth="1"/>
    <col min="14345" max="14345" width="4.7109375" style="1" customWidth="1"/>
    <col min="14346" max="14346" width="8.5703125" style="1" customWidth="1"/>
    <col min="14347" max="14347" width="5.5703125" style="1" customWidth="1"/>
    <col min="14348" max="14349" width="11.5703125" style="1" customWidth="1"/>
    <col min="14350" max="14350" width="10.85546875" style="1" customWidth="1"/>
    <col min="14351" max="14351" width="7.7109375" style="1" customWidth="1"/>
    <col min="14352" max="14352" width="8" style="1" customWidth="1"/>
    <col min="14353" max="14353" width="16.28515625" style="1" customWidth="1"/>
    <col min="14354" max="14354" width="10.5703125" style="1" customWidth="1"/>
    <col min="14355" max="14355" width="14.140625" style="1" customWidth="1"/>
    <col min="14356" max="14356" width="10.140625" style="1" customWidth="1"/>
    <col min="14357" max="14357" width="15.140625" style="1" customWidth="1"/>
    <col min="14358" max="14358" width="8.5703125" style="1" customWidth="1"/>
    <col min="14359" max="14359" width="14.28515625" style="1" customWidth="1"/>
    <col min="14360" max="14360" width="18.28515625" style="1" customWidth="1"/>
    <col min="14361" max="14361" width="13" style="1" bestFit="1" customWidth="1"/>
    <col min="14362" max="14362" width="11.7109375" style="1" bestFit="1" customWidth="1"/>
    <col min="14363" max="14369" width="9.140625" style="1"/>
    <col min="14370" max="14370" width="11.28515625" style="1" bestFit="1" customWidth="1"/>
    <col min="14371" max="14371" width="10.7109375" style="1" bestFit="1" customWidth="1"/>
    <col min="14372" max="14593" width="9.140625" style="1"/>
    <col min="14594" max="14594" width="6.42578125" style="1" customWidth="1"/>
    <col min="14595" max="14595" width="20.7109375" style="1" customWidth="1"/>
    <col min="14596" max="14596" width="24.7109375" style="1" customWidth="1"/>
    <col min="14597" max="14597" width="11.140625" style="1" customWidth="1"/>
    <col min="14598" max="14598" width="12.28515625" style="1" customWidth="1"/>
    <col min="14599" max="14599" width="11.140625" style="1" customWidth="1"/>
    <col min="14600" max="14600" width="10.42578125" style="1" customWidth="1"/>
    <col min="14601" max="14601" width="4.7109375" style="1" customWidth="1"/>
    <col min="14602" max="14602" width="8.5703125" style="1" customWidth="1"/>
    <col min="14603" max="14603" width="5.5703125" style="1" customWidth="1"/>
    <col min="14604" max="14605" width="11.5703125" style="1" customWidth="1"/>
    <col min="14606" max="14606" width="10.85546875" style="1" customWidth="1"/>
    <col min="14607" max="14607" width="7.7109375" style="1" customWidth="1"/>
    <col min="14608" max="14608" width="8" style="1" customWidth="1"/>
    <col min="14609" max="14609" width="16.28515625" style="1" customWidth="1"/>
    <col min="14610" max="14610" width="10.5703125" style="1" customWidth="1"/>
    <col min="14611" max="14611" width="14.140625" style="1" customWidth="1"/>
    <col min="14612" max="14612" width="10.140625" style="1" customWidth="1"/>
    <col min="14613" max="14613" width="15.140625" style="1" customWidth="1"/>
    <col min="14614" max="14614" width="8.5703125" style="1" customWidth="1"/>
    <col min="14615" max="14615" width="14.28515625" style="1" customWidth="1"/>
    <col min="14616" max="14616" width="18.28515625" style="1" customWidth="1"/>
    <col min="14617" max="14617" width="13" style="1" bestFit="1" customWidth="1"/>
    <col min="14618" max="14618" width="11.7109375" style="1" bestFit="1" customWidth="1"/>
    <col min="14619" max="14625" width="9.140625" style="1"/>
    <col min="14626" max="14626" width="11.28515625" style="1" bestFit="1" customWidth="1"/>
    <col min="14627" max="14627" width="10.7109375" style="1" bestFit="1" customWidth="1"/>
    <col min="14628" max="14849" width="9.140625" style="1"/>
    <col min="14850" max="14850" width="6.42578125" style="1" customWidth="1"/>
    <col min="14851" max="14851" width="20.7109375" style="1" customWidth="1"/>
    <col min="14852" max="14852" width="24.7109375" style="1" customWidth="1"/>
    <col min="14853" max="14853" width="11.140625" style="1" customWidth="1"/>
    <col min="14854" max="14854" width="12.28515625" style="1" customWidth="1"/>
    <col min="14855" max="14855" width="11.140625" style="1" customWidth="1"/>
    <col min="14856" max="14856" width="10.42578125" style="1" customWidth="1"/>
    <col min="14857" max="14857" width="4.7109375" style="1" customWidth="1"/>
    <col min="14858" max="14858" width="8.5703125" style="1" customWidth="1"/>
    <col min="14859" max="14859" width="5.5703125" style="1" customWidth="1"/>
    <col min="14860" max="14861" width="11.5703125" style="1" customWidth="1"/>
    <col min="14862" max="14862" width="10.85546875" style="1" customWidth="1"/>
    <col min="14863" max="14863" width="7.7109375" style="1" customWidth="1"/>
    <col min="14864" max="14864" width="8" style="1" customWidth="1"/>
    <col min="14865" max="14865" width="16.28515625" style="1" customWidth="1"/>
    <col min="14866" max="14866" width="10.5703125" style="1" customWidth="1"/>
    <col min="14867" max="14867" width="14.140625" style="1" customWidth="1"/>
    <col min="14868" max="14868" width="10.140625" style="1" customWidth="1"/>
    <col min="14869" max="14869" width="15.140625" style="1" customWidth="1"/>
    <col min="14870" max="14870" width="8.5703125" style="1" customWidth="1"/>
    <col min="14871" max="14871" width="14.28515625" style="1" customWidth="1"/>
    <col min="14872" max="14872" width="18.28515625" style="1" customWidth="1"/>
    <col min="14873" max="14873" width="13" style="1" bestFit="1" customWidth="1"/>
    <col min="14874" max="14874" width="11.7109375" style="1" bestFit="1" customWidth="1"/>
    <col min="14875" max="14881" width="9.140625" style="1"/>
    <col min="14882" max="14882" width="11.28515625" style="1" bestFit="1" customWidth="1"/>
    <col min="14883" max="14883" width="10.7109375" style="1" bestFit="1" customWidth="1"/>
    <col min="14884" max="15105" width="9.140625" style="1"/>
    <col min="15106" max="15106" width="6.42578125" style="1" customWidth="1"/>
    <col min="15107" max="15107" width="20.7109375" style="1" customWidth="1"/>
    <col min="15108" max="15108" width="24.7109375" style="1" customWidth="1"/>
    <col min="15109" max="15109" width="11.140625" style="1" customWidth="1"/>
    <col min="15110" max="15110" width="12.28515625" style="1" customWidth="1"/>
    <col min="15111" max="15111" width="11.140625" style="1" customWidth="1"/>
    <col min="15112" max="15112" width="10.42578125" style="1" customWidth="1"/>
    <col min="15113" max="15113" width="4.7109375" style="1" customWidth="1"/>
    <col min="15114" max="15114" width="8.5703125" style="1" customWidth="1"/>
    <col min="15115" max="15115" width="5.5703125" style="1" customWidth="1"/>
    <col min="15116" max="15117" width="11.5703125" style="1" customWidth="1"/>
    <col min="15118" max="15118" width="10.85546875" style="1" customWidth="1"/>
    <col min="15119" max="15119" width="7.7109375" style="1" customWidth="1"/>
    <col min="15120" max="15120" width="8" style="1" customWidth="1"/>
    <col min="15121" max="15121" width="16.28515625" style="1" customWidth="1"/>
    <col min="15122" max="15122" width="10.5703125" style="1" customWidth="1"/>
    <col min="15123" max="15123" width="14.140625" style="1" customWidth="1"/>
    <col min="15124" max="15124" width="10.140625" style="1" customWidth="1"/>
    <col min="15125" max="15125" width="15.140625" style="1" customWidth="1"/>
    <col min="15126" max="15126" width="8.5703125" style="1" customWidth="1"/>
    <col min="15127" max="15127" width="14.28515625" style="1" customWidth="1"/>
    <col min="15128" max="15128" width="18.28515625" style="1" customWidth="1"/>
    <col min="15129" max="15129" width="13" style="1" bestFit="1" customWidth="1"/>
    <col min="15130" max="15130" width="11.7109375" style="1" bestFit="1" customWidth="1"/>
    <col min="15131" max="15137" width="9.140625" style="1"/>
    <col min="15138" max="15138" width="11.28515625" style="1" bestFit="1" customWidth="1"/>
    <col min="15139" max="15139" width="10.7109375" style="1" bestFit="1" customWidth="1"/>
    <col min="15140" max="15361" width="9.140625" style="1"/>
    <col min="15362" max="15362" width="6.42578125" style="1" customWidth="1"/>
    <col min="15363" max="15363" width="20.7109375" style="1" customWidth="1"/>
    <col min="15364" max="15364" width="24.7109375" style="1" customWidth="1"/>
    <col min="15365" max="15365" width="11.140625" style="1" customWidth="1"/>
    <col min="15366" max="15366" width="12.28515625" style="1" customWidth="1"/>
    <col min="15367" max="15367" width="11.140625" style="1" customWidth="1"/>
    <col min="15368" max="15368" width="10.42578125" style="1" customWidth="1"/>
    <col min="15369" max="15369" width="4.7109375" style="1" customWidth="1"/>
    <col min="15370" max="15370" width="8.5703125" style="1" customWidth="1"/>
    <col min="15371" max="15371" width="5.5703125" style="1" customWidth="1"/>
    <col min="15372" max="15373" width="11.5703125" style="1" customWidth="1"/>
    <col min="15374" max="15374" width="10.85546875" style="1" customWidth="1"/>
    <col min="15375" max="15375" width="7.7109375" style="1" customWidth="1"/>
    <col min="15376" max="15376" width="8" style="1" customWidth="1"/>
    <col min="15377" max="15377" width="16.28515625" style="1" customWidth="1"/>
    <col min="15378" max="15378" width="10.5703125" style="1" customWidth="1"/>
    <col min="15379" max="15379" width="14.140625" style="1" customWidth="1"/>
    <col min="15380" max="15380" width="10.140625" style="1" customWidth="1"/>
    <col min="15381" max="15381" width="15.140625" style="1" customWidth="1"/>
    <col min="15382" max="15382" width="8.5703125" style="1" customWidth="1"/>
    <col min="15383" max="15383" width="14.28515625" style="1" customWidth="1"/>
    <col min="15384" max="15384" width="18.28515625" style="1" customWidth="1"/>
    <col min="15385" max="15385" width="13" style="1" bestFit="1" customWidth="1"/>
    <col min="15386" max="15386" width="11.7109375" style="1" bestFit="1" customWidth="1"/>
    <col min="15387" max="15393" width="9.140625" style="1"/>
    <col min="15394" max="15394" width="11.28515625" style="1" bestFit="1" customWidth="1"/>
    <col min="15395" max="15395" width="10.7109375" style="1" bestFit="1" customWidth="1"/>
    <col min="15396" max="15617" width="9.140625" style="1"/>
    <col min="15618" max="15618" width="6.42578125" style="1" customWidth="1"/>
    <col min="15619" max="15619" width="20.7109375" style="1" customWidth="1"/>
    <col min="15620" max="15620" width="24.7109375" style="1" customWidth="1"/>
    <col min="15621" max="15621" width="11.140625" style="1" customWidth="1"/>
    <col min="15622" max="15622" width="12.28515625" style="1" customWidth="1"/>
    <col min="15623" max="15623" width="11.140625" style="1" customWidth="1"/>
    <col min="15624" max="15624" width="10.42578125" style="1" customWidth="1"/>
    <col min="15625" max="15625" width="4.7109375" style="1" customWidth="1"/>
    <col min="15626" max="15626" width="8.5703125" style="1" customWidth="1"/>
    <col min="15627" max="15627" width="5.5703125" style="1" customWidth="1"/>
    <col min="15628" max="15629" width="11.5703125" style="1" customWidth="1"/>
    <col min="15630" max="15630" width="10.85546875" style="1" customWidth="1"/>
    <col min="15631" max="15631" width="7.7109375" style="1" customWidth="1"/>
    <col min="15632" max="15632" width="8" style="1" customWidth="1"/>
    <col min="15633" max="15633" width="16.28515625" style="1" customWidth="1"/>
    <col min="15634" max="15634" width="10.5703125" style="1" customWidth="1"/>
    <col min="15635" max="15635" width="14.140625" style="1" customWidth="1"/>
    <col min="15636" max="15636" width="10.140625" style="1" customWidth="1"/>
    <col min="15637" max="15637" width="15.140625" style="1" customWidth="1"/>
    <col min="15638" max="15638" width="8.5703125" style="1" customWidth="1"/>
    <col min="15639" max="15639" width="14.28515625" style="1" customWidth="1"/>
    <col min="15640" max="15640" width="18.28515625" style="1" customWidth="1"/>
    <col min="15641" max="15641" width="13" style="1" bestFit="1" customWidth="1"/>
    <col min="15642" max="15642" width="11.7109375" style="1" bestFit="1" customWidth="1"/>
    <col min="15643" max="15649" width="9.140625" style="1"/>
    <col min="15650" max="15650" width="11.28515625" style="1" bestFit="1" customWidth="1"/>
    <col min="15651" max="15651" width="10.7109375" style="1" bestFit="1" customWidth="1"/>
    <col min="15652" max="15873" width="9.140625" style="1"/>
    <col min="15874" max="15874" width="6.42578125" style="1" customWidth="1"/>
    <col min="15875" max="15875" width="20.7109375" style="1" customWidth="1"/>
    <col min="15876" max="15876" width="24.7109375" style="1" customWidth="1"/>
    <col min="15877" max="15877" width="11.140625" style="1" customWidth="1"/>
    <col min="15878" max="15878" width="12.28515625" style="1" customWidth="1"/>
    <col min="15879" max="15879" width="11.140625" style="1" customWidth="1"/>
    <col min="15880" max="15880" width="10.42578125" style="1" customWidth="1"/>
    <col min="15881" max="15881" width="4.7109375" style="1" customWidth="1"/>
    <col min="15882" max="15882" width="8.5703125" style="1" customWidth="1"/>
    <col min="15883" max="15883" width="5.5703125" style="1" customWidth="1"/>
    <col min="15884" max="15885" width="11.5703125" style="1" customWidth="1"/>
    <col min="15886" max="15886" width="10.85546875" style="1" customWidth="1"/>
    <col min="15887" max="15887" width="7.7109375" style="1" customWidth="1"/>
    <col min="15888" max="15888" width="8" style="1" customWidth="1"/>
    <col min="15889" max="15889" width="16.28515625" style="1" customWidth="1"/>
    <col min="15890" max="15890" width="10.5703125" style="1" customWidth="1"/>
    <col min="15891" max="15891" width="14.140625" style="1" customWidth="1"/>
    <col min="15892" max="15892" width="10.140625" style="1" customWidth="1"/>
    <col min="15893" max="15893" width="15.140625" style="1" customWidth="1"/>
    <col min="15894" max="15894" width="8.5703125" style="1" customWidth="1"/>
    <col min="15895" max="15895" width="14.28515625" style="1" customWidth="1"/>
    <col min="15896" max="15896" width="18.28515625" style="1" customWidth="1"/>
    <col min="15897" max="15897" width="13" style="1" bestFit="1" customWidth="1"/>
    <col min="15898" max="15898" width="11.7109375" style="1" bestFit="1" customWidth="1"/>
    <col min="15899" max="15905" width="9.140625" style="1"/>
    <col min="15906" max="15906" width="11.28515625" style="1" bestFit="1" customWidth="1"/>
    <col min="15907" max="15907" width="10.7109375" style="1" bestFit="1" customWidth="1"/>
    <col min="15908" max="16129" width="9.140625" style="1"/>
    <col min="16130" max="16130" width="6.42578125" style="1" customWidth="1"/>
    <col min="16131" max="16131" width="20.7109375" style="1" customWidth="1"/>
    <col min="16132" max="16132" width="24.7109375" style="1" customWidth="1"/>
    <col min="16133" max="16133" width="11.140625" style="1" customWidth="1"/>
    <col min="16134" max="16134" width="12.28515625" style="1" customWidth="1"/>
    <col min="16135" max="16135" width="11.140625" style="1" customWidth="1"/>
    <col min="16136" max="16136" width="10.42578125" style="1" customWidth="1"/>
    <col min="16137" max="16137" width="4.7109375" style="1" customWidth="1"/>
    <col min="16138" max="16138" width="8.5703125" style="1" customWidth="1"/>
    <col min="16139" max="16139" width="5.5703125" style="1" customWidth="1"/>
    <col min="16140" max="16141" width="11.5703125" style="1" customWidth="1"/>
    <col min="16142" max="16142" width="10.85546875" style="1" customWidth="1"/>
    <col min="16143" max="16143" width="7.7109375" style="1" customWidth="1"/>
    <col min="16144" max="16144" width="8" style="1" customWidth="1"/>
    <col min="16145" max="16145" width="16.28515625" style="1" customWidth="1"/>
    <col min="16146" max="16146" width="10.5703125" style="1" customWidth="1"/>
    <col min="16147" max="16147" width="14.140625" style="1" customWidth="1"/>
    <col min="16148" max="16148" width="10.140625" style="1" customWidth="1"/>
    <col min="16149" max="16149" width="15.140625" style="1" customWidth="1"/>
    <col min="16150" max="16150" width="8.5703125" style="1" customWidth="1"/>
    <col min="16151" max="16151" width="14.28515625" style="1" customWidth="1"/>
    <col min="16152" max="16152" width="18.28515625" style="1" customWidth="1"/>
    <col min="16153" max="16153" width="13" style="1" bestFit="1" customWidth="1"/>
    <col min="16154" max="16154" width="11.7109375" style="1" bestFit="1" customWidth="1"/>
    <col min="16155" max="16161" width="9.140625" style="1"/>
    <col min="16162" max="16162" width="11.28515625" style="1" bestFit="1" customWidth="1"/>
    <col min="16163" max="16163" width="10.7109375" style="1" bestFit="1" customWidth="1"/>
    <col min="16164" max="16384" width="9.140625" style="1"/>
  </cols>
  <sheetData>
    <row r="1" spans="1:69" ht="9.75" customHeight="1">
      <c r="V1" s="3"/>
    </row>
    <row r="2" spans="1:69" ht="32.25" customHeight="1">
      <c r="A2" s="2310" t="s">
        <v>827</v>
      </c>
      <c r="B2" s="2310"/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  <c r="N2" s="2310"/>
      <c r="O2" s="2310"/>
      <c r="P2" s="2310"/>
      <c r="Q2" s="2310"/>
      <c r="R2" s="2310"/>
      <c r="S2" s="2310"/>
      <c r="T2" s="2310"/>
      <c r="U2" s="2310"/>
      <c r="V2" s="2310"/>
      <c r="W2" s="2310"/>
      <c r="X2" s="2310"/>
      <c r="Y2" s="24"/>
      <c r="Z2" s="24"/>
    </row>
    <row r="3" spans="1:69" ht="13.5" customHeight="1">
      <c r="A3" s="2309" t="s">
        <v>0</v>
      </c>
      <c r="B3" s="2309"/>
      <c r="C3" s="2309"/>
      <c r="D3" s="2309"/>
      <c r="E3" s="2309"/>
      <c r="F3" s="2309"/>
      <c r="G3" s="2309"/>
      <c r="H3" s="2309"/>
      <c r="I3" s="2309"/>
      <c r="J3" s="2309"/>
      <c r="K3" s="2309"/>
      <c r="L3" s="2309"/>
      <c r="M3" s="2309"/>
      <c r="N3" s="2309"/>
      <c r="O3" s="2309"/>
      <c r="P3" s="2309"/>
      <c r="Q3" s="2309"/>
      <c r="R3" s="2309"/>
      <c r="S3" s="2309"/>
      <c r="T3" s="2309"/>
      <c r="U3" s="2309"/>
      <c r="V3" s="2309"/>
      <c r="W3" s="2309"/>
      <c r="X3" s="2309"/>
      <c r="Y3" s="24"/>
      <c r="Z3" s="24"/>
    </row>
    <row r="4" spans="1:69" s="1931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782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304" t="s">
        <v>821</v>
      </c>
      <c r="P4" s="2256" t="s">
        <v>16</v>
      </c>
      <c r="Q4" s="1932" t="s">
        <v>642</v>
      </c>
      <c r="R4" s="2256" t="s">
        <v>17</v>
      </c>
      <c r="S4" s="2256"/>
      <c r="T4" s="2256" t="s">
        <v>18</v>
      </c>
      <c r="U4" s="2256"/>
      <c r="V4" s="2256" t="s">
        <v>19</v>
      </c>
      <c r="W4" s="2256"/>
      <c r="X4" s="2306" t="s">
        <v>401</v>
      </c>
      <c r="Y4" s="2260" t="s">
        <v>401</v>
      </c>
      <c r="Z4" s="2305" t="s">
        <v>394</v>
      </c>
      <c r="AA4" s="24"/>
      <c r="AB4" s="89"/>
      <c r="AC4" s="89"/>
      <c r="AD4" s="89"/>
      <c r="AE4" s="89"/>
      <c r="AF4" s="89"/>
      <c r="AG4" s="89"/>
      <c r="AH4" s="89"/>
      <c r="AI4" s="89"/>
      <c r="AJ4" s="89"/>
      <c r="AK4" s="86"/>
      <c r="AL4" s="86"/>
      <c r="AM4" s="86"/>
      <c r="AN4" s="86"/>
      <c r="AO4" s="86"/>
      <c r="AP4" s="86"/>
      <c r="AQ4" s="86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</row>
    <row r="5" spans="1:69" s="1931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304"/>
      <c r="P5" s="2256"/>
      <c r="Q5" s="1932" t="s">
        <v>22</v>
      </c>
      <c r="R5" s="1932" t="s">
        <v>21</v>
      </c>
      <c r="S5" s="1932" t="s">
        <v>22</v>
      </c>
      <c r="T5" s="1932" t="s">
        <v>21</v>
      </c>
      <c r="U5" s="1932" t="s">
        <v>22</v>
      </c>
      <c r="V5" s="1932" t="s">
        <v>21</v>
      </c>
      <c r="W5" s="1932" t="s">
        <v>22</v>
      </c>
      <c r="X5" s="2306"/>
      <c r="Y5" s="2260"/>
      <c r="Z5" s="2305"/>
      <c r="AA5" s="1023" t="s">
        <v>640</v>
      </c>
      <c r="AB5" s="1024" t="s">
        <v>641</v>
      </c>
      <c r="AC5" s="89"/>
      <c r="AD5" s="89"/>
      <c r="AE5" s="89"/>
      <c r="AF5" s="89"/>
      <c r="AG5" s="89"/>
      <c r="AH5" s="89"/>
      <c r="AI5" s="89"/>
      <c r="AJ5" s="89"/>
      <c r="AK5" s="86"/>
      <c r="AL5" s="86"/>
      <c r="AM5" s="86"/>
      <c r="AN5" s="86"/>
      <c r="AO5" s="86"/>
      <c r="AP5" s="86"/>
      <c r="AQ5" s="86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</row>
    <row r="6" spans="1:69" s="80" customFormat="1" ht="15" customHeight="1">
      <c r="A6" s="5">
        <v>1</v>
      </c>
      <c r="B6" s="730" t="s">
        <v>23</v>
      </c>
      <c r="C6" s="6" t="s">
        <v>620</v>
      </c>
      <c r="D6" s="5" t="s">
        <v>25</v>
      </c>
      <c r="E6" s="57" t="s">
        <v>724</v>
      </c>
      <c r="F6" s="5" t="s">
        <v>27</v>
      </c>
      <c r="G6" s="5">
        <v>1</v>
      </c>
      <c r="H6" s="5" t="s">
        <v>28</v>
      </c>
      <c r="I6" s="5" t="s">
        <v>29</v>
      </c>
      <c r="J6" s="731" t="s">
        <v>30</v>
      </c>
      <c r="K6" s="7">
        <v>17697</v>
      </c>
      <c r="L6" s="7"/>
      <c r="M6" s="10">
        <v>1</v>
      </c>
      <c r="N6" s="7"/>
      <c r="O6" s="10">
        <v>6.22</v>
      </c>
      <c r="P6" s="7">
        <f>O6*K6</f>
        <v>110075.34</v>
      </c>
      <c r="Q6" s="882"/>
      <c r="R6" s="7"/>
      <c r="S6" s="8"/>
      <c r="T6" s="7">
        <v>0.1</v>
      </c>
      <c r="U6" s="7">
        <f>(P6+Q6+S6)*T6</f>
        <v>11007.534</v>
      </c>
      <c r="V6" s="7"/>
      <c r="W6" s="9"/>
      <c r="X6" s="10">
        <f>P6+S6+U6+W6+Q6</f>
        <v>121082.874</v>
      </c>
      <c r="Y6" s="274">
        <f>R6+T6+V6</f>
        <v>0.1</v>
      </c>
      <c r="Z6" s="274">
        <f>S6+U6+W6</f>
        <v>11007.534</v>
      </c>
      <c r="AA6" s="81">
        <f>X6*12</f>
        <v>1452994.4879999999</v>
      </c>
      <c r="AB6" s="1025">
        <f>AA6/12/29.33*30</f>
        <v>123848.83123082168</v>
      </c>
      <c r="AC6" s="82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</row>
    <row r="7" spans="1:69" s="80" customFormat="1" ht="15" customHeight="1">
      <c r="A7" s="5">
        <v>2</v>
      </c>
      <c r="B7" s="730" t="s">
        <v>31</v>
      </c>
      <c r="C7" s="6" t="s">
        <v>32</v>
      </c>
      <c r="D7" s="5" t="s">
        <v>25</v>
      </c>
      <c r="E7" s="45" t="s">
        <v>772</v>
      </c>
      <c r="F7" s="12" t="s">
        <v>34</v>
      </c>
      <c r="G7" s="5">
        <v>1</v>
      </c>
      <c r="H7" s="5" t="s">
        <v>28</v>
      </c>
      <c r="I7" s="5" t="s">
        <v>35</v>
      </c>
      <c r="J7" s="733" t="s">
        <v>30</v>
      </c>
      <c r="K7" s="7">
        <v>17697</v>
      </c>
      <c r="L7" s="7"/>
      <c r="M7" s="10">
        <v>1</v>
      </c>
      <c r="N7" s="7"/>
      <c r="O7" s="1626">
        <v>5.77</v>
      </c>
      <c r="P7" s="7">
        <f>O7*K7</f>
        <v>102111.68999999999</v>
      </c>
      <c r="Q7" s="882"/>
      <c r="R7" s="8"/>
      <c r="S7" s="7"/>
      <c r="T7" s="7">
        <v>0.1</v>
      </c>
      <c r="U7" s="7">
        <f t="shared" ref="U7:U25" si="0">(P7+Q7+S7)*T7</f>
        <v>10211.169</v>
      </c>
      <c r="V7" s="9"/>
      <c r="W7" s="7"/>
      <c r="X7" s="10">
        <f t="shared" ref="X7:X25" si="1">P7+S7+U7+W7+Q7</f>
        <v>112322.85899999998</v>
      </c>
      <c r="Y7" s="274">
        <f t="shared" ref="Y7:Z24" si="2">R7+T7+V7</f>
        <v>0.1</v>
      </c>
      <c r="Z7" s="274">
        <f t="shared" si="2"/>
        <v>10211.169</v>
      </c>
      <c r="AA7" s="81">
        <f t="shared" ref="AA7:AA72" si="3">X7*12</f>
        <v>1347874.3079999997</v>
      </c>
      <c r="AB7" s="1025">
        <f t="shared" ref="AB7:AB24" si="4">AA7/12/29.33*30</f>
        <v>114888.7067848619</v>
      </c>
      <c r="AH7" s="127"/>
      <c r="AI7" s="116"/>
      <c r="AK7" s="81"/>
      <c r="AL7" s="81"/>
      <c r="AM7" s="81"/>
      <c r="AN7" s="81"/>
      <c r="AO7" s="81"/>
      <c r="AP7" s="81"/>
      <c r="AQ7" s="81"/>
    </row>
    <row r="8" spans="1:69" s="129" customFormat="1" ht="15" customHeight="1">
      <c r="A8" s="5">
        <v>3</v>
      </c>
      <c r="B8" s="13" t="s">
        <v>36</v>
      </c>
      <c r="C8" s="6" t="s">
        <v>32</v>
      </c>
      <c r="D8" s="14" t="s">
        <v>25</v>
      </c>
      <c r="E8" s="536" t="s">
        <v>265</v>
      </c>
      <c r="F8" s="12" t="s">
        <v>34</v>
      </c>
      <c r="G8" s="14">
        <v>1</v>
      </c>
      <c r="H8" s="5" t="s">
        <v>28</v>
      </c>
      <c r="I8" s="5" t="s">
        <v>35</v>
      </c>
      <c r="J8" s="14">
        <v>3</v>
      </c>
      <c r="K8" s="15">
        <v>17697</v>
      </c>
      <c r="L8" s="15"/>
      <c r="M8" s="1627">
        <v>1</v>
      </c>
      <c r="N8" s="7"/>
      <c r="O8" s="1628">
        <v>5.77</v>
      </c>
      <c r="P8" s="7">
        <f>O8*K8</f>
        <v>102111.68999999999</v>
      </c>
      <c r="Q8" s="882"/>
      <c r="R8" s="8"/>
      <c r="S8" s="7"/>
      <c r="T8" s="7">
        <v>0.1</v>
      </c>
      <c r="U8" s="7">
        <f t="shared" si="0"/>
        <v>10211.169</v>
      </c>
      <c r="V8" s="9"/>
      <c r="W8" s="7"/>
      <c r="X8" s="10">
        <f t="shared" si="1"/>
        <v>112322.85899999998</v>
      </c>
      <c r="Y8" s="274">
        <f t="shared" si="2"/>
        <v>0.1</v>
      </c>
      <c r="Z8" s="274">
        <f t="shared" si="2"/>
        <v>10211.169</v>
      </c>
      <c r="AA8" s="81">
        <f t="shared" si="3"/>
        <v>1347874.3079999997</v>
      </c>
      <c r="AB8" s="1025">
        <f t="shared" si="4"/>
        <v>114888.7067848619</v>
      </c>
      <c r="AH8" s="130"/>
      <c r="AI8" s="131"/>
      <c r="AK8" s="1954"/>
      <c r="AL8" s="1954"/>
      <c r="AM8" s="1954"/>
      <c r="AN8" s="1954"/>
      <c r="AO8" s="1954"/>
      <c r="AP8" s="1954"/>
      <c r="AQ8" s="1954"/>
    </row>
    <row r="9" spans="1:69" s="132" customFormat="1" ht="15">
      <c r="A9" s="5">
        <v>4</v>
      </c>
      <c r="B9" s="17" t="s">
        <v>38</v>
      </c>
      <c r="C9" s="6" t="s">
        <v>32</v>
      </c>
      <c r="D9" s="16" t="s">
        <v>25</v>
      </c>
      <c r="E9" s="543" t="s">
        <v>774</v>
      </c>
      <c r="F9" s="734" t="s">
        <v>40</v>
      </c>
      <c r="G9" s="16">
        <v>1</v>
      </c>
      <c r="H9" s="5" t="s">
        <v>28</v>
      </c>
      <c r="I9" s="5" t="s">
        <v>35</v>
      </c>
      <c r="J9" s="735">
        <v>3</v>
      </c>
      <c r="K9" s="18">
        <v>17697</v>
      </c>
      <c r="L9" s="18"/>
      <c r="M9" s="1629">
        <v>1</v>
      </c>
      <c r="N9" s="18"/>
      <c r="O9" s="1628">
        <v>5.77</v>
      </c>
      <c r="P9" s="18">
        <f t="shared" ref="P9:P23" si="5">O9*K9*M9</f>
        <v>102111.68999999999</v>
      </c>
      <c r="Q9" s="882"/>
      <c r="R9" s="19">
        <v>0.25</v>
      </c>
      <c r="S9" s="18">
        <f>P9*R9</f>
        <v>25527.922499999997</v>
      </c>
      <c r="T9" s="7">
        <v>0.1</v>
      </c>
      <c r="U9" s="7">
        <v>10211.17</v>
      </c>
      <c r="V9" s="736"/>
      <c r="W9" s="18"/>
      <c r="X9" s="10">
        <f t="shared" si="1"/>
        <v>137850.7825</v>
      </c>
      <c r="Y9" s="274">
        <f t="shared" si="2"/>
        <v>0.35</v>
      </c>
      <c r="Z9" s="274">
        <f t="shared" si="2"/>
        <v>35739.092499999999</v>
      </c>
      <c r="AA9" s="81">
        <f t="shared" si="3"/>
        <v>1654209.3900000001</v>
      </c>
      <c r="AB9" s="1025">
        <f t="shared" si="4"/>
        <v>140999.77753153769</v>
      </c>
      <c r="AC9" s="81"/>
      <c r="AD9" s="81"/>
      <c r="AE9" s="82"/>
      <c r="AF9" s="82"/>
      <c r="AG9" s="81"/>
      <c r="AK9" s="1955"/>
      <c r="AL9" s="1956"/>
      <c r="AM9" s="1955"/>
      <c r="AN9" s="1955"/>
      <c r="AO9" s="1955"/>
      <c r="AP9" s="1957"/>
      <c r="AQ9" s="1956">
        <f>P9+U9+S9+W9</f>
        <v>137850.78249999997</v>
      </c>
    </row>
    <row r="10" spans="1:69" s="80" customFormat="1" ht="15" customHeight="1">
      <c r="A10" s="5">
        <v>5</v>
      </c>
      <c r="B10" s="730" t="s">
        <v>91</v>
      </c>
      <c r="C10" s="6" t="s">
        <v>783</v>
      </c>
      <c r="D10" s="5" t="s">
        <v>25</v>
      </c>
      <c r="E10" s="562" t="s">
        <v>677</v>
      </c>
      <c r="F10" s="5" t="s">
        <v>367</v>
      </c>
      <c r="G10" s="5">
        <v>1</v>
      </c>
      <c r="H10" s="20" t="s">
        <v>28</v>
      </c>
      <c r="I10" s="20" t="s">
        <v>29</v>
      </c>
      <c r="J10" s="731" t="s">
        <v>44</v>
      </c>
      <c r="K10" s="7">
        <v>17697</v>
      </c>
      <c r="L10" s="7"/>
      <c r="M10" s="10">
        <v>1</v>
      </c>
      <c r="N10" s="7"/>
      <c r="O10" s="1022" t="s">
        <v>771</v>
      </c>
      <c r="P10" s="18">
        <f>O10*K10*M10</f>
        <v>98926.23</v>
      </c>
      <c r="Q10" s="882"/>
      <c r="R10" s="7"/>
      <c r="S10" s="8"/>
      <c r="T10" s="7">
        <v>0.1</v>
      </c>
      <c r="U10" s="7">
        <f t="shared" si="0"/>
        <v>9892.6229999999996</v>
      </c>
      <c r="V10" s="7"/>
      <c r="W10" s="9"/>
      <c r="X10" s="10">
        <f t="shared" si="1"/>
        <v>108818.853</v>
      </c>
      <c r="Y10" s="274">
        <f t="shared" si="2"/>
        <v>0.1</v>
      </c>
      <c r="Z10" s="274">
        <f t="shared" si="2"/>
        <v>9892.6229999999996</v>
      </c>
      <c r="AA10" s="81">
        <f t="shared" si="3"/>
        <v>1305826.236</v>
      </c>
      <c r="AB10" s="1025">
        <f t="shared" si="4"/>
        <v>111304.65700647802</v>
      </c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</row>
    <row r="11" spans="1:69" s="80" customFormat="1" ht="15" customHeight="1">
      <c r="A11" s="5">
        <v>6</v>
      </c>
      <c r="B11" s="730" t="s">
        <v>45</v>
      </c>
      <c r="C11" s="6" t="s">
        <v>46</v>
      </c>
      <c r="D11" s="560" t="s">
        <v>25</v>
      </c>
      <c r="E11" s="582" t="s">
        <v>727</v>
      </c>
      <c r="F11" s="582" t="s">
        <v>34</v>
      </c>
      <c r="G11" s="560">
        <v>1</v>
      </c>
      <c r="H11" s="5" t="s">
        <v>28</v>
      </c>
      <c r="I11" s="5" t="s">
        <v>29</v>
      </c>
      <c r="J11" s="731" t="s">
        <v>44</v>
      </c>
      <c r="K11" s="7">
        <v>17697</v>
      </c>
      <c r="L11" s="7"/>
      <c r="M11" s="10">
        <v>1</v>
      </c>
      <c r="N11" s="7"/>
      <c r="O11" s="10">
        <v>5.91</v>
      </c>
      <c r="P11" s="18">
        <f t="shared" si="5"/>
        <v>104589.27</v>
      </c>
      <c r="Q11" s="882"/>
      <c r="R11" s="19"/>
      <c r="S11" s="7"/>
      <c r="T11" s="7">
        <v>0.1</v>
      </c>
      <c r="U11" s="7">
        <f t="shared" si="0"/>
        <v>10458.927000000001</v>
      </c>
      <c r="V11" s="9"/>
      <c r="W11" s="7"/>
      <c r="X11" s="10">
        <f t="shared" si="1"/>
        <v>115048.197</v>
      </c>
      <c r="Y11" s="274">
        <f t="shared" si="2"/>
        <v>0.1</v>
      </c>
      <c r="Z11" s="274">
        <f t="shared" si="2"/>
        <v>10458.927000000001</v>
      </c>
      <c r="AA11" s="81">
        <f t="shared" si="3"/>
        <v>1380578.3640000001</v>
      </c>
      <c r="AB11" s="1025">
        <f t="shared" si="4"/>
        <v>117676.30105693829</v>
      </c>
      <c r="AK11" s="81"/>
      <c r="AL11" s="81"/>
      <c r="AM11" s="81"/>
      <c r="AN11" s="81"/>
      <c r="AO11" s="81"/>
      <c r="AP11" s="81"/>
      <c r="AQ11" s="81"/>
    </row>
    <row r="12" spans="1:69" s="80" customFormat="1" ht="15" customHeight="1">
      <c r="A12" s="5">
        <v>7</v>
      </c>
      <c r="B12" s="730" t="s">
        <v>48</v>
      </c>
      <c r="C12" s="6" t="s">
        <v>49</v>
      </c>
      <c r="D12" s="5" t="s">
        <v>25</v>
      </c>
      <c r="E12" s="57" t="s">
        <v>777</v>
      </c>
      <c r="F12" s="5" t="s">
        <v>51</v>
      </c>
      <c r="G12" s="5">
        <v>1</v>
      </c>
      <c r="H12" s="20" t="s">
        <v>28</v>
      </c>
      <c r="I12" s="20" t="s">
        <v>35</v>
      </c>
      <c r="J12" s="731" t="s">
        <v>30</v>
      </c>
      <c r="K12" s="7">
        <v>17697</v>
      </c>
      <c r="L12" s="7"/>
      <c r="M12" s="10">
        <v>1</v>
      </c>
      <c r="N12" s="7"/>
      <c r="O12" s="1022" t="s">
        <v>370</v>
      </c>
      <c r="P12" s="18">
        <f t="shared" si="5"/>
        <v>99280.170000000013</v>
      </c>
      <c r="Q12" s="882"/>
      <c r="R12" s="7"/>
      <c r="S12" s="8"/>
      <c r="T12" s="7">
        <v>0.1</v>
      </c>
      <c r="U12" s="7">
        <f t="shared" si="0"/>
        <v>9928.0170000000016</v>
      </c>
      <c r="V12" s="7"/>
      <c r="W12" s="9"/>
      <c r="X12" s="10">
        <f t="shared" si="1"/>
        <v>109208.18700000002</v>
      </c>
      <c r="Y12" s="274">
        <f t="shared" si="2"/>
        <v>0.1</v>
      </c>
      <c r="Z12" s="274">
        <f t="shared" si="2"/>
        <v>9928.0170000000016</v>
      </c>
      <c r="AA12" s="81">
        <f t="shared" si="3"/>
        <v>1310498.2440000002</v>
      </c>
      <c r="AB12" s="1025">
        <f t="shared" si="4"/>
        <v>111702.88475963179</v>
      </c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</row>
    <row r="13" spans="1:69" s="80" customFormat="1" ht="15" customHeight="1">
      <c r="A13" s="5">
        <v>8</v>
      </c>
      <c r="B13" s="26" t="s">
        <v>52</v>
      </c>
      <c r="C13" s="6" t="s">
        <v>53</v>
      </c>
      <c r="D13" s="5" t="s">
        <v>25</v>
      </c>
      <c r="E13" s="57" t="s">
        <v>775</v>
      </c>
      <c r="F13" s="5" t="s">
        <v>73</v>
      </c>
      <c r="G13" s="5">
        <v>1</v>
      </c>
      <c r="H13" s="20" t="s">
        <v>56</v>
      </c>
      <c r="I13" s="20" t="s">
        <v>56</v>
      </c>
      <c r="J13" s="731" t="s">
        <v>57</v>
      </c>
      <c r="K13" s="7">
        <v>17697</v>
      </c>
      <c r="L13" s="7"/>
      <c r="M13" s="10">
        <v>1</v>
      </c>
      <c r="N13" s="7"/>
      <c r="O13" s="1022" t="s">
        <v>639</v>
      </c>
      <c r="P13" s="18">
        <f t="shared" si="5"/>
        <v>78397.709999999992</v>
      </c>
      <c r="Q13" s="882"/>
      <c r="R13" s="7"/>
      <c r="S13" s="8"/>
      <c r="T13" s="7">
        <v>0.1</v>
      </c>
      <c r="U13" s="7">
        <f t="shared" si="0"/>
        <v>7839.7709999999997</v>
      </c>
      <c r="V13" s="7"/>
      <c r="W13" s="9"/>
      <c r="X13" s="10">
        <f t="shared" si="1"/>
        <v>86237.480999999985</v>
      </c>
      <c r="Y13" s="274">
        <f t="shared" si="2"/>
        <v>0.1</v>
      </c>
      <c r="Z13" s="274">
        <f t="shared" si="2"/>
        <v>7839.7709999999997</v>
      </c>
      <c r="AA13" s="81">
        <f t="shared" si="3"/>
        <v>1034849.7719999999</v>
      </c>
      <c r="AB13" s="1025">
        <f t="shared" si="4"/>
        <v>88207.447323559478</v>
      </c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</row>
    <row r="14" spans="1:69" s="80" customFormat="1" ht="15" customHeight="1">
      <c r="A14" s="5">
        <v>9</v>
      </c>
      <c r="B14" s="26" t="s">
        <v>399</v>
      </c>
      <c r="C14" s="6" t="s">
        <v>621</v>
      </c>
      <c r="D14" s="5" t="s">
        <v>25</v>
      </c>
      <c r="E14" s="48" t="s">
        <v>776</v>
      </c>
      <c r="F14" s="5" t="s">
        <v>77</v>
      </c>
      <c r="G14" s="40">
        <v>1</v>
      </c>
      <c r="H14" s="5" t="s">
        <v>61</v>
      </c>
      <c r="I14" s="5" t="s">
        <v>61</v>
      </c>
      <c r="J14" s="27">
        <v>1</v>
      </c>
      <c r="K14" s="7">
        <v>17697</v>
      </c>
      <c r="L14" s="7"/>
      <c r="M14" s="10">
        <v>1</v>
      </c>
      <c r="N14" s="732"/>
      <c r="O14" s="1022" t="s">
        <v>402</v>
      </c>
      <c r="P14" s="18">
        <f t="shared" si="5"/>
        <v>53798.879999999997</v>
      </c>
      <c r="Q14" s="882"/>
      <c r="R14" s="7"/>
      <c r="S14" s="8"/>
      <c r="T14" s="7">
        <v>0.1</v>
      </c>
      <c r="U14" s="7">
        <f t="shared" si="0"/>
        <v>5379.8879999999999</v>
      </c>
      <c r="V14" s="7"/>
      <c r="W14" s="9"/>
      <c r="X14" s="10">
        <f t="shared" si="1"/>
        <v>59178.767999999996</v>
      </c>
      <c r="Y14" s="274">
        <f t="shared" si="2"/>
        <v>0.1</v>
      </c>
      <c r="Z14" s="274">
        <f t="shared" si="2"/>
        <v>5379.8879999999999</v>
      </c>
      <c r="AA14" s="81">
        <f t="shared" si="3"/>
        <v>710145.21600000001</v>
      </c>
      <c r="AB14" s="1025">
        <f t="shared" si="4"/>
        <v>60530.618479372664</v>
      </c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</row>
    <row r="15" spans="1:69" s="80" customFormat="1" ht="15" customHeight="1">
      <c r="A15" s="5">
        <v>10</v>
      </c>
      <c r="B15" s="702" t="s">
        <v>767</v>
      </c>
      <c r="C15" s="1630" t="s">
        <v>768</v>
      </c>
      <c r="D15" s="894" t="s">
        <v>25</v>
      </c>
      <c r="E15" s="1631" t="s">
        <v>769</v>
      </c>
      <c r="F15" s="5" t="s">
        <v>77</v>
      </c>
      <c r="G15" s="1632">
        <v>1</v>
      </c>
      <c r="H15" s="40" t="s">
        <v>56</v>
      </c>
      <c r="I15" s="40" t="s">
        <v>56</v>
      </c>
      <c r="J15" s="41" t="s">
        <v>57</v>
      </c>
      <c r="K15" s="7">
        <v>17697</v>
      </c>
      <c r="L15" s="882"/>
      <c r="M15" s="1547">
        <v>1</v>
      </c>
      <c r="N15" s="1633"/>
      <c r="O15" s="1634" t="s">
        <v>770</v>
      </c>
      <c r="P15" s="883">
        <f t="shared" si="5"/>
        <v>74858.310000000012</v>
      </c>
      <c r="Q15" s="882"/>
      <c r="R15" s="882"/>
      <c r="S15" s="1635"/>
      <c r="T15" s="7">
        <v>0.1</v>
      </c>
      <c r="U15" s="7">
        <f t="shared" si="0"/>
        <v>7485.8310000000019</v>
      </c>
      <c r="V15" s="882"/>
      <c r="W15" s="881"/>
      <c r="X15" s="10">
        <f t="shared" si="1"/>
        <v>82344.141000000018</v>
      </c>
      <c r="Y15" s="688"/>
      <c r="Z15" s="688"/>
      <c r="AA15" s="81"/>
      <c r="AB15" s="1025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</row>
    <row r="16" spans="1:69" s="80" customFormat="1" ht="15" customHeight="1">
      <c r="A16" s="5">
        <v>11</v>
      </c>
      <c r="B16" s="26" t="s">
        <v>62</v>
      </c>
      <c r="C16" s="13" t="s">
        <v>63</v>
      </c>
      <c r="D16" s="5" t="s">
        <v>64</v>
      </c>
      <c r="E16" s="57" t="s">
        <v>730</v>
      </c>
      <c r="F16" s="5" t="s">
        <v>367</v>
      </c>
      <c r="G16" s="5">
        <v>1</v>
      </c>
      <c r="H16" s="20" t="s">
        <v>56</v>
      </c>
      <c r="I16" s="20" t="s">
        <v>56</v>
      </c>
      <c r="J16" s="27">
        <v>3</v>
      </c>
      <c r="K16" s="7">
        <v>17697</v>
      </c>
      <c r="L16" s="7"/>
      <c r="M16" s="10">
        <v>1</v>
      </c>
      <c r="N16" s="7"/>
      <c r="O16" s="10">
        <v>3.61</v>
      </c>
      <c r="P16" s="18">
        <f t="shared" si="5"/>
        <v>63886.17</v>
      </c>
      <c r="Q16" s="882"/>
      <c r="R16" s="7"/>
      <c r="S16" s="8"/>
      <c r="T16" s="7">
        <v>0.1</v>
      </c>
      <c r="U16" s="7">
        <f t="shared" si="0"/>
        <v>6388.6170000000002</v>
      </c>
      <c r="V16" s="7"/>
      <c r="W16" s="9"/>
      <c r="X16" s="10">
        <f t="shared" si="1"/>
        <v>70274.786999999997</v>
      </c>
      <c r="Y16" s="274">
        <f t="shared" si="2"/>
        <v>0.1</v>
      </c>
      <c r="Z16" s="274">
        <f t="shared" si="2"/>
        <v>6388.6170000000002</v>
      </c>
      <c r="AA16" s="81">
        <f t="shared" si="3"/>
        <v>843297.4439999999</v>
      </c>
      <c r="AB16" s="1025">
        <f t="shared" si="4"/>
        <v>71880.109444255024</v>
      </c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</row>
    <row r="17" spans="1:43" s="80" customFormat="1" ht="15" customHeight="1">
      <c r="A17" s="5">
        <v>12</v>
      </c>
      <c r="B17" s="26" t="s">
        <v>400</v>
      </c>
      <c r="C17" s="13" t="s">
        <v>63</v>
      </c>
      <c r="D17" s="5" t="s">
        <v>64</v>
      </c>
      <c r="E17" s="1636" t="s">
        <v>121</v>
      </c>
      <c r="F17" s="5" t="s">
        <v>122</v>
      </c>
      <c r="G17" s="5">
        <v>1.5</v>
      </c>
      <c r="H17" s="20" t="s">
        <v>69</v>
      </c>
      <c r="I17" s="20" t="s">
        <v>69</v>
      </c>
      <c r="J17" s="737" t="s">
        <v>30</v>
      </c>
      <c r="K17" s="7">
        <v>17697</v>
      </c>
      <c r="L17" s="7"/>
      <c r="M17" s="10">
        <v>1.5</v>
      </c>
      <c r="N17" s="7"/>
      <c r="O17" s="1626">
        <v>3.35</v>
      </c>
      <c r="P17" s="18">
        <f>O17*K17*M17</f>
        <v>88927.425000000003</v>
      </c>
      <c r="Q17" s="882"/>
      <c r="R17" s="8"/>
      <c r="S17" s="7"/>
      <c r="T17" s="7">
        <v>0.1</v>
      </c>
      <c r="U17" s="7">
        <f t="shared" si="0"/>
        <v>8892.7425000000003</v>
      </c>
      <c r="V17" s="9"/>
      <c r="W17" s="7"/>
      <c r="X17" s="10">
        <f t="shared" si="1"/>
        <v>97820.16750000001</v>
      </c>
      <c r="Y17" s="274">
        <f t="shared" si="2"/>
        <v>0.1</v>
      </c>
      <c r="Z17" s="274">
        <f t="shared" si="2"/>
        <v>8892.7425000000003</v>
      </c>
      <c r="AA17" s="81">
        <f t="shared" si="3"/>
        <v>1173842.0100000002</v>
      </c>
      <c r="AB17" s="1025">
        <f t="shared" si="4"/>
        <v>100054.72297988411</v>
      </c>
      <c r="AK17" s="81"/>
      <c r="AL17" s="81"/>
      <c r="AM17" s="81"/>
      <c r="AN17" s="81"/>
      <c r="AO17" s="81"/>
      <c r="AP17" s="81"/>
      <c r="AQ17" s="81"/>
    </row>
    <row r="18" spans="1:43" s="129" customFormat="1" ht="15.75" customHeight="1">
      <c r="A18" s="5">
        <v>13</v>
      </c>
      <c r="B18" s="13" t="s">
        <v>378</v>
      </c>
      <c r="C18" s="13" t="s">
        <v>63</v>
      </c>
      <c r="D18" s="5" t="s">
        <v>64</v>
      </c>
      <c r="E18" s="536" t="s">
        <v>780</v>
      </c>
      <c r="F18" s="5" t="s">
        <v>159</v>
      </c>
      <c r="G18" s="5">
        <v>0.5</v>
      </c>
      <c r="H18" s="15" t="s">
        <v>56</v>
      </c>
      <c r="I18" s="15" t="s">
        <v>56</v>
      </c>
      <c r="J18" s="14">
        <v>3</v>
      </c>
      <c r="K18" s="15">
        <v>17697</v>
      </c>
      <c r="L18" s="15"/>
      <c r="M18" s="10">
        <v>0.5</v>
      </c>
      <c r="N18" s="21"/>
      <c r="O18" s="10">
        <v>3.31</v>
      </c>
      <c r="P18" s="18">
        <f t="shared" si="5"/>
        <v>29288.535</v>
      </c>
      <c r="Q18" s="882"/>
      <c r="R18" s="8"/>
      <c r="S18" s="7"/>
      <c r="T18" s="7">
        <v>0.1</v>
      </c>
      <c r="U18" s="7">
        <f t="shared" si="0"/>
        <v>2928.8535000000002</v>
      </c>
      <c r="V18" s="9"/>
      <c r="W18" s="7"/>
      <c r="X18" s="10">
        <f t="shared" si="1"/>
        <v>32217.388500000001</v>
      </c>
      <c r="Y18" s="274">
        <f t="shared" si="2"/>
        <v>0.1</v>
      </c>
      <c r="Z18" s="274">
        <f t="shared" si="2"/>
        <v>2928.8535000000002</v>
      </c>
      <c r="AA18" s="81">
        <f t="shared" si="3"/>
        <v>386608.66200000001</v>
      </c>
      <c r="AB18" s="1025">
        <f t="shared" si="4"/>
        <v>32953.346573474264</v>
      </c>
      <c r="AK18" s="1954"/>
      <c r="AL18" s="1954"/>
      <c r="AM18" s="1954"/>
      <c r="AN18" s="1954"/>
      <c r="AO18" s="1954"/>
      <c r="AP18" s="1954"/>
      <c r="AQ18" s="1954"/>
    </row>
    <row r="19" spans="1:43" s="129" customFormat="1" ht="15.75" customHeight="1">
      <c r="A19" s="5">
        <v>14</v>
      </c>
      <c r="B19" s="13" t="s">
        <v>70</v>
      </c>
      <c r="C19" s="13" t="s">
        <v>71</v>
      </c>
      <c r="D19" s="5" t="s">
        <v>25</v>
      </c>
      <c r="E19" s="536" t="s">
        <v>731</v>
      </c>
      <c r="F19" s="5" t="s">
        <v>239</v>
      </c>
      <c r="G19" s="5">
        <v>1</v>
      </c>
      <c r="H19" s="738" t="s">
        <v>56</v>
      </c>
      <c r="I19" s="738" t="s">
        <v>56</v>
      </c>
      <c r="J19" s="738">
        <v>2</v>
      </c>
      <c r="K19" s="15">
        <v>17697</v>
      </c>
      <c r="L19" s="15"/>
      <c r="M19" s="10">
        <v>0.5</v>
      </c>
      <c r="N19" s="21"/>
      <c r="O19" s="10">
        <v>4.46</v>
      </c>
      <c r="P19" s="18">
        <f>O19*K19*M19</f>
        <v>39464.31</v>
      </c>
      <c r="Q19" s="894"/>
      <c r="R19" s="8"/>
      <c r="S19" s="7"/>
      <c r="T19" s="7">
        <v>0.1</v>
      </c>
      <c r="U19" s="7">
        <f t="shared" si="0"/>
        <v>3946.431</v>
      </c>
      <c r="V19" s="9">
        <v>0.2</v>
      </c>
      <c r="W19" s="7">
        <f>V19*K19*50%</f>
        <v>1769.7</v>
      </c>
      <c r="X19" s="10">
        <f t="shared" si="1"/>
        <v>45180.440999999992</v>
      </c>
      <c r="Y19" s="274">
        <f>R19+T19+V19+X19</f>
        <v>45180.740999999995</v>
      </c>
      <c r="Z19" s="274">
        <f>S19+U19+W19+Y19</f>
        <v>50896.871999999996</v>
      </c>
      <c r="AA19" s="81">
        <f t="shared" si="3"/>
        <v>542165.2919999999</v>
      </c>
      <c r="AB19" s="1025">
        <f t="shared" si="4"/>
        <v>46212.520627344013</v>
      </c>
      <c r="AK19" s="1954"/>
      <c r="AL19" s="1954"/>
      <c r="AM19" s="1954"/>
      <c r="AN19" s="1954"/>
      <c r="AO19" s="1954"/>
      <c r="AP19" s="1954"/>
      <c r="AQ19" s="1954"/>
    </row>
    <row r="20" spans="1:43" s="129" customFormat="1" ht="15.75" customHeight="1">
      <c r="A20" s="5">
        <v>15</v>
      </c>
      <c r="B20" s="13" t="s">
        <v>378</v>
      </c>
      <c r="C20" s="13" t="s">
        <v>71</v>
      </c>
      <c r="D20" s="5" t="s">
        <v>75</v>
      </c>
      <c r="E20" s="536" t="s">
        <v>787</v>
      </c>
      <c r="F20" s="5" t="s">
        <v>159</v>
      </c>
      <c r="G20" s="5">
        <v>0.5</v>
      </c>
      <c r="H20" s="15" t="s">
        <v>56</v>
      </c>
      <c r="I20" s="15" t="s">
        <v>56</v>
      </c>
      <c r="J20" s="14">
        <v>2</v>
      </c>
      <c r="K20" s="15">
        <v>17697</v>
      </c>
      <c r="L20" s="15"/>
      <c r="M20" s="10">
        <v>0.5</v>
      </c>
      <c r="N20" s="21"/>
      <c r="O20" s="10">
        <v>4.0999999999999996</v>
      </c>
      <c r="P20" s="18">
        <f>O20*K20*M20</f>
        <v>36278.85</v>
      </c>
      <c r="Q20" s="894"/>
      <c r="R20" s="8"/>
      <c r="S20" s="7"/>
      <c r="T20" s="7">
        <v>0.1</v>
      </c>
      <c r="U20" s="7">
        <f t="shared" si="0"/>
        <v>3627.8850000000002</v>
      </c>
      <c r="V20" s="9">
        <v>0.2</v>
      </c>
      <c r="W20" s="7">
        <f>V20*K20*50%</f>
        <v>1769.7</v>
      </c>
      <c r="X20" s="10">
        <f t="shared" si="1"/>
        <v>41676.434999999998</v>
      </c>
      <c r="Y20" s="274">
        <f>R20+T20+V20+X20</f>
        <v>41676.735000000001</v>
      </c>
      <c r="Z20" s="274">
        <f>S20+U20+W20+Y20</f>
        <v>47074.32</v>
      </c>
      <c r="AA20" s="81">
        <f t="shared" si="3"/>
        <v>500117.22</v>
      </c>
      <c r="AB20" s="1025">
        <f t="shared" si="4"/>
        <v>42628.470848960111</v>
      </c>
      <c r="AK20" s="1954"/>
      <c r="AL20" s="1954"/>
      <c r="AM20" s="1954"/>
      <c r="AN20" s="1954"/>
      <c r="AO20" s="1954"/>
      <c r="AP20" s="1954"/>
      <c r="AQ20" s="1954"/>
    </row>
    <row r="21" spans="1:43" s="80" customFormat="1" ht="15" customHeight="1">
      <c r="A21" s="5">
        <v>16</v>
      </c>
      <c r="B21" s="26" t="s">
        <v>619</v>
      </c>
      <c r="C21" s="6" t="s">
        <v>622</v>
      </c>
      <c r="D21" s="5" t="s">
        <v>75</v>
      </c>
      <c r="E21" s="57" t="s">
        <v>778</v>
      </c>
      <c r="F21" s="5" t="s">
        <v>779</v>
      </c>
      <c r="G21" s="5">
        <v>1</v>
      </c>
      <c r="H21" s="5" t="s">
        <v>56</v>
      </c>
      <c r="I21" s="5" t="s">
        <v>56</v>
      </c>
      <c r="J21" s="27">
        <v>3</v>
      </c>
      <c r="K21" s="7">
        <v>17697</v>
      </c>
      <c r="L21" s="7"/>
      <c r="M21" s="10">
        <v>0.5</v>
      </c>
      <c r="N21" s="739"/>
      <c r="O21" s="10">
        <v>3.57</v>
      </c>
      <c r="P21" s="18">
        <f t="shared" si="5"/>
        <v>31589.144999999997</v>
      </c>
      <c r="Q21" s="894"/>
      <c r="R21" s="7"/>
      <c r="S21" s="8"/>
      <c r="T21" s="7">
        <v>0.1</v>
      </c>
      <c r="U21" s="7">
        <f t="shared" si="0"/>
        <v>3158.9144999999999</v>
      </c>
      <c r="V21" s="7"/>
      <c r="W21" s="9"/>
      <c r="X21" s="10">
        <f t="shared" si="1"/>
        <v>34748.059499999996</v>
      </c>
      <c r="Y21" s="274">
        <f t="shared" si="2"/>
        <v>0.1</v>
      </c>
      <c r="Z21" s="274">
        <f t="shared" si="2"/>
        <v>3158.9144999999999</v>
      </c>
      <c r="AA21" s="81">
        <f t="shared" si="3"/>
        <v>416976.71399999992</v>
      </c>
      <c r="AB21" s="1025">
        <f t="shared" si="4"/>
        <v>35541.82696897375</v>
      </c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</row>
    <row r="22" spans="1:43" s="78" customFormat="1" ht="15.75" customHeight="1">
      <c r="A22" s="5">
        <v>17</v>
      </c>
      <c r="B22" s="29" t="s">
        <v>81</v>
      </c>
      <c r="C22" s="6" t="s">
        <v>82</v>
      </c>
      <c r="D22" s="30" t="s">
        <v>64</v>
      </c>
      <c r="E22" s="57" t="s">
        <v>773</v>
      </c>
      <c r="F22" s="30" t="s">
        <v>84</v>
      </c>
      <c r="G22" s="21">
        <v>1</v>
      </c>
      <c r="H22" s="20" t="s">
        <v>56</v>
      </c>
      <c r="I22" s="5" t="s">
        <v>56</v>
      </c>
      <c r="J22" s="20">
        <v>3</v>
      </c>
      <c r="K22" s="7">
        <v>17697</v>
      </c>
      <c r="L22" s="7"/>
      <c r="M22" s="10">
        <v>1</v>
      </c>
      <c r="N22" s="7"/>
      <c r="O22" s="10">
        <v>3.5</v>
      </c>
      <c r="P22" s="18">
        <f t="shared" si="5"/>
        <v>61939.5</v>
      </c>
      <c r="Q22" s="894"/>
      <c r="R22" s="7"/>
      <c r="S22" s="8"/>
      <c r="T22" s="7">
        <v>0.1</v>
      </c>
      <c r="U22" s="7">
        <f t="shared" si="0"/>
        <v>6193.9500000000007</v>
      </c>
      <c r="V22" s="7"/>
      <c r="W22" s="9"/>
      <c r="X22" s="10">
        <f t="shared" si="1"/>
        <v>68133.45</v>
      </c>
      <c r="Y22" s="274">
        <f t="shared" si="2"/>
        <v>0.1</v>
      </c>
      <c r="Z22" s="274">
        <f t="shared" si="2"/>
        <v>6193.9500000000007</v>
      </c>
      <c r="AA22" s="81">
        <f t="shared" si="3"/>
        <v>817601.39999999991</v>
      </c>
      <c r="AB22" s="1025">
        <f t="shared" si="4"/>
        <v>69689.856801909307</v>
      </c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</row>
    <row r="23" spans="1:43" s="80" customFormat="1" ht="18" customHeight="1">
      <c r="A23" s="5">
        <v>18</v>
      </c>
      <c r="B23" s="26" t="s">
        <v>85</v>
      </c>
      <c r="C23" s="6" t="s">
        <v>86</v>
      </c>
      <c r="D23" s="5" t="s">
        <v>25</v>
      </c>
      <c r="E23" s="45" t="s">
        <v>733</v>
      </c>
      <c r="F23" s="5" t="s">
        <v>249</v>
      </c>
      <c r="G23" s="5">
        <v>1</v>
      </c>
      <c r="H23" s="5" t="s">
        <v>56</v>
      </c>
      <c r="I23" s="5" t="s">
        <v>56</v>
      </c>
      <c r="J23" s="731" t="s">
        <v>57</v>
      </c>
      <c r="K23" s="7">
        <v>17697</v>
      </c>
      <c r="L23" s="7"/>
      <c r="M23" s="10">
        <v>1</v>
      </c>
      <c r="N23" s="7"/>
      <c r="O23" s="10">
        <v>4.43</v>
      </c>
      <c r="P23" s="18">
        <f t="shared" si="5"/>
        <v>78397.709999999992</v>
      </c>
      <c r="Q23" s="894"/>
      <c r="R23" s="8"/>
      <c r="S23" s="740"/>
      <c r="T23" s="7">
        <v>0.1</v>
      </c>
      <c r="U23" s="7">
        <f t="shared" si="0"/>
        <v>7839.7709999999997</v>
      </c>
      <c r="V23" s="741"/>
      <c r="W23" s="740"/>
      <c r="X23" s="10">
        <f t="shared" si="1"/>
        <v>86237.480999999985</v>
      </c>
      <c r="Y23" s="274">
        <f t="shared" si="2"/>
        <v>0.1</v>
      </c>
      <c r="Z23" s="274">
        <f t="shared" si="2"/>
        <v>7839.7709999999997</v>
      </c>
      <c r="AA23" s="81">
        <f t="shared" si="3"/>
        <v>1034849.7719999999</v>
      </c>
      <c r="AB23" s="1025">
        <f t="shared" si="4"/>
        <v>88207.447323559478</v>
      </c>
      <c r="AK23" s="82"/>
      <c r="AL23" s="81"/>
      <c r="AM23" s="81"/>
      <c r="AN23" s="81"/>
      <c r="AO23" s="81"/>
      <c r="AP23" s="81"/>
      <c r="AQ23" s="81"/>
    </row>
    <row r="24" spans="1:43" s="80" customFormat="1" ht="17.25" customHeight="1">
      <c r="A24" s="5">
        <v>19</v>
      </c>
      <c r="B24" s="690" t="s">
        <v>732</v>
      </c>
      <c r="C24" s="6" t="s">
        <v>86</v>
      </c>
      <c r="D24" s="20" t="s">
        <v>25</v>
      </c>
      <c r="E24" s="1637" t="s">
        <v>707</v>
      </c>
      <c r="F24" s="742" t="s">
        <v>159</v>
      </c>
      <c r="G24" s="743">
        <v>1</v>
      </c>
      <c r="H24" s="5" t="s">
        <v>56</v>
      </c>
      <c r="I24" s="5" t="s">
        <v>56</v>
      </c>
      <c r="J24" s="731" t="s">
        <v>57</v>
      </c>
      <c r="K24" s="7">
        <v>17697</v>
      </c>
      <c r="L24" s="34"/>
      <c r="M24" s="35">
        <v>0.5</v>
      </c>
      <c r="N24" s="34"/>
      <c r="O24" s="35">
        <v>4.0999999999999996</v>
      </c>
      <c r="P24" s="36">
        <f>O24*K24*M24</f>
        <v>36278.85</v>
      </c>
      <c r="Q24" s="894"/>
      <c r="R24" s="37"/>
      <c r="S24" s="34"/>
      <c r="T24" s="34">
        <v>0.1</v>
      </c>
      <c r="U24" s="7">
        <f t="shared" si="0"/>
        <v>3627.8850000000002</v>
      </c>
      <c r="V24" s="38"/>
      <c r="W24" s="34"/>
      <c r="X24" s="10">
        <f t="shared" si="1"/>
        <v>39906.735000000001</v>
      </c>
      <c r="Y24" s="304">
        <f t="shared" si="2"/>
        <v>0.1</v>
      </c>
      <c r="Z24" s="304">
        <f t="shared" si="2"/>
        <v>3627.8850000000002</v>
      </c>
      <c r="AA24" s="81">
        <f t="shared" si="3"/>
        <v>478880.82</v>
      </c>
      <c r="AB24" s="1025">
        <f t="shared" si="4"/>
        <v>40818.344698261171</v>
      </c>
      <c r="AK24" s="81"/>
      <c r="AL24" s="81"/>
      <c r="AM24" s="81"/>
      <c r="AN24" s="81"/>
      <c r="AO24" s="81"/>
      <c r="AP24" s="81"/>
      <c r="AQ24" s="81"/>
    </row>
    <row r="25" spans="1:43" s="80" customFormat="1" ht="17.25" customHeight="1">
      <c r="A25" s="894">
        <v>20</v>
      </c>
      <c r="B25" s="1638" t="s">
        <v>253</v>
      </c>
      <c r="C25" s="1630" t="s">
        <v>800</v>
      </c>
      <c r="D25" s="1639" t="s">
        <v>25</v>
      </c>
      <c r="E25" s="1637" t="s">
        <v>707</v>
      </c>
      <c r="F25" s="1640" t="s">
        <v>159</v>
      </c>
      <c r="G25" s="743">
        <v>1</v>
      </c>
      <c r="H25" s="5" t="s">
        <v>56</v>
      </c>
      <c r="I25" s="5" t="s">
        <v>56</v>
      </c>
      <c r="J25" s="731" t="s">
        <v>57</v>
      </c>
      <c r="K25" s="7">
        <v>17697</v>
      </c>
      <c r="L25" s="34"/>
      <c r="M25" s="35">
        <v>0.5</v>
      </c>
      <c r="N25" s="34"/>
      <c r="O25" s="35">
        <v>4.0999999999999996</v>
      </c>
      <c r="P25" s="36">
        <f>O25*K25*M25</f>
        <v>36278.85</v>
      </c>
      <c r="Q25" s="894"/>
      <c r="R25" s="1641"/>
      <c r="S25" s="885"/>
      <c r="T25" s="34">
        <v>0.1</v>
      </c>
      <c r="U25" s="7">
        <f t="shared" si="0"/>
        <v>3627.8850000000002</v>
      </c>
      <c r="V25" s="1642"/>
      <c r="W25" s="885"/>
      <c r="X25" s="10">
        <f t="shared" si="1"/>
        <v>39906.735000000001</v>
      </c>
      <c r="Y25" s="981"/>
      <c r="Z25" s="981"/>
      <c r="AA25" s="81"/>
      <c r="AB25" s="1025"/>
      <c r="AK25" s="81"/>
      <c r="AL25" s="81"/>
      <c r="AM25" s="81"/>
      <c r="AN25" s="81"/>
      <c r="AO25" s="81"/>
      <c r="AP25" s="81"/>
      <c r="AQ25" s="81"/>
    </row>
    <row r="26" spans="1:43" s="24" customFormat="1" ht="17.25" customHeight="1">
      <c r="A26" s="1507"/>
      <c r="B26" s="1518" t="s">
        <v>790</v>
      </c>
      <c r="C26" s="1508"/>
      <c r="D26" s="1507"/>
      <c r="E26" s="1509"/>
      <c r="F26" s="1507"/>
      <c r="G26" s="1507"/>
      <c r="H26" s="1507"/>
      <c r="I26" s="1507"/>
      <c r="J26" s="1510"/>
      <c r="K26" s="1509"/>
      <c r="L26" s="1509"/>
      <c r="M26" s="1511"/>
      <c r="N26" s="1509"/>
      <c r="O26" s="1509"/>
      <c r="P26" s="1512"/>
      <c r="Q26" s="1513"/>
      <c r="R26" s="1514"/>
      <c r="S26" s="1509"/>
      <c r="T26" s="1509"/>
      <c r="U26" s="1512"/>
      <c r="V26" s="1515"/>
      <c r="W26" s="1509"/>
      <c r="X26" s="1511"/>
      <c r="Y26" s="104"/>
      <c r="Z26" s="104"/>
      <c r="AA26" s="81">
        <f>SUM(AA6:AA24)</f>
        <v>17739189.66</v>
      </c>
      <c r="AB26" s="683">
        <f>SUM(AB6:AB24)</f>
        <v>1512034.5772246851</v>
      </c>
      <c r="AC26" s="22">
        <f>SUM(X6:X24)</f>
        <v>1560609.9460000002</v>
      </c>
      <c r="AD26" s="683"/>
      <c r="AK26" s="906"/>
      <c r="AL26" s="23"/>
      <c r="AM26" s="23"/>
      <c r="AN26" s="23"/>
      <c r="AO26" s="23"/>
      <c r="AP26" s="23"/>
      <c r="AQ26" s="23"/>
    </row>
    <row r="27" spans="1:43" s="24" customFormat="1" ht="15.75">
      <c r="A27" s="547">
        <v>1</v>
      </c>
      <c r="B27" s="548" t="s">
        <v>98</v>
      </c>
      <c r="C27" s="549" t="s">
        <v>99</v>
      </c>
      <c r="D27" s="547" t="s">
        <v>25</v>
      </c>
      <c r="E27" s="550" t="s">
        <v>647</v>
      </c>
      <c r="F27" s="550" t="s">
        <v>463</v>
      </c>
      <c r="G27" s="547">
        <v>1</v>
      </c>
      <c r="H27" s="547" t="s">
        <v>102</v>
      </c>
      <c r="I27" s="547" t="s">
        <v>103</v>
      </c>
      <c r="J27" s="1578">
        <v>1</v>
      </c>
      <c r="K27" s="552">
        <v>17697</v>
      </c>
      <c r="L27" s="553">
        <v>35</v>
      </c>
      <c r="M27" s="554">
        <f>L27/18</f>
        <v>1.9444444444444444</v>
      </c>
      <c r="N27" s="555" t="s">
        <v>152</v>
      </c>
      <c r="O27" s="1579">
        <v>4.55</v>
      </c>
      <c r="P27" s="556">
        <f t="shared" ref="P27:P76" si="6">O27*K27/18*L27</f>
        <v>156569.29166666666</v>
      </c>
      <c r="Q27" s="556"/>
      <c r="R27" s="557"/>
      <c r="S27" s="552"/>
      <c r="T27" s="552">
        <v>0.1</v>
      </c>
      <c r="U27" s="556">
        <f>(P27+Q27)*T27</f>
        <v>15656.929166666667</v>
      </c>
      <c r="V27" s="558"/>
      <c r="W27" s="552"/>
      <c r="X27" s="559">
        <f>P27+Q27+U27</f>
        <v>172226.22083333333</v>
      </c>
      <c r="Y27" s="70">
        <f>V27+R27</f>
        <v>0</v>
      </c>
      <c r="Z27" s="70">
        <f>W27+S27</f>
        <v>0</v>
      </c>
      <c r="AA27" s="23">
        <f t="shared" si="3"/>
        <v>2066714.65</v>
      </c>
      <c r="AB27" s="24">
        <f>AA27/12/29.33*56</f>
        <v>328832.87987271283</v>
      </c>
      <c r="AC27" s="24">
        <f>AA27*1.25</f>
        <v>2583393.3125</v>
      </c>
      <c r="AD27" s="24">
        <f>AC27/12/29.33*56</f>
        <v>411041.09984089102</v>
      </c>
      <c r="AK27" s="23"/>
      <c r="AL27" s="23"/>
      <c r="AM27" s="23"/>
      <c r="AN27" s="23"/>
      <c r="AO27" s="23"/>
      <c r="AP27" s="23"/>
      <c r="AQ27" s="23"/>
    </row>
    <row r="28" spans="1:43" s="24" customFormat="1" ht="17.25" customHeight="1">
      <c r="A28" s="560">
        <v>2</v>
      </c>
      <c r="B28" s="998" t="s">
        <v>41</v>
      </c>
      <c r="C28" s="873" t="s">
        <v>99</v>
      </c>
      <c r="D28" s="874" t="s">
        <v>25</v>
      </c>
      <c r="E28" s="1539" t="s">
        <v>648</v>
      </c>
      <c r="F28" s="1539" t="s">
        <v>34</v>
      </c>
      <c r="G28" s="547">
        <v>1</v>
      </c>
      <c r="H28" s="1002" t="s">
        <v>102</v>
      </c>
      <c r="I28" s="1002" t="s">
        <v>103</v>
      </c>
      <c r="J28" s="1580">
        <v>2</v>
      </c>
      <c r="K28" s="700">
        <v>17697</v>
      </c>
      <c r="L28" s="1540">
        <v>24</v>
      </c>
      <c r="M28" s="554">
        <f t="shared" ref="M28:M76" si="7">L28/18</f>
        <v>1.3333333333333333</v>
      </c>
      <c r="N28" s="566" t="s">
        <v>104</v>
      </c>
      <c r="O28" s="1014">
        <v>4.51</v>
      </c>
      <c r="P28" s="567">
        <f t="shared" si="6"/>
        <v>106417.96</v>
      </c>
      <c r="Q28" s="556"/>
      <c r="R28" s="568"/>
      <c r="S28" s="554"/>
      <c r="T28" s="554">
        <v>0.1</v>
      </c>
      <c r="U28" s="556">
        <f t="shared" ref="U28:U76" si="8">(P28+Q28)*T28</f>
        <v>10641.796000000002</v>
      </c>
      <c r="V28" s="569"/>
      <c r="W28" s="554"/>
      <c r="X28" s="559">
        <f t="shared" ref="X28:X74" si="9">P28+Q28+U28</f>
        <v>117059.75600000001</v>
      </c>
      <c r="Y28" s="10">
        <f t="shared" ref="Y28:Z72" si="10">V28+R28</f>
        <v>0</v>
      </c>
      <c r="Z28" s="10">
        <f t="shared" si="10"/>
        <v>0</v>
      </c>
      <c r="AA28" s="23">
        <f t="shared" si="3"/>
        <v>1404717.0720000002</v>
      </c>
      <c r="AB28" s="24">
        <f t="shared" ref="AB28:AB82" si="11">AA28/12/29.33*56</f>
        <v>223503.11408114561</v>
      </c>
      <c r="AC28" s="24">
        <f t="shared" ref="AC28:AC82" si="12">AA28*1.25</f>
        <v>1755896.3400000003</v>
      </c>
      <c r="AD28" s="24">
        <f t="shared" ref="AD28:AD82" si="13">AC28/12/29.33*56</f>
        <v>279378.89260143205</v>
      </c>
      <c r="AK28" s="23"/>
      <c r="AL28" s="23"/>
      <c r="AM28" s="23"/>
      <c r="AN28" s="23"/>
      <c r="AO28" s="23"/>
      <c r="AP28" s="23"/>
      <c r="AQ28" s="23"/>
    </row>
    <row r="29" spans="1:43" s="24" customFormat="1" ht="15.75">
      <c r="A29" s="547">
        <v>3</v>
      </c>
      <c r="B29" s="576" t="s">
        <v>110</v>
      </c>
      <c r="C29" s="561" t="s">
        <v>99</v>
      </c>
      <c r="D29" s="560" t="s">
        <v>25</v>
      </c>
      <c r="E29" s="562" t="s">
        <v>650</v>
      </c>
      <c r="F29" s="562" t="s">
        <v>77</v>
      </c>
      <c r="G29" s="547">
        <v>1</v>
      </c>
      <c r="H29" s="577" t="s">
        <v>102</v>
      </c>
      <c r="I29" s="577" t="s">
        <v>103</v>
      </c>
      <c r="J29" s="578">
        <v>3</v>
      </c>
      <c r="K29" s="554">
        <v>17697</v>
      </c>
      <c r="L29" s="565">
        <v>36</v>
      </c>
      <c r="M29" s="554">
        <f t="shared" si="7"/>
        <v>2</v>
      </c>
      <c r="N29" s="1581" t="s">
        <v>109</v>
      </c>
      <c r="O29" s="1016">
        <v>4</v>
      </c>
      <c r="P29" s="567">
        <f t="shared" si="6"/>
        <v>141576</v>
      </c>
      <c r="Q29" s="556"/>
      <c r="R29" s="568"/>
      <c r="S29" s="554"/>
      <c r="T29" s="554">
        <v>0.1</v>
      </c>
      <c r="U29" s="556">
        <f t="shared" si="8"/>
        <v>14157.6</v>
      </c>
      <c r="V29" s="569"/>
      <c r="W29" s="554"/>
      <c r="X29" s="559">
        <f t="shared" si="9"/>
        <v>155733.6</v>
      </c>
      <c r="Y29" s="10"/>
      <c r="Z29" s="10"/>
      <c r="AA29" s="23">
        <f t="shared" si="3"/>
        <v>1868803.2000000002</v>
      </c>
      <c r="AB29" s="24">
        <f t="shared" si="11"/>
        <v>297343.38902147976</v>
      </c>
      <c r="AC29" s="24">
        <f t="shared" si="12"/>
        <v>2336004</v>
      </c>
      <c r="AD29" s="24">
        <f t="shared" si="13"/>
        <v>371679.2362768497</v>
      </c>
      <c r="AK29" s="23"/>
      <c r="AL29" s="23"/>
      <c r="AM29" s="23"/>
      <c r="AN29" s="23"/>
      <c r="AO29" s="23"/>
      <c r="AP29" s="23"/>
      <c r="AQ29" s="23"/>
    </row>
    <row r="30" spans="1:43" s="24" customFormat="1" ht="17.25" customHeight="1">
      <c r="A30" s="560">
        <v>4</v>
      </c>
      <c r="B30" s="153" t="s">
        <v>106</v>
      </c>
      <c r="C30" s="561" t="s">
        <v>99</v>
      </c>
      <c r="D30" s="560" t="s">
        <v>25</v>
      </c>
      <c r="E30" s="562" t="s">
        <v>651</v>
      </c>
      <c r="F30" s="562" t="s">
        <v>77</v>
      </c>
      <c r="G30" s="547">
        <v>1</v>
      </c>
      <c r="H30" s="563" t="s">
        <v>102</v>
      </c>
      <c r="I30" s="563" t="s">
        <v>103</v>
      </c>
      <c r="J30" s="564">
        <v>3</v>
      </c>
      <c r="K30" s="554">
        <v>17697</v>
      </c>
      <c r="L30" s="565">
        <v>18</v>
      </c>
      <c r="M30" s="554">
        <f t="shared" si="7"/>
        <v>1</v>
      </c>
      <c r="N30" s="566" t="s">
        <v>109</v>
      </c>
      <c r="O30" s="1016">
        <v>4</v>
      </c>
      <c r="P30" s="567">
        <f t="shared" si="6"/>
        <v>70788</v>
      </c>
      <c r="Q30" s="556"/>
      <c r="R30" s="568"/>
      <c r="S30" s="554"/>
      <c r="T30" s="554">
        <v>0.1</v>
      </c>
      <c r="U30" s="556">
        <f t="shared" si="8"/>
        <v>7078.8</v>
      </c>
      <c r="V30" s="569"/>
      <c r="W30" s="554"/>
      <c r="X30" s="559">
        <f t="shared" si="9"/>
        <v>77866.8</v>
      </c>
      <c r="Y30" s="10">
        <f t="shared" si="10"/>
        <v>0</v>
      </c>
      <c r="Z30" s="10">
        <f t="shared" si="10"/>
        <v>0</v>
      </c>
      <c r="AA30" s="23">
        <f t="shared" si="3"/>
        <v>934401.60000000009</v>
      </c>
      <c r="AB30" s="24">
        <f t="shared" si="11"/>
        <v>148671.69451073988</v>
      </c>
      <c r="AC30" s="24">
        <f t="shared" si="12"/>
        <v>1168002</v>
      </c>
      <c r="AD30" s="24">
        <f t="shared" si="13"/>
        <v>185839.61813842485</v>
      </c>
      <c r="AK30" s="23"/>
      <c r="AL30" s="23"/>
      <c r="AM30" s="23"/>
      <c r="AN30" s="23"/>
      <c r="AO30" s="23"/>
      <c r="AP30" s="23"/>
      <c r="AQ30" s="23"/>
    </row>
    <row r="31" spans="1:43" s="24" customFormat="1" ht="15.75">
      <c r="A31" s="547">
        <v>5</v>
      </c>
      <c r="B31" s="153" t="s">
        <v>215</v>
      </c>
      <c r="C31" s="561" t="s">
        <v>99</v>
      </c>
      <c r="D31" s="563" t="s">
        <v>25</v>
      </c>
      <c r="E31" s="562" t="s">
        <v>750</v>
      </c>
      <c r="F31" s="562" t="s">
        <v>217</v>
      </c>
      <c r="G31" s="547">
        <v>1</v>
      </c>
      <c r="H31" s="580" t="s">
        <v>102</v>
      </c>
      <c r="I31" s="580" t="s">
        <v>103</v>
      </c>
      <c r="J31" s="997">
        <v>1</v>
      </c>
      <c r="K31" s="554">
        <v>17697</v>
      </c>
      <c r="L31" s="573">
        <v>4</v>
      </c>
      <c r="M31" s="554">
        <f t="shared" si="7"/>
        <v>0.22222222222222221</v>
      </c>
      <c r="N31" s="997" t="s">
        <v>152</v>
      </c>
      <c r="O31" s="1015">
        <v>4.6900000000000004</v>
      </c>
      <c r="P31" s="567">
        <f t="shared" si="6"/>
        <v>18444.206666666669</v>
      </c>
      <c r="Q31" s="556"/>
      <c r="R31" s="568"/>
      <c r="S31" s="554"/>
      <c r="T31" s="554">
        <v>0.1</v>
      </c>
      <c r="U31" s="556">
        <f t="shared" si="8"/>
        <v>1844.4206666666669</v>
      </c>
      <c r="V31" s="569"/>
      <c r="W31" s="554"/>
      <c r="X31" s="559">
        <f t="shared" si="9"/>
        <v>20288.627333333337</v>
      </c>
      <c r="Y31" s="7">
        <f t="shared" si="10"/>
        <v>0</v>
      </c>
      <c r="Z31" s="7">
        <f t="shared" si="10"/>
        <v>0</v>
      </c>
      <c r="AA31" s="23">
        <f t="shared" si="3"/>
        <v>243463.52800000005</v>
      </c>
      <c r="AB31" s="24">
        <f t="shared" si="11"/>
        <v>38737.235958631674</v>
      </c>
      <c r="AC31" s="24">
        <f t="shared" si="12"/>
        <v>304329.41000000003</v>
      </c>
      <c r="AD31" s="24">
        <f t="shared" si="13"/>
        <v>48421.544948289586</v>
      </c>
      <c r="AK31" s="23"/>
      <c r="AL31" s="23"/>
      <c r="AM31" s="23"/>
      <c r="AN31" s="23"/>
      <c r="AO31" s="23"/>
      <c r="AP31" s="23"/>
      <c r="AQ31" s="23"/>
    </row>
    <row r="32" spans="1:43" s="24" customFormat="1" ht="17.25" customHeight="1">
      <c r="A32" s="560">
        <v>6</v>
      </c>
      <c r="B32" s="153" t="s">
        <v>23</v>
      </c>
      <c r="C32" s="561" t="s">
        <v>99</v>
      </c>
      <c r="D32" s="560" t="s">
        <v>25</v>
      </c>
      <c r="E32" s="562" t="s">
        <v>656</v>
      </c>
      <c r="F32" s="562" t="s">
        <v>114</v>
      </c>
      <c r="G32" s="547">
        <v>1</v>
      </c>
      <c r="H32" s="563" t="s">
        <v>102</v>
      </c>
      <c r="I32" s="563" t="s">
        <v>103</v>
      </c>
      <c r="J32" s="581">
        <v>1</v>
      </c>
      <c r="K32" s="554">
        <v>17697</v>
      </c>
      <c r="L32" s="565">
        <v>9</v>
      </c>
      <c r="M32" s="554">
        <f t="shared" si="7"/>
        <v>0.5</v>
      </c>
      <c r="N32" s="574" t="s">
        <v>152</v>
      </c>
      <c r="O32" s="1582">
        <v>4.75</v>
      </c>
      <c r="P32" s="567">
        <f t="shared" si="6"/>
        <v>42030.375</v>
      </c>
      <c r="Q32" s="556"/>
      <c r="R32" s="568"/>
      <c r="S32" s="554"/>
      <c r="T32" s="554">
        <v>0.1</v>
      </c>
      <c r="U32" s="556">
        <f t="shared" si="8"/>
        <v>4203.0375000000004</v>
      </c>
      <c r="V32" s="569"/>
      <c r="W32" s="554"/>
      <c r="X32" s="559">
        <f t="shared" si="9"/>
        <v>46233.412499999999</v>
      </c>
      <c r="Y32" s="7">
        <f t="shared" si="10"/>
        <v>0</v>
      </c>
      <c r="Z32" s="7">
        <f t="shared" si="10"/>
        <v>0</v>
      </c>
      <c r="AA32" s="23">
        <f t="shared" si="3"/>
        <v>554800.94999999995</v>
      </c>
      <c r="AB32" s="24">
        <f t="shared" si="11"/>
        <v>88273.818615751792</v>
      </c>
      <c r="AC32" s="24">
        <f t="shared" si="12"/>
        <v>693501.1875</v>
      </c>
      <c r="AD32" s="24">
        <f t="shared" si="13"/>
        <v>110342.27326968974</v>
      </c>
      <c r="AK32" s="23"/>
      <c r="AL32" s="23"/>
      <c r="AM32" s="23"/>
      <c r="AN32" s="23"/>
      <c r="AO32" s="23"/>
      <c r="AP32" s="23"/>
      <c r="AQ32" s="23"/>
    </row>
    <row r="33" spans="1:43" s="24" customFormat="1" ht="17.25" customHeight="1">
      <c r="A33" s="547">
        <v>7</v>
      </c>
      <c r="B33" s="153" t="s">
        <v>631</v>
      </c>
      <c r="C33" s="561" t="s">
        <v>525</v>
      </c>
      <c r="D33" s="560" t="s">
        <v>25</v>
      </c>
      <c r="E33" s="1000" t="s">
        <v>657</v>
      </c>
      <c r="F33" s="562" t="s">
        <v>114</v>
      </c>
      <c r="G33" s="547">
        <v>1</v>
      </c>
      <c r="H33" s="563" t="s">
        <v>102</v>
      </c>
      <c r="I33" s="563" t="s">
        <v>103</v>
      </c>
      <c r="J33" s="581">
        <v>1</v>
      </c>
      <c r="K33" s="554">
        <v>17697</v>
      </c>
      <c r="L33" s="565">
        <v>26</v>
      </c>
      <c r="M33" s="554">
        <f t="shared" si="7"/>
        <v>1.4444444444444444</v>
      </c>
      <c r="N33" s="574" t="s">
        <v>152</v>
      </c>
      <c r="O33" s="1582">
        <v>4.75</v>
      </c>
      <c r="P33" s="567">
        <f>O33*K33/18*L33</f>
        <v>121421.08333333334</v>
      </c>
      <c r="Q33" s="556"/>
      <c r="R33" s="1538"/>
      <c r="S33" s="700"/>
      <c r="T33" s="554">
        <v>0.1</v>
      </c>
      <c r="U33" s="556">
        <f t="shared" si="8"/>
        <v>12142.108333333335</v>
      </c>
      <c r="V33" s="699"/>
      <c r="W33" s="700"/>
      <c r="X33" s="559">
        <f t="shared" si="9"/>
        <v>133563.19166666668</v>
      </c>
      <c r="Y33" s="882"/>
      <c r="Z33" s="882"/>
      <c r="AA33" s="23">
        <f t="shared" si="3"/>
        <v>1602758.3000000003</v>
      </c>
      <c r="AB33" s="24">
        <f t="shared" si="11"/>
        <v>255013.25377883855</v>
      </c>
      <c r="AC33" s="24">
        <f t="shared" si="12"/>
        <v>2003447.8750000005</v>
      </c>
      <c r="AD33" s="24">
        <f t="shared" si="13"/>
        <v>318766.56722354819</v>
      </c>
      <c r="AK33" s="23"/>
      <c r="AL33" s="23"/>
      <c r="AM33" s="23"/>
      <c r="AN33" s="23"/>
      <c r="AO33" s="23"/>
      <c r="AP33" s="23"/>
      <c r="AQ33" s="23"/>
    </row>
    <row r="34" spans="1:43" s="24" customFormat="1" ht="17.25" customHeight="1">
      <c r="A34" s="560">
        <v>8</v>
      </c>
      <c r="B34" s="153" t="s">
        <v>124</v>
      </c>
      <c r="C34" s="561" t="s">
        <v>125</v>
      </c>
      <c r="D34" s="560" t="s">
        <v>75</v>
      </c>
      <c r="E34" s="582" t="s">
        <v>503</v>
      </c>
      <c r="F34" s="562" t="s">
        <v>77</v>
      </c>
      <c r="G34" s="547">
        <v>1</v>
      </c>
      <c r="H34" s="577" t="s">
        <v>102</v>
      </c>
      <c r="I34" s="577" t="s">
        <v>118</v>
      </c>
      <c r="J34" s="578">
        <v>3</v>
      </c>
      <c r="K34" s="554">
        <v>17697</v>
      </c>
      <c r="L34" s="565">
        <v>18</v>
      </c>
      <c r="M34" s="554">
        <f t="shared" si="7"/>
        <v>1</v>
      </c>
      <c r="N34" s="1583" t="s">
        <v>109</v>
      </c>
      <c r="O34" s="1582">
        <v>3.85</v>
      </c>
      <c r="P34" s="697">
        <f>O34*K34/18*L34</f>
        <v>68133.45</v>
      </c>
      <c r="Q34" s="556"/>
      <c r="R34" s="1538"/>
      <c r="S34" s="700"/>
      <c r="T34" s="554">
        <v>0.1</v>
      </c>
      <c r="U34" s="556">
        <f t="shared" si="8"/>
        <v>6813.3450000000003</v>
      </c>
      <c r="V34" s="699"/>
      <c r="W34" s="700"/>
      <c r="X34" s="559">
        <f t="shared" si="9"/>
        <v>74946.794999999998</v>
      </c>
      <c r="Y34" s="882"/>
      <c r="Z34" s="882"/>
      <c r="AA34" s="23">
        <f t="shared" si="3"/>
        <v>899361.54</v>
      </c>
      <c r="AB34" s="24">
        <f t="shared" si="11"/>
        <v>143096.50596658711</v>
      </c>
      <c r="AC34" s="24">
        <f t="shared" si="12"/>
        <v>1124201.925</v>
      </c>
      <c r="AD34" s="24">
        <f t="shared" si="13"/>
        <v>178870.63245823391</v>
      </c>
      <c r="AK34" s="23"/>
      <c r="AL34" s="23"/>
      <c r="AM34" s="23"/>
      <c r="AN34" s="23"/>
      <c r="AO34" s="23"/>
      <c r="AP34" s="23"/>
      <c r="AQ34" s="23"/>
    </row>
    <row r="35" spans="1:43" s="24" customFormat="1" ht="17.25" customHeight="1">
      <c r="A35" s="547">
        <v>9</v>
      </c>
      <c r="B35" s="153" t="s">
        <v>629</v>
      </c>
      <c r="C35" s="561" t="s">
        <v>99</v>
      </c>
      <c r="D35" s="560" t="s">
        <v>25</v>
      </c>
      <c r="E35" s="562" t="s">
        <v>805</v>
      </c>
      <c r="F35" s="562" t="s">
        <v>252</v>
      </c>
      <c r="G35" s="547">
        <v>1</v>
      </c>
      <c r="H35" s="563" t="s">
        <v>102</v>
      </c>
      <c r="I35" s="563" t="s">
        <v>103</v>
      </c>
      <c r="J35" s="581">
        <v>4</v>
      </c>
      <c r="K35" s="554">
        <v>17697</v>
      </c>
      <c r="L35" s="565">
        <v>10</v>
      </c>
      <c r="M35" s="554">
        <f t="shared" si="7"/>
        <v>0.55555555555555558</v>
      </c>
      <c r="N35" s="574" t="s">
        <v>112</v>
      </c>
      <c r="O35" s="1014">
        <v>3.78</v>
      </c>
      <c r="P35" s="567">
        <f t="shared" si="6"/>
        <v>37163.700000000004</v>
      </c>
      <c r="Q35" s="556"/>
      <c r="R35" s="568"/>
      <c r="S35" s="554"/>
      <c r="T35" s="554">
        <v>0.1</v>
      </c>
      <c r="U35" s="556">
        <f t="shared" si="8"/>
        <v>3716.3700000000008</v>
      </c>
      <c r="V35" s="569"/>
      <c r="W35" s="554"/>
      <c r="X35" s="559">
        <f t="shared" si="9"/>
        <v>40880.070000000007</v>
      </c>
      <c r="Y35" s="10">
        <f t="shared" si="10"/>
        <v>0</v>
      </c>
      <c r="Z35" s="10">
        <f t="shared" si="10"/>
        <v>0</v>
      </c>
      <c r="AA35" s="23">
        <f t="shared" si="3"/>
        <v>490560.84000000008</v>
      </c>
      <c r="AB35" s="24">
        <f t="shared" si="11"/>
        <v>78052.639618138433</v>
      </c>
      <c r="AC35" s="24">
        <f t="shared" si="12"/>
        <v>613201.05000000005</v>
      </c>
      <c r="AD35" s="24">
        <f t="shared" si="13"/>
        <v>97565.799522673042</v>
      </c>
      <c r="AK35" s="23"/>
      <c r="AL35" s="23"/>
      <c r="AM35" s="23"/>
      <c r="AN35" s="23"/>
      <c r="AO35" s="23"/>
      <c r="AP35" s="23"/>
      <c r="AQ35" s="23"/>
    </row>
    <row r="36" spans="1:43" s="24" customFormat="1" ht="19.5" customHeight="1">
      <c r="A36" s="560">
        <v>10</v>
      </c>
      <c r="B36" s="153" t="s">
        <v>116</v>
      </c>
      <c r="C36" s="561" t="s">
        <v>99</v>
      </c>
      <c r="D36" s="560" t="s">
        <v>64</v>
      </c>
      <c r="E36" s="583" t="s">
        <v>660</v>
      </c>
      <c r="F36" s="562" t="s">
        <v>114</v>
      </c>
      <c r="G36" s="547">
        <v>1</v>
      </c>
      <c r="H36" s="563" t="s">
        <v>102</v>
      </c>
      <c r="I36" s="563" t="s">
        <v>118</v>
      </c>
      <c r="J36" s="564">
        <v>1</v>
      </c>
      <c r="K36" s="554">
        <v>17697</v>
      </c>
      <c r="L36" s="565">
        <v>36</v>
      </c>
      <c r="M36" s="554">
        <f t="shared" si="7"/>
        <v>2</v>
      </c>
      <c r="N36" s="574" t="s">
        <v>152</v>
      </c>
      <c r="O36" s="1014">
        <v>4.5199999999999996</v>
      </c>
      <c r="P36" s="567">
        <f t="shared" si="6"/>
        <v>159980.87999999998</v>
      </c>
      <c r="Q36" s="556"/>
      <c r="R36" s="568"/>
      <c r="S36" s="554"/>
      <c r="T36" s="554">
        <v>0.1</v>
      </c>
      <c r="U36" s="556">
        <f t="shared" si="8"/>
        <v>15998.087999999998</v>
      </c>
      <c r="V36" s="569"/>
      <c r="W36" s="554"/>
      <c r="X36" s="559">
        <f t="shared" si="9"/>
        <v>175978.96799999996</v>
      </c>
      <c r="Y36" s="10">
        <f t="shared" si="10"/>
        <v>0</v>
      </c>
      <c r="Z36" s="10">
        <f t="shared" si="10"/>
        <v>0</v>
      </c>
      <c r="AA36" s="23">
        <f t="shared" si="3"/>
        <v>2111747.6159999995</v>
      </c>
      <c r="AB36" s="24">
        <f t="shared" si="11"/>
        <v>335998.02959427203</v>
      </c>
      <c r="AC36" s="24">
        <f t="shared" si="12"/>
        <v>2639684.5199999996</v>
      </c>
      <c r="AD36" s="24">
        <f t="shared" si="13"/>
        <v>419997.53699284006</v>
      </c>
      <c r="AK36" s="23"/>
      <c r="AL36" s="23"/>
      <c r="AM36" s="23"/>
      <c r="AN36" s="23"/>
      <c r="AO36" s="23"/>
      <c r="AP36" s="23"/>
      <c r="AQ36" s="23"/>
    </row>
    <row r="37" spans="1:43" s="24" customFormat="1" ht="17.25" customHeight="1">
      <c r="A37" s="547">
        <v>11</v>
      </c>
      <c r="B37" s="153" t="s">
        <v>127</v>
      </c>
      <c r="C37" s="561" t="s">
        <v>99</v>
      </c>
      <c r="D37" s="560" t="s">
        <v>25</v>
      </c>
      <c r="E37" s="562" t="s">
        <v>661</v>
      </c>
      <c r="F37" s="562" t="s">
        <v>34</v>
      </c>
      <c r="G37" s="547">
        <v>1</v>
      </c>
      <c r="H37" s="563" t="s">
        <v>102</v>
      </c>
      <c r="I37" s="563" t="s">
        <v>103</v>
      </c>
      <c r="J37" s="564">
        <v>1</v>
      </c>
      <c r="K37" s="554">
        <v>17697</v>
      </c>
      <c r="L37" s="565">
        <v>26</v>
      </c>
      <c r="M37" s="554">
        <f t="shared" si="7"/>
        <v>1.4444444444444444</v>
      </c>
      <c r="N37" s="574" t="s">
        <v>152</v>
      </c>
      <c r="O37" s="1014">
        <v>4.75</v>
      </c>
      <c r="P37" s="567">
        <f t="shared" si="6"/>
        <v>121421.08333333334</v>
      </c>
      <c r="Q37" s="556"/>
      <c r="R37" s="568"/>
      <c r="S37" s="554"/>
      <c r="T37" s="554">
        <v>0.1</v>
      </c>
      <c r="U37" s="556">
        <f t="shared" si="8"/>
        <v>12142.108333333335</v>
      </c>
      <c r="V37" s="569"/>
      <c r="W37" s="554"/>
      <c r="X37" s="559">
        <f t="shared" si="9"/>
        <v>133563.19166666668</v>
      </c>
      <c r="Y37" s="10"/>
      <c r="Z37" s="10"/>
      <c r="AA37" s="23">
        <f t="shared" si="3"/>
        <v>1602758.3000000003</v>
      </c>
      <c r="AB37" s="24">
        <f t="shared" si="11"/>
        <v>255013.25377883855</v>
      </c>
      <c r="AC37" s="24">
        <f t="shared" si="12"/>
        <v>2003447.8750000005</v>
      </c>
      <c r="AD37" s="24">
        <f t="shared" si="13"/>
        <v>318766.56722354819</v>
      </c>
      <c r="AK37" s="23"/>
      <c r="AL37" s="23"/>
      <c r="AM37" s="23"/>
      <c r="AN37" s="23"/>
      <c r="AO37" s="23"/>
      <c r="AP37" s="23"/>
      <c r="AQ37" s="23"/>
    </row>
    <row r="38" spans="1:43" s="24" customFormat="1" ht="17.25" customHeight="1">
      <c r="A38" s="560">
        <v>12</v>
      </c>
      <c r="B38" s="153" t="s">
        <v>386</v>
      </c>
      <c r="C38" s="561" t="s">
        <v>99</v>
      </c>
      <c r="D38" s="560" t="s">
        <v>25</v>
      </c>
      <c r="E38" s="582" t="s">
        <v>662</v>
      </c>
      <c r="F38" s="582" t="s">
        <v>34</v>
      </c>
      <c r="G38" s="547">
        <v>1</v>
      </c>
      <c r="H38" s="563" t="s">
        <v>102</v>
      </c>
      <c r="I38" s="563" t="s">
        <v>103</v>
      </c>
      <c r="J38" s="581">
        <v>1</v>
      </c>
      <c r="K38" s="554">
        <v>17697</v>
      </c>
      <c r="L38" s="565">
        <v>28</v>
      </c>
      <c r="M38" s="554">
        <f t="shared" si="7"/>
        <v>1.5555555555555556</v>
      </c>
      <c r="N38" s="698" t="s">
        <v>152</v>
      </c>
      <c r="O38" s="1157">
        <v>4.75</v>
      </c>
      <c r="P38" s="697">
        <f t="shared" si="6"/>
        <v>130761.16666666667</v>
      </c>
      <c r="Q38" s="556"/>
      <c r="R38" s="1538"/>
      <c r="S38" s="700"/>
      <c r="T38" s="554">
        <v>0.1</v>
      </c>
      <c r="U38" s="556">
        <f t="shared" si="8"/>
        <v>13076.116666666669</v>
      </c>
      <c r="V38" s="699"/>
      <c r="W38" s="700"/>
      <c r="X38" s="559">
        <f t="shared" si="9"/>
        <v>143837.28333333333</v>
      </c>
      <c r="Y38" s="1547"/>
      <c r="Z38" s="1547"/>
      <c r="AA38" s="23">
        <f t="shared" si="3"/>
        <v>1726047.4</v>
      </c>
      <c r="AB38" s="24">
        <f t="shared" si="11"/>
        <v>274629.65791567223</v>
      </c>
      <c r="AC38" s="24">
        <f t="shared" si="12"/>
        <v>2157559.25</v>
      </c>
      <c r="AD38" s="24">
        <f t="shared" si="13"/>
        <v>343287.0723945903</v>
      </c>
      <c r="AK38" s="23"/>
      <c r="AL38" s="23"/>
      <c r="AM38" s="23"/>
      <c r="AN38" s="23"/>
      <c r="AO38" s="23"/>
      <c r="AP38" s="23"/>
      <c r="AQ38" s="23"/>
    </row>
    <row r="39" spans="1:43" s="24" customFormat="1" ht="17.25" customHeight="1">
      <c r="A39" s="547">
        <v>13</v>
      </c>
      <c r="B39" s="998" t="s">
        <v>458</v>
      </c>
      <c r="C39" s="561" t="s">
        <v>99</v>
      </c>
      <c r="D39" s="560" t="s">
        <v>25</v>
      </c>
      <c r="E39" s="582">
        <v>42</v>
      </c>
      <c r="F39" s="582" t="s">
        <v>34</v>
      </c>
      <c r="G39" s="547">
        <v>1</v>
      </c>
      <c r="H39" s="563" t="s">
        <v>102</v>
      </c>
      <c r="I39" s="563" t="s">
        <v>103</v>
      </c>
      <c r="J39" s="581">
        <v>1</v>
      </c>
      <c r="K39" s="554">
        <v>17697</v>
      </c>
      <c r="L39" s="1540">
        <v>17</v>
      </c>
      <c r="M39" s="554">
        <f t="shared" si="7"/>
        <v>0.94444444444444442</v>
      </c>
      <c r="N39" s="698" t="s">
        <v>152</v>
      </c>
      <c r="O39" s="1157">
        <v>4.75</v>
      </c>
      <c r="P39" s="697">
        <f t="shared" si="6"/>
        <v>79390.708333333343</v>
      </c>
      <c r="Q39" s="556"/>
      <c r="R39" s="1538"/>
      <c r="S39" s="700"/>
      <c r="T39" s="554">
        <v>0.1</v>
      </c>
      <c r="U39" s="556">
        <f t="shared" si="8"/>
        <v>7939.070833333335</v>
      </c>
      <c r="V39" s="699"/>
      <c r="W39" s="700"/>
      <c r="X39" s="559">
        <f t="shared" si="9"/>
        <v>87329.779166666674</v>
      </c>
      <c r="Y39" s="1547"/>
      <c r="Z39" s="1547"/>
      <c r="AA39" s="23"/>
      <c r="AK39" s="23"/>
      <c r="AL39" s="23"/>
      <c r="AM39" s="23"/>
      <c r="AN39" s="23"/>
      <c r="AO39" s="23"/>
      <c r="AP39" s="23"/>
      <c r="AQ39" s="23"/>
    </row>
    <row r="40" spans="1:43" s="24" customFormat="1" ht="17.25" customHeight="1">
      <c r="A40" s="560">
        <v>14</v>
      </c>
      <c r="B40" s="153" t="s">
        <v>130</v>
      </c>
      <c r="C40" s="561" t="s">
        <v>99</v>
      </c>
      <c r="D40" s="560" t="s">
        <v>25</v>
      </c>
      <c r="E40" s="582" t="s">
        <v>665</v>
      </c>
      <c r="F40" s="582" t="s">
        <v>34</v>
      </c>
      <c r="G40" s="547">
        <v>1</v>
      </c>
      <c r="H40" s="563" t="s">
        <v>102</v>
      </c>
      <c r="I40" s="563" t="s">
        <v>103</v>
      </c>
      <c r="J40" s="564">
        <v>1</v>
      </c>
      <c r="K40" s="554">
        <v>17697</v>
      </c>
      <c r="L40" s="565">
        <v>9</v>
      </c>
      <c r="M40" s="554">
        <f t="shared" si="7"/>
        <v>0.5</v>
      </c>
      <c r="N40" s="997" t="s">
        <v>152</v>
      </c>
      <c r="O40" s="1014">
        <v>4.75</v>
      </c>
      <c r="P40" s="567">
        <f t="shared" si="6"/>
        <v>42030.375</v>
      </c>
      <c r="Q40" s="556"/>
      <c r="R40" s="568"/>
      <c r="S40" s="554"/>
      <c r="T40" s="554">
        <v>0.1</v>
      </c>
      <c r="U40" s="556">
        <f t="shared" si="8"/>
        <v>4203.0375000000004</v>
      </c>
      <c r="V40" s="569"/>
      <c r="W40" s="554"/>
      <c r="X40" s="559">
        <f t="shared" si="9"/>
        <v>46233.412499999999</v>
      </c>
      <c r="Y40" s="7">
        <f t="shared" si="10"/>
        <v>0</v>
      </c>
      <c r="Z40" s="7">
        <f t="shared" si="10"/>
        <v>0</v>
      </c>
      <c r="AA40" s="23">
        <f t="shared" si="3"/>
        <v>554800.94999999995</v>
      </c>
      <c r="AB40" s="24">
        <f t="shared" si="11"/>
        <v>88273.818615751792</v>
      </c>
      <c r="AC40" s="24">
        <f t="shared" si="12"/>
        <v>693501.1875</v>
      </c>
      <c r="AD40" s="24">
        <f t="shared" si="13"/>
        <v>110342.27326968974</v>
      </c>
      <c r="AK40" s="23"/>
      <c r="AL40" s="23"/>
      <c r="AM40" s="23"/>
      <c r="AN40" s="23"/>
      <c r="AO40" s="23"/>
      <c r="AP40" s="23"/>
      <c r="AQ40" s="23"/>
    </row>
    <row r="41" spans="1:43" s="1692" customFormat="1" ht="17.25" customHeight="1">
      <c r="A41" s="547">
        <v>15</v>
      </c>
      <c r="B41" s="153" t="s">
        <v>455</v>
      </c>
      <c r="C41" s="561" t="s">
        <v>99</v>
      </c>
      <c r="D41" s="563" t="s">
        <v>25</v>
      </c>
      <c r="E41" s="210" t="s">
        <v>667</v>
      </c>
      <c r="F41" s="562" t="s">
        <v>34</v>
      </c>
      <c r="G41" s="547">
        <v>1</v>
      </c>
      <c r="H41" s="563" t="s">
        <v>102</v>
      </c>
      <c r="I41" s="563" t="s">
        <v>103</v>
      </c>
      <c r="J41" s="564">
        <v>1</v>
      </c>
      <c r="K41" s="554">
        <v>17697</v>
      </c>
      <c r="L41" s="565">
        <v>8</v>
      </c>
      <c r="M41" s="554">
        <f t="shared" si="7"/>
        <v>0.44444444444444442</v>
      </c>
      <c r="N41" s="997" t="s">
        <v>152</v>
      </c>
      <c r="O41" s="1014">
        <v>4.75</v>
      </c>
      <c r="P41" s="567">
        <f t="shared" si="6"/>
        <v>37360.333333333336</v>
      </c>
      <c r="Q41" s="556"/>
      <c r="R41" s="568"/>
      <c r="S41" s="554"/>
      <c r="T41" s="554">
        <v>0.1</v>
      </c>
      <c r="U41" s="556">
        <f t="shared" si="8"/>
        <v>3736.0333333333338</v>
      </c>
      <c r="V41" s="569"/>
      <c r="W41" s="554"/>
      <c r="X41" s="559">
        <f t="shared" si="9"/>
        <v>41096.366666666669</v>
      </c>
      <c r="Y41" s="1691">
        <f t="shared" si="10"/>
        <v>0</v>
      </c>
      <c r="Z41" s="1691">
        <f t="shared" si="10"/>
        <v>0</v>
      </c>
      <c r="AA41" s="23">
        <f t="shared" si="3"/>
        <v>493156.4</v>
      </c>
      <c r="AB41" s="24">
        <f t="shared" si="11"/>
        <v>78465.616547334939</v>
      </c>
      <c r="AC41" s="24">
        <f t="shared" si="12"/>
        <v>616445.5</v>
      </c>
      <c r="AD41" s="24">
        <f t="shared" si="13"/>
        <v>98082.020684168674</v>
      </c>
      <c r="AK41" s="1782"/>
      <c r="AL41" s="1782"/>
      <c r="AM41" s="1782"/>
      <c r="AN41" s="1782"/>
      <c r="AO41" s="1782"/>
      <c r="AP41" s="1782"/>
      <c r="AQ41" s="1782"/>
    </row>
    <row r="42" spans="1:43" s="24" customFormat="1" ht="17.25" customHeight="1">
      <c r="A42" s="560">
        <v>16</v>
      </c>
      <c r="B42" s="153" t="s">
        <v>227</v>
      </c>
      <c r="C42" s="561" t="s">
        <v>99</v>
      </c>
      <c r="D42" s="560" t="s">
        <v>25</v>
      </c>
      <c r="E42" s="562" t="s">
        <v>741</v>
      </c>
      <c r="F42" s="562" t="s">
        <v>669</v>
      </c>
      <c r="G42" s="547">
        <v>1</v>
      </c>
      <c r="H42" s="580" t="s">
        <v>102</v>
      </c>
      <c r="I42" s="580" t="s">
        <v>103</v>
      </c>
      <c r="J42" s="574">
        <v>2</v>
      </c>
      <c r="K42" s="554">
        <v>17697</v>
      </c>
      <c r="L42" s="565">
        <v>4</v>
      </c>
      <c r="M42" s="554">
        <f t="shared" si="7"/>
        <v>0.22222222222222221</v>
      </c>
      <c r="N42" s="1014" t="s">
        <v>104</v>
      </c>
      <c r="O42" s="1014">
        <v>4.09</v>
      </c>
      <c r="P42" s="567">
        <f t="shared" si="6"/>
        <v>16084.606666666667</v>
      </c>
      <c r="Q42" s="556"/>
      <c r="R42" s="568"/>
      <c r="S42" s="554"/>
      <c r="T42" s="554">
        <v>0.1</v>
      </c>
      <c r="U42" s="556">
        <f t="shared" si="8"/>
        <v>1608.4606666666668</v>
      </c>
      <c r="V42" s="569"/>
      <c r="W42" s="554"/>
      <c r="X42" s="559">
        <f t="shared" si="9"/>
        <v>17693.067333333332</v>
      </c>
      <c r="Y42" s="10">
        <f t="shared" si="10"/>
        <v>0</v>
      </c>
      <c r="Z42" s="10">
        <f t="shared" si="10"/>
        <v>0</v>
      </c>
      <c r="AA42" s="23">
        <f t="shared" si="3"/>
        <v>212316.80799999999</v>
      </c>
      <c r="AB42" s="24">
        <f t="shared" si="11"/>
        <v>33781.512808273663</v>
      </c>
      <c r="AC42" s="24">
        <f t="shared" si="12"/>
        <v>265396.01</v>
      </c>
      <c r="AD42" s="24">
        <f t="shared" si="13"/>
        <v>42226.891010342086</v>
      </c>
      <c r="AK42" s="23"/>
      <c r="AL42" s="23"/>
      <c r="AM42" s="23"/>
      <c r="AN42" s="23"/>
      <c r="AO42" s="23"/>
      <c r="AP42" s="23"/>
      <c r="AQ42" s="23"/>
    </row>
    <row r="43" spans="1:43" s="24" customFormat="1" ht="17.25" customHeight="1">
      <c r="A43" s="547">
        <v>17</v>
      </c>
      <c r="B43" s="153" t="s">
        <v>138</v>
      </c>
      <c r="C43" s="561" t="s">
        <v>99</v>
      </c>
      <c r="D43" s="563" t="s">
        <v>25</v>
      </c>
      <c r="E43" s="562" t="s">
        <v>671</v>
      </c>
      <c r="F43" s="562" t="s">
        <v>476</v>
      </c>
      <c r="G43" s="547">
        <v>1</v>
      </c>
      <c r="H43" s="563" t="s">
        <v>102</v>
      </c>
      <c r="I43" s="563" t="s">
        <v>103</v>
      </c>
      <c r="J43" s="1584">
        <v>3</v>
      </c>
      <c r="K43" s="554">
        <v>17697</v>
      </c>
      <c r="L43" s="565">
        <v>18</v>
      </c>
      <c r="M43" s="554">
        <f t="shared" si="7"/>
        <v>1</v>
      </c>
      <c r="N43" s="1585" t="s">
        <v>109</v>
      </c>
      <c r="O43" s="1014">
        <v>4.07</v>
      </c>
      <c r="P43" s="567">
        <f t="shared" si="6"/>
        <v>72026.790000000008</v>
      </c>
      <c r="Q43" s="556"/>
      <c r="R43" s="568"/>
      <c r="S43" s="554"/>
      <c r="T43" s="554">
        <v>0.1</v>
      </c>
      <c r="U43" s="556">
        <f t="shared" si="8"/>
        <v>7202.679000000001</v>
      </c>
      <c r="V43" s="569"/>
      <c r="W43" s="554"/>
      <c r="X43" s="559">
        <f t="shared" si="9"/>
        <v>79229.469000000012</v>
      </c>
      <c r="Y43" s="7"/>
      <c r="Z43" s="7"/>
      <c r="AA43" s="23">
        <f t="shared" si="3"/>
        <v>950753.62800000014</v>
      </c>
      <c r="AB43" s="24">
        <f t="shared" si="11"/>
        <v>151273.44916467785</v>
      </c>
      <c r="AC43" s="24">
        <f t="shared" si="12"/>
        <v>1188442.0350000001</v>
      </c>
      <c r="AD43" s="24">
        <f t="shared" si="13"/>
        <v>189091.81145584729</v>
      </c>
      <c r="AK43" s="23"/>
      <c r="AL43" s="23"/>
      <c r="AM43" s="23"/>
      <c r="AN43" s="23"/>
      <c r="AO43" s="23"/>
      <c r="AP43" s="23"/>
      <c r="AQ43" s="23"/>
    </row>
    <row r="44" spans="1:43" s="24" customFormat="1" ht="18" customHeight="1">
      <c r="A44" s="560">
        <v>18</v>
      </c>
      <c r="B44" s="153" t="s">
        <v>58</v>
      </c>
      <c r="C44" s="561" t="s">
        <v>99</v>
      </c>
      <c r="D44" s="563" t="s">
        <v>25</v>
      </c>
      <c r="E44" s="562" t="s">
        <v>608</v>
      </c>
      <c r="F44" s="562" t="s">
        <v>366</v>
      </c>
      <c r="G44" s="547">
        <v>1</v>
      </c>
      <c r="H44" s="563" t="s">
        <v>102</v>
      </c>
      <c r="I44" s="563" t="s">
        <v>103</v>
      </c>
      <c r="J44" s="581">
        <v>2</v>
      </c>
      <c r="K44" s="554">
        <v>17697</v>
      </c>
      <c r="L44" s="565">
        <v>14</v>
      </c>
      <c r="M44" s="554">
        <f t="shared" si="7"/>
        <v>0.77777777777777779</v>
      </c>
      <c r="N44" s="1014" t="s">
        <v>104</v>
      </c>
      <c r="O44" s="1014">
        <v>4.4400000000000004</v>
      </c>
      <c r="P44" s="567">
        <f t="shared" si="6"/>
        <v>61113.64</v>
      </c>
      <c r="Q44" s="556"/>
      <c r="R44" s="568"/>
      <c r="S44" s="554"/>
      <c r="T44" s="554">
        <v>0.1</v>
      </c>
      <c r="U44" s="556">
        <f t="shared" si="8"/>
        <v>6111.3640000000005</v>
      </c>
      <c r="V44" s="569"/>
      <c r="W44" s="554"/>
      <c r="X44" s="559">
        <f t="shared" si="9"/>
        <v>67225.004000000001</v>
      </c>
      <c r="Y44" s="10">
        <f t="shared" si="10"/>
        <v>0</v>
      </c>
      <c r="Z44" s="10">
        <f t="shared" si="10"/>
        <v>0</v>
      </c>
      <c r="AA44" s="23">
        <f t="shared" si="3"/>
        <v>806700.04799999995</v>
      </c>
      <c r="AB44" s="24">
        <f t="shared" si="11"/>
        <v>128353.22959427208</v>
      </c>
      <c r="AC44" s="24">
        <f t="shared" si="12"/>
        <v>1008375.0599999999</v>
      </c>
      <c r="AD44" s="24">
        <f t="shared" si="13"/>
        <v>160441.53699284009</v>
      </c>
      <c r="AK44" s="23"/>
      <c r="AL44" s="23"/>
      <c r="AM44" s="23"/>
      <c r="AN44" s="23"/>
      <c r="AO44" s="23"/>
      <c r="AP44" s="23"/>
      <c r="AQ44" s="23"/>
    </row>
    <row r="45" spans="1:43" s="24" customFormat="1" ht="17.25" customHeight="1">
      <c r="A45" s="547">
        <v>19</v>
      </c>
      <c r="B45" s="153" t="s">
        <v>145</v>
      </c>
      <c r="C45" s="561" t="s">
        <v>99</v>
      </c>
      <c r="D45" s="563" t="s">
        <v>25</v>
      </c>
      <c r="E45" s="562" t="s">
        <v>672</v>
      </c>
      <c r="F45" s="562" t="s">
        <v>476</v>
      </c>
      <c r="G45" s="547">
        <v>1</v>
      </c>
      <c r="H45" s="563" t="s">
        <v>102</v>
      </c>
      <c r="I45" s="563" t="s">
        <v>103</v>
      </c>
      <c r="J45" s="581">
        <v>2</v>
      </c>
      <c r="K45" s="554">
        <v>17697</v>
      </c>
      <c r="L45" s="565">
        <v>12</v>
      </c>
      <c r="M45" s="554">
        <f t="shared" si="7"/>
        <v>0.66666666666666663</v>
      </c>
      <c r="N45" s="1581" t="s">
        <v>104</v>
      </c>
      <c r="O45" s="1014">
        <v>4.09</v>
      </c>
      <c r="P45" s="567">
        <f t="shared" si="6"/>
        <v>48253.82</v>
      </c>
      <c r="Q45" s="556"/>
      <c r="R45" s="568"/>
      <c r="S45" s="554"/>
      <c r="T45" s="554">
        <v>0.1</v>
      </c>
      <c r="U45" s="556">
        <f t="shared" si="8"/>
        <v>4825.3820000000005</v>
      </c>
      <c r="V45" s="569"/>
      <c r="W45" s="554"/>
      <c r="X45" s="559">
        <f t="shared" si="9"/>
        <v>53079.201999999997</v>
      </c>
      <c r="Y45" s="10">
        <f t="shared" si="10"/>
        <v>0</v>
      </c>
      <c r="Z45" s="10">
        <f t="shared" si="10"/>
        <v>0</v>
      </c>
      <c r="AA45" s="23">
        <f t="shared" si="3"/>
        <v>636950.424</v>
      </c>
      <c r="AB45" s="24">
        <f t="shared" si="11"/>
        <v>101344.538424821</v>
      </c>
      <c r="AC45" s="24">
        <f t="shared" si="12"/>
        <v>796188.03</v>
      </c>
      <c r="AD45" s="24">
        <f t="shared" si="13"/>
        <v>126680.67303102625</v>
      </c>
      <c r="AK45" s="23"/>
      <c r="AL45" s="23"/>
      <c r="AM45" s="23"/>
      <c r="AN45" s="23"/>
      <c r="AO45" s="23"/>
      <c r="AP45" s="23"/>
      <c r="AQ45" s="23"/>
    </row>
    <row r="46" spans="1:43" s="24" customFormat="1" ht="17.25" customHeight="1">
      <c r="A46" s="560">
        <v>20</v>
      </c>
      <c r="B46" s="153" t="s">
        <v>143</v>
      </c>
      <c r="C46" s="561" t="s">
        <v>99</v>
      </c>
      <c r="D46" s="563" t="s">
        <v>25</v>
      </c>
      <c r="E46" s="562" t="s">
        <v>674</v>
      </c>
      <c r="F46" s="562" t="s">
        <v>239</v>
      </c>
      <c r="G46" s="547">
        <v>1</v>
      </c>
      <c r="H46" s="563" t="s">
        <v>102</v>
      </c>
      <c r="I46" s="563" t="s">
        <v>103</v>
      </c>
      <c r="J46" s="581">
        <v>1</v>
      </c>
      <c r="K46" s="554">
        <v>17697</v>
      </c>
      <c r="L46" s="565">
        <v>28</v>
      </c>
      <c r="M46" s="554">
        <f t="shared" si="7"/>
        <v>1.5555555555555556</v>
      </c>
      <c r="N46" s="574" t="s">
        <v>152</v>
      </c>
      <c r="O46" s="1014">
        <v>4.49</v>
      </c>
      <c r="P46" s="567">
        <f t="shared" si="6"/>
        <v>123603.71333333332</v>
      </c>
      <c r="Q46" s="556"/>
      <c r="R46" s="568"/>
      <c r="S46" s="554"/>
      <c r="T46" s="554">
        <v>0.1</v>
      </c>
      <c r="U46" s="556">
        <f t="shared" si="8"/>
        <v>12360.371333333333</v>
      </c>
      <c r="V46" s="569"/>
      <c r="W46" s="554"/>
      <c r="X46" s="559">
        <f t="shared" si="9"/>
        <v>135964.08466666666</v>
      </c>
      <c r="Y46" s="10">
        <f t="shared" si="10"/>
        <v>0</v>
      </c>
      <c r="Z46" s="10">
        <f t="shared" si="10"/>
        <v>0</v>
      </c>
      <c r="AA46" s="23">
        <f t="shared" si="3"/>
        <v>1631569.0159999998</v>
      </c>
      <c r="AB46" s="24">
        <f t="shared" si="11"/>
        <v>259597.29769291967</v>
      </c>
      <c r="AC46" s="24">
        <f t="shared" si="12"/>
        <v>2039461.2699999998</v>
      </c>
      <c r="AD46" s="24">
        <f t="shared" si="13"/>
        <v>324496.62211614952</v>
      </c>
      <c r="AK46" s="23"/>
      <c r="AL46" s="23"/>
      <c r="AM46" s="23"/>
      <c r="AN46" s="23"/>
      <c r="AO46" s="23"/>
      <c r="AP46" s="23"/>
      <c r="AQ46" s="23"/>
    </row>
    <row r="47" spans="1:43" s="24" customFormat="1" ht="17.25" customHeight="1">
      <c r="A47" s="547">
        <v>21</v>
      </c>
      <c r="B47" s="153" t="s">
        <v>447</v>
      </c>
      <c r="C47" s="561" t="s">
        <v>99</v>
      </c>
      <c r="D47" s="563" t="s">
        <v>75</v>
      </c>
      <c r="E47" s="1586" t="s">
        <v>806</v>
      </c>
      <c r="F47" s="1586" t="s">
        <v>602</v>
      </c>
      <c r="G47" s="547">
        <v>1</v>
      </c>
      <c r="H47" s="563" t="s">
        <v>102</v>
      </c>
      <c r="I47" s="563" t="s">
        <v>118</v>
      </c>
      <c r="J47" s="581">
        <v>4</v>
      </c>
      <c r="K47" s="554">
        <v>17697</v>
      </c>
      <c r="L47" s="565">
        <v>10</v>
      </c>
      <c r="M47" s="554">
        <f t="shared" si="7"/>
        <v>0.55555555555555558</v>
      </c>
      <c r="N47" s="574" t="s">
        <v>112</v>
      </c>
      <c r="O47" s="1014">
        <v>3.36</v>
      </c>
      <c r="P47" s="567">
        <f t="shared" si="6"/>
        <v>33034.400000000001</v>
      </c>
      <c r="Q47" s="556"/>
      <c r="R47" s="568"/>
      <c r="S47" s="554"/>
      <c r="T47" s="554">
        <v>0.1</v>
      </c>
      <c r="U47" s="556">
        <f t="shared" si="8"/>
        <v>3303.4400000000005</v>
      </c>
      <c r="V47" s="569"/>
      <c r="W47" s="554"/>
      <c r="X47" s="559">
        <f t="shared" si="9"/>
        <v>36337.840000000004</v>
      </c>
      <c r="Y47" s="10">
        <f t="shared" si="10"/>
        <v>0</v>
      </c>
      <c r="Z47" s="10">
        <f t="shared" si="10"/>
        <v>0</v>
      </c>
      <c r="AA47" s="23">
        <f t="shared" si="3"/>
        <v>436054.08000000007</v>
      </c>
      <c r="AB47" s="24">
        <f t="shared" si="11"/>
        <v>69380.124105011942</v>
      </c>
      <c r="AC47" s="24">
        <f t="shared" si="12"/>
        <v>545067.60000000009</v>
      </c>
      <c r="AD47" s="24">
        <f t="shared" si="13"/>
        <v>86725.155131264939</v>
      </c>
      <c r="AK47" s="23"/>
      <c r="AL47" s="23"/>
      <c r="AM47" s="23"/>
      <c r="AN47" s="23"/>
      <c r="AO47" s="23"/>
      <c r="AP47" s="23"/>
      <c r="AQ47" s="23"/>
    </row>
    <row r="48" spans="1:43" s="24" customFormat="1" ht="17.25" customHeight="1">
      <c r="A48" s="560">
        <v>22</v>
      </c>
      <c r="B48" s="998" t="s">
        <v>803</v>
      </c>
      <c r="C48" s="873" t="s">
        <v>99</v>
      </c>
      <c r="D48" s="1002" t="s">
        <v>25</v>
      </c>
      <c r="E48" s="1586" t="s">
        <v>807</v>
      </c>
      <c r="F48" s="1586" t="s">
        <v>34</v>
      </c>
      <c r="G48" s="547">
        <v>1</v>
      </c>
      <c r="H48" s="563" t="s">
        <v>102</v>
      </c>
      <c r="I48" s="563" t="s">
        <v>103</v>
      </c>
      <c r="J48" s="581">
        <v>1</v>
      </c>
      <c r="K48" s="554">
        <v>17697</v>
      </c>
      <c r="L48" s="1540">
        <v>12</v>
      </c>
      <c r="M48" s="554">
        <f t="shared" si="7"/>
        <v>0.66666666666666663</v>
      </c>
      <c r="N48" s="698" t="s">
        <v>152</v>
      </c>
      <c r="O48" s="1157">
        <v>4.75</v>
      </c>
      <c r="P48" s="697">
        <f t="shared" si="6"/>
        <v>56040.5</v>
      </c>
      <c r="Q48" s="556"/>
      <c r="R48" s="1538"/>
      <c r="S48" s="700"/>
      <c r="T48" s="554">
        <v>0.1</v>
      </c>
      <c r="U48" s="556">
        <f t="shared" si="8"/>
        <v>5604.05</v>
      </c>
      <c r="V48" s="699"/>
      <c r="W48" s="700"/>
      <c r="X48" s="559">
        <f t="shared" si="9"/>
        <v>61644.55</v>
      </c>
      <c r="Y48" s="1547"/>
      <c r="Z48" s="1547"/>
      <c r="AA48" s="23"/>
      <c r="AK48" s="23"/>
      <c r="AL48" s="23"/>
      <c r="AM48" s="23"/>
      <c r="AN48" s="23"/>
      <c r="AO48" s="23"/>
      <c r="AP48" s="23"/>
      <c r="AQ48" s="23"/>
    </row>
    <row r="49" spans="1:43" s="24" customFormat="1" ht="17.25" customHeight="1">
      <c r="A49" s="547">
        <v>23</v>
      </c>
      <c r="B49" s="153" t="s">
        <v>147</v>
      </c>
      <c r="C49" s="561" t="s">
        <v>148</v>
      </c>
      <c r="D49" s="563" t="s">
        <v>25</v>
      </c>
      <c r="E49" s="562" t="s">
        <v>676</v>
      </c>
      <c r="F49" s="562" t="s">
        <v>51</v>
      </c>
      <c r="G49" s="547">
        <v>1</v>
      </c>
      <c r="H49" s="563" t="s">
        <v>102</v>
      </c>
      <c r="I49" s="563" t="s">
        <v>103</v>
      </c>
      <c r="J49" s="564">
        <v>3</v>
      </c>
      <c r="K49" s="554">
        <v>17697</v>
      </c>
      <c r="L49" s="565">
        <v>34</v>
      </c>
      <c r="M49" s="554">
        <f t="shared" si="7"/>
        <v>1.8888888888888888</v>
      </c>
      <c r="N49" s="566" t="s">
        <v>109</v>
      </c>
      <c r="O49" s="1014">
        <v>4.43</v>
      </c>
      <c r="P49" s="567">
        <f t="shared" si="6"/>
        <v>148084.56333333332</v>
      </c>
      <c r="Q49" s="556"/>
      <c r="R49" s="568"/>
      <c r="S49" s="554"/>
      <c r="T49" s="554">
        <v>0.1</v>
      </c>
      <c r="U49" s="556">
        <f t="shared" si="8"/>
        <v>14808.456333333334</v>
      </c>
      <c r="V49" s="569"/>
      <c r="W49" s="554"/>
      <c r="X49" s="559">
        <f t="shared" si="9"/>
        <v>162893.01966666666</v>
      </c>
      <c r="Y49" s="10">
        <f t="shared" si="10"/>
        <v>0</v>
      </c>
      <c r="Z49" s="10">
        <f t="shared" si="10"/>
        <v>0</v>
      </c>
      <c r="AA49" s="23">
        <f t="shared" si="3"/>
        <v>1954716.236</v>
      </c>
      <c r="AB49" s="24">
        <f t="shared" si="11"/>
        <v>311012.92537788383</v>
      </c>
      <c r="AC49" s="24">
        <f t="shared" si="12"/>
        <v>2443395.2949999999</v>
      </c>
      <c r="AD49" s="24">
        <f t="shared" si="13"/>
        <v>388766.15672235476</v>
      </c>
      <c r="AK49" s="23"/>
      <c r="AL49" s="23"/>
      <c r="AM49" s="23"/>
      <c r="AN49" s="23"/>
      <c r="AO49" s="23"/>
      <c r="AP49" s="23"/>
      <c r="AQ49" s="23"/>
    </row>
    <row r="50" spans="1:43" s="24" customFormat="1" ht="17.25" customHeight="1">
      <c r="A50" s="560">
        <v>24</v>
      </c>
      <c r="B50" s="153" t="s">
        <v>91</v>
      </c>
      <c r="C50" s="561" t="s">
        <v>99</v>
      </c>
      <c r="D50" s="563" t="s">
        <v>25</v>
      </c>
      <c r="E50" s="562" t="s">
        <v>677</v>
      </c>
      <c r="F50" s="562" t="s">
        <v>93</v>
      </c>
      <c r="G50" s="547">
        <v>1</v>
      </c>
      <c r="H50" s="563" t="s">
        <v>102</v>
      </c>
      <c r="I50" s="563" t="s">
        <v>103</v>
      </c>
      <c r="J50" s="581">
        <v>1</v>
      </c>
      <c r="K50" s="554">
        <v>17697</v>
      </c>
      <c r="L50" s="565">
        <v>9</v>
      </c>
      <c r="M50" s="554">
        <f t="shared" si="7"/>
        <v>0.5</v>
      </c>
      <c r="N50" s="574" t="s">
        <v>152</v>
      </c>
      <c r="O50" s="1014">
        <v>4.62</v>
      </c>
      <c r="P50" s="567">
        <f t="shared" si="6"/>
        <v>40880.069999999992</v>
      </c>
      <c r="Q50" s="556"/>
      <c r="R50" s="568"/>
      <c r="S50" s="554"/>
      <c r="T50" s="554">
        <v>0.1</v>
      </c>
      <c r="U50" s="556">
        <f t="shared" si="8"/>
        <v>4088.0069999999996</v>
      </c>
      <c r="V50" s="569"/>
      <c r="W50" s="554"/>
      <c r="X50" s="559">
        <f t="shared" si="9"/>
        <v>44968.07699999999</v>
      </c>
      <c r="Y50" s="10">
        <f t="shared" si="10"/>
        <v>0</v>
      </c>
      <c r="Z50" s="10">
        <f t="shared" si="10"/>
        <v>0</v>
      </c>
      <c r="AA50" s="23">
        <f t="shared" si="3"/>
        <v>539616.92399999988</v>
      </c>
      <c r="AB50" s="24">
        <f t="shared" si="11"/>
        <v>85857.903579952253</v>
      </c>
      <c r="AC50" s="24">
        <f t="shared" si="12"/>
        <v>674521.1549999998</v>
      </c>
      <c r="AD50" s="24">
        <f t="shared" si="13"/>
        <v>107322.3794749403</v>
      </c>
      <c r="AK50" s="23"/>
      <c r="AL50" s="23"/>
      <c r="AM50" s="23"/>
      <c r="AN50" s="23"/>
      <c r="AO50" s="23"/>
      <c r="AP50" s="23"/>
      <c r="AQ50" s="23"/>
    </row>
    <row r="51" spans="1:43" s="24" customFormat="1" ht="17.25" customHeight="1">
      <c r="A51" s="547">
        <v>25</v>
      </c>
      <c r="B51" s="153" t="s">
        <v>150</v>
      </c>
      <c r="C51" s="561" t="s">
        <v>99</v>
      </c>
      <c r="D51" s="563" t="s">
        <v>25</v>
      </c>
      <c r="E51" s="562" t="s">
        <v>680</v>
      </c>
      <c r="F51" s="562" t="s">
        <v>34</v>
      </c>
      <c r="G51" s="547">
        <v>1</v>
      </c>
      <c r="H51" s="563" t="s">
        <v>102</v>
      </c>
      <c r="I51" s="563" t="s">
        <v>103</v>
      </c>
      <c r="J51" s="564">
        <v>1</v>
      </c>
      <c r="K51" s="554">
        <v>17697</v>
      </c>
      <c r="L51" s="565">
        <v>26</v>
      </c>
      <c r="M51" s="554">
        <f t="shared" si="7"/>
        <v>1.4444444444444444</v>
      </c>
      <c r="N51" s="997" t="s">
        <v>152</v>
      </c>
      <c r="O51" s="1014">
        <v>4.75</v>
      </c>
      <c r="P51" s="567">
        <f t="shared" si="6"/>
        <v>121421.08333333334</v>
      </c>
      <c r="Q51" s="556"/>
      <c r="R51" s="568"/>
      <c r="S51" s="554"/>
      <c r="T51" s="554">
        <v>0.1</v>
      </c>
      <c r="U51" s="556">
        <f t="shared" si="8"/>
        <v>12142.108333333335</v>
      </c>
      <c r="V51" s="569"/>
      <c r="W51" s="554"/>
      <c r="X51" s="559">
        <f t="shared" si="9"/>
        <v>133563.19166666668</v>
      </c>
      <c r="Y51" s="7">
        <f t="shared" si="10"/>
        <v>0</v>
      </c>
      <c r="Z51" s="7">
        <f t="shared" si="10"/>
        <v>0</v>
      </c>
      <c r="AA51" s="23">
        <f t="shared" si="3"/>
        <v>1602758.3000000003</v>
      </c>
      <c r="AB51" s="24">
        <f t="shared" si="11"/>
        <v>255013.25377883855</v>
      </c>
      <c r="AC51" s="24">
        <f t="shared" si="12"/>
        <v>2003447.8750000005</v>
      </c>
      <c r="AD51" s="24">
        <f t="shared" si="13"/>
        <v>318766.56722354819</v>
      </c>
      <c r="AK51" s="23"/>
      <c r="AL51" s="23"/>
      <c r="AM51" s="23"/>
      <c r="AN51" s="23"/>
      <c r="AO51" s="23"/>
      <c r="AP51" s="23"/>
      <c r="AQ51" s="23"/>
    </row>
    <row r="52" spans="1:43" s="24" customFormat="1" ht="17.25" customHeight="1">
      <c r="A52" s="560">
        <v>26</v>
      </c>
      <c r="B52" s="998" t="s">
        <v>153</v>
      </c>
      <c r="C52" s="549" t="s">
        <v>99</v>
      </c>
      <c r="D52" s="874" t="s">
        <v>25</v>
      </c>
      <c r="E52" s="874" t="s">
        <v>818</v>
      </c>
      <c r="F52" s="562" t="s">
        <v>819</v>
      </c>
      <c r="G52" s="874">
        <v>1</v>
      </c>
      <c r="H52" s="874" t="s">
        <v>102</v>
      </c>
      <c r="I52" s="874" t="s">
        <v>103</v>
      </c>
      <c r="J52" s="1647">
        <v>1</v>
      </c>
      <c r="K52" s="554">
        <v>17697</v>
      </c>
      <c r="L52" s="1540">
        <v>10</v>
      </c>
      <c r="M52" s="554">
        <f t="shared" si="7"/>
        <v>0.55555555555555558</v>
      </c>
      <c r="N52" s="1004" t="s">
        <v>152</v>
      </c>
      <c r="O52" s="1157">
        <v>4.75</v>
      </c>
      <c r="P52" s="697">
        <f t="shared" si="6"/>
        <v>46700.416666666672</v>
      </c>
      <c r="Q52" s="556"/>
      <c r="R52" s="1538"/>
      <c r="S52" s="700"/>
      <c r="T52" s="554">
        <v>0.1</v>
      </c>
      <c r="U52" s="556">
        <f t="shared" si="8"/>
        <v>4670.041666666667</v>
      </c>
      <c r="V52" s="699"/>
      <c r="W52" s="700"/>
      <c r="X52" s="559">
        <f t="shared" si="9"/>
        <v>51370.458333333336</v>
      </c>
      <c r="Y52" s="882"/>
      <c r="Z52" s="882"/>
      <c r="AA52" s="23"/>
      <c r="AK52" s="23"/>
      <c r="AL52" s="23"/>
      <c r="AM52" s="23"/>
      <c r="AN52" s="23"/>
      <c r="AO52" s="23"/>
      <c r="AP52" s="23"/>
      <c r="AQ52" s="23"/>
    </row>
    <row r="53" spans="1:43" s="24" customFormat="1" ht="17.25" customHeight="1">
      <c r="A53" s="547">
        <v>27</v>
      </c>
      <c r="B53" s="153" t="s">
        <v>157</v>
      </c>
      <c r="C53" s="561" t="s">
        <v>99</v>
      </c>
      <c r="D53" s="563" t="s">
        <v>75</v>
      </c>
      <c r="E53" s="562" t="s">
        <v>681</v>
      </c>
      <c r="F53" s="562" t="s">
        <v>108</v>
      </c>
      <c r="G53" s="547">
        <v>1</v>
      </c>
      <c r="H53" s="563" t="s">
        <v>102</v>
      </c>
      <c r="I53" s="563" t="s">
        <v>118</v>
      </c>
      <c r="J53" s="564">
        <v>4</v>
      </c>
      <c r="K53" s="554">
        <v>17697</v>
      </c>
      <c r="L53" s="565">
        <v>26</v>
      </c>
      <c r="M53" s="554">
        <f t="shared" si="7"/>
        <v>1.4444444444444444</v>
      </c>
      <c r="N53" s="997" t="s">
        <v>112</v>
      </c>
      <c r="O53" s="1014">
        <v>3.41</v>
      </c>
      <c r="P53" s="567">
        <f t="shared" si="6"/>
        <v>87167.556666666671</v>
      </c>
      <c r="Q53" s="556"/>
      <c r="R53" s="568"/>
      <c r="S53" s="554"/>
      <c r="T53" s="554">
        <v>0.1</v>
      </c>
      <c r="U53" s="556">
        <f t="shared" si="8"/>
        <v>8716.7556666666678</v>
      </c>
      <c r="V53" s="569"/>
      <c r="W53" s="554"/>
      <c r="X53" s="559">
        <f t="shared" si="9"/>
        <v>95884.312333333335</v>
      </c>
      <c r="Y53" s="10">
        <f t="shared" si="10"/>
        <v>0</v>
      </c>
      <c r="Z53" s="10">
        <f t="shared" si="10"/>
        <v>0</v>
      </c>
      <c r="AA53" s="23">
        <f t="shared" si="3"/>
        <v>1150611.7480000001</v>
      </c>
      <c r="AB53" s="24">
        <f t="shared" si="11"/>
        <v>183072.6727128083</v>
      </c>
      <c r="AC53" s="24">
        <f t="shared" si="12"/>
        <v>1438264.6850000001</v>
      </c>
      <c r="AD53" s="24">
        <f t="shared" si="13"/>
        <v>228840.84089101036</v>
      </c>
      <c r="AK53" s="23"/>
      <c r="AL53" s="23"/>
      <c r="AM53" s="23"/>
      <c r="AN53" s="23"/>
      <c r="AO53" s="23"/>
      <c r="AP53" s="23"/>
      <c r="AQ53" s="23"/>
    </row>
    <row r="54" spans="1:43" s="24" customFormat="1" ht="17.25" customHeight="1">
      <c r="A54" s="560">
        <v>28</v>
      </c>
      <c r="B54" s="153" t="s">
        <v>160</v>
      </c>
      <c r="C54" s="561" t="s">
        <v>148</v>
      </c>
      <c r="D54" s="563" t="s">
        <v>25</v>
      </c>
      <c r="E54" s="562" t="s">
        <v>682</v>
      </c>
      <c r="F54" s="562" t="s">
        <v>34</v>
      </c>
      <c r="G54" s="547">
        <v>1</v>
      </c>
      <c r="H54" s="563" t="s">
        <v>102</v>
      </c>
      <c r="I54" s="563" t="s">
        <v>103</v>
      </c>
      <c r="J54" s="564">
        <v>2</v>
      </c>
      <c r="K54" s="554">
        <v>17697</v>
      </c>
      <c r="L54" s="565">
        <v>29</v>
      </c>
      <c r="M54" s="554">
        <f t="shared" si="7"/>
        <v>1.6111111111111112</v>
      </c>
      <c r="N54" s="566" t="s">
        <v>104</v>
      </c>
      <c r="O54" s="1014">
        <v>4.51</v>
      </c>
      <c r="P54" s="567">
        <f t="shared" si="6"/>
        <v>128588.36833333335</v>
      </c>
      <c r="Q54" s="556"/>
      <c r="R54" s="568"/>
      <c r="S54" s="554"/>
      <c r="T54" s="554">
        <v>0.1</v>
      </c>
      <c r="U54" s="556">
        <f t="shared" si="8"/>
        <v>12858.836833333335</v>
      </c>
      <c r="V54" s="569"/>
      <c r="W54" s="554"/>
      <c r="X54" s="559">
        <f t="shared" si="9"/>
        <v>141447.20516666668</v>
      </c>
      <c r="Y54" s="10">
        <f>V54+R54</f>
        <v>0</v>
      </c>
      <c r="Z54" s="10">
        <f>W54+S54</f>
        <v>0</v>
      </c>
      <c r="AA54" s="23">
        <f t="shared" si="3"/>
        <v>1697366.4620000003</v>
      </c>
      <c r="AB54" s="24">
        <f t="shared" si="11"/>
        <v>270066.26284805097</v>
      </c>
      <c r="AC54" s="24">
        <f t="shared" si="12"/>
        <v>2121708.0775000006</v>
      </c>
      <c r="AD54" s="24">
        <f t="shared" si="13"/>
        <v>337582.82856006373</v>
      </c>
      <c r="AK54" s="23"/>
      <c r="AL54" s="23"/>
      <c r="AM54" s="23"/>
      <c r="AN54" s="23"/>
      <c r="AO54" s="23"/>
      <c r="AP54" s="23"/>
      <c r="AQ54" s="23"/>
    </row>
    <row r="55" spans="1:43" s="24" customFormat="1" ht="17.25" customHeight="1">
      <c r="A55" s="547">
        <v>29</v>
      </c>
      <c r="B55" s="153" t="s">
        <v>162</v>
      </c>
      <c r="C55" s="561" t="s">
        <v>99</v>
      </c>
      <c r="D55" s="563" t="s">
        <v>25</v>
      </c>
      <c r="E55" s="582" t="s">
        <v>503</v>
      </c>
      <c r="F55" s="562" t="s">
        <v>77</v>
      </c>
      <c r="G55" s="547">
        <v>1</v>
      </c>
      <c r="H55" s="563" t="s">
        <v>102</v>
      </c>
      <c r="I55" s="563" t="s">
        <v>103</v>
      </c>
      <c r="J55" s="581">
        <v>4</v>
      </c>
      <c r="K55" s="554">
        <v>17697</v>
      </c>
      <c r="L55" s="565">
        <v>30</v>
      </c>
      <c r="M55" s="554">
        <f t="shared" si="7"/>
        <v>1.6666666666666667</v>
      </c>
      <c r="N55" s="574" t="s">
        <v>112</v>
      </c>
      <c r="O55" s="1014">
        <v>3.71</v>
      </c>
      <c r="P55" s="567">
        <f t="shared" si="6"/>
        <v>109426.45</v>
      </c>
      <c r="Q55" s="556"/>
      <c r="R55" s="568"/>
      <c r="S55" s="554"/>
      <c r="T55" s="554">
        <v>0.1</v>
      </c>
      <c r="U55" s="556">
        <f t="shared" si="8"/>
        <v>10942.645</v>
      </c>
      <c r="V55" s="569"/>
      <c r="W55" s="554"/>
      <c r="X55" s="559">
        <f t="shared" si="9"/>
        <v>120369.095</v>
      </c>
      <c r="Y55" s="10">
        <f t="shared" si="10"/>
        <v>0</v>
      </c>
      <c r="Z55" s="10">
        <f t="shared" si="10"/>
        <v>0</v>
      </c>
      <c r="AA55" s="23">
        <f t="shared" si="3"/>
        <v>1444429.1400000001</v>
      </c>
      <c r="AB55" s="24">
        <f t="shared" si="11"/>
        <v>229821.66109785208</v>
      </c>
      <c r="AC55" s="24">
        <f t="shared" si="12"/>
        <v>1805536.4250000003</v>
      </c>
      <c r="AD55" s="24">
        <f t="shared" si="13"/>
        <v>287277.07637231506</v>
      </c>
      <c r="AK55" s="23"/>
      <c r="AL55" s="23"/>
      <c r="AM55" s="23"/>
      <c r="AN55" s="23"/>
      <c r="AO55" s="23"/>
      <c r="AP55" s="23"/>
      <c r="AQ55" s="23"/>
    </row>
    <row r="56" spans="1:43" s="24" customFormat="1" ht="17.25" customHeight="1">
      <c r="A56" s="560">
        <v>30</v>
      </c>
      <c r="B56" s="153" t="s">
        <v>166</v>
      </c>
      <c r="C56" s="561" t="s">
        <v>99</v>
      </c>
      <c r="D56" s="563" t="s">
        <v>25</v>
      </c>
      <c r="E56" s="562" t="s">
        <v>684</v>
      </c>
      <c r="F56" s="562" t="s">
        <v>239</v>
      </c>
      <c r="G56" s="547">
        <v>1</v>
      </c>
      <c r="H56" s="563" t="s">
        <v>102</v>
      </c>
      <c r="I56" s="563" t="s">
        <v>103</v>
      </c>
      <c r="J56" s="581">
        <v>1</v>
      </c>
      <c r="K56" s="554">
        <v>17697</v>
      </c>
      <c r="L56" s="565">
        <v>36</v>
      </c>
      <c r="M56" s="554">
        <f t="shared" si="7"/>
        <v>2</v>
      </c>
      <c r="N56" s="574" t="s">
        <v>152</v>
      </c>
      <c r="O56" s="1582">
        <v>4.49</v>
      </c>
      <c r="P56" s="567">
        <f t="shared" si="6"/>
        <v>158919.06</v>
      </c>
      <c r="Q56" s="556"/>
      <c r="R56" s="568"/>
      <c r="S56" s="554"/>
      <c r="T56" s="554">
        <v>0.1</v>
      </c>
      <c r="U56" s="556">
        <f t="shared" si="8"/>
        <v>15891.906000000001</v>
      </c>
      <c r="V56" s="569"/>
      <c r="W56" s="554"/>
      <c r="X56" s="559">
        <f t="shared" si="9"/>
        <v>174810.96599999999</v>
      </c>
      <c r="Y56" s="10">
        <f t="shared" si="10"/>
        <v>0</v>
      </c>
      <c r="Z56" s="10">
        <f t="shared" si="10"/>
        <v>0</v>
      </c>
      <c r="AA56" s="23">
        <f t="shared" si="3"/>
        <v>2097731.5919999997</v>
      </c>
      <c r="AB56" s="24">
        <f t="shared" si="11"/>
        <v>333767.95417661092</v>
      </c>
      <c r="AC56" s="24">
        <f t="shared" si="12"/>
        <v>2622164.4899999998</v>
      </c>
      <c r="AD56" s="24">
        <f t="shared" si="13"/>
        <v>417209.94272076373</v>
      </c>
      <c r="AK56" s="23"/>
      <c r="AL56" s="23"/>
      <c r="AM56" s="23"/>
      <c r="AN56" s="23"/>
      <c r="AO56" s="23"/>
      <c r="AP56" s="23"/>
      <c r="AQ56" s="23"/>
    </row>
    <row r="57" spans="1:43" s="24" customFormat="1" ht="17.25" customHeight="1">
      <c r="A57" s="547">
        <v>31</v>
      </c>
      <c r="B57" s="998" t="s">
        <v>739</v>
      </c>
      <c r="C57" s="873" t="s">
        <v>99</v>
      </c>
      <c r="D57" s="1002" t="s">
        <v>25</v>
      </c>
      <c r="E57" s="1539" t="s">
        <v>707</v>
      </c>
      <c r="F57" s="1539" t="s">
        <v>159</v>
      </c>
      <c r="G57" s="547">
        <v>1</v>
      </c>
      <c r="H57" s="563" t="s">
        <v>102</v>
      </c>
      <c r="I57" s="563" t="s">
        <v>103</v>
      </c>
      <c r="J57" s="581">
        <v>4</v>
      </c>
      <c r="K57" s="554">
        <v>17697</v>
      </c>
      <c r="L57" s="1540">
        <v>4</v>
      </c>
      <c r="M57" s="554">
        <f t="shared" si="7"/>
        <v>0.22222222222222221</v>
      </c>
      <c r="N57" s="698" t="s">
        <v>112</v>
      </c>
      <c r="O57" s="1582">
        <v>3.71</v>
      </c>
      <c r="P57" s="697">
        <f t="shared" si="6"/>
        <v>14590.193333333333</v>
      </c>
      <c r="Q57" s="556"/>
      <c r="R57" s="1538"/>
      <c r="S57" s="700"/>
      <c r="T57" s="554">
        <v>0.1</v>
      </c>
      <c r="U57" s="556">
        <f t="shared" si="8"/>
        <v>1459.0193333333334</v>
      </c>
      <c r="V57" s="699"/>
      <c r="W57" s="700"/>
      <c r="X57" s="559">
        <f t="shared" si="9"/>
        <v>16049.212666666666</v>
      </c>
      <c r="Y57" s="1547"/>
      <c r="Z57" s="1547"/>
      <c r="AA57" s="23"/>
      <c r="AK57" s="23"/>
      <c r="AL57" s="23"/>
      <c r="AM57" s="23"/>
      <c r="AN57" s="23"/>
      <c r="AO57" s="23"/>
      <c r="AP57" s="23"/>
      <c r="AQ57" s="23"/>
    </row>
    <row r="58" spans="1:43" s="24" customFormat="1" ht="17.25" customHeight="1">
      <c r="A58" s="560">
        <v>32</v>
      </c>
      <c r="B58" s="998" t="s">
        <v>804</v>
      </c>
      <c r="C58" s="873" t="s">
        <v>99</v>
      </c>
      <c r="D58" s="1002" t="s">
        <v>75</v>
      </c>
      <c r="E58" s="1539" t="s">
        <v>738</v>
      </c>
      <c r="F58" s="1539" t="s">
        <v>108</v>
      </c>
      <c r="G58" s="547">
        <v>1</v>
      </c>
      <c r="H58" s="563" t="s">
        <v>102</v>
      </c>
      <c r="I58" s="563" t="s">
        <v>118</v>
      </c>
      <c r="J58" s="581">
        <v>4</v>
      </c>
      <c r="K58" s="554">
        <v>17697</v>
      </c>
      <c r="L58" s="1540">
        <v>18</v>
      </c>
      <c r="M58" s="554">
        <f t="shared" si="7"/>
        <v>1</v>
      </c>
      <c r="N58" s="698" t="s">
        <v>112</v>
      </c>
      <c r="O58" s="1582">
        <v>3.36</v>
      </c>
      <c r="P58" s="697">
        <f t="shared" si="6"/>
        <v>59461.919999999998</v>
      </c>
      <c r="Q58" s="556"/>
      <c r="R58" s="1538"/>
      <c r="S58" s="700"/>
      <c r="T58" s="554">
        <v>0.1</v>
      </c>
      <c r="U58" s="556">
        <f t="shared" si="8"/>
        <v>5946.192</v>
      </c>
      <c r="V58" s="699"/>
      <c r="W58" s="700"/>
      <c r="X58" s="559">
        <f t="shared" si="9"/>
        <v>65408.112000000001</v>
      </c>
      <c r="Y58" s="1547"/>
      <c r="Z58" s="1547"/>
      <c r="AA58" s="23"/>
      <c r="AK58" s="23"/>
      <c r="AL58" s="23"/>
      <c r="AM58" s="23"/>
      <c r="AN58" s="23"/>
      <c r="AO58" s="23"/>
      <c r="AP58" s="23"/>
      <c r="AQ58" s="23"/>
    </row>
    <row r="59" spans="1:43" s="24" customFormat="1" ht="17.25" customHeight="1">
      <c r="A59" s="547">
        <v>33</v>
      </c>
      <c r="B59" s="153" t="s">
        <v>168</v>
      </c>
      <c r="C59" s="561" t="s">
        <v>99</v>
      </c>
      <c r="D59" s="563" t="s">
        <v>25</v>
      </c>
      <c r="E59" s="562" t="s">
        <v>690</v>
      </c>
      <c r="F59" s="562" t="s">
        <v>73</v>
      </c>
      <c r="G59" s="547">
        <v>1</v>
      </c>
      <c r="H59" s="563" t="s">
        <v>102</v>
      </c>
      <c r="I59" s="563" t="s">
        <v>103</v>
      </c>
      <c r="J59" s="1584">
        <v>2</v>
      </c>
      <c r="K59" s="554">
        <v>17697</v>
      </c>
      <c r="L59" s="565">
        <v>32</v>
      </c>
      <c r="M59" s="554">
        <f t="shared" si="7"/>
        <v>1.7777777777777777</v>
      </c>
      <c r="N59" s="566" t="s">
        <v>104</v>
      </c>
      <c r="O59" s="1014">
        <v>4.16</v>
      </c>
      <c r="P59" s="567">
        <f t="shared" si="6"/>
        <v>130879.14666666667</v>
      </c>
      <c r="Q59" s="556"/>
      <c r="R59" s="568"/>
      <c r="S59" s="554"/>
      <c r="T59" s="554">
        <v>0.1</v>
      </c>
      <c r="U59" s="556">
        <f t="shared" si="8"/>
        <v>13087.914666666667</v>
      </c>
      <c r="V59" s="569"/>
      <c r="W59" s="554"/>
      <c r="X59" s="559">
        <f t="shared" si="9"/>
        <v>143967.06133333335</v>
      </c>
      <c r="Y59" s="7">
        <f t="shared" si="10"/>
        <v>0</v>
      </c>
      <c r="Z59" s="7">
        <f t="shared" si="10"/>
        <v>0</v>
      </c>
      <c r="AA59" s="23">
        <f t="shared" si="3"/>
        <v>1727604.736</v>
      </c>
      <c r="AB59" s="24">
        <f t="shared" si="11"/>
        <v>274877.44407319021</v>
      </c>
      <c r="AC59" s="24">
        <f t="shared" si="12"/>
        <v>2159505.92</v>
      </c>
      <c r="AD59" s="24">
        <f t="shared" si="13"/>
        <v>343596.80509148765</v>
      </c>
      <c r="AK59" s="23"/>
      <c r="AL59" s="23"/>
      <c r="AM59" s="23"/>
      <c r="AN59" s="23"/>
      <c r="AO59" s="23"/>
      <c r="AP59" s="23"/>
      <c r="AQ59" s="23"/>
    </row>
    <row r="60" spans="1:43" s="24" customFormat="1" ht="17.25" customHeight="1">
      <c r="A60" s="560">
        <v>34</v>
      </c>
      <c r="B60" s="153" t="s">
        <v>89</v>
      </c>
      <c r="C60" s="561" t="s">
        <v>170</v>
      </c>
      <c r="D60" s="563" t="s">
        <v>25</v>
      </c>
      <c r="E60" s="562" t="s">
        <v>697</v>
      </c>
      <c r="F60" s="562" t="s">
        <v>73</v>
      </c>
      <c r="G60" s="547">
        <v>1</v>
      </c>
      <c r="H60" s="563" t="s">
        <v>102</v>
      </c>
      <c r="I60" s="563" t="s">
        <v>103</v>
      </c>
      <c r="J60" s="564">
        <v>3</v>
      </c>
      <c r="K60" s="554">
        <v>17697</v>
      </c>
      <c r="L60" s="565">
        <v>15</v>
      </c>
      <c r="M60" s="554">
        <f t="shared" si="7"/>
        <v>0.83333333333333337</v>
      </c>
      <c r="N60" s="566" t="s">
        <v>109</v>
      </c>
      <c r="O60" s="1014">
        <v>4.21</v>
      </c>
      <c r="P60" s="567">
        <f t="shared" si="6"/>
        <v>62086.974999999991</v>
      </c>
      <c r="Q60" s="556"/>
      <c r="R60" s="568"/>
      <c r="S60" s="554"/>
      <c r="T60" s="554">
        <v>0.1</v>
      </c>
      <c r="U60" s="556">
        <f t="shared" si="8"/>
        <v>6208.6974999999993</v>
      </c>
      <c r="V60" s="569"/>
      <c r="W60" s="554"/>
      <c r="X60" s="559">
        <f t="shared" si="9"/>
        <v>68295.672499999986</v>
      </c>
      <c r="Y60" s="10">
        <f t="shared" si="10"/>
        <v>0</v>
      </c>
      <c r="Z60" s="10">
        <f t="shared" si="10"/>
        <v>0</v>
      </c>
      <c r="AA60" s="23">
        <f t="shared" si="3"/>
        <v>819548.06999999983</v>
      </c>
      <c r="AB60" s="24">
        <f t="shared" si="11"/>
        <v>130397.46539379473</v>
      </c>
      <c r="AC60" s="24">
        <f t="shared" si="12"/>
        <v>1024435.0874999998</v>
      </c>
      <c r="AD60" s="24">
        <f t="shared" si="13"/>
        <v>162996.83174224343</v>
      </c>
      <c r="AK60" s="23"/>
      <c r="AL60" s="23"/>
      <c r="AM60" s="23"/>
      <c r="AN60" s="23"/>
      <c r="AO60" s="23"/>
      <c r="AP60" s="23"/>
      <c r="AQ60" s="23"/>
    </row>
    <row r="61" spans="1:43" s="24" customFormat="1" ht="15.75">
      <c r="A61" s="547">
        <v>35</v>
      </c>
      <c r="B61" s="153" t="s">
        <v>171</v>
      </c>
      <c r="C61" s="561" t="s">
        <v>99</v>
      </c>
      <c r="D61" s="563" t="s">
        <v>25</v>
      </c>
      <c r="E61" s="562" t="s">
        <v>691</v>
      </c>
      <c r="F61" s="562" t="s">
        <v>34</v>
      </c>
      <c r="G61" s="547">
        <v>1</v>
      </c>
      <c r="H61" s="563" t="s">
        <v>102</v>
      </c>
      <c r="I61" s="563" t="s">
        <v>103</v>
      </c>
      <c r="J61" s="581">
        <v>1</v>
      </c>
      <c r="K61" s="554">
        <v>17697</v>
      </c>
      <c r="L61" s="565">
        <v>34</v>
      </c>
      <c r="M61" s="554">
        <f t="shared" si="7"/>
        <v>1.8888888888888888</v>
      </c>
      <c r="N61" s="574" t="s">
        <v>152</v>
      </c>
      <c r="O61" s="1014">
        <v>4.75</v>
      </c>
      <c r="P61" s="567">
        <f t="shared" si="6"/>
        <v>158781.41666666669</v>
      </c>
      <c r="Q61" s="556"/>
      <c r="R61" s="568"/>
      <c r="S61" s="554"/>
      <c r="T61" s="554">
        <v>0.1</v>
      </c>
      <c r="U61" s="556">
        <f t="shared" si="8"/>
        <v>15878.14166666667</v>
      </c>
      <c r="V61" s="569"/>
      <c r="W61" s="554"/>
      <c r="X61" s="559">
        <f t="shared" si="9"/>
        <v>174659.55833333335</v>
      </c>
      <c r="Y61" s="10"/>
      <c r="Z61" s="10"/>
      <c r="AA61" s="23">
        <f t="shared" si="3"/>
        <v>2095914.7000000002</v>
      </c>
      <c r="AB61" s="24">
        <f t="shared" si="11"/>
        <v>333478.87032617349</v>
      </c>
      <c r="AC61" s="24">
        <f t="shared" si="12"/>
        <v>2619893.375</v>
      </c>
      <c r="AD61" s="24">
        <f t="shared" si="13"/>
        <v>416848.58790771681</v>
      </c>
      <c r="AK61" s="23"/>
      <c r="AL61" s="23"/>
      <c r="AM61" s="23"/>
      <c r="AN61" s="23"/>
      <c r="AO61" s="23"/>
      <c r="AP61" s="23"/>
      <c r="AQ61" s="23"/>
    </row>
    <row r="62" spans="1:43" s="24" customFormat="1" ht="16.5" customHeight="1">
      <c r="A62" s="560">
        <v>36</v>
      </c>
      <c r="B62" s="153" t="s">
        <v>173</v>
      </c>
      <c r="C62" s="561" t="s">
        <v>99</v>
      </c>
      <c r="D62" s="563" t="s">
        <v>25</v>
      </c>
      <c r="E62" s="562" t="s">
        <v>693</v>
      </c>
      <c r="F62" s="562" t="s">
        <v>66</v>
      </c>
      <c r="G62" s="547">
        <v>1</v>
      </c>
      <c r="H62" s="563" t="s">
        <v>102</v>
      </c>
      <c r="I62" s="563" t="s">
        <v>103</v>
      </c>
      <c r="J62" s="581">
        <v>1</v>
      </c>
      <c r="K62" s="554">
        <v>17697</v>
      </c>
      <c r="L62" s="565">
        <v>32</v>
      </c>
      <c r="M62" s="554">
        <f t="shared" si="7"/>
        <v>1.7777777777777777</v>
      </c>
      <c r="N62" s="574" t="s">
        <v>152</v>
      </c>
      <c r="O62" s="1587">
        <v>4.55</v>
      </c>
      <c r="P62" s="567">
        <f t="shared" si="6"/>
        <v>143149.06666666665</v>
      </c>
      <c r="Q62" s="556"/>
      <c r="R62" s="568"/>
      <c r="S62" s="554"/>
      <c r="T62" s="554">
        <v>0.1</v>
      </c>
      <c r="U62" s="556">
        <f t="shared" si="8"/>
        <v>14314.906666666666</v>
      </c>
      <c r="V62" s="569"/>
      <c r="W62" s="554"/>
      <c r="X62" s="559">
        <f t="shared" si="9"/>
        <v>157463.97333333333</v>
      </c>
      <c r="Y62" s="10">
        <f t="shared" si="10"/>
        <v>0</v>
      </c>
      <c r="Z62" s="10">
        <f t="shared" si="10"/>
        <v>0</v>
      </c>
      <c r="AA62" s="23">
        <f t="shared" si="3"/>
        <v>1889567.68</v>
      </c>
      <c r="AB62" s="24">
        <f t="shared" si="11"/>
        <v>300647.20445505169</v>
      </c>
      <c r="AC62" s="24">
        <f t="shared" si="12"/>
        <v>2361959.6</v>
      </c>
      <c r="AD62" s="24">
        <f t="shared" si="13"/>
        <v>375809.0055688147</v>
      </c>
      <c r="AK62" s="23"/>
      <c r="AL62" s="23"/>
      <c r="AM62" s="23"/>
      <c r="AN62" s="23"/>
      <c r="AO62" s="23"/>
      <c r="AP62" s="23"/>
      <c r="AQ62" s="23"/>
    </row>
    <row r="63" spans="1:43" s="24" customFormat="1" ht="17.25" customHeight="1">
      <c r="A63" s="547">
        <v>37</v>
      </c>
      <c r="B63" s="153" t="s">
        <v>175</v>
      </c>
      <c r="C63" s="561" t="s">
        <v>99</v>
      </c>
      <c r="D63" s="563" t="s">
        <v>25</v>
      </c>
      <c r="E63" s="562" t="s">
        <v>610</v>
      </c>
      <c r="F63" s="562" t="s">
        <v>114</v>
      </c>
      <c r="G63" s="547">
        <v>1</v>
      </c>
      <c r="H63" s="563" t="s">
        <v>102</v>
      </c>
      <c r="I63" s="563" t="s">
        <v>103</v>
      </c>
      <c r="J63" s="564">
        <v>1</v>
      </c>
      <c r="K63" s="554">
        <v>17697</v>
      </c>
      <c r="L63" s="565">
        <v>4</v>
      </c>
      <c r="M63" s="554">
        <f t="shared" si="7"/>
        <v>0.22222222222222221</v>
      </c>
      <c r="N63" s="997" t="s">
        <v>152</v>
      </c>
      <c r="O63" s="1014">
        <v>4.75</v>
      </c>
      <c r="P63" s="567">
        <f t="shared" si="6"/>
        <v>18680.166666666668</v>
      </c>
      <c r="Q63" s="556"/>
      <c r="R63" s="568"/>
      <c r="S63" s="554"/>
      <c r="T63" s="554">
        <v>0.1</v>
      </c>
      <c r="U63" s="556">
        <f t="shared" si="8"/>
        <v>1868.0166666666669</v>
      </c>
      <c r="V63" s="569"/>
      <c r="W63" s="554"/>
      <c r="X63" s="559">
        <f t="shared" si="9"/>
        <v>20548.183333333334</v>
      </c>
      <c r="Y63" s="7">
        <f t="shared" si="10"/>
        <v>0</v>
      </c>
      <c r="Z63" s="7">
        <f t="shared" si="10"/>
        <v>0</v>
      </c>
      <c r="AA63" s="23">
        <f t="shared" si="3"/>
        <v>246578.2</v>
      </c>
      <c r="AB63" s="24">
        <f t="shared" si="11"/>
        <v>39232.80827366747</v>
      </c>
      <c r="AC63" s="24">
        <f t="shared" si="12"/>
        <v>308222.75</v>
      </c>
      <c r="AD63" s="24">
        <f t="shared" si="13"/>
        <v>49041.010342084337</v>
      </c>
      <c r="AK63" s="23"/>
      <c r="AL63" s="23"/>
      <c r="AM63" s="23"/>
      <c r="AN63" s="23"/>
      <c r="AO63" s="23"/>
      <c r="AP63" s="23"/>
      <c r="AQ63" s="23"/>
    </row>
    <row r="64" spans="1:43" s="916" customFormat="1" ht="17.25" customHeight="1">
      <c r="A64" s="560">
        <v>38</v>
      </c>
      <c r="B64" s="153" t="s">
        <v>177</v>
      </c>
      <c r="C64" s="561" t="s">
        <v>99</v>
      </c>
      <c r="D64" s="563" t="s">
        <v>178</v>
      </c>
      <c r="E64" s="562" t="s">
        <v>695</v>
      </c>
      <c r="F64" s="562" t="s">
        <v>366</v>
      </c>
      <c r="G64" s="547">
        <v>1</v>
      </c>
      <c r="H64" s="563" t="s">
        <v>102</v>
      </c>
      <c r="I64" s="563" t="s">
        <v>103</v>
      </c>
      <c r="J64" s="581">
        <v>2</v>
      </c>
      <c r="K64" s="554">
        <v>17697</v>
      </c>
      <c r="L64" s="565">
        <v>28</v>
      </c>
      <c r="M64" s="554">
        <f t="shared" si="7"/>
        <v>1.5555555555555556</v>
      </c>
      <c r="N64" s="1583" t="s">
        <v>104</v>
      </c>
      <c r="O64" s="1157">
        <v>4.4400000000000004</v>
      </c>
      <c r="P64" s="697">
        <f t="shared" si="6"/>
        <v>122227.28</v>
      </c>
      <c r="Q64" s="556"/>
      <c r="R64" s="1538"/>
      <c r="S64" s="700"/>
      <c r="T64" s="554">
        <v>0.1</v>
      </c>
      <c r="U64" s="556">
        <f t="shared" si="8"/>
        <v>12222.728000000001</v>
      </c>
      <c r="V64" s="699"/>
      <c r="W64" s="700"/>
      <c r="X64" s="559">
        <f t="shared" si="9"/>
        <v>134450.008</v>
      </c>
      <c r="Y64" s="1693"/>
      <c r="Z64" s="1693"/>
      <c r="AA64" s="23">
        <f t="shared" si="3"/>
        <v>1613400.0959999999</v>
      </c>
      <c r="AB64" s="24">
        <f t="shared" si="11"/>
        <v>256706.45918854416</v>
      </c>
      <c r="AC64" s="24">
        <f t="shared" si="12"/>
        <v>2016750.1199999999</v>
      </c>
      <c r="AD64" s="24">
        <f t="shared" si="13"/>
        <v>320883.07398568018</v>
      </c>
      <c r="AK64" s="1783"/>
      <c r="AL64" s="1783"/>
      <c r="AM64" s="1783"/>
      <c r="AN64" s="1783"/>
      <c r="AO64" s="1783"/>
      <c r="AP64" s="1783"/>
      <c r="AQ64" s="1783"/>
    </row>
    <row r="65" spans="1:69" s="916" customFormat="1" ht="17.25" customHeight="1">
      <c r="A65" s="547">
        <v>39</v>
      </c>
      <c r="B65" s="998" t="s">
        <v>808</v>
      </c>
      <c r="C65" s="873" t="s">
        <v>99</v>
      </c>
      <c r="D65" s="1002" t="s">
        <v>152</v>
      </c>
      <c r="E65" s="1539" t="s">
        <v>809</v>
      </c>
      <c r="F65" s="1539" t="s">
        <v>34</v>
      </c>
      <c r="G65" s="547">
        <v>1</v>
      </c>
      <c r="H65" s="563" t="s">
        <v>102</v>
      </c>
      <c r="I65" s="563" t="s">
        <v>103</v>
      </c>
      <c r="J65" s="581">
        <v>3</v>
      </c>
      <c r="K65" s="554">
        <v>17697</v>
      </c>
      <c r="L65" s="1540">
        <v>28</v>
      </c>
      <c r="M65" s="554">
        <f t="shared" si="7"/>
        <v>1.5555555555555556</v>
      </c>
      <c r="N65" s="1583" t="s">
        <v>109</v>
      </c>
      <c r="O65" s="1157">
        <v>4.5</v>
      </c>
      <c r="P65" s="697">
        <f t="shared" si="6"/>
        <v>123879</v>
      </c>
      <c r="Q65" s="556"/>
      <c r="R65" s="1538"/>
      <c r="S65" s="700"/>
      <c r="T65" s="554">
        <v>0.1</v>
      </c>
      <c r="U65" s="556">
        <f t="shared" si="8"/>
        <v>12387.900000000001</v>
      </c>
      <c r="V65" s="699"/>
      <c r="W65" s="700"/>
      <c r="X65" s="559">
        <f t="shared" si="9"/>
        <v>136266.9</v>
      </c>
      <c r="Y65" s="1693"/>
      <c r="Z65" s="1693"/>
      <c r="AA65" s="23"/>
      <c r="AB65" s="24"/>
      <c r="AC65" s="24"/>
      <c r="AD65" s="24"/>
      <c r="AK65" s="1783"/>
      <c r="AL65" s="1783"/>
      <c r="AM65" s="1783"/>
      <c r="AN65" s="1783"/>
      <c r="AO65" s="1783"/>
      <c r="AP65" s="1783"/>
      <c r="AQ65" s="1783"/>
    </row>
    <row r="66" spans="1:69" s="916" customFormat="1" ht="17.25" customHeight="1">
      <c r="A66" s="560">
        <v>40</v>
      </c>
      <c r="B66" s="153" t="s">
        <v>182</v>
      </c>
      <c r="C66" s="561" t="s">
        <v>99</v>
      </c>
      <c r="D66" s="563" t="s">
        <v>25</v>
      </c>
      <c r="E66" s="562" t="s">
        <v>701</v>
      </c>
      <c r="F66" s="562" t="s">
        <v>51</v>
      </c>
      <c r="G66" s="547">
        <v>1</v>
      </c>
      <c r="H66" s="563" t="s">
        <v>102</v>
      </c>
      <c r="I66" s="563" t="s">
        <v>103</v>
      </c>
      <c r="J66" s="581">
        <v>1</v>
      </c>
      <c r="K66" s="554">
        <v>17697</v>
      </c>
      <c r="L66" s="1540">
        <v>32</v>
      </c>
      <c r="M66" s="554">
        <f t="shared" si="7"/>
        <v>1.7777777777777777</v>
      </c>
      <c r="N66" s="1583" t="s">
        <v>104</v>
      </c>
      <c r="O66" s="1157">
        <v>4.6900000000000004</v>
      </c>
      <c r="P66" s="697">
        <f t="shared" si="6"/>
        <v>147553.65333333335</v>
      </c>
      <c r="Q66" s="556"/>
      <c r="R66" s="1538"/>
      <c r="S66" s="700"/>
      <c r="T66" s="554">
        <v>0.1</v>
      </c>
      <c r="U66" s="556">
        <f t="shared" si="8"/>
        <v>14755.365333333335</v>
      </c>
      <c r="V66" s="699"/>
      <c r="W66" s="700"/>
      <c r="X66" s="559">
        <f t="shared" si="9"/>
        <v>162309.0186666667</v>
      </c>
      <c r="Y66" s="1693"/>
      <c r="Z66" s="1693"/>
      <c r="AA66" s="23"/>
      <c r="AB66" s="24"/>
      <c r="AC66" s="24"/>
      <c r="AD66" s="24"/>
      <c r="AK66" s="1783"/>
      <c r="AL66" s="1783"/>
      <c r="AM66" s="1783"/>
      <c r="AN66" s="1783"/>
      <c r="AO66" s="1783"/>
      <c r="AP66" s="1783"/>
      <c r="AQ66" s="1783"/>
    </row>
    <row r="67" spans="1:69" s="916" customFormat="1" ht="17.25" customHeight="1">
      <c r="A67" s="547">
        <v>41</v>
      </c>
      <c r="B67" s="153" t="s">
        <v>184</v>
      </c>
      <c r="C67" s="561" t="s">
        <v>99</v>
      </c>
      <c r="D67" s="563" t="s">
        <v>25</v>
      </c>
      <c r="E67" s="586" t="s">
        <v>702</v>
      </c>
      <c r="F67" s="562" t="s">
        <v>27</v>
      </c>
      <c r="G67" s="547">
        <v>1</v>
      </c>
      <c r="H67" s="563" t="s">
        <v>102</v>
      </c>
      <c r="I67" s="563" t="s">
        <v>103</v>
      </c>
      <c r="J67" s="581">
        <v>1</v>
      </c>
      <c r="K67" s="554">
        <v>17697</v>
      </c>
      <c r="L67" s="565">
        <v>32</v>
      </c>
      <c r="M67" s="554">
        <f t="shared" si="7"/>
        <v>1.7777777777777777</v>
      </c>
      <c r="N67" s="574" t="s">
        <v>152</v>
      </c>
      <c r="O67" s="1014">
        <v>4.75</v>
      </c>
      <c r="P67" s="567">
        <f t="shared" si="6"/>
        <v>149441.33333333334</v>
      </c>
      <c r="Q67" s="556"/>
      <c r="R67" s="568"/>
      <c r="S67" s="554"/>
      <c r="T67" s="554">
        <v>0.1</v>
      </c>
      <c r="U67" s="556">
        <f t="shared" si="8"/>
        <v>14944.133333333335</v>
      </c>
      <c r="V67" s="569"/>
      <c r="W67" s="554"/>
      <c r="X67" s="559">
        <f t="shared" si="9"/>
        <v>164385.46666666667</v>
      </c>
      <c r="Y67" s="152"/>
      <c r="Z67" s="152"/>
      <c r="AA67" s="23">
        <f t="shared" si="3"/>
        <v>1972625.6</v>
      </c>
      <c r="AB67" s="24">
        <f t="shared" si="11"/>
        <v>313862.46618933976</v>
      </c>
      <c r="AC67" s="24">
        <f t="shared" si="12"/>
        <v>2465782</v>
      </c>
      <c r="AD67" s="24">
        <f t="shared" si="13"/>
        <v>392328.0827366747</v>
      </c>
      <c r="AK67" s="1783"/>
      <c r="AL67" s="1783"/>
      <c r="AM67" s="1783"/>
      <c r="AN67" s="1783"/>
      <c r="AO67" s="1783"/>
      <c r="AP67" s="1783"/>
      <c r="AQ67" s="1783"/>
    </row>
    <row r="68" spans="1:69" s="24" customFormat="1" ht="17.25" customHeight="1">
      <c r="A68" s="560">
        <v>42</v>
      </c>
      <c r="B68" s="153" t="s">
        <v>186</v>
      </c>
      <c r="C68" s="561" t="s">
        <v>99</v>
      </c>
      <c r="D68" s="563" t="s">
        <v>25</v>
      </c>
      <c r="E68" s="562" t="s">
        <v>703</v>
      </c>
      <c r="F68" s="562" t="s">
        <v>27</v>
      </c>
      <c r="G68" s="547">
        <v>1</v>
      </c>
      <c r="H68" s="563" t="s">
        <v>102</v>
      </c>
      <c r="I68" s="563" t="s">
        <v>103</v>
      </c>
      <c r="J68" s="581">
        <v>1</v>
      </c>
      <c r="K68" s="554">
        <v>17697</v>
      </c>
      <c r="L68" s="565">
        <v>26</v>
      </c>
      <c r="M68" s="554">
        <f t="shared" si="7"/>
        <v>1.4444444444444444</v>
      </c>
      <c r="N68" s="574" t="s">
        <v>152</v>
      </c>
      <c r="O68" s="1014">
        <v>4.75</v>
      </c>
      <c r="P68" s="567">
        <f t="shared" si="6"/>
        <v>121421.08333333334</v>
      </c>
      <c r="Q68" s="556"/>
      <c r="R68" s="568"/>
      <c r="S68" s="554"/>
      <c r="T68" s="554">
        <v>0.1</v>
      </c>
      <c r="U68" s="556">
        <f t="shared" si="8"/>
        <v>12142.108333333335</v>
      </c>
      <c r="V68" s="569"/>
      <c r="W68" s="554"/>
      <c r="X68" s="559">
        <f t="shared" si="9"/>
        <v>133563.19166666668</v>
      </c>
      <c r="Y68" s="10">
        <f t="shared" si="10"/>
        <v>0</v>
      </c>
      <c r="Z68" s="10">
        <f t="shared" si="10"/>
        <v>0</v>
      </c>
      <c r="AA68" s="23">
        <f t="shared" si="3"/>
        <v>1602758.3000000003</v>
      </c>
      <c r="AB68" s="24">
        <f t="shared" si="11"/>
        <v>255013.25377883855</v>
      </c>
      <c r="AC68" s="24">
        <f t="shared" si="12"/>
        <v>2003447.8750000005</v>
      </c>
      <c r="AD68" s="24">
        <f t="shared" si="13"/>
        <v>318766.56722354819</v>
      </c>
      <c r="AK68" s="23"/>
      <c r="AL68" s="23"/>
      <c r="AM68" s="23"/>
      <c r="AN68" s="23"/>
      <c r="AO68" s="23"/>
      <c r="AP68" s="23"/>
      <c r="AQ68" s="23"/>
    </row>
    <row r="69" spans="1:69" s="24" customFormat="1" ht="17.25" customHeight="1">
      <c r="A69" s="547">
        <v>43</v>
      </c>
      <c r="B69" s="998" t="s">
        <v>810</v>
      </c>
      <c r="C69" s="873" t="s">
        <v>99</v>
      </c>
      <c r="D69" s="1002" t="s">
        <v>25</v>
      </c>
      <c r="E69" s="1539" t="s">
        <v>811</v>
      </c>
      <c r="F69" s="1539" t="s">
        <v>34</v>
      </c>
      <c r="G69" s="547">
        <v>1</v>
      </c>
      <c r="H69" s="563" t="s">
        <v>102</v>
      </c>
      <c r="I69" s="563" t="s">
        <v>103</v>
      </c>
      <c r="J69" s="581">
        <v>1</v>
      </c>
      <c r="K69" s="554">
        <v>17697</v>
      </c>
      <c r="L69" s="565">
        <v>22</v>
      </c>
      <c r="M69" s="554">
        <f t="shared" si="7"/>
        <v>1.2222222222222223</v>
      </c>
      <c r="N69" s="574" t="s">
        <v>152</v>
      </c>
      <c r="O69" s="1014">
        <v>4.75</v>
      </c>
      <c r="P69" s="567">
        <f t="shared" si="6"/>
        <v>102740.91666666667</v>
      </c>
      <c r="Q69" s="556"/>
      <c r="R69" s="568"/>
      <c r="S69" s="554"/>
      <c r="T69" s="554">
        <v>0.1</v>
      </c>
      <c r="U69" s="556">
        <f t="shared" si="8"/>
        <v>10274.091666666667</v>
      </c>
      <c r="V69" s="569"/>
      <c r="W69" s="554"/>
      <c r="X69" s="559">
        <f t="shared" si="9"/>
        <v>113015.00833333333</v>
      </c>
      <c r="Y69" s="10">
        <f t="shared" si="10"/>
        <v>0</v>
      </c>
      <c r="Z69" s="10">
        <f t="shared" si="10"/>
        <v>0</v>
      </c>
      <c r="AA69" s="23">
        <f t="shared" si="3"/>
        <v>1356180.1</v>
      </c>
      <c r="AB69" s="24">
        <f t="shared" si="11"/>
        <v>215780.44550517108</v>
      </c>
      <c r="AC69" s="24">
        <f t="shared" si="12"/>
        <v>1695225.125</v>
      </c>
      <c r="AD69" s="24">
        <f t="shared" si="13"/>
        <v>269725.55688146385</v>
      </c>
      <c r="AK69" s="23"/>
      <c r="AL69" s="23"/>
      <c r="AM69" s="23"/>
      <c r="AN69" s="23"/>
      <c r="AO69" s="23"/>
      <c r="AP69" s="23"/>
      <c r="AQ69" s="23"/>
    </row>
    <row r="70" spans="1:69" s="24" customFormat="1" ht="17.25" customHeight="1">
      <c r="A70" s="560">
        <v>44</v>
      </c>
      <c r="B70" s="587" t="s">
        <v>188</v>
      </c>
      <c r="C70" s="588" t="s">
        <v>99</v>
      </c>
      <c r="D70" s="589" t="s">
        <v>25</v>
      </c>
      <c r="E70" s="590" t="s">
        <v>708</v>
      </c>
      <c r="F70" s="591" t="s">
        <v>51</v>
      </c>
      <c r="G70" s="547">
        <v>1</v>
      </c>
      <c r="H70" s="589" t="s">
        <v>102</v>
      </c>
      <c r="I70" s="589" t="s">
        <v>103</v>
      </c>
      <c r="J70" s="581">
        <v>1</v>
      </c>
      <c r="K70" s="554">
        <v>17697</v>
      </c>
      <c r="L70" s="1540">
        <v>34</v>
      </c>
      <c r="M70" s="554">
        <f t="shared" si="7"/>
        <v>1.8888888888888888</v>
      </c>
      <c r="N70" s="698" t="s">
        <v>152</v>
      </c>
      <c r="O70" s="1157">
        <v>4.75</v>
      </c>
      <c r="P70" s="697">
        <f t="shared" si="6"/>
        <v>158781.41666666669</v>
      </c>
      <c r="Q70" s="556"/>
      <c r="R70" s="1538"/>
      <c r="S70" s="700"/>
      <c r="T70" s="554">
        <v>0.1</v>
      </c>
      <c r="U70" s="556">
        <f t="shared" si="8"/>
        <v>15878.14166666667</v>
      </c>
      <c r="V70" s="699"/>
      <c r="W70" s="700"/>
      <c r="X70" s="559">
        <f t="shared" si="9"/>
        <v>174659.55833333335</v>
      </c>
      <c r="Y70" s="1547"/>
      <c r="Z70" s="1547"/>
      <c r="AA70" s="23"/>
      <c r="AK70" s="23"/>
      <c r="AL70" s="23"/>
      <c r="AM70" s="23"/>
      <c r="AN70" s="23"/>
      <c r="AO70" s="23"/>
      <c r="AP70" s="23"/>
      <c r="AQ70" s="23"/>
    </row>
    <row r="71" spans="1:69" s="24" customFormat="1" ht="17.25" customHeight="1">
      <c r="A71" s="547">
        <v>45</v>
      </c>
      <c r="B71" s="587" t="s">
        <v>450</v>
      </c>
      <c r="C71" s="588" t="s">
        <v>99</v>
      </c>
      <c r="D71" s="589" t="s">
        <v>25</v>
      </c>
      <c r="E71" s="590" t="s">
        <v>802</v>
      </c>
      <c r="F71" s="591" t="s">
        <v>34</v>
      </c>
      <c r="G71" s="547">
        <v>1</v>
      </c>
      <c r="H71" s="589" t="s">
        <v>102</v>
      </c>
      <c r="I71" s="589" t="s">
        <v>103</v>
      </c>
      <c r="J71" s="564">
        <v>1</v>
      </c>
      <c r="K71" s="593">
        <v>17697</v>
      </c>
      <c r="L71" s="594">
        <v>24</v>
      </c>
      <c r="M71" s="554">
        <f t="shared" si="7"/>
        <v>1.3333333333333333</v>
      </c>
      <c r="N71" s="574" t="s">
        <v>152</v>
      </c>
      <c r="O71" s="1588">
        <v>4.75</v>
      </c>
      <c r="P71" s="596">
        <f t="shared" si="6"/>
        <v>112081</v>
      </c>
      <c r="Q71" s="556"/>
      <c r="R71" s="597"/>
      <c r="S71" s="593"/>
      <c r="T71" s="593">
        <v>0.1</v>
      </c>
      <c r="U71" s="556">
        <f t="shared" si="8"/>
        <v>11208.1</v>
      </c>
      <c r="V71" s="598"/>
      <c r="W71" s="593"/>
      <c r="X71" s="559">
        <f t="shared" si="9"/>
        <v>123289.1</v>
      </c>
      <c r="Y71" s="10">
        <f t="shared" si="10"/>
        <v>0</v>
      </c>
      <c r="Z71" s="10">
        <f t="shared" si="10"/>
        <v>0</v>
      </c>
      <c r="AA71" s="23">
        <f t="shared" si="3"/>
        <v>1479469.2000000002</v>
      </c>
      <c r="AB71" s="24">
        <f t="shared" si="11"/>
        <v>235396.84964200485</v>
      </c>
      <c r="AC71" s="24">
        <f t="shared" si="12"/>
        <v>1849336.5000000002</v>
      </c>
      <c r="AD71" s="24">
        <f t="shared" si="13"/>
        <v>294246.06205250602</v>
      </c>
      <c r="AK71" s="23"/>
      <c r="AL71" s="23"/>
      <c r="AM71" s="23"/>
      <c r="AN71" s="23"/>
      <c r="AO71" s="23"/>
      <c r="AP71" s="23"/>
      <c r="AQ71" s="23"/>
    </row>
    <row r="72" spans="1:69" s="24" customFormat="1" ht="17.25" customHeight="1">
      <c r="A72" s="560">
        <v>46</v>
      </c>
      <c r="B72" s="153" t="s">
        <v>193</v>
      </c>
      <c r="C72" s="561" t="s">
        <v>99</v>
      </c>
      <c r="D72" s="563" t="s">
        <v>64</v>
      </c>
      <c r="E72" s="210" t="s">
        <v>716</v>
      </c>
      <c r="F72" s="562" t="s">
        <v>403</v>
      </c>
      <c r="G72" s="547">
        <v>1</v>
      </c>
      <c r="H72" s="563" t="s">
        <v>102</v>
      </c>
      <c r="I72" s="563" t="s">
        <v>118</v>
      </c>
      <c r="J72" s="581">
        <v>3</v>
      </c>
      <c r="K72" s="593">
        <v>17697</v>
      </c>
      <c r="L72" s="594">
        <v>34</v>
      </c>
      <c r="M72" s="554">
        <f t="shared" si="7"/>
        <v>1.8888888888888888</v>
      </c>
      <c r="N72" s="1004" t="s">
        <v>152</v>
      </c>
      <c r="O72" s="1020">
        <v>3.97</v>
      </c>
      <c r="P72" s="1005">
        <f t="shared" si="6"/>
        <v>132707.83666666667</v>
      </c>
      <c r="Q72" s="556"/>
      <c r="R72" s="1006"/>
      <c r="S72" s="887"/>
      <c r="T72" s="887">
        <v>0.1</v>
      </c>
      <c r="U72" s="556">
        <f t="shared" si="8"/>
        <v>13270.783666666668</v>
      </c>
      <c r="V72" s="1007"/>
      <c r="W72" s="887"/>
      <c r="X72" s="559">
        <f t="shared" si="9"/>
        <v>145978.62033333333</v>
      </c>
      <c r="Y72" s="7">
        <f t="shared" si="10"/>
        <v>0</v>
      </c>
      <c r="Z72" s="7">
        <f t="shared" si="10"/>
        <v>0</v>
      </c>
      <c r="AA72" s="23">
        <f t="shared" si="3"/>
        <v>1751743.4439999999</v>
      </c>
      <c r="AB72" s="24">
        <f t="shared" si="11"/>
        <v>278718.12951471761</v>
      </c>
      <c r="AC72" s="24">
        <f t="shared" si="12"/>
        <v>2189679.3049999997</v>
      </c>
      <c r="AD72" s="24">
        <f t="shared" si="13"/>
        <v>348397.66189339693</v>
      </c>
      <c r="AK72" s="23"/>
      <c r="AL72" s="23"/>
      <c r="AM72" s="23"/>
      <c r="AN72" s="23"/>
      <c r="AO72" s="23"/>
      <c r="AP72" s="23"/>
      <c r="AQ72" s="23"/>
    </row>
    <row r="73" spans="1:69" s="24" customFormat="1" ht="15.75">
      <c r="A73" s="547">
        <v>47</v>
      </c>
      <c r="B73" s="153" t="s">
        <v>197</v>
      </c>
      <c r="C73" s="561" t="s">
        <v>99</v>
      </c>
      <c r="D73" s="563" t="s">
        <v>25</v>
      </c>
      <c r="E73" s="210" t="s">
        <v>717</v>
      </c>
      <c r="F73" s="562" t="s">
        <v>34</v>
      </c>
      <c r="G73" s="547">
        <v>1</v>
      </c>
      <c r="H73" s="563" t="s">
        <v>102</v>
      </c>
      <c r="I73" s="563" t="s">
        <v>103</v>
      </c>
      <c r="J73" s="564">
        <v>1</v>
      </c>
      <c r="K73" s="554">
        <v>17697</v>
      </c>
      <c r="L73" s="565">
        <v>32</v>
      </c>
      <c r="M73" s="554">
        <f t="shared" si="7"/>
        <v>1.7777777777777777</v>
      </c>
      <c r="N73" s="1583" t="s">
        <v>109</v>
      </c>
      <c r="O73" s="1157">
        <v>4.75</v>
      </c>
      <c r="P73" s="697">
        <f t="shared" si="6"/>
        <v>149441.33333333334</v>
      </c>
      <c r="Q73" s="556"/>
      <c r="R73" s="1538"/>
      <c r="S73" s="700"/>
      <c r="T73" s="700">
        <v>0.1</v>
      </c>
      <c r="U73" s="556">
        <f t="shared" si="8"/>
        <v>14944.133333333335</v>
      </c>
      <c r="V73" s="699"/>
      <c r="W73" s="700"/>
      <c r="X73" s="559">
        <f t="shared" si="9"/>
        <v>164385.46666666667</v>
      </c>
      <c r="Y73" s="35"/>
      <c r="Z73" s="35"/>
      <c r="AA73" s="23">
        <f t="shared" ref="AA73:AA75" si="14">X73*12</f>
        <v>1972625.6</v>
      </c>
      <c r="AB73" s="24">
        <f t="shared" si="11"/>
        <v>313862.46618933976</v>
      </c>
      <c r="AC73" s="24">
        <f t="shared" si="12"/>
        <v>2465782</v>
      </c>
      <c r="AD73" s="24">
        <f t="shared" si="13"/>
        <v>392328.0827366747</v>
      </c>
      <c r="AK73" s="23"/>
      <c r="AL73" s="23"/>
      <c r="AM73" s="23"/>
      <c r="AN73" s="23"/>
      <c r="AO73" s="23"/>
      <c r="AP73" s="23"/>
      <c r="AQ73" s="23"/>
    </row>
    <row r="74" spans="1:69" s="24" customFormat="1" ht="15.75">
      <c r="A74" s="560">
        <v>48</v>
      </c>
      <c r="B74" s="1008" t="s">
        <v>199</v>
      </c>
      <c r="C74" s="1009" t="s">
        <v>99</v>
      </c>
      <c r="D74" s="563" t="s">
        <v>64</v>
      </c>
      <c r="E74" s="210" t="s">
        <v>721</v>
      </c>
      <c r="F74" s="562" t="s">
        <v>722</v>
      </c>
      <c r="G74" s="547">
        <v>1</v>
      </c>
      <c r="H74" s="563" t="s">
        <v>102</v>
      </c>
      <c r="I74" s="563" t="s">
        <v>118</v>
      </c>
      <c r="J74" s="581">
        <v>4</v>
      </c>
      <c r="K74" s="554">
        <v>17697</v>
      </c>
      <c r="L74" s="565">
        <v>21</v>
      </c>
      <c r="M74" s="554">
        <f t="shared" si="7"/>
        <v>1.1666666666666667</v>
      </c>
      <c r="N74" s="1004" t="s">
        <v>152</v>
      </c>
      <c r="O74" s="1157">
        <v>3.41</v>
      </c>
      <c r="P74" s="697">
        <f t="shared" si="6"/>
        <v>70404.565000000002</v>
      </c>
      <c r="Q74" s="556"/>
      <c r="R74" s="1538"/>
      <c r="S74" s="700"/>
      <c r="T74" s="700">
        <v>0.1</v>
      </c>
      <c r="U74" s="556">
        <f t="shared" si="8"/>
        <v>7040.4565000000002</v>
      </c>
      <c r="V74" s="699"/>
      <c r="W74" s="700"/>
      <c r="X74" s="559">
        <f t="shared" si="9"/>
        <v>77445.021500000003</v>
      </c>
      <c r="Y74" s="34">
        <f t="shared" ref="Y74:Z74" si="15">V74+R74</f>
        <v>0</v>
      </c>
      <c r="Z74" s="34">
        <f t="shared" si="15"/>
        <v>0</v>
      </c>
      <c r="AA74" s="23">
        <f t="shared" si="14"/>
        <v>929340.25800000003</v>
      </c>
      <c r="AB74" s="24">
        <f t="shared" si="11"/>
        <v>147866.3894988067</v>
      </c>
      <c r="AC74" s="24">
        <f t="shared" si="12"/>
        <v>1161675.3225</v>
      </c>
      <c r="AD74" s="24">
        <f t="shared" si="13"/>
        <v>184832.98687350834</v>
      </c>
      <c r="AK74" s="23"/>
      <c r="AL74" s="23"/>
      <c r="AM74" s="23"/>
      <c r="AN74" s="23"/>
      <c r="AO74" s="23"/>
      <c r="AP74" s="23"/>
      <c r="AQ74" s="23"/>
    </row>
    <row r="75" spans="1:69" s="24" customFormat="1" ht="17.25" customHeight="1">
      <c r="A75" s="547">
        <v>49</v>
      </c>
      <c r="B75" s="1008" t="s">
        <v>812</v>
      </c>
      <c r="C75" s="1009" t="s">
        <v>99</v>
      </c>
      <c r="D75" s="1002" t="s">
        <v>25</v>
      </c>
      <c r="E75" s="1589" t="s">
        <v>813</v>
      </c>
      <c r="F75" s="1539" t="s">
        <v>34</v>
      </c>
      <c r="G75" s="874">
        <v>1</v>
      </c>
      <c r="H75" s="1002" t="s">
        <v>102</v>
      </c>
      <c r="I75" s="1002" t="s">
        <v>103</v>
      </c>
      <c r="J75" s="1590">
        <v>2</v>
      </c>
      <c r="K75" s="888">
        <v>17697</v>
      </c>
      <c r="L75" s="1010">
        <v>14</v>
      </c>
      <c r="M75" s="554">
        <f t="shared" si="7"/>
        <v>0.77777777777777779</v>
      </c>
      <c r="N75" s="698" t="s">
        <v>104</v>
      </c>
      <c r="O75" s="1021">
        <v>4.51</v>
      </c>
      <c r="P75" s="607">
        <f t="shared" si="6"/>
        <v>62077.143333333341</v>
      </c>
      <c r="Q75" s="556"/>
      <c r="R75" s="1011"/>
      <c r="S75" s="888"/>
      <c r="T75" s="605">
        <v>0.1</v>
      </c>
      <c r="U75" s="556">
        <f t="shared" si="8"/>
        <v>6207.7143333333343</v>
      </c>
      <c r="V75" s="1012"/>
      <c r="W75" s="888"/>
      <c r="X75" s="559">
        <f>P75+Q75+U75</f>
        <v>68284.857666666678</v>
      </c>
      <c r="Y75" s="885"/>
      <c r="Z75" s="885"/>
      <c r="AA75" s="23">
        <f t="shared" si="14"/>
        <v>819418.29200000013</v>
      </c>
      <c r="AB75" s="24">
        <f t="shared" si="11"/>
        <v>130376.81654733495</v>
      </c>
      <c r="AC75" s="24">
        <f t="shared" si="12"/>
        <v>1024272.8650000002</v>
      </c>
      <c r="AD75" s="24">
        <f t="shared" si="13"/>
        <v>162971.02068416867</v>
      </c>
      <c r="AK75" s="23"/>
      <c r="AL75" s="23"/>
      <c r="AM75" s="23"/>
      <c r="AN75" s="23"/>
      <c r="AO75" s="23"/>
      <c r="AP75" s="23"/>
      <c r="AQ75" s="23"/>
    </row>
    <row r="76" spans="1:69" s="24" customFormat="1" ht="17.25" customHeight="1" thickBot="1">
      <c r="A76" s="560">
        <v>50</v>
      </c>
      <c r="B76" s="1008" t="s">
        <v>202</v>
      </c>
      <c r="C76" s="1009" t="s">
        <v>99</v>
      </c>
      <c r="D76" s="1592" t="s">
        <v>75</v>
      </c>
      <c r="E76" s="1694" t="s">
        <v>720</v>
      </c>
      <c r="F76" s="1586" t="s">
        <v>66</v>
      </c>
      <c r="G76" s="1695">
        <v>1</v>
      </c>
      <c r="H76" s="1592" t="s">
        <v>102</v>
      </c>
      <c r="I76" s="1592" t="s">
        <v>103</v>
      </c>
      <c r="J76" s="1696">
        <v>2</v>
      </c>
      <c r="K76" s="888">
        <v>17697</v>
      </c>
      <c r="L76" s="1010">
        <v>31</v>
      </c>
      <c r="M76" s="554">
        <f t="shared" si="7"/>
        <v>1.7222222222222223</v>
      </c>
      <c r="N76" s="1594" t="s">
        <v>104</v>
      </c>
      <c r="O76" s="1021">
        <v>4.37</v>
      </c>
      <c r="P76" s="1013">
        <f t="shared" si="6"/>
        <v>133189.58833333335</v>
      </c>
      <c r="Q76" s="1013"/>
      <c r="R76" s="1011"/>
      <c r="S76" s="888"/>
      <c r="T76" s="888">
        <v>0.1</v>
      </c>
      <c r="U76" s="1013">
        <f t="shared" si="8"/>
        <v>13318.958833333336</v>
      </c>
      <c r="V76" s="1012"/>
      <c r="W76" s="888"/>
      <c r="X76" s="1697">
        <f>P76+Q76+U76</f>
        <v>146508.54716666669</v>
      </c>
      <c r="Y76" s="885"/>
      <c r="Z76" s="885"/>
      <c r="AA76" s="23"/>
      <c r="AK76" s="23"/>
      <c r="AL76" s="23"/>
      <c r="AM76" s="23"/>
      <c r="AN76" s="23"/>
      <c r="AO76" s="23"/>
      <c r="AP76" s="23"/>
      <c r="AQ76" s="23"/>
    </row>
    <row r="77" spans="1:69" s="377" customFormat="1" ht="17.25" customHeight="1" thickBot="1">
      <c r="A77" s="1916"/>
      <c r="B77" s="1930" t="s">
        <v>798</v>
      </c>
      <c r="C77" s="1917"/>
      <c r="D77" s="1918"/>
      <c r="E77" s="1919"/>
      <c r="F77" s="1920"/>
      <c r="G77" s="1921"/>
      <c r="H77" s="1918"/>
      <c r="I77" s="1918"/>
      <c r="J77" s="1922"/>
      <c r="K77" s="1923"/>
      <c r="L77" s="1924">
        <f>SUM(L27:L76)</f>
        <v>1099</v>
      </c>
      <c r="M77" s="1923"/>
      <c r="N77" s="1925"/>
      <c r="O77" s="1925"/>
      <c r="P77" s="1926"/>
      <c r="Q77" s="1926"/>
      <c r="R77" s="1927"/>
      <c r="S77" s="1923"/>
      <c r="T77" s="1923"/>
      <c r="U77" s="1926"/>
      <c r="V77" s="1928"/>
      <c r="W77" s="1923"/>
      <c r="X77" s="1929"/>
      <c r="Y77" s="1576"/>
      <c r="Z77" s="437"/>
      <c r="AA77" s="375">
        <f>X77*12</f>
        <v>0</v>
      </c>
      <c r="AB77" s="377">
        <f>AA77/12/29.33*56</f>
        <v>0</v>
      </c>
      <c r="AC77" s="377">
        <f>AA77*1.25</f>
        <v>0</v>
      </c>
      <c r="AD77" s="377">
        <f>AC77/12/29.33*56</f>
        <v>0</v>
      </c>
      <c r="AK77" s="23"/>
      <c r="AL77" s="23"/>
      <c r="AM77" s="23"/>
      <c r="AN77" s="23"/>
      <c r="AO77" s="23"/>
      <c r="AP77" s="23"/>
      <c r="AQ77" s="23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</row>
    <row r="78" spans="1:69" s="377" customFormat="1" ht="17.25" customHeight="1">
      <c r="A78" s="1674"/>
      <c r="B78" s="1675" t="s">
        <v>789</v>
      </c>
      <c r="C78" s="1676"/>
      <c r="D78" s="1677"/>
      <c r="E78" s="1678"/>
      <c r="F78" s="1678"/>
      <c r="G78" s="1679"/>
      <c r="H78" s="1677"/>
      <c r="I78" s="1677"/>
      <c r="J78" s="1680"/>
      <c r="K78" s="1681"/>
      <c r="L78" s="1682"/>
      <c r="M78" s="1681"/>
      <c r="N78" s="1683"/>
      <c r="O78" s="1683"/>
      <c r="P78" s="1684"/>
      <c r="Q78" s="1684"/>
      <c r="R78" s="1685"/>
      <c r="S78" s="1681"/>
      <c r="T78" s="1681"/>
      <c r="U78" s="1684"/>
      <c r="V78" s="1686"/>
      <c r="W78" s="1681"/>
      <c r="X78" s="1687"/>
      <c r="Y78" s="1576"/>
      <c r="Z78" s="1544"/>
      <c r="AA78" s="375"/>
      <c r="AK78" s="23"/>
      <c r="AL78" s="23"/>
      <c r="AM78" s="23"/>
      <c r="AN78" s="23"/>
      <c r="AO78" s="23"/>
      <c r="AP78" s="23"/>
      <c r="AQ78" s="23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</row>
    <row r="79" spans="1:69" s="24" customFormat="1" ht="17.25" customHeight="1">
      <c r="A79" s="547">
        <v>1</v>
      </c>
      <c r="B79" s="548" t="s">
        <v>215</v>
      </c>
      <c r="C79" s="549" t="s">
        <v>99</v>
      </c>
      <c r="D79" s="577" t="s">
        <v>25</v>
      </c>
      <c r="E79" s="583" t="s">
        <v>653</v>
      </c>
      <c r="F79" s="583" t="s">
        <v>217</v>
      </c>
      <c r="G79" s="1668">
        <v>1</v>
      </c>
      <c r="H79" s="1669" t="s">
        <v>102</v>
      </c>
      <c r="I79" s="1669" t="s">
        <v>103</v>
      </c>
      <c r="J79" s="1670">
        <v>1</v>
      </c>
      <c r="K79" s="552">
        <v>17697</v>
      </c>
      <c r="L79" s="1671">
        <v>20</v>
      </c>
      <c r="M79" s="552">
        <f>L79/18</f>
        <v>1.1111111111111112</v>
      </c>
      <c r="N79" s="1670" t="s">
        <v>152</v>
      </c>
      <c r="O79" s="1672">
        <v>4.6900000000000004</v>
      </c>
      <c r="P79" s="556">
        <f t="shared" ref="P79:P99" si="16">O79*K79/18*L79</f>
        <v>92221.03333333334</v>
      </c>
      <c r="Q79" s="556"/>
      <c r="R79" s="557"/>
      <c r="S79" s="552"/>
      <c r="T79" s="552">
        <v>0.1</v>
      </c>
      <c r="U79" s="556">
        <f>(P79+Q79)*T79</f>
        <v>9222.1033333333344</v>
      </c>
      <c r="V79" s="1673"/>
      <c r="W79" s="552"/>
      <c r="X79" s="559">
        <f>P79+Q79+U79</f>
        <v>101443.13666666667</v>
      </c>
      <c r="Y79" s="10"/>
      <c r="Z79" s="10"/>
      <c r="AA79" s="23" t="e">
        <f>#REF!*12</f>
        <v>#REF!</v>
      </c>
      <c r="AB79" s="24" t="e">
        <f t="shared" si="11"/>
        <v>#REF!</v>
      </c>
      <c r="AC79" s="24" t="e">
        <f t="shared" si="12"/>
        <v>#REF!</v>
      </c>
      <c r="AD79" s="24" t="e">
        <f t="shared" si="13"/>
        <v>#REF!</v>
      </c>
      <c r="AK79" s="906"/>
      <c r="AL79" s="23"/>
      <c r="AM79" s="23"/>
      <c r="AN79" s="23"/>
      <c r="AO79" s="23"/>
      <c r="AP79" s="23"/>
      <c r="AQ79" s="23"/>
    </row>
    <row r="80" spans="1:69" s="24" customFormat="1" ht="18" customHeight="1">
      <c r="A80" s="560">
        <v>2</v>
      </c>
      <c r="B80" s="153" t="s">
        <v>222</v>
      </c>
      <c r="C80" s="561" t="s">
        <v>148</v>
      </c>
      <c r="D80" s="563" t="s">
        <v>25</v>
      </c>
      <c r="E80" s="562" t="s">
        <v>654</v>
      </c>
      <c r="F80" s="562" t="s">
        <v>224</v>
      </c>
      <c r="G80" s="571">
        <v>1</v>
      </c>
      <c r="H80" s="580" t="s">
        <v>102</v>
      </c>
      <c r="I80" s="580" t="s">
        <v>103</v>
      </c>
      <c r="J80" s="574">
        <v>2</v>
      </c>
      <c r="K80" s="554">
        <v>17697</v>
      </c>
      <c r="L80" s="1643">
        <v>31</v>
      </c>
      <c r="M80" s="552">
        <f t="shared" ref="M80:M99" si="17">L80/18</f>
        <v>1.7222222222222223</v>
      </c>
      <c r="N80" s="566" t="s">
        <v>104</v>
      </c>
      <c r="O80" s="1015">
        <v>4.16</v>
      </c>
      <c r="P80" s="567">
        <f t="shared" si="16"/>
        <v>126789.17333333334</v>
      </c>
      <c r="Q80" s="697"/>
      <c r="R80" s="568"/>
      <c r="S80" s="554"/>
      <c r="T80" s="552">
        <v>0.1</v>
      </c>
      <c r="U80" s="567">
        <f t="shared" ref="U80:U99" si="18">(P80+Q80)*T80</f>
        <v>12678.917333333335</v>
      </c>
      <c r="V80" s="19"/>
      <c r="W80" s="554"/>
      <c r="X80" s="570">
        <f t="shared" ref="X80:X99" si="19">P80+Q80+U80</f>
        <v>139468.09066666669</v>
      </c>
      <c r="Y80" s="10">
        <f t="shared" ref="Y80:Z82" si="20">V79+R79</f>
        <v>0</v>
      </c>
      <c r="Z80" s="10">
        <f t="shared" si="20"/>
        <v>0</v>
      </c>
      <c r="AA80" s="23">
        <f>X79*12</f>
        <v>1217317.6400000001</v>
      </c>
      <c r="AB80" s="24">
        <f t="shared" si="11"/>
        <v>193686.17979315834</v>
      </c>
      <c r="AC80" s="24">
        <f t="shared" si="12"/>
        <v>1521647.0500000003</v>
      </c>
      <c r="AD80" s="24">
        <f t="shared" si="13"/>
        <v>242107.72474144795</v>
      </c>
      <c r="AK80" s="23"/>
      <c r="AL80" s="23"/>
      <c r="AM80" s="23"/>
      <c r="AN80" s="23"/>
      <c r="AO80" s="23"/>
      <c r="AP80" s="23"/>
      <c r="AQ80" s="23"/>
    </row>
    <row r="81" spans="1:43" s="24" customFormat="1" ht="16.5" customHeight="1">
      <c r="A81" s="547">
        <v>3</v>
      </c>
      <c r="B81" s="153" t="s">
        <v>124</v>
      </c>
      <c r="C81" s="561" t="s">
        <v>125</v>
      </c>
      <c r="D81" s="560" t="s">
        <v>75</v>
      </c>
      <c r="E81" s="582" t="s">
        <v>590</v>
      </c>
      <c r="F81" s="562" t="s">
        <v>108</v>
      </c>
      <c r="G81" s="571">
        <v>1</v>
      </c>
      <c r="H81" s="563" t="s">
        <v>102</v>
      </c>
      <c r="I81" s="563" t="s">
        <v>118</v>
      </c>
      <c r="J81" s="581">
        <v>3</v>
      </c>
      <c r="K81" s="554">
        <v>17697</v>
      </c>
      <c r="L81" s="1014">
        <v>11</v>
      </c>
      <c r="M81" s="552">
        <f t="shared" si="17"/>
        <v>0.61111111111111116</v>
      </c>
      <c r="N81" s="574" t="s">
        <v>109</v>
      </c>
      <c r="O81" s="1014">
        <v>3.85</v>
      </c>
      <c r="P81" s="567">
        <f t="shared" si="16"/>
        <v>41637.10833333333</v>
      </c>
      <c r="Q81" s="697"/>
      <c r="R81" s="568"/>
      <c r="S81" s="554"/>
      <c r="T81" s="552">
        <v>0.1</v>
      </c>
      <c r="U81" s="567">
        <f t="shared" si="18"/>
        <v>4163.7108333333335</v>
      </c>
      <c r="V81" s="19"/>
      <c r="W81" s="554"/>
      <c r="X81" s="570">
        <f t="shared" si="19"/>
        <v>45800.819166666661</v>
      </c>
      <c r="Y81" s="10">
        <f t="shared" si="20"/>
        <v>0</v>
      </c>
      <c r="Z81" s="10">
        <f t="shared" si="20"/>
        <v>0</v>
      </c>
      <c r="AA81" s="23">
        <f>X80*12</f>
        <v>1673617.0880000002</v>
      </c>
      <c r="AB81" s="24">
        <f t="shared" si="11"/>
        <v>266287.523945903</v>
      </c>
      <c r="AC81" s="24">
        <f t="shared" si="12"/>
        <v>2092021.3600000003</v>
      </c>
      <c r="AD81" s="24">
        <f t="shared" si="13"/>
        <v>332859.40493237873</v>
      </c>
      <c r="AK81" s="23"/>
      <c r="AL81" s="23"/>
      <c r="AM81" s="23"/>
      <c r="AN81" s="23"/>
      <c r="AO81" s="23"/>
      <c r="AP81" s="23"/>
      <c r="AQ81" s="23"/>
    </row>
    <row r="82" spans="1:43" s="24" customFormat="1" ht="17.25" customHeight="1">
      <c r="A82" s="560">
        <v>4</v>
      </c>
      <c r="B82" s="153" t="s">
        <v>618</v>
      </c>
      <c r="C82" s="561" t="s">
        <v>99</v>
      </c>
      <c r="D82" s="560" t="s">
        <v>25</v>
      </c>
      <c r="E82" s="550" t="s">
        <v>794</v>
      </c>
      <c r="F82" s="562" t="s">
        <v>795</v>
      </c>
      <c r="G82" s="571">
        <v>1</v>
      </c>
      <c r="H82" s="580" t="s">
        <v>102</v>
      </c>
      <c r="I82" s="580" t="s">
        <v>103</v>
      </c>
      <c r="J82" s="574">
        <v>3</v>
      </c>
      <c r="K82" s="554">
        <v>17697</v>
      </c>
      <c r="L82" s="1014">
        <v>27</v>
      </c>
      <c r="M82" s="552">
        <f t="shared" si="17"/>
        <v>1.5</v>
      </c>
      <c r="N82" s="698" t="s">
        <v>109</v>
      </c>
      <c r="O82" s="1157">
        <v>4.3600000000000003</v>
      </c>
      <c r="P82" s="567">
        <f t="shared" si="16"/>
        <v>115738.38000000002</v>
      </c>
      <c r="Q82" s="697"/>
      <c r="R82" s="1538"/>
      <c r="S82" s="700"/>
      <c r="T82" s="552">
        <v>0.1</v>
      </c>
      <c r="U82" s="567">
        <f t="shared" si="18"/>
        <v>11573.838000000003</v>
      </c>
      <c r="V82" s="19"/>
      <c r="W82" s="554"/>
      <c r="X82" s="570">
        <f t="shared" si="19"/>
        <v>127312.21800000002</v>
      </c>
      <c r="Y82" s="10">
        <f t="shared" si="20"/>
        <v>0</v>
      </c>
      <c r="Z82" s="10">
        <f t="shared" si="20"/>
        <v>0</v>
      </c>
      <c r="AA82" s="23">
        <f>X81*12</f>
        <v>549609.82999999996</v>
      </c>
      <c r="AB82" s="24">
        <f t="shared" si="11"/>
        <v>87447.86475735878</v>
      </c>
      <c r="AC82" s="24">
        <f t="shared" si="12"/>
        <v>687012.28749999998</v>
      </c>
      <c r="AD82" s="24">
        <f t="shared" si="13"/>
        <v>109309.83094669849</v>
      </c>
      <c r="AK82" s="23"/>
      <c r="AL82" s="23"/>
      <c r="AM82" s="23"/>
      <c r="AN82" s="23"/>
      <c r="AO82" s="23"/>
      <c r="AP82" s="23"/>
      <c r="AQ82" s="23"/>
    </row>
    <row r="83" spans="1:43" s="24" customFormat="1" ht="17.25" customHeight="1">
      <c r="A83" s="547">
        <v>5</v>
      </c>
      <c r="B83" s="153" t="s">
        <v>127</v>
      </c>
      <c r="C83" s="561" t="s">
        <v>99</v>
      </c>
      <c r="D83" s="560" t="s">
        <v>25</v>
      </c>
      <c r="E83" s="562" t="s">
        <v>661</v>
      </c>
      <c r="F83" s="562" t="s">
        <v>34</v>
      </c>
      <c r="G83" s="571">
        <v>1</v>
      </c>
      <c r="H83" s="563" t="s">
        <v>102</v>
      </c>
      <c r="I83" s="563" t="s">
        <v>103</v>
      </c>
      <c r="J83" s="564">
        <v>1</v>
      </c>
      <c r="K83" s="554">
        <v>17697</v>
      </c>
      <c r="L83" s="1014">
        <v>4</v>
      </c>
      <c r="M83" s="552">
        <f t="shared" si="17"/>
        <v>0.22222222222222221</v>
      </c>
      <c r="N83" s="574" t="s">
        <v>152</v>
      </c>
      <c r="O83" s="1014">
        <v>4.75</v>
      </c>
      <c r="P83" s="567">
        <f t="shared" si="16"/>
        <v>18680.166666666668</v>
      </c>
      <c r="Q83" s="697"/>
      <c r="R83" s="568"/>
      <c r="S83" s="554"/>
      <c r="T83" s="552">
        <v>0.1</v>
      </c>
      <c r="U83" s="567">
        <f t="shared" si="18"/>
        <v>1868.0166666666669</v>
      </c>
      <c r="V83" s="19"/>
      <c r="W83" s="554"/>
      <c r="X83" s="570">
        <f t="shared" si="19"/>
        <v>20548.183333333334</v>
      </c>
      <c r="Y83" s="1547"/>
      <c r="Z83" s="1547"/>
      <c r="AA83" s="23"/>
      <c r="AK83" s="23"/>
      <c r="AL83" s="23"/>
      <c r="AM83" s="23"/>
      <c r="AN83" s="23"/>
      <c r="AO83" s="23"/>
      <c r="AP83" s="23"/>
      <c r="AQ83" s="23"/>
    </row>
    <row r="84" spans="1:43" s="24" customFormat="1" ht="17.25" customHeight="1">
      <c r="A84" s="560">
        <v>6</v>
      </c>
      <c r="B84" s="998" t="s">
        <v>791</v>
      </c>
      <c r="C84" s="873" t="s">
        <v>99</v>
      </c>
      <c r="D84" s="874" t="s">
        <v>75</v>
      </c>
      <c r="E84" s="583" t="s">
        <v>796</v>
      </c>
      <c r="F84" s="1539" t="s">
        <v>797</v>
      </c>
      <c r="G84" s="571">
        <v>1</v>
      </c>
      <c r="H84" s="580" t="s">
        <v>102</v>
      </c>
      <c r="I84" s="580" t="s">
        <v>118</v>
      </c>
      <c r="J84" s="574">
        <v>3</v>
      </c>
      <c r="K84" s="554">
        <v>17697</v>
      </c>
      <c r="L84" s="1157">
        <v>21</v>
      </c>
      <c r="M84" s="552">
        <f t="shared" si="17"/>
        <v>1.1666666666666667</v>
      </c>
      <c r="N84" s="698" t="s">
        <v>109</v>
      </c>
      <c r="O84" s="1157">
        <v>3.97</v>
      </c>
      <c r="P84" s="567">
        <f t="shared" si="16"/>
        <v>81966.604999999996</v>
      </c>
      <c r="Q84" s="697"/>
      <c r="R84" s="1538"/>
      <c r="S84" s="700"/>
      <c r="T84" s="552">
        <v>0.1</v>
      </c>
      <c r="U84" s="567">
        <f t="shared" si="18"/>
        <v>8196.6605</v>
      </c>
      <c r="V84" s="1541"/>
      <c r="W84" s="700"/>
      <c r="X84" s="570">
        <f t="shared" si="19"/>
        <v>90163.265499999994</v>
      </c>
      <c r="Y84" s="10">
        <f>V83+R83</f>
        <v>0</v>
      </c>
      <c r="Z84" s="10">
        <f>W83+S83</f>
        <v>0</v>
      </c>
      <c r="AA84" s="23">
        <f>X83*12</f>
        <v>246578.2</v>
      </c>
      <c r="AB84" s="24">
        <f>AA84/12/29.33*56</f>
        <v>39232.80827366747</v>
      </c>
      <c r="AC84" s="24">
        <f>AA84*1.25</f>
        <v>308222.75</v>
      </c>
      <c r="AD84" s="24">
        <f>AC84/12/29.33*56</f>
        <v>49041.010342084337</v>
      </c>
      <c r="AK84" s="23"/>
      <c r="AL84" s="23"/>
      <c r="AM84" s="23"/>
      <c r="AN84" s="23"/>
      <c r="AO84" s="23"/>
      <c r="AP84" s="23"/>
      <c r="AQ84" s="23"/>
    </row>
    <row r="85" spans="1:43" s="24" customFormat="1" ht="17.25" customHeight="1">
      <c r="A85" s="547">
        <v>7</v>
      </c>
      <c r="B85" s="153" t="s">
        <v>227</v>
      </c>
      <c r="C85" s="561" t="s">
        <v>99</v>
      </c>
      <c r="D85" s="560" t="s">
        <v>25</v>
      </c>
      <c r="E85" s="562" t="s">
        <v>741</v>
      </c>
      <c r="F85" s="562" t="s">
        <v>669</v>
      </c>
      <c r="G85" s="571">
        <v>1</v>
      </c>
      <c r="H85" s="580" t="s">
        <v>102</v>
      </c>
      <c r="I85" s="580" t="s">
        <v>103</v>
      </c>
      <c r="J85" s="574">
        <v>2</v>
      </c>
      <c r="K85" s="554">
        <v>17697</v>
      </c>
      <c r="L85" s="1643">
        <v>20</v>
      </c>
      <c r="M85" s="552">
        <f t="shared" si="17"/>
        <v>1.1111111111111112</v>
      </c>
      <c r="N85" s="566" t="s">
        <v>104</v>
      </c>
      <c r="O85" s="1015">
        <v>4.09</v>
      </c>
      <c r="P85" s="567">
        <f t="shared" si="16"/>
        <v>80423.033333333326</v>
      </c>
      <c r="Q85" s="697"/>
      <c r="R85" s="568"/>
      <c r="S85" s="554"/>
      <c r="T85" s="552">
        <v>0.1</v>
      </c>
      <c r="U85" s="567">
        <f t="shared" si="18"/>
        <v>8042.3033333333333</v>
      </c>
      <c r="V85" s="19"/>
      <c r="W85" s="554"/>
      <c r="X85" s="570">
        <f t="shared" si="19"/>
        <v>88465.336666666655</v>
      </c>
      <c r="Y85" s="1547"/>
      <c r="Z85" s="1547"/>
      <c r="AA85" s="23"/>
      <c r="AK85" s="23"/>
      <c r="AL85" s="23"/>
      <c r="AM85" s="23"/>
      <c r="AN85" s="23"/>
      <c r="AO85" s="23"/>
      <c r="AP85" s="23"/>
      <c r="AQ85" s="23"/>
    </row>
    <row r="86" spans="1:43" s="24" customFormat="1" ht="17.25" customHeight="1">
      <c r="A86" s="560">
        <v>8</v>
      </c>
      <c r="B86" s="153" t="s">
        <v>230</v>
      </c>
      <c r="C86" s="561" t="s">
        <v>99</v>
      </c>
      <c r="D86" s="560" t="s">
        <v>25</v>
      </c>
      <c r="E86" s="582" t="s">
        <v>736</v>
      </c>
      <c r="F86" s="562" t="s">
        <v>217</v>
      </c>
      <c r="G86" s="571">
        <v>1</v>
      </c>
      <c r="H86" s="580" t="s">
        <v>232</v>
      </c>
      <c r="I86" s="580" t="s">
        <v>233</v>
      </c>
      <c r="J86" s="574">
        <v>1</v>
      </c>
      <c r="K86" s="554">
        <v>17697</v>
      </c>
      <c r="L86" s="1643">
        <v>36</v>
      </c>
      <c r="M86" s="552">
        <f t="shared" si="17"/>
        <v>2</v>
      </c>
      <c r="N86" s="574" t="s">
        <v>152</v>
      </c>
      <c r="O86" s="1014">
        <v>4.75</v>
      </c>
      <c r="P86" s="567">
        <f t="shared" si="16"/>
        <v>168121.5</v>
      </c>
      <c r="Q86" s="697"/>
      <c r="R86" s="568"/>
      <c r="S86" s="554"/>
      <c r="T86" s="552">
        <v>0.1</v>
      </c>
      <c r="U86" s="567">
        <f t="shared" si="18"/>
        <v>16812.150000000001</v>
      </c>
      <c r="V86" s="19"/>
      <c r="W86" s="554"/>
      <c r="X86" s="570">
        <f t="shared" si="19"/>
        <v>184933.65</v>
      </c>
      <c r="Y86" s="10">
        <f>V85+R85</f>
        <v>0</v>
      </c>
      <c r="Z86" s="10">
        <f>W85+S85</f>
        <v>0</v>
      </c>
      <c r="AA86" s="23">
        <f>X85*12</f>
        <v>1061584.0399999998</v>
      </c>
      <c r="AB86" s="24">
        <f>AA86/12/29.33*56</f>
        <v>168907.56404136831</v>
      </c>
      <c r="AC86" s="24">
        <f>AA86*1.25</f>
        <v>1326980.0499999998</v>
      </c>
      <c r="AD86" s="24">
        <f>AC86/12/29.33*56</f>
        <v>211134.45505171042</v>
      </c>
      <c r="AK86" s="23"/>
      <c r="AL86" s="23"/>
      <c r="AM86" s="23"/>
      <c r="AN86" s="23"/>
      <c r="AO86" s="23"/>
      <c r="AP86" s="23"/>
      <c r="AQ86" s="23"/>
    </row>
    <row r="87" spans="1:43" s="24" customFormat="1" ht="17.25" customHeight="1">
      <c r="A87" s="547">
        <v>9</v>
      </c>
      <c r="B87" s="153" t="s">
        <v>360</v>
      </c>
      <c r="C87" s="561" t="s">
        <v>99</v>
      </c>
      <c r="D87" s="563" t="s">
        <v>25</v>
      </c>
      <c r="E87" s="562" t="s">
        <v>683</v>
      </c>
      <c r="F87" s="562" t="s">
        <v>362</v>
      </c>
      <c r="G87" s="571">
        <v>1</v>
      </c>
      <c r="H87" s="580" t="s">
        <v>102</v>
      </c>
      <c r="I87" s="580" t="s">
        <v>103</v>
      </c>
      <c r="J87" s="574">
        <v>1</v>
      </c>
      <c r="K87" s="554">
        <v>17697</v>
      </c>
      <c r="L87" s="1643">
        <v>24</v>
      </c>
      <c r="M87" s="552">
        <f t="shared" si="17"/>
        <v>1.3333333333333333</v>
      </c>
      <c r="N87" s="566" t="s">
        <v>152</v>
      </c>
      <c r="O87" s="1015">
        <v>4.55</v>
      </c>
      <c r="P87" s="567">
        <f t="shared" si="16"/>
        <v>107361.79999999999</v>
      </c>
      <c r="Q87" s="697"/>
      <c r="R87" s="568"/>
      <c r="S87" s="554"/>
      <c r="T87" s="552">
        <v>0.1</v>
      </c>
      <c r="U87" s="567">
        <f t="shared" si="18"/>
        <v>10736.18</v>
      </c>
      <c r="V87" s="19"/>
      <c r="W87" s="554"/>
      <c r="X87" s="570">
        <f t="shared" si="19"/>
        <v>118097.97999999998</v>
      </c>
      <c r="Y87" s="10">
        <f>V86+R86</f>
        <v>0</v>
      </c>
      <c r="Z87" s="10">
        <f>W86+S86</f>
        <v>0</v>
      </c>
      <c r="AA87" s="23">
        <f>X86*12</f>
        <v>2219203.7999999998</v>
      </c>
      <c r="AB87" s="24">
        <f>AA87/12/29.33*56</f>
        <v>353095.27446300717</v>
      </c>
      <c r="AC87" s="24">
        <f>AA87*1.25</f>
        <v>2774004.75</v>
      </c>
      <c r="AD87" s="24">
        <f>AC87/12/29.33*56</f>
        <v>441369.09307875898</v>
      </c>
      <c r="AK87" s="23"/>
      <c r="AL87" s="23"/>
      <c r="AM87" s="23"/>
      <c r="AN87" s="23"/>
      <c r="AO87" s="23"/>
      <c r="AP87" s="23"/>
      <c r="AQ87" s="23"/>
    </row>
    <row r="88" spans="1:43" s="24" customFormat="1" ht="15.75">
      <c r="A88" s="560">
        <v>10</v>
      </c>
      <c r="B88" s="153" t="s">
        <v>743</v>
      </c>
      <c r="C88" s="561" t="s">
        <v>744</v>
      </c>
      <c r="D88" s="628" t="s">
        <v>25</v>
      </c>
      <c r="E88" s="586" t="s">
        <v>745</v>
      </c>
      <c r="F88" s="562" t="s">
        <v>403</v>
      </c>
      <c r="G88" s="571">
        <v>1</v>
      </c>
      <c r="H88" s="563" t="s">
        <v>102</v>
      </c>
      <c r="I88" s="563" t="s">
        <v>103</v>
      </c>
      <c r="J88" s="629">
        <v>3</v>
      </c>
      <c r="K88" s="554">
        <v>17697</v>
      </c>
      <c r="L88" s="1643">
        <v>24</v>
      </c>
      <c r="M88" s="552">
        <f t="shared" si="17"/>
        <v>1.3333333333333333</v>
      </c>
      <c r="N88" s="574" t="s">
        <v>109</v>
      </c>
      <c r="O88" s="1015">
        <v>4.1399999999999997</v>
      </c>
      <c r="P88" s="567">
        <f t="shared" si="16"/>
        <v>97687.439999999988</v>
      </c>
      <c r="Q88" s="697"/>
      <c r="R88" s="568"/>
      <c r="S88" s="554"/>
      <c r="T88" s="552">
        <v>0.1</v>
      </c>
      <c r="U88" s="567">
        <f t="shared" si="18"/>
        <v>9768.7439999999988</v>
      </c>
      <c r="V88" s="19"/>
      <c r="W88" s="554"/>
      <c r="X88" s="570">
        <f t="shared" si="19"/>
        <v>107456.18399999998</v>
      </c>
      <c r="Y88" s="10"/>
      <c r="Z88" s="10"/>
      <c r="AA88" s="23">
        <f>X87*12</f>
        <v>1417175.7599999998</v>
      </c>
      <c r="AB88" s="24">
        <f>AA88/12/29.33*56</f>
        <v>225485.40334128877</v>
      </c>
      <c r="AC88" s="24">
        <f>AA88*1.25</f>
        <v>1771469.6999999997</v>
      </c>
      <c r="AD88" s="24">
        <f>AC88/12/29.33*56</f>
        <v>281856.75417661096</v>
      </c>
      <c r="AK88" s="23"/>
      <c r="AL88" s="23"/>
      <c r="AM88" s="23"/>
      <c r="AN88" s="23"/>
      <c r="AO88" s="23"/>
      <c r="AP88" s="23"/>
      <c r="AQ88" s="23"/>
    </row>
    <row r="89" spans="1:43" s="24" customFormat="1" ht="17.25" customHeight="1">
      <c r="A89" s="547">
        <v>11</v>
      </c>
      <c r="B89" s="998" t="s">
        <v>678</v>
      </c>
      <c r="C89" s="873" t="s">
        <v>99</v>
      </c>
      <c r="D89" s="1002" t="s">
        <v>75</v>
      </c>
      <c r="E89" s="583" t="s">
        <v>738</v>
      </c>
      <c r="F89" s="1539" t="s">
        <v>602</v>
      </c>
      <c r="G89" s="571">
        <v>1</v>
      </c>
      <c r="H89" s="580" t="s">
        <v>102</v>
      </c>
      <c r="I89" s="580" t="s">
        <v>118</v>
      </c>
      <c r="J89" s="574">
        <v>4</v>
      </c>
      <c r="K89" s="554">
        <v>17697</v>
      </c>
      <c r="L89" s="1648">
        <v>11</v>
      </c>
      <c r="M89" s="552">
        <f t="shared" si="17"/>
        <v>0.61111111111111116</v>
      </c>
      <c r="N89" s="1583" t="s">
        <v>112</v>
      </c>
      <c r="O89" s="1591">
        <v>3.36</v>
      </c>
      <c r="P89" s="567">
        <f t="shared" si="16"/>
        <v>36337.840000000004</v>
      </c>
      <c r="Q89" s="697"/>
      <c r="R89" s="1538"/>
      <c r="S89" s="700"/>
      <c r="T89" s="552">
        <v>0.1</v>
      </c>
      <c r="U89" s="567">
        <f t="shared" si="18"/>
        <v>3633.7840000000006</v>
      </c>
      <c r="V89" s="1541"/>
      <c r="W89" s="700"/>
      <c r="X89" s="570">
        <f t="shared" si="19"/>
        <v>39971.624000000003</v>
      </c>
      <c r="Y89" s="10"/>
      <c r="Z89" s="10"/>
      <c r="AA89" s="23"/>
      <c r="AK89" s="23"/>
      <c r="AL89" s="23"/>
      <c r="AM89" s="23"/>
      <c r="AN89" s="23"/>
      <c r="AO89" s="23"/>
      <c r="AP89" s="23"/>
      <c r="AQ89" s="23"/>
    </row>
    <row r="90" spans="1:43" s="24" customFormat="1" ht="15.75">
      <c r="A90" s="560">
        <v>12</v>
      </c>
      <c r="B90" s="998" t="s">
        <v>207</v>
      </c>
      <c r="C90" s="873" t="s">
        <v>817</v>
      </c>
      <c r="D90" s="1002" t="s">
        <v>25</v>
      </c>
      <c r="E90" s="1539" t="s">
        <v>588</v>
      </c>
      <c r="F90" s="1539" t="s">
        <v>362</v>
      </c>
      <c r="G90" s="1689">
        <v>1</v>
      </c>
      <c r="H90" s="874" t="s">
        <v>102</v>
      </c>
      <c r="I90" s="874" t="s">
        <v>103</v>
      </c>
      <c r="J90" s="1647">
        <v>1</v>
      </c>
      <c r="K90" s="700">
        <v>17697</v>
      </c>
      <c r="L90" s="1157">
        <v>26</v>
      </c>
      <c r="M90" s="552">
        <f t="shared" si="17"/>
        <v>1.4444444444444444</v>
      </c>
      <c r="N90" s="1583" t="s">
        <v>152</v>
      </c>
      <c r="O90" s="1591">
        <v>4.55</v>
      </c>
      <c r="P90" s="697">
        <f t="shared" si="16"/>
        <v>116308.61666666665</v>
      </c>
      <c r="Q90" s="697"/>
      <c r="R90" s="1538"/>
      <c r="S90" s="700"/>
      <c r="T90" s="552">
        <v>0.1</v>
      </c>
      <c r="U90" s="567">
        <f t="shared" si="18"/>
        <v>11630.861666666666</v>
      </c>
      <c r="V90" s="1541"/>
      <c r="W90" s="700"/>
      <c r="X90" s="570">
        <f t="shared" si="19"/>
        <v>127939.47833333332</v>
      </c>
      <c r="Y90" s="1547"/>
      <c r="Z90" s="1547"/>
      <c r="AA90" s="23"/>
      <c r="AK90" s="23"/>
      <c r="AL90" s="23"/>
      <c r="AM90" s="23"/>
      <c r="AN90" s="23"/>
      <c r="AO90" s="23"/>
      <c r="AP90" s="23"/>
      <c r="AQ90" s="23"/>
    </row>
    <row r="91" spans="1:43" s="24" customFormat="1" ht="15.75">
      <c r="A91" s="547">
        <v>13</v>
      </c>
      <c r="B91" s="153" t="s">
        <v>281</v>
      </c>
      <c r="C91" s="561" t="s">
        <v>99</v>
      </c>
      <c r="D91" s="628" t="s">
        <v>25</v>
      </c>
      <c r="E91" s="586" t="s">
        <v>698</v>
      </c>
      <c r="F91" s="562" t="s">
        <v>40</v>
      </c>
      <c r="G91" s="571">
        <v>1</v>
      </c>
      <c r="H91" s="563" t="s">
        <v>102</v>
      </c>
      <c r="I91" s="563" t="s">
        <v>103</v>
      </c>
      <c r="J91" s="629">
        <v>1</v>
      </c>
      <c r="K91" s="554">
        <v>17697</v>
      </c>
      <c r="L91" s="1643">
        <v>6</v>
      </c>
      <c r="M91" s="552">
        <f t="shared" si="17"/>
        <v>0.33333333333333331</v>
      </c>
      <c r="N91" s="574" t="s">
        <v>152</v>
      </c>
      <c r="O91" s="1015">
        <v>4.75</v>
      </c>
      <c r="P91" s="567">
        <f t="shared" si="16"/>
        <v>28020.25</v>
      </c>
      <c r="Q91" s="697"/>
      <c r="R91" s="568"/>
      <c r="S91" s="554"/>
      <c r="T91" s="552">
        <v>0.1</v>
      </c>
      <c r="U91" s="567">
        <f t="shared" si="18"/>
        <v>2802.0250000000001</v>
      </c>
      <c r="V91" s="19"/>
      <c r="W91" s="554"/>
      <c r="X91" s="570">
        <f t="shared" si="19"/>
        <v>30822.275000000001</v>
      </c>
      <c r="Y91" s="1547"/>
      <c r="Z91" s="1547"/>
      <c r="AA91" s="23"/>
      <c r="AK91" s="23"/>
      <c r="AL91" s="23"/>
      <c r="AM91" s="23"/>
      <c r="AN91" s="23"/>
      <c r="AO91" s="23"/>
      <c r="AP91" s="23"/>
      <c r="AQ91" s="23"/>
    </row>
    <row r="92" spans="1:43" s="24" customFormat="1" ht="17.25" customHeight="1">
      <c r="A92" s="560">
        <v>14</v>
      </c>
      <c r="B92" s="153" t="s">
        <v>243</v>
      </c>
      <c r="C92" s="561" t="s">
        <v>99</v>
      </c>
      <c r="D92" s="563" t="s">
        <v>25</v>
      </c>
      <c r="E92" s="562" t="s">
        <v>705</v>
      </c>
      <c r="F92" s="562" t="s">
        <v>239</v>
      </c>
      <c r="G92" s="571">
        <v>1</v>
      </c>
      <c r="H92" s="580" t="s">
        <v>102</v>
      </c>
      <c r="I92" s="580" t="s">
        <v>103</v>
      </c>
      <c r="J92" s="574">
        <v>2</v>
      </c>
      <c r="K92" s="554">
        <v>17697</v>
      </c>
      <c r="L92" s="1643">
        <v>32</v>
      </c>
      <c r="M92" s="552">
        <f t="shared" si="17"/>
        <v>1.7777777777777777</v>
      </c>
      <c r="N92" s="566" t="s">
        <v>596</v>
      </c>
      <c r="O92" s="1015">
        <v>4.2300000000000004</v>
      </c>
      <c r="P92" s="567">
        <f t="shared" si="16"/>
        <v>133081.44000000003</v>
      </c>
      <c r="Q92" s="697"/>
      <c r="R92" s="568"/>
      <c r="S92" s="554"/>
      <c r="T92" s="552">
        <v>0.1</v>
      </c>
      <c r="U92" s="567">
        <f t="shared" si="18"/>
        <v>13308.144000000004</v>
      </c>
      <c r="V92" s="19"/>
      <c r="W92" s="554"/>
      <c r="X92" s="570">
        <f t="shared" si="19"/>
        <v>146389.58400000003</v>
      </c>
      <c r="Y92" s="10">
        <f>V91+R91</f>
        <v>0</v>
      </c>
      <c r="Z92" s="10">
        <f>W91+S91</f>
        <v>0</v>
      </c>
      <c r="AA92" s="23">
        <f>X91*12</f>
        <v>369867.30000000005</v>
      </c>
      <c r="AB92" s="24">
        <f t="shared" ref="AB92:AB94" si="21">AA92/12/29.33*56</f>
        <v>58849.212410501212</v>
      </c>
      <c r="AC92" s="24">
        <f t="shared" ref="AC92:AC94" si="22">AA92*1.25</f>
        <v>462334.12500000006</v>
      </c>
      <c r="AD92" s="24">
        <f t="shared" ref="AD92:AD94" si="23">AC92/12/29.33*56</f>
        <v>73561.515513126506</v>
      </c>
      <c r="AK92" s="23"/>
      <c r="AL92" s="23"/>
      <c r="AM92" s="23"/>
      <c r="AN92" s="23"/>
      <c r="AO92" s="23"/>
      <c r="AP92" s="23"/>
      <c r="AQ92" s="23"/>
    </row>
    <row r="93" spans="1:43" s="24" customFormat="1" ht="17.25" customHeight="1">
      <c r="A93" s="547">
        <v>15</v>
      </c>
      <c r="B93" s="153" t="s">
        <v>245</v>
      </c>
      <c r="C93" s="561" t="s">
        <v>99</v>
      </c>
      <c r="D93" s="563" t="s">
        <v>25</v>
      </c>
      <c r="E93" s="562" t="s">
        <v>461</v>
      </c>
      <c r="F93" s="1586" t="s">
        <v>40</v>
      </c>
      <c r="G93" s="571">
        <v>1</v>
      </c>
      <c r="H93" s="580" t="s">
        <v>102</v>
      </c>
      <c r="I93" s="580" t="s">
        <v>103</v>
      </c>
      <c r="J93" s="574">
        <v>1</v>
      </c>
      <c r="K93" s="554">
        <v>17697</v>
      </c>
      <c r="L93" s="1643">
        <v>36</v>
      </c>
      <c r="M93" s="552">
        <f t="shared" si="17"/>
        <v>2</v>
      </c>
      <c r="N93" s="574" t="s">
        <v>152</v>
      </c>
      <c r="O93" s="1591">
        <v>4.75</v>
      </c>
      <c r="P93" s="567">
        <f t="shared" si="16"/>
        <v>168121.5</v>
      </c>
      <c r="Q93" s="697"/>
      <c r="R93" s="1538"/>
      <c r="S93" s="700"/>
      <c r="T93" s="552">
        <v>0.1</v>
      </c>
      <c r="U93" s="567">
        <f t="shared" si="18"/>
        <v>16812.150000000001</v>
      </c>
      <c r="V93" s="19"/>
      <c r="W93" s="554"/>
      <c r="X93" s="570">
        <f t="shared" si="19"/>
        <v>184933.65</v>
      </c>
      <c r="Y93" s="10">
        <f>V92+R92</f>
        <v>0</v>
      </c>
      <c r="Z93" s="10">
        <f>W92+S92</f>
        <v>0</v>
      </c>
      <c r="AA93" s="23">
        <f>X92*12</f>
        <v>1756675.0080000004</v>
      </c>
      <c r="AB93" s="24">
        <f t="shared" si="21"/>
        <v>279502.78568019101</v>
      </c>
      <c r="AC93" s="24">
        <f t="shared" si="22"/>
        <v>2195843.7600000007</v>
      </c>
      <c r="AD93" s="24">
        <f t="shared" si="23"/>
        <v>349378.48210023879</v>
      </c>
      <c r="AK93" s="23"/>
      <c r="AL93" s="23"/>
      <c r="AM93" s="23"/>
      <c r="AN93" s="23"/>
      <c r="AO93" s="23"/>
      <c r="AP93" s="23"/>
      <c r="AQ93" s="23"/>
    </row>
    <row r="94" spans="1:43" s="24" customFormat="1" ht="17.25" customHeight="1">
      <c r="A94" s="560">
        <v>16</v>
      </c>
      <c r="B94" s="153" t="s">
        <v>586</v>
      </c>
      <c r="C94" s="561" t="s">
        <v>99</v>
      </c>
      <c r="D94" s="563" t="s">
        <v>25</v>
      </c>
      <c r="E94" s="712" t="s">
        <v>710</v>
      </c>
      <c r="F94" s="562" t="s">
        <v>259</v>
      </c>
      <c r="G94" s="571">
        <v>1</v>
      </c>
      <c r="H94" s="580" t="s">
        <v>102</v>
      </c>
      <c r="I94" s="580" t="s">
        <v>103</v>
      </c>
      <c r="J94" s="574">
        <v>3</v>
      </c>
      <c r="K94" s="554">
        <v>17697</v>
      </c>
      <c r="L94" s="1643">
        <v>32</v>
      </c>
      <c r="M94" s="552">
        <f t="shared" si="17"/>
        <v>1.7777777777777777</v>
      </c>
      <c r="N94" s="566" t="s">
        <v>109</v>
      </c>
      <c r="O94" s="1015">
        <v>4.1399999999999997</v>
      </c>
      <c r="P94" s="567">
        <f t="shared" si="16"/>
        <v>130249.91999999998</v>
      </c>
      <c r="Q94" s="697"/>
      <c r="R94" s="568"/>
      <c r="S94" s="554"/>
      <c r="T94" s="552">
        <v>0.1</v>
      </c>
      <c r="U94" s="567">
        <f t="shared" si="18"/>
        <v>13024.991999999998</v>
      </c>
      <c r="V94" s="19"/>
      <c r="W94" s="554"/>
      <c r="X94" s="570">
        <f t="shared" si="19"/>
        <v>143274.91199999998</v>
      </c>
      <c r="Y94" s="1547"/>
      <c r="Z94" s="1547"/>
      <c r="AA94" s="23">
        <f>X93*12</f>
        <v>2219203.7999999998</v>
      </c>
      <c r="AB94" s="24">
        <f t="shared" si="21"/>
        <v>353095.27446300717</v>
      </c>
      <c r="AC94" s="24">
        <f t="shared" si="22"/>
        <v>2774004.75</v>
      </c>
      <c r="AD94" s="24">
        <f t="shared" si="23"/>
        <v>441369.09307875898</v>
      </c>
      <c r="AK94" s="23"/>
      <c r="AL94" s="23"/>
      <c r="AM94" s="23"/>
      <c r="AN94" s="23"/>
      <c r="AO94" s="23"/>
      <c r="AP94" s="23"/>
      <c r="AQ94" s="23"/>
    </row>
    <row r="95" spans="1:43" s="24" customFormat="1" ht="17.25" customHeight="1">
      <c r="A95" s="547">
        <v>17</v>
      </c>
      <c r="B95" s="998" t="s">
        <v>253</v>
      </c>
      <c r="C95" s="873" t="s">
        <v>148</v>
      </c>
      <c r="D95" s="1002" t="s">
        <v>25</v>
      </c>
      <c r="E95" s="1539" t="s">
        <v>712</v>
      </c>
      <c r="F95" s="1539" t="s">
        <v>712</v>
      </c>
      <c r="G95" s="1689">
        <v>1</v>
      </c>
      <c r="H95" s="563" t="s">
        <v>102</v>
      </c>
      <c r="I95" s="563" t="s">
        <v>103</v>
      </c>
      <c r="J95" s="629">
        <v>1</v>
      </c>
      <c r="K95" s="554">
        <v>17697</v>
      </c>
      <c r="L95" s="1648">
        <v>28</v>
      </c>
      <c r="M95" s="552">
        <f t="shared" si="17"/>
        <v>1.5555555555555556</v>
      </c>
      <c r="N95" s="1583" t="s">
        <v>152</v>
      </c>
      <c r="O95" s="1591">
        <v>4.75</v>
      </c>
      <c r="P95" s="697">
        <f t="shared" si="16"/>
        <v>130761.16666666667</v>
      </c>
      <c r="Q95" s="697"/>
      <c r="R95" s="1538"/>
      <c r="S95" s="700"/>
      <c r="T95" s="552">
        <v>0.1</v>
      </c>
      <c r="U95" s="567">
        <f t="shared" si="18"/>
        <v>13076.116666666669</v>
      </c>
      <c r="V95" s="1541"/>
      <c r="W95" s="700"/>
      <c r="X95" s="570">
        <f t="shared" si="19"/>
        <v>143837.28333333333</v>
      </c>
      <c r="Y95" s="1547"/>
      <c r="Z95" s="1547"/>
      <c r="AA95" s="23"/>
      <c r="AK95" s="23"/>
      <c r="AL95" s="23"/>
      <c r="AM95" s="23"/>
      <c r="AN95" s="23"/>
      <c r="AO95" s="23"/>
      <c r="AP95" s="23"/>
      <c r="AQ95" s="23"/>
    </row>
    <row r="96" spans="1:43" s="24" customFormat="1" ht="17.25" customHeight="1">
      <c r="A96" s="560">
        <v>18</v>
      </c>
      <c r="B96" s="998" t="s">
        <v>792</v>
      </c>
      <c r="C96" s="873" t="s">
        <v>99</v>
      </c>
      <c r="D96" s="1002" t="s">
        <v>25</v>
      </c>
      <c r="E96" s="706" t="s">
        <v>793</v>
      </c>
      <c r="F96" s="1539" t="s">
        <v>463</v>
      </c>
      <c r="G96" s="571">
        <v>1</v>
      </c>
      <c r="H96" s="580" t="s">
        <v>102</v>
      </c>
      <c r="I96" s="580" t="s">
        <v>103</v>
      </c>
      <c r="J96" s="574">
        <v>3</v>
      </c>
      <c r="K96" s="554">
        <v>17697</v>
      </c>
      <c r="L96" s="1648">
        <v>18</v>
      </c>
      <c r="M96" s="552">
        <f t="shared" si="17"/>
        <v>1</v>
      </c>
      <c r="N96" s="1583" t="s">
        <v>109</v>
      </c>
      <c r="O96" s="1591">
        <v>4.28</v>
      </c>
      <c r="P96" s="697">
        <f t="shared" si="16"/>
        <v>75743.16</v>
      </c>
      <c r="Q96" s="697"/>
      <c r="R96" s="1538"/>
      <c r="S96" s="700"/>
      <c r="T96" s="552">
        <v>0.1</v>
      </c>
      <c r="U96" s="567">
        <f t="shared" si="18"/>
        <v>7574.3160000000007</v>
      </c>
      <c r="V96" s="1541"/>
      <c r="W96" s="700"/>
      <c r="X96" s="570">
        <f t="shared" si="19"/>
        <v>83317.47600000001</v>
      </c>
      <c r="Y96" s="1547"/>
      <c r="Z96" s="1547"/>
      <c r="AA96" s="23"/>
      <c r="AK96" s="23"/>
      <c r="AL96" s="23"/>
      <c r="AM96" s="23"/>
      <c r="AN96" s="23"/>
      <c r="AO96" s="23"/>
      <c r="AP96" s="23"/>
      <c r="AQ96" s="23"/>
    </row>
    <row r="97" spans="1:69" s="24" customFormat="1" ht="17.25" customHeight="1">
      <c r="A97" s="547">
        <v>19</v>
      </c>
      <c r="B97" s="1008" t="s">
        <v>255</v>
      </c>
      <c r="C97" s="1009" t="s">
        <v>99</v>
      </c>
      <c r="D97" s="1592" t="s">
        <v>25</v>
      </c>
      <c r="E97" s="1586" t="s">
        <v>714</v>
      </c>
      <c r="F97" s="1586" t="s">
        <v>40</v>
      </c>
      <c r="G97" s="571">
        <v>1</v>
      </c>
      <c r="H97" s="1593" t="s">
        <v>102</v>
      </c>
      <c r="I97" s="1593" t="s">
        <v>103</v>
      </c>
      <c r="J97" s="1594">
        <v>1</v>
      </c>
      <c r="K97" s="554">
        <v>17697</v>
      </c>
      <c r="L97" s="1649">
        <v>34</v>
      </c>
      <c r="M97" s="552">
        <f t="shared" si="17"/>
        <v>1.8888888888888888</v>
      </c>
      <c r="N97" s="574" t="s">
        <v>152</v>
      </c>
      <c r="O97" s="1016">
        <v>4.75</v>
      </c>
      <c r="P97" s="567">
        <f t="shared" si="16"/>
        <v>158781.41666666669</v>
      </c>
      <c r="Q97" s="697"/>
      <c r="R97" s="608"/>
      <c r="S97" s="605"/>
      <c r="T97" s="552">
        <v>0.1</v>
      </c>
      <c r="U97" s="567">
        <f t="shared" si="18"/>
        <v>15878.14166666667</v>
      </c>
      <c r="V97" s="19"/>
      <c r="W97" s="554"/>
      <c r="X97" s="570">
        <f t="shared" si="19"/>
        <v>174659.55833333335</v>
      </c>
      <c r="Y97" s="1547"/>
      <c r="Z97" s="1547"/>
      <c r="AA97" s="23"/>
      <c r="AK97" s="23"/>
      <c r="AL97" s="23"/>
      <c r="AM97" s="23"/>
      <c r="AN97" s="23"/>
      <c r="AO97" s="23"/>
      <c r="AP97" s="23"/>
      <c r="AQ97" s="23"/>
    </row>
    <row r="98" spans="1:69" s="24" customFormat="1" ht="16.5" customHeight="1">
      <c r="A98" s="560">
        <v>20</v>
      </c>
      <c r="B98" s="153" t="s">
        <v>257</v>
      </c>
      <c r="C98" s="561" t="s">
        <v>99</v>
      </c>
      <c r="D98" s="563" t="s">
        <v>25</v>
      </c>
      <c r="E98" s="562" t="s">
        <v>715</v>
      </c>
      <c r="F98" s="562" t="s">
        <v>239</v>
      </c>
      <c r="G98" s="571">
        <v>1</v>
      </c>
      <c r="H98" s="580" t="s">
        <v>102</v>
      </c>
      <c r="I98" s="580" t="s">
        <v>103</v>
      </c>
      <c r="J98" s="574">
        <v>2</v>
      </c>
      <c r="K98" s="888">
        <v>17697</v>
      </c>
      <c r="L98" s="1649">
        <v>27</v>
      </c>
      <c r="M98" s="552">
        <f t="shared" si="17"/>
        <v>1.5</v>
      </c>
      <c r="N98" s="1583" t="s">
        <v>104</v>
      </c>
      <c r="O98" s="1595">
        <v>4.2300000000000004</v>
      </c>
      <c r="P98" s="567">
        <f t="shared" si="16"/>
        <v>112287.46500000003</v>
      </c>
      <c r="Q98" s="697"/>
      <c r="R98" s="1011"/>
      <c r="S98" s="888"/>
      <c r="T98" s="552">
        <v>0.1</v>
      </c>
      <c r="U98" s="567">
        <f t="shared" si="18"/>
        <v>11228.746500000003</v>
      </c>
      <c r="V98" s="19"/>
      <c r="W98" s="554"/>
      <c r="X98" s="570">
        <f t="shared" si="19"/>
        <v>123516.21150000003</v>
      </c>
      <c r="Y98" s="35">
        <f>V97+R97</f>
        <v>0</v>
      </c>
      <c r="Z98" s="35">
        <f>W97+S97</f>
        <v>0</v>
      </c>
      <c r="AA98" s="23">
        <f>X97*12</f>
        <v>2095914.7000000002</v>
      </c>
      <c r="AB98" s="24">
        <f>AA98/12/29.33*56</f>
        <v>333478.87032617349</v>
      </c>
      <c r="AC98" s="24">
        <f>AA98*1.25</f>
        <v>2619893.375</v>
      </c>
      <c r="AD98" s="24">
        <f>AC98/12/29.33*56</f>
        <v>416848.58790771681</v>
      </c>
      <c r="AK98" s="23"/>
      <c r="AL98" s="23"/>
      <c r="AM98" s="23"/>
      <c r="AN98" s="23"/>
      <c r="AO98" s="23"/>
      <c r="AP98" s="23"/>
      <c r="AQ98" s="23"/>
    </row>
    <row r="99" spans="1:69" s="24" customFormat="1" ht="16.5" customHeight="1">
      <c r="A99" s="547">
        <v>21</v>
      </c>
      <c r="B99" s="153" t="s">
        <v>388</v>
      </c>
      <c r="C99" s="561" t="s">
        <v>99</v>
      </c>
      <c r="D99" s="563" t="s">
        <v>189</v>
      </c>
      <c r="E99" s="562" t="s">
        <v>718</v>
      </c>
      <c r="F99" s="562" t="s">
        <v>34</v>
      </c>
      <c r="G99" s="571">
        <v>1</v>
      </c>
      <c r="H99" s="580" t="s">
        <v>102</v>
      </c>
      <c r="I99" s="580" t="s">
        <v>103</v>
      </c>
      <c r="J99" s="574">
        <v>1</v>
      </c>
      <c r="K99" s="554">
        <v>17697</v>
      </c>
      <c r="L99" s="1643">
        <v>9</v>
      </c>
      <c r="M99" s="552">
        <f t="shared" si="17"/>
        <v>0.5</v>
      </c>
      <c r="N99" s="574" t="s">
        <v>152</v>
      </c>
      <c r="O99" s="1015">
        <v>4.75</v>
      </c>
      <c r="P99" s="567">
        <f t="shared" si="16"/>
        <v>42030.375</v>
      </c>
      <c r="Q99" s="697"/>
      <c r="R99" s="568"/>
      <c r="S99" s="554"/>
      <c r="T99" s="552">
        <v>0.1</v>
      </c>
      <c r="U99" s="567">
        <f t="shared" si="18"/>
        <v>4203.0375000000004</v>
      </c>
      <c r="V99" s="19"/>
      <c r="W99" s="554"/>
      <c r="X99" s="570">
        <f t="shared" si="19"/>
        <v>46233.412499999999</v>
      </c>
      <c r="Y99" s="1690"/>
      <c r="Z99" s="1690"/>
      <c r="AA99" s="23">
        <f>X98*12</f>
        <v>1482194.5380000004</v>
      </c>
      <c r="AB99" s="24">
        <f>AA99/12/29.33*56</f>
        <v>235830.47541766116</v>
      </c>
      <c r="AC99" s="24">
        <f>AA99*1.25</f>
        <v>1852743.1725000006</v>
      </c>
      <c r="AD99" s="24">
        <f>AC99/12/29.33*56</f>
        <v>294788.0942720765</v>
      </c>
      <c r="AK99" s="23"/>
      <c r="AL99" s="23"/>
      <c r="AM99" s="23"/>
      <c r="AN99" s="23"/>
      <c r="AO99" s="23"/>
      <c r="AP99" s="23"/>
      <c r="AQ99" s="23"/>
    </row>
    <row r="100" spans="1:69" s="486" customFormat="1" ht="17.25" customHeight="1">
      <c r="A100" s="1885"/>
      <c r="B100" s="1930" t="s">
        <v>798</v>
      </c>
      <c r="C100" s="1909"/>
      <c r="D100" s="1885"/>
      <c r="E100" s="1910"/>
      <c r="F100" s="1911"/>
      <c r="G100" s="1885"/>
      <c r="H100" s="1912"/>
      <c r="I100" s="1912"/>
      <c r="J100" s="1913"/>
      <c r="K100" s="1887"/>
      <c r="L100" s="1914">
        <f>SUM(L79:L99)</f>
        <v>477</v>
      </c>
      <c r="M100" s="1887"/>
      <c r="N100" s="1913"/>
      <c r="O100" s="1914"/>
      <c r="P100" s="1905"/>
      <c r="Q100" s="1905"/>
      <c r="R100" s="1893"/>
      <c r="S100" s="1887"/>
      <c r="T100" s="1887"/>
      <c r="U100" s="1905"/>
      <c r="V100" s="1894"/>
      <c r="W100" s="1887"/>
      <c r="X100" s="1915"/>
      <c r="Y100" s="406">
        <f>V99+R99</f>
        <v>0</v>
      </c>
      <c r="Z100" s="1545">
        <f>W99+S99</f>
        <v>0</v>
      </c>
      <c r="AA100" s="375">
        <f>X99*12</f>
        <v>554800.94999999995</v>
      </c>
      <c r="AB100" s="377">
        <f>AA100/12/29.33*56</f>
        <v>88273.818615751792</v>
      </c>
      <c r="AC100" s="377">
        <f>AA100*1.25</f>
        <v>693501.1875</v>
      </c>
      <c r="AD100" s="377">
        <f>AC100/12/29.33*56</f>
        <v>110342.27326968974</v>
      </c>
      <c r="AE100" s="375"/>
      <c r="AF100" s="375"/>
      <c r="AG100" s="375"/>
      <c r="AH100" s="375"/>
      <c r="AI100" s="375"/>
      <c r="AJ100" s="375"/>
      <c r="AK100" s="23"/>
      <c r="AL100" s="23"/>
      <c r="AM100" s="23"/>
      <c r="AN100" s="23"/>
      <c r="AO100" s="23"/>
      <c r="AP100" s="23"/>
      <c r="AQ100" s="23"/>
      <c r="AR100" s="1867"/>
      <c r="AS100" s="917"/>
      <c r="AT100" s="917"/>
      <c r="AU100" s="917"/>
      <c r="AV100" s="917"/>
      <c r="AW100" s="917"/>
      <c r="AX100" s="917"/>
      <c r="AY100" s="917"/>
      <c r="AZ100" s="917"/>
      <c r="BA100" s="917"/>
      <c r="BB100" s="917"/>
      <c r="BC100" s="917"/>
      <c r="BD100" s="917"/>
      <c r="BE100" s="917"/>
      <c r="BF100" s="917"/>
      <c r="BG100" s="917"/>
      <c r="BH100" s="917"/>
      <c r="BI100" s="917"/>
      <c r="BJ100" s="917"/>
      <c r="BK100" s="917"/>
      <c r="BL100" s="917"/>
      <c r="BM100" s="917"/>
      <c r="BN100" s="917"/>
      <c r="BO100" s="917"/>
      <c r="BP100" s="917"/>
      <c r="BQ100" s="917"/>
    </row>
    <row r="101" spans="1:69" s="24" customFormat="1" ht="17.25" customHeight="1">
      <c r="A101" s="966"/>
      <c r="B101" s="1516" t="s">
        <v>788</v>
      </c>
      <c r="C101" s="968"/>
      <c r="D101" s="969"/>
      <c r="E101" s="970"/>
      <c r="F101" s="970"/>
      <c r="G101" s="971"/>
      <c r="H101" s="972"/>
      <c r="I101" s="972"/>
      <c r="J101" s="973"/>
      <c r="K101" s="974"/>
      <c r="L101" s="975"/>
      <c r="M101" s="974"/>
      <c r="N101" s="973"/>
      <c r="O101" s="976"/>
      <c r="P101" s="977"/>
      <c r="Q101" s="1031"/>
      <c r="R101" s="977"/>
      <c r="S101" s="977"/>
      <c r="T101" s="977"/>
      <c r="U101" s="977"/>
      <c r="V101" s="977"/>
      <c r="W101" s="977"/>
      <c r="X101" s="977"/>
      <c r="Y101" s="1547"/>
      <c r="Z101" s="1547"/>
      <c r="AA101" s="23"/>
      <c r="AK101" s="23"/>
      <c r="AL101" s="23"/>
      <c r="AM101" s="23"/>
      <c r="AN101" s="23"/>
      <c r="AO101" s="23"/>
      <c r="AP101" s="23"/>
      <c r="AQ101" s="23"/>
    </row>
    <row r="102" spans="1:69" s="24" customFormat="1" ht="17.25" customHeight="1">
      <c r="A102" s="547">
        <v>1</v>
      </c>
      <c r="B102" s="640" t="s">
        <v>36</v>
      </c>
      <c r="C102" s="641" t="s">
        <v>99</v>
      </c>
      <c r="D102" s="642" t="s">
        <v>25</v>
      </c>
      <c r="E102" s="643" t="s">
        <v>649</v>
      </c>
      <c r="F102" s="583" t="s">
        <v>40</v>
      </c>
      <c r="G102" s="547">
        <v>1</v>
      </c>
      <c r="H102" s="577" t="s">
        <v>102</v>
      </c>
      <c r="I102" s="577" t="s">
        <v>103</v>
      </c>
      <c r="J102" s="644">
        <v>1</v>
      </c>
      <c r="K102" s="552">
        <v>17697</v>
      </c>
      <c r="L102" s="645">
        <v>9</v>
      </c>
      <c r="M102" s="552">
        <f>L102/18</f>
        <v>0.5</v>
      </c>
      <c r="N102" s="574" t="s">
        <v>152</v>
      </c>
      <c r="O102" s="1597">
        <v>4.75</v>
      </c>
      <c r="P102" s="556">
        <f t="shared" ref="P102:P122" si="24">O102*K102/18*L102</f>
        <v>42030.375</v>
      </c>
      <c r="Q102" s="556"/>
      <c r="R102" s="557"/>
      <c r="S102" s="552"/>
      <c r="T102" s="552">
        <v>0.1</v>
      </c>
      <c r="U102" s="556">
        <f>(P102+Q102)*T102</f>
        <v>4203.0375000000004</v>
      </c>
      <c r="V102" s="19"/>
      <c r="W102" s="552"/>
      <c r="X102" s="559">
        <f>P102+Q102+U102</f>
        <v>46233.412499999999</v>
      </c>
      <c r="Y102" s="10"/>
      <c r="Z102" s="10"/>
      <c r="AA102" s="23">
        <f>X101*12</f>
        <v>0</v>
      </c>
      <c r="AB102" s="24">
        <f t="shared" ref="AB102:AB122" si="25">AA102/12/29.33*56</f>
        <v>0</v>
      </c>
      <c r="AC102" s="24">
        <f t="shared" ref="AC102:AC122" si="26">AA102*1.25</f>
        <v>0</v>
      </c>
      <c r="AD102" s="24">
        <f t="shared" ref="AD102:AD122" si="27">AC102/12/29.33*56</f>
        <v>0</v>
      </c>
      <c r="AK102" s="23"/>
      <c r="AL102" s="23"/>
      <c r="AM102" s="23"/>
      <c r="AN102" s="23"/>
      <c r="AO102" s="23"/>
      <c r="AP102" s="23"/>
      <c r="AQ102" s="23"/>
    </row>
    <row r="103" spans="1:69" s="24" customFormat="1" ht="17.25" customHeight="1">
      <c r="A103" s="547">
        <v>2</v>
      </c>
      <c r="B103" s="646" t="s">
        <v>261</v>
      </c>
      <c r="C103" s="647" t="s">
        <v>99</v>
      </c>
      <c r="D103" s="628" t="s">
        <v>25</v>
      </c>
      <c r="E103" s="586" t="s">
        <v>652</v>
      </c>
      <c r="F103" s="562" t="s">
        <v>614</v>
      </c>
      <c r="G103" s="560">
        <v>1</v>
      </c>
      <c r="H103" s="563" t="s">
        <v>102</v>
      </c>
      <c r="I103" s="563" t="s">
        <v>103</v>
      </c>
      <c r="J103" s="629">
        <v>1</v>
      </c>
      <c r="K103" s="554">
        <v>17697</v>
      </c>
      <c r="L103" s="645">
        <v>31</v>
      </c>
      <c r="M103" s="552">
        <f t="shared" ref="M103:M122" si="28">L103/18</f>
        <v>1.7222222222222223</v>
      </c>
      <c r="N103" s="574" t="s">
        <v>152</v>
      </c>
      <c r="O103" s="1598">
        <v>4.55</v>
      </c>
      <c r="P103" s="556">
        <f t="shared" si="24"/>
        <v>138675.65833333333</v>
      </c>
      <c r="Q103" s="556"/>
      <c r="R103" s="568"/>
      <c r="S103" s="554"/>
      <c r="T103" s="554">
        <v>0.1</v>
      </c>
      <c r="U103" s="556">
        <f t="shared" ref="U103:U122" si="29">(P103+Q103)*T103</f>
        <v>13867.565833333334</v>
      </c>
      <c r="V103" s="19"/>
      <c r="W103" s="552"/>
      <c r="X103" s="559">
        <f t="shared" ref="X103:X121" si="30">P103+Q103+U103</f>
        <v>152543.22416666665</v>
      </c>
      <c r="Y103" s="70">
        <f>V102+R102</f>
        <v>0</v>
      </c>
      <c r="Z103" s="70">
        <f>W102+S102</f>
        <v>0</v>
      </c>
      <c r="AA103" s="23">
        <f>X102*12</f>
        <v>554800.94999999995</v>
      </c>
      <c r="AB103" s="24">
        <f t="shared" si="25"/>
        <v>88273.818615751792</v>
      </c>
      <c r="AC103" s="24">
        <f t="shared" si="26"/>
        <v>693501.1875</v>
      </c>
      <c r="AD103" s="24">
        <f t="shared" si="27"/>
        <v>110342.27326968974</v>
      </c>
      <c r="AK103" s="23"/>
      <c r="AL103" s="23"/>
      <c r="AM103" s="23"/>
      <c r="AN103" s="23"/>
      <c r="AO103" s="23"/>
      <c r="AP103" s="23"/>
      <c r="AQ103" s="23"/>
    </row>
    <row r="104" spans="1:69" s="24" customFormat="1" ht="17.25" customHeight="1">
      <c r="A104" s="547">
        <v>3</v>
      </c>
      <c r="B104" s="872" t="s">
        <v>760</v>
      </c>
      <c r="C104" s="692" t="s">
        <v>99</v>
      </c>
      <c r="D104" s="875" t="s">
        <v>25</v>
      </c>
      <c r="E104" s="1599" t="s">
        <v>761</v>
      </c>
      <c r="F104" s="1539" t="s">
        <v>403</v>
      </c>
      <c r="G104" s="560">
        <v>1</v>
      </c>
      <c r="H104" s="563" t="s">
        <v>102</v>
      </c>
      <c r="I104" s="563" t="s">
        <v>103</v>
      </c>
      <c r="J104" s="629">
        <v>3</v>
      </c>
      <c r="K104" s="554">
        <v>17697</v>
      </c>
      <c r="L104" s="645">
        <v>26</v>
      </c>
      <c r="M104" s="552">
        <f t="shared" si="28"/>
        <v>1.4444444444444444</v>
      </c>
      <c r="N104" s="698" t="s">
        <v>109</v>
      </c>
      <c r="O104" s="1600">
        <v>4.1399999999999997</v>
      </c>
      <c r="P104" s="556">
        <f t="shared" si="24"/>
        <v>105828.05999999998</v>
      </c>
      <c r="Q104" s="556"/>
      <c r="R104" s="1538"/>
      <c r="S104" s="700"/>
      <c r="T104" s="554">
        <v>0.1</v>
      </c>
      <c r="U104" s="556">
        <f t="shared" si="29"/>
        <v>10582.805999999999</v>
      </c>
      <c r="V104" s="1541"/>
      <c r="W104" s="552"/>
      <c r="X104" s="559">
        <f t="shared" si="30"/>
        <v>116410.86599999998</v>
      </c>
      <c r="Y104" s="10">
        <f>V103+R103</f>
        <v>0</v>
      </c>
      <c r="Z104" s="10">
        <f>W103+S103</f>
        <v>0</v>
      </c>
      <c r="AA104" s="23">
        <f>X103*12</f>
        <v>1830518.69</v>
      </c>
      <c r="AB104" s="24">
        <f t="shared" si="25"/>
        <v>291251.97931583133</v>
      </c>
      <c r="AC104" s="24">
        <f t="shared" si="26"/>
        <v>2288148.3624999998</v>
      </c>
      <c r="AD104" s="24">
        <f t="shared" si="27"/>
        <v>364064.97414478916</v>
      </c>
      <c r="AK104" s="23"/>
      <c r="AL104" s="23"/>
      <c r="AM104" s="23"/>
      <c r="AN104" s="23"/>
      <c r="AO104" s="23"/>
      <c r="AP104" s="23"/>
      <c r="AQ104" s="23"/>
    </row>
    <row r="105" spans="1:69" s="24" customFormat="1" ht="17.25" customHeight="1">
      <c r="A105" s="547">
        <v>4</v>
      </c>
      <c r="B105" s="872" t="s">
        <v>263</v>
      </c>
      <c r="C105" s="692" t="s">
        <v>99</v>
      </c>
      <c r="D105" s="875" t="s">
        <v>25</v>
      </c>
      <c r="E105" s="1599" t="s">
        <v>655</v>
      </c>
      <c r="F105" s="582" t="s">
        <v>271</v>
      </c>
      <c r="G105" s="874">
        <v>1</v>
      </c>
      <c r="H105" s="563" t="s">
        <v>102</v>
      </c>
      <c r="I105" s="563" t="s">
        <v>103</v>
      </c>
      <c r="J105" s="629">
        <v>2</v>
      </c>
      <c r="K105" s="554">
        <v>17697</v>
      </c>
      <c r="L105" s="645">
        <v>18</v>
      </c>
      <c r="M105" s="552">
        <f t="shared" si="28"/>
        <v>1</v>
      </c>
      <c r="N105" s="698" t="s">
        <v>104</v>
      </c>
      <c r="O105" s="1600">
        <v>4.37</v>
      </c>
      <c r="P105" s="556">
        <f>O105*K105/18*L105</f>
        <v>77335.89</v>
      </c>
      <c r="Q105" s="556"/>
      <c r="R105" s="1538"/>
      <c r="S105" s="700"/>
      <c r="T105" s="554">
        <v>0.1</v>
      </c>
      <c r="U105" s="556">
        <f>(P105+Q105)*T105</f>
        <v>7733.5889999999999</v>
      </c>
      <c r="V105" s="1541"/>
      <c r="W105" s="552"/>
      <c r="X105" s="559">
        <f t="shared" si="30"/>
        <v>85069.478999999992</v>
      </c>
      <c r="Y105" s="1547"/>
      <c r="Z105" s="1547"/>
      <c r="AA105" s="23"/>
      <c r="AK105" s="23"/>
      <c r="AL105" s="23"/>
      <c r="AM105" s="23"/>
      <c r="AN105" s="23"/>
      <c r="AO105" s="23"/>
      <c r="AP105" s="23"/>
      <c r="AQ105" s="23"/>
    </row>
    <row r="106" spans="1:69" s="24" customFormat="1" ht="17.25" customHeight="1">
      <c r="A106" s="547">
        <v>5</v>
      </c>
      <c r="B106" s="647" t="s">
        <v>264</v>
      </c>
      <c r="C106" s="647" t="s">
        <v>99</v>
      </c>
      <c r="D106" s="628" t="s">
        <v>25</v>
      </c>
      <c r="E106" s="586" t="s">
        <v>658</v>
      </c>
      <c r="F106" s="562" t="s">
        <v>40</v>
      </c>
      <c r="G106" s="560">
        <v>1</v>
      </c>
      <c r="H106" s="563" t="s">
        <v>102</v>
      </c>
      <c r="I106" s="563" t="s">
        <v>103</v>
      </c>
      <c r="J106" s="629">
        <v>1</v>
      </c>
      <c r="K106" s="554">
        <v>17697</v>
      </c>
      <c r="L106" s="645">
        <v>32</v>
      </c>
      <c r="M106" s="552">
        <f t="shared" si="28"/>
        <v>1.7777777777777777</v>
      </c>
      <c r="N106" s="574" t="s">
        <v>152</v>
      </c>
      <c r="O106" s="1598">
        <v>4.75</v>
      </c>
      <c r="P106" s="556">
        <f t="shared" si="24"/>
        <v>149441.33333333334</v>
      </c>
      <c r="Q106" s="556"/>
      <c r="R106" s="568"/>
      <c r="S106" s="554"/>
      <c r="T106" s="554">
        <v>0.1</v>
      </c>
      <c r="U106" s="556">
        <f t="shared" si="29"/>
        <v>14944.133333333335</v>
      </c>
      <c r="V106" s="19"/>
      <c r="W106" s="552"/>
      <c r="X106" s="559">
        <f t="shared" si="30"/>
        <v>164385.46666666667</v>
      </c>
      <c r="Y106" s="1547"/>
      <c r="Z106" s="1547"/>
      <c r="AA106" s="23"/>
      <c r="AK106" s="23"/>
      <c r="AL106" s="23"/>
      <c r="AM106" s="23"/>
      <c r="AN106" s="23"/>
      <c r="AO106" s="23"/>
      <c r="AP106" s="23"/>
      <c r="AQ106" s="23"/>
    </row>
    <row r="107" spans="1:69" s="24" customFormat="1" ht="16.5" customHeight="1">
      <c r="A107" s="547">
        <v>7</v>
      </c>
      <c r="B107" s="647" t="s">
        <v>268</v>
      </c>
      <c r="C107" s="647" t="s">
        <v>99</v>
      </c>
      <c r="D107" s="628" t="s">
        <v>25</v>
      </c>
      <c r="E107" s="586" t="s">
        <v>664</v>
      </c>
      <c r="F107" s="562" t="s">
        <v>40</v>
      </c>
      <c r="G107" s="560">
        <v>1</v>
      </c>
      <c r="H107" s="563" t="s">
        <v>102</v>
      </c>
      <c r="I107" s="563" t="s">
        <v>103</v>
      </c>
      <c r="J107" s="629">
        <v>1</v>
      </c>
      <c r="K107" s="554">
        <v>17697</v>
      </c>
      <c r="L107" s="645">
        <v>32</v>
      </c>
      <c r="M107" s="552">
        <f t="shared" si="28"/>
        <v>1.7777777777777777</v>
      </c>
      <c r="N107" s="574" t="s">
        <v>152</v>
      </c>
      <c r="O107" s="1598">
        <v>4.75</v>
      </c>
      <c r="P107" s="556">
        <f t="shared" si="24"/>
        <v>149441.33333333334</v>
      </c>
      <c r="Q107" s="556"/>
      <c r="R107" s="568"/>
      <c r="S107" s="554"/>
      <c r="T107" s="554">
        <v>0.1</v>
      </c>
      <c r="U107" s="556">
        <f t="shared" si="29"/>
        <v>14944.133333333335</v>
      </c>
      <c r="V107" s="19"/>
      <c r="W107" s="552"/>
      <c r="X107" s="559">
        <f t="shared" si="30"/>
        <v>164385.46666666667</v>
      </c>
      <c r="Y107" s="1547"/>
      <c r="Z107" s="1547"/>
      <c r="AA107" s="23"/>
      <c r="AK107" s="23"/>
      <c r="AL107" s="23"/>
      <c r="AM107" s="23"/>
      <c r="AN107" s="23"/>
      <c r="AO107" s="23"/>
      <c r="AP107" s="23"/>
      <c r="AQ107" s="23"/>
    </row>
    <row r="108" spans="1:69" s="24" customFormat="1" ht="17.25" customHeight="1">
      <c r="A108" s="547">
        <v>8</v>
      </c>
      <c r="B108" s="647" t="s">
        <v>269</v>
      </c>
      <c r="C108" s="647" t="s">
        <v>99</v>
      </c>
      <c r="D108" s="628" t="s">
        <v>25</v>
      </c>
      <c r="E108" s="586" t="s">
        <v>670</v>
      </c>
      <c r="F108" s="582" t="s">
        <v>271</v>
      </c>
      <c r="G108" s="560">
        <v>1</v>
      </c>
      <c r="H108" s="563" t="s">
        <v>102</v>
      </c>
      <c r="I108" s="563" t="s">
        <v>103</v>
      </c>
      <c r="J108" s="629">
        <v>1</v>
      </c>
      <c r="K108" s="554">
        <v>17697</v>
      </c>
      <c r="L108" s="645">
        <v>34</v>
      </c>
      <c r="M108" s="552">
        <f t="shared" si="28"/>
        <v>1.8888888888888888</v>
      </c>
      <c r="N108" s="574" t="s">
        <v>152</v>
      </c>
      <c r="O108" s="1598">
        <v>4.62</v>
      </c>
      <c r="P108" s="556">
        <f t="shared" si="24"/>
        <v>154435.81999999998</v>
      </c>
      <c r="Q108" s="556"/>
      <c r="R108" s="568"/>
      <c r="S108" s="554"/>
      <c r="T108" s="554">
        <v>0.1</v>
      </c>
      <c r="U108" s="556">
        <f t="shared" si="29"/>
        <v>15443.581999999999</v>
      </c>
      <c r="V108" s="19"/>
      <c r="W108" s="552"/>
      <c r="X108" s="559">
        <f t="shared" si="30"/>
        <v>169879.40199999997</v>
      </c>
      <c r="Y108" s="10">
        <f>V107+R107</f>
        <v>0</v>
      </c>
      <c r="Z108" s="10">
        <f>W107+S107</f>
        <v>0</v>
      </c>
      <c r="AA108" s="23">
        <f>X107*12</f>
        <v>1972625.6</v>
      </c>
      <c r="AB108" s="24">
        <f t="shared" si="25"/>
        <v>313862.46618933976</v>
      </c>
      <c r="AC108" s="24">
        <f t="shared" si="26"/>
        <v>2465782</v>
      </c>
      <c r="AD108" s="24">
        <f t="shared" si="27"/>
        <v>392328.0827366747</v>
      </c>
      <c r="AK108" s="23"/>
      <c r="AL108" s="23"/>
      <c r="AM108" s="23"/>
      <c r="AN108" s="23"/>
      <c r="AO108" s="23"/>
      <c r="AP108" s="23"/>
      <c r="AQ108" s="23"/>
    </row>
    <row r="109" spans="1:69" s="24" customFormat="1" ht="16.5" customHeight="1">
      <c r="A109" s="547">
        <v>9</v>
      </c>
      <c r="B109" s="647" t="s">
        <v>391</v>
      </c>
      <c r="C109" s="647" t="s">
        <v>99</v>
      </c>
      <c r="D109" s="563" t="s">
        <v>25</v>
      </c>
      <c r="E109" s="586" t="s">
        <v>673</v>
      </c>
      <c r="F109" s="582" t="s">
        <v>77</v>
      </c>
      <c r="G109" s="560">
        <v>1</v>
      </c>
      <c r="H109" s="563" t="s">
        <v>102</v>
      </c>
      <c r="I109" s="563" t="s">
        <v>103</v>
      </c>
      <c r="J109" s="629">
        <v>4</v>
      </c>
      <c r="K109" s="554">
        <v>17697</v>
      </c>
      <c r="L109" s="645">
        <v>24</v>
      </c>
      <c r="M109" s="552">
        <f t="shared" si="28"/>
        <v>1.3333333333333333</v>
      </c>
      <c r="N109" s="1601" t="s">
        <v>112</v>
      </c>
      <c r="O109" s="1602">
        <v>3.71</v>
      </c>
      <c r="P109" s="556">
        <f t="shared" si="24"/>
        <v>87541.16</v>
      </c>
      <c r="Q109" s="556"/>
      <c r="R109" s="568"/>
      <c r="S109" s="554"/>
      <c r="T109" s="554">
        <v>0.1</v>
      </c>
      <c r="U109" s="556">
        <f t="shared" si="29"/>
        <v>8754.116</v>
      </c>
      <c r="V109" s="19"/>
      <c r="W109" s="552"/>
      <c r="X109" s="559">
        <f t="shared" si="30"/>
        <v>96295.275999999998</v>
      </c>
      <c r="Y109" s="10">
        <f>V108+R108</f>
        <v>0</v>
      </c>
      <c r="Z109" s="10">
        <f>W108+S108</f>
        <v>0</v>
      </c>
      <c r="AA109" s="23">
        <f>X108*12</f>
        <v>2038552.8239999996</v>
      </c>
      <c r="AB109" s="24">
        <f t="shared" si="25"/>
        <v>324352.08019093075</v>
      </c>
      <c r="AC109" s="24">
        <f t="shared" si="26"/>
        <v>2548191.0299999993</v>
      </c>
      <c r="AD109" s="24">
        <f t="shared" si="27"/>
        <v>405440.10023866344</v>
      </c>
      <c r="AK109" s="23"/>
      <c r="AL109" s="23"/>
      <c r="AM109" s="23"/>
      <c r="AN109" s="23"/>
      <c r="AO109" s="23"/>
      <c r="AP109" s="23"/>
      <c r="AQ109" s="23"/>
    </row>
    <row r="110" spans="1:69" s="24" customFormat="1" ht="16.5" customHeight="1">
      <c r="A110" s="547">
        <v>10</v>
      </c>
      <c r="B110" s="998" t="s">
        <v>803</v>
      </c>
      <c r="C110" s="873" t="s">
        <v>99</v>
      </c>
      <c r="D110" s="1002" t="s">
        <v>25</v>
      </c>
      <c r="E110" s="1586" t="s">
        <v>807</v>
      </c>
      <c r="F110" s="1586" t="s">
        <v>34</v>
      </c>
      <c r="G110" s="547">
        <v>1</v>
      </c>
      <c r="H110" s="563" t="s">
        <v>102</v>
      </c>
      <c r="I110" s="563" t="s">
        <v>103</v>
      </c>
      <c r="J110" s="581">
        <v>1</v>
      </c>
      <c r="K110" s="554">
        <v>17697</v>
      </c>
      <c r="L110" s="1540">
        <v>6</v>
      </c>
      <c r="M110" s="552">
        <f t="shared" si="28"/>
        <v>0.33333333333333331</v>
      </c>
      <c r="N110" s="698" t="s">
        <v>152</v>
      </c>
      <c r="O110" s="1157">
        <v>4.75</v>
      </c>
      <c r="P110" s="556">
        <f t="shared" si="24"/>
        <v>28020.25</v>
      </c>
      <c r="Q110" s="556"/>
      <c r="R110" s="1538"/>
      <c r="S110" s="700"/>
      <c r="T110" s="554">
        <v>0.1</v>
      </c>
      <c r="U110" s="556">
        <f t="shared" si="29"/>
        <v>2802.0250000000001</v>
      </c>
      <c r="V110" s="1541"/>
      <c r="W110" s="552"/>
      <c r="X110" s="559">
        <f t="shared" si="30"/>
        <v>30822.275000000001</v>
      </c>
      <c r="Y110" s="1547"/>
      <c r="Z110" s="1547"/>
      <c r="AA110" s="23"/>
      <c r="AK110" s="23"/>
      <c r="AL110" s="23"/>
      <c r="AM110" s="23"/>
      <c r="AN110" s="23"/>
      <c r="AO110" s="23"/>
      <c r="AP110" s="23"/>
      <c r="AQ110" s="23"/>
    </row>
    <row r="111" spans="1:69" s="24" customFormat="1" ht="17.25" customHeight="1">
      <c r="A111" s="547">
        <v>11</v>
      </c>
      <c r="B111" s="647" t="s">
        <v>272</v>
      </c>
      <c r="C111" s="647" t="s">
        <v>617</v>
      </c>
      <c r="D111" s="628" t="s">
        <v>25</v>
      </c>
      <c r="E111" s="586" t="s">
        <v>685</v>
      </c>
      <c r="F111" s="582" t="s">
        <v>434</v>
      </c>
      <c r="G111" s="560">
        <v>1</v>
      </c>
      <c r="H111" s="563" t="s">
        <v>102</v>
      </c>
      <c r="I111" s="563" t="s">
        <v>103</v>
      </c>
      <c r="J111" s="629">
        <v>1</v>
      </c>
      <c r="K111" s="554">
        <v>17697</v>
      </c>
      <c r="L111" s="645">
        <v>32</v>
      </c>
      <c r="M111" s="552">
        <f t="shared" si="28"/>
        <v>1.7777777777777777</v>
      </c>
      <c r="N111" s="574" t="s">
        <v>152</v>
      </c>
      <c r="O111" s="1598">
        <v>4.6900000000000004</v>
      </c>
      <c r="P111" s="556">
        <f t="shared" si="24"/>
        <v>147553.65333333335</v>
      </c>
      <c r="Q111" s="556"/>
      <c r="R111" s="568"/>
      <c r="S111" s="554"/>
      <c r="T111" s="554">
        <v>0.1</v>
      </c>
      <c r="U111" s="556">
        <f t="shared" si="29"/>
        <v>14755.365333333335</v>
      </c>
      <c r="V111" s="19"/>
      <c r="W111" s="552"/>
      <c r="X111" s="559">
        <f t="shared" si="30"/>
        <v>162309.0186666667</v>
      </c>
      <c r="Y111" s="10">
        <f>V109+R109</f>
        <v>0</v>
      </c>
      <c r="Z111" s="10">
        <f>W109+S109</f>
        <v>0</v>
      </c>
      <c r="AA111" s="23">
        <f>X109*12</f>
        <v>1155543.3119999999</v>
      </c>
      <c r="AB111" s="24">
        <f>AA111/12/29.33*56</f>
        <v>183857.32887828161</v>
      </c>
      <c r="AC111" s="24">
        <f>AA111*1.25</f>
        <v>1444429.14</v>
      </c>
      <c r="AD111" s="24">
        <f>AC111/12/29.33*56</f>
        <v>229821.66109785202</v>
      </c>
      <c r="AK111" s="23"/>
      <c r="AL111" s="23"/>
      <c r="AM111" s="23"/>
      <c r="AN111" s="23"/>
      <c r="AO111" s="23"/>
      <c r="AP111" s="23"/>
      <c r="AQ111" s="23"/>
    </row>
    <row r="112" spans="1:69" s="24" customFormat="1" ht="17.25" customHeight="1">
      <c r="A112" s="547">
        <v>12</v>
      </c>
      <c r="B112" s="646" t="s">
        <v>274</v>
      </c>
      <c r="C112" s="647" t="s">
        <v>99</v>
      </c>
      <c r="D112" s="628" t="s">
        <v>25</v>
      </c>
      <c r="E112" s="586" t="s">
        <v>686</v>
      </c>
      <c r="F112" s="562" t="s">
        <v>239</v>
      </c>
      <c r="G112" s="560">
        <v>1</v>
      </c>
      <c r="H112" s="563" t="s">
        <v>102</v>
      </c>
      <c r="I112" s="563" t="s">
        <v>103</v>
      </c>
      <c r="J112" s="629">
        <v>2</v>
      </c>
      <c r="K112" s="554">
        <v>17697</v>
      </c>
      <c r="L112" s="645">
        <v>23</v>
      </c>
      <c r="M112" s="552">
        <f t="shared" si="28"/>
        <v>1.2777777777777777</v>
      </c>
      <c r="N112" s="698" t="s">
        <v>104</v>
      </c>
      <c r="O112" s="1598">
        <v>4.2300000000000004</v>
      </c>
      <c r="P112" s="556">
        <f t="shared" si="24"/>
        <v>95652.285000000018</v>
      </c>
      <c r="Q112" s="556"/>
      <c r="R112" s="568"/>
      <c r="S112" s="554"/>
      <c r="T112" s="554">
        <v>0.1</v>
      </c>
      <c r="U112" s="556">
        <f t="shared" si="29"/>
        <v>9565.2285000000029</v>
      </c>
      <c r="V112" s="19"/>
      <c r="W112" s="552"/>
      <c r="X112" s="559">
        <f t="shared" si="30"/>
        <v>105217.51350000002</v>
      </c>
      <c r="Y112" s="10"/>
      <c r="Z112" s="10"/>
      <c r="AA112" s="23">
        <f>X111*12</f>
        <v>1947708.2240000004</v>
      </c>
      <c r="AB112" s="24">
        <f t="shared" si="25"/>
        <v>309897.88766905339</v>
      </c>
      <c r="AC112" s="24">
        <f t="shared" si="26"/>
        <v>2434635.2800000003</v>
      </c>
      <c r="AD112" s="24">
        <f t="shared" si="27"/>
        <v>387372.35958631668</v>
      </c>
      <c r="AK112" s="23"/>
      <c r="AL112" s="23"/>
      <c r="AM112" s="23"/>
      <c r="AN112" s="23"/>
      <c r="AO112" s="23"/>
      <c r="AP112" s="23"/>
      <c r="AQ112" s="23"/>
    </row>
    <row r="113" spans="1:69" s="24" customFormat="1" ht="17.25" customHeight="1">
      <c r="A113" s="547">
        <v>13</v>
      </c>
      <c r="B113" s="646" t="s">
        <v>420</v>
      </c>
      <c r="C113" s="647" t="s">
        <v>99</v>
      </c>
      <c r="D113" s="628" t="s">
        <v>25</v>
      </c>
      <c r="E113" s="586" t="s">
        <v>687</v>
      </c>
      <c r="F113" s="562" t="s">
        <v>239</v>
      </c>
      <c r="G113" s="560">
        <v>1</v>
      </c>
      <c r="H113" s="563" t="s">
        <v>102</v>
      </c>
      <c r="I113" s="563" t="s">
        <v>103</v>
      </c>
      <c r="J113" s="629">
        <v>3</v>
      </c>
      <c r="K113" s="554">
        <v>17697</v>
      </c>
      <c r="L113" s="645">
        <v>20</v>
      </c>
      <c r="M113" s="552">
        <f t="shared" si="28"/>
        <v>1.1111111111111112</v>
      </c>
      <c r="N113" s="1601" t="s">
        <v>109</v>
      </c>
      <c r="O113" s="1598">
        <v>4.21</v>
      </c>
      <c r="P113" s="556">
        <f t="shared" si="24"/>
        <v>82782.633333333331</v>
      </c>
      <c r="Q113" s="556"/>
      <c r="R113" s="568"/>
      <c r="S113" s="554"/>
      <c r="T113" s="554">
        <v>0.1</v>
      </c>
      <c r="U113" s="556">
        <f t="shared" si="29"/>
        <v>8278.2633333333342</v>
      </c>
      <c r="V113" s="19"/>
      <c r="W113" s="552"/>
      <c r="X113" s="559">
        <f t="shared" si="30"/>
        <v>91060.896666666667</v>
      </c>
      <c r="Y113" s="10">
        <f t="shared" ref="Y113:Z115" si="31">V112+R112</f>
        <v>0</v>
      </c>
      <c r="Z113" s="10">
        <f t="shared" si="31"/>
        <v>0</v>
      </c>
      <c r="AA113" s="23">
        <f>X112*12</f>
        <v>1262610.1620000002</v>
      </c>
      <c r="AB113" s="24">
        <f>AA113/12/29.33*56</f>
        <v>200892.62720763727</v>
      </c>
      <c r="AC113" s="24">
        <f>AA113*1.25</f>
        <v>1578262.7025000004</v>
      </c>
      <c r="AD113" s="24">
        <f>AC113/12/29.33*56</f>
        <v>251115.78400954659</v>
      </c>
      <c r="AK113" s="23"/>
      <c r="AL113" s="23"/>
      <c r="AM113" s="23"/>
      <c r="AN113" s="23"/>
      <c r="AO113" s="23"/>
      <c r="AP113" s="23"/>
      <c r="AQ113" s="23"/>
    </row>
    <row r="114" spans="1:69" s="24" customFormat="1" ht="17.25" customHeight="1">
      <c r="A114" s="547">
        <v>14</v>
      </c>
      <c r="B114" s="153" t="s">
        <v>175</v>
      </c>
      <c r="C114" s="647" t="s">
        <v>617</v>
      </c>
      <c r="D114" s="563" t="s">
        <v>25</v>
      </c>
      <c r="E114" s="562" t="s">
        <v>737</v>
      </c>
      <c r="F114" s="562" t="s">
        <v>114</v>
      </c>
      <c r="G114" s="560">
        <v>1</v>
      </c>
      <c r="H114" s="563" t="s">
        <v>102</v>
      </c>
      <c r="I114" s="563" t="s">
        <v>103</v>
      </c>
      <c r="J114" s="564">
        <v>1</v>
      </c>
      <c r="K114" s="554">
        <v>17697</v>
      </c>
      <c r="L114" s="645">
        <v>16</v>
      </c>
      <c r="M114" s="552">
        <f t="shared" si="28"/>
        <v>0.88888888888888884</v>
      </c>
      <c r="N114" s="574" t="s">
        <v>152</v>
      </c>
      <c r="O114" s="1014">
        <v>4.75</v>
      </c>
      <c r="P114" s="556">
        <f t="shared" si="24"/>
        <v>74720.666666666672</v>
      </c>
      <c r="Q114" s="556"/>
      <c r="R114" s="568"/>
      <c r="S114" s="554"/>
      <c r="T114" s="554">
        <v>0.1</v>
      </c>
      <c r="U114" s="556">
        <f t="shared" si="29"/>
        <v>7472.0666666666675</v>
      </c>
      <c r="V114" s="19"/>
      <c r="W114" s="552"/>
      <c r="X114" s="559">
        <f t="shared" si="30"/>
        <v>82192.733333333337</v>
      </c>
      <c r="Y114" s="10">
        <f t="shared" si="31"/>
        <v>0</v>
      </c>
      <c r="Z114" s="10">
        <f t="shared" si="31"/>
        <v>0</v>
      </c>
      <c r="AA114" s="23">
        <f>X113*12</f>
        <v>1092730.76</v>
      </c>
      <c r="AB114" s="24">
        <f>AA114/12/29.33*56</f>
        <v>173863.28719172633</v>
      </c>
      <c r="AC114" s="24">
        <f>AA114*1.25</f>
        <v>1365913.45</v>
      </c>
      <c r="AD114" s="24">
        <f>AC114/12/29.33*56</f>
        <v>217329.10898965795</v>
      </c>
      <c r="AK114" s="23"/>
      <c r="AL114" s="23"/>
      <c r="AM114" s="23"/>
      <c r="AN114" s="23"/>
      <c r="AO114" s="23"/>
      <c r="AP114" s="23"/>
      <c r="AQ114" s="23"/>
    </row>
    <row r="115" spans="1:69" s="24" customFormat="1" ht="17.25" customHeight="1">
      <c r="A115" s="547">
        <v>15</v>
      </c>
      <c r="B115" s="647" t="s">
        <v>281</v>
      </c>
      <c r="C115" s="647" t="s">
        <v>99</v>
      </c>
      <c r="D115" s="628" t="s">
        <v>25</v>
      </c>
      <c r="E115" s="586" t="s">
        <v>694</v>
      </c>
      <c r="F115" s="562" t="s">
        <v>40</v>
      </c>
      <c r="G115" s="560">
        <v>1</v>
      </c>
      <c r="H115" s="563" t="s">
        <v>102</v>
      </c>
      <c r="I115" s="563" t="s">
        <v>103</v>
      </c>
      <c r="J115" s="1603">
        <v>1</v>
      </c>
      <c r="K115" s="554">
        <v>17697</v>
      </c>
      <c r="L115" s="645">
        <v>12</v>
      </c>
      <c r="M115" s="552">
        <f t="shared" si="28"/>
        <v>0.66666666666666663</v>
      </c>
      <c r="N115" s="574" t="s">
        <v>152</v>
      </c>
      <c r="O115" s="1598">
        <v>4.75</v>
      </c>
      <c r="P115" s="556">
        <f t="shared" si="24"/>
        <v>56040.5</v>
      </c>
      <c r="Q115" s="556"/>
      <c r="R115" s="568"/>
      <c r="S115" s="554"/>
      <c r="T115" s="554">
        <v>0.1</v>
      </c>
      <c r="U115" s="556">
        <f t="shared" si="29"/>
        <v>5604.05</v>
      </c>
      <c r="V115" s="19"/>
      <c r="W115" s="552"/>
      <c r="X115" s="559">
        <f t="shared" si="30"/>
        <v>61644.55</v>
      </c>
      <c r="Y115" s="7">
        <f t="shared" si="31"/>
        <v>0</v>
      </c>
      <c r="Z115" s="7">
        <f t="shared" si="31"/>
        <v>0</v>
      </c>
      <c r="AA115" s="23">
        <f>X114*12</f>
        <v>986312.8</v>
      </c>
      <c r="AB115" s="24">
        <f t="shared" si="25"/>
        <v>156931.23309466988</v>
      </c>
      <c r="AC115" s="24">
        <f t="shared" si="26"/>
        <v>1232891</v>
      </c>
      <c r="AD115" s="24">
        <f t="shared" si="27"/>
        <v>196164.04136833735</v>
      </c>
      <c r="AK115" s="23"/>
      <c r="AL115" s="23"/>
      <c r="AM115" s="23"/>
      <c r="AN115" s="23"/>
      <c r="AO115" s="23"/>
      <c r="AP115" s="23"/>
      <c r="AQ115" s="23"/>
    </row>
    <row r="116" spans="1:69" s="24" customFormat="1" ht="17.25" customHeight="1">
      <c r="A116" s="547">
        <v>16</v>
      </c>
      <c r="B116" s="692" t="s">
        <v>762</v>
      </c>
      <c r="C116" s="692" t="s">
        <v>763</v>
      </c>
      <c r="D116" s="1002" t="s">
        <v>152</v>
      </c>
      <c r="E116" s="1599" t="s">
        <v>764</v>
      </c>
      <c r="F116" s="1539" t="s">
        <v>367</v>
      </c>
      <c r="G116" s="874"/>
      <c r="H116" s="563" t="s">
        <v>102</v>
      </c>
      <c r="I116" s="563" t="s">
        <v>103</v>
      </c>
      <c r="J116" s="1603">
        <v>3</v>
      </c>
      <c r="K116" s="554">
        <v>17697</v>
      </c>
      <c r="L116" s="645">
        <v>26</v>
      </c>
      <c r="M116" s="552">
        <f t="shared" si="28"/>
        <v>1.4444444444444444</v>
      </c>
      <c r="N116" s="1604" t="s">
        <v>109</v>
      </c>
      <c r="O116" s="1605">
        <v>4.3600000000000003</v>
      </c>
      <c r="P116" s="556">
        <f>O116*K116/18*L116</f>
        <v>111451.77333333336</v>
      </c>
      <c r="Q116" s="556"/>
      <c r="R116" s="1538"/>
      <c r="S116" s="700"/>
      <c r="T116" s="554">
        <v>0.1</v>
      </c>
      <c r="U116" s="556">
        <f>(P116+Q116)*T116</f>
        <v>11145.177333333337</v>
      </c>
      <c r="V116" s="1541"/>
      <c r="W116" s="552"/>
      <c r="X116" s="559">
        <f t="shared" si="30"/>
        <v>122596.9506666667</v>
      </c>
      <c r="Y116" s="7"/>
      <c r="Z116" s="7"/>
      <c r="AA116" s="23">
        <f>X115*12</f>
        <v>739734.60000000009</v>
      </c>
      <c r="AB116" s="24">
        <f t="shared" si="25"/>
        <v>117698.42482100242</v>
      </c>
      <c r="AC116" s="24">
        <f t="shared" si="26"/>
        <v>924668.25000000012</v>
      </c>
      <c r="AD116" s="24">
        <f t="shared" si="27"/>
        <v>147123.03102625301</v>
      </c>
      <c r="AK116" s="23"/>
      <c r="AL116" s="23"/>
      <c r="AM116" s="23"/>
      <c r="AN116" s="23"/>
      <c r="AO116" s="23"/>
      <c r="AP116" s="23"/>
      <c r="AQ116" s="23"/>
    </row>
    <row r="117" spans="1:69" s="24" customFormat="1" ht="17.25" customHeight="1">
      <c r="A117" s="547">
        <v>17</v>
      </c>
      <c r="B117" s="647" t="s">
        <v>282</v>
      </c>
      <c r="C117" s="647" t="s">
        <v>617</v>
      </c>
      <c r="D117" s="628" t="s">
        <v>25</v>
      </c>
      <c r="E117" s="586" t="s">
        <v>699</v>
      </c>
      <c r="F117" s="562" t="s">
        <v>40</v>
      </c>
      <c r="G117" s="560">
        <v>1</v>
      </c>
      <c r="H117" s="563" t="s">
        <v>102</v>
      </c>
      <c r="I117" s="563" t="s">
        <v>103</v>
      </c>
      <c r="J117" s="1603">
        <v>1</v>
      </c>
      <c r="K117" s="554">
        <v>17697</v>
      </c>
      <c r="L117" s="645">
        <v>34</v>
      </c>
      <c r="M117" s="552">
        <f t="shared" si="28"/>
        <v>1.8888888888888888</v>
      </c>
      <c r="N117" s="574" t="s">
        <v>152</v>
      </c>
      <c r="O117" s="1598">
        <v>4.75</v>
      </c>
      <c r="P117" s="556">
        <f t="shared" si="24"/>
        <v>158781.41666666669</v>
      </c>
      <c r="Q117" s="556"/>
      <c r="R117" s="568"/>
      <c r="S117" s="554"/>
      <c r="T117" s="554">
        <v>0.1</v>
      </c>
      <c r="U117" s="556">
        <f t="shared" si="29"/>
        <v>15878.14166666667</v>
      </c>
      <c r="V117" s="19"/>
      <c r="W117" s="552"/>
      <c r="X117" s="559">
        <f t="shared" si="30"/>
        <v>174659.55833333335</v>
      </c>
      <c r="Y117" s="1547"/>
      <c r="Z117" s="1547"/>
      <c r="AA117" s="23"/>
      <c r="AK117" s="23"/>
      <c r="AL117" s="23"/>
      <c r="AM117" s="23"/>
      <c r="AN117" s="23"/>
      <c r="AO117" s="23"/>
      <c r="AP117" s="23"/>
      <c r="AQ117" s="23"/>
    </row>
    <row r="118" spans="1:69" s="24" customFormat="1" ht="16.5" customHeight="1">
      <c r="A118" s="547">
        <v>18</v>
      </c>
      <c r="B118" s="647" t="s">
        <v>392</v>
      </c>
      <c r="C118" s="647" t="s">
        <v>99</v>
      </c>
      <c r="D118" s="628" t="s">
        <v>25</v>
      </c>
      <c r="E118" s="586" t="s">
        <v>700</v>
      </c>
      <c r="F118" s="582" t="s">
        <v>434</v>
      </c>
      <c r="G118" s="560">
        <v>1</v>
      </c>
      <c r="H118" s="563" t="s">
        <v>102</v>
      </c>
      <c r="I118" s="563" t="s">
        <v>103</v>
      </c>
      <c r="J118" s="1584">
        <v>2</v>
      </c>
      <c r="K118" s="554">
        <v>17697</v>
      </c>
      <c r="L118" s="645">
        <v>24</v>
      </c>
      <c r="M118" s="552">
        <f t="shared" si="28"/>
        <v>1.3333333333333333</v>
      </c>
      <c r="N118" s="698" t="s">
        <v>104</v>
      </c>
      <c r="O118" s="1602">
        <v>4.4400000000000004</v>
      </c>
      <c r="P118" s="556">
        <f t="shared" si="24"/>
        <v>104766.24</v>
      </c>
      <c r="Q118" s="556"/>
      <c r="R118" s="568"/>
      <c r="S118" s="554"/>
      <c r="T118" s="554">
        <v>0.1</v>
      </c>
      <c r="U118" s="556">
        <f t="shared" si="29"/>
        <v>10476.624000000002</v>
      </c>
      <c r="V118" s="19"/>
      <c r="W118" s="552"/>
      <c r="X118" s="559">
        <f t="shared" si="30"/>
        <v>115242.864</v>
      </c>
      <c r="Y118" s="7">
        <f>V117+R117</f>
        <v>0</v>
      </c>
      <c r="Z118" s="7">
        <f>W117+S117</f>
        <v>0</v>
      </c>
      <c r="AA118" s="23">
        <f>X117*12</f>
        <v>2095914.7000000002</v>
      </c>
      <c r="AB118" s="24">
        <f t="shared" si="25"/>
        <v>333478.87032617349</v>
      </c>
      <c r="AC118" s="24">
        <f t="shared" si="26"/>
        <v>2619893.375</v>
      </c>
      <c r="AD118" s="24">
        <f t="shared" si="27"/>
        <v>416848.58790771681</v>
      </c>
      <c r="AK118" s="23"/>
      <c r="AL118" s="23"/>
      <c r="AM118" s="23"/>
      <c r="AN118" s="23"/>
      <c r="AO118" s="23"/>
      <c r="AP118" s="23"/>
      <c r="AQ118" s="23"/>
    </row>
    <row r="119" spans="1:69" s="24" customFormat="1" ht="17.25" customHeight="1">
      <c r="A119" s="547">
        <v>19</v>
      </c>
      <c r="B119" s="647" t="s">
        <v>184</v>
      </c>
      <c r="C119" s="647" t="s">
        <v>99</v>
      </c>
      <c r="D119" s="628" t="s">
        <v>25</v>
      </c>
      <c r="E119" s="586" t="s">
        <v>265</v>
      </c>
      <c r="F119" s="562" t="s">
        <v>40</v>
      </c>
      <c r="G119" s="560">
        <v>1</v>
      </c>
      <c r="H119" s="563" t="s">
        <v>102</v>
      </c>
      <c r="I119" s="563" t="s">
        <v>103</v>
      </c>
      <c r="J119" s="629">
        <v>1</v>
      </c>
      <c r="K119" s="554">
        <v>17697</v>
      </c>
      <c r="L119" s="645">
        <v>4</v>
      </c>
      <c r="M119" s="552">
        <f t="shared" si="28"/>
        <v>0.22222222222222221</v>
      </c>
      <c r="N119" s="574" t="s">
        <v>152</v>
      </c>
      <c r="O119" s="1600">
        <v>4.75</v>
      </c>
      <c r="P119" s="556">
        <f t="shared" si="24"/>
        <v>18680.166666666668</v>
      </c>
      <c r="Q119" s="556"/>
      <c r="R119" s="1538"/>
      <c r="S119" s="700"/>
      <c r="T119" s="700">
        <v>0.1</v>
      </c>
      <c r="U119" s="556">
        <f t="shared" si="29"/>
        <v>1868.0166666666669</v>
      </c>
      <c r="V119" s="1541"/>
      <c r="W119" s="552"/>
      <c r="X119" s="559">
        <f t="shared" si="30"/>
        <v>20548.183333333334</v>
      </c>
      <c r="Y119" s="7">
        <f>V118+R118</f>
        <v>0</v>
      </c>
      <c r="Z119" s="7">
        <f>W118+S118</f>
        <v>0</v>
      </c>
      <c r="AA119" s="23">
        <f>X118*12</f>
        <v>1382914.368</v>
      </c>
      <c r="AB119" s="24">
        <f>AA119/12/29.33*56</f>
        <v>220034.10787589499</v>
      </c>
      <c r="AC119" s="24">
        <f>AA119*1.25</f>
        <v>1728642.96</v>
      </c>
      <c r="AD119" s="24">
        <f>AC119/12/29.33*56</f>
        <v>275042.63484486868</v>
      </c>
      <c r="AK119" s="23"/>
      <c r="AL119" s="23"/>
      <c r="AM119" s="23"/>
      <c r="AN119" s="23"/>
      <c r="AO119" s="23"/>
      <c r="AP119" s="23"/>
      <c r="AQ119" s="23"/>
    </row>
    <row r="120" spans="1:69" s="24" customFormat="1" ht="17.25" customHeight="1">
      <c r="A120" s="547">
        <v>20</v>
      </c>
      <c r="B120" s="692" t="s">
        <v>706</v>
      </c>
      <c r="C120" s="692" t="s">
        <v>99</v>
      </c>
      <c r="D120" s="1002" t="s">
        <v>75</v>
      </c>
      <c r="E120" s="1599" t="s">
        <v>707</v>
      </c>
      <c r="F120" s="1539" t="s">
        <v>159</v>
      </c>
      <c r="G120" s="874">
        <v>1</v>
      </c>
      <c r="H120" s="1002" t="s">
        <v>102</v>
      </c>
      <c r="I120" s="563" t="s">
        <v>118</v>
      </c>
      <c r="J120" s="1603">
        <v>4</v>
      </c>
      <c r="K120" s="554">
        <v>17697</v>
      </c>
      <c r="L120" s="645">
        <v>15</v>
      </c>
      <c r="M120" s="552">
        <f t="shared" si="28"/>
        <v>0.83333333333333337</v>
      </c>
      <c r="N120" s="1601" t="s">
        <v>112</v>
      </c>
      <c r="O120" s="1605">
        <v>3.32</v>
      </c>
      <c r="P120" s="556">
        <f>O120*K120/18*L120</f>
        <v>48961.69999999999</v>
      </c>
      <c r="Q120" s="556"/>
      <c r="R120" s="1538"/>
      <c r="S120" s="700"/>
      <c r="T120" s="554">
        <v>0.1</v>
      </c>
      <c r="U120" s="556">
        <f>(P120+Q120)*T120</f>
        <v>4896.1699999999992</v>
      </c>
      <c r="V120" s="1541"/>
      <c r="W120" s="552"/>
      <c r="X120" s="559">
        <f t="shared" si="30"/>
        <v>53857.869999999988</v>
      </c>
      <c r="Y120" s="882"/>
      <c r="Z120" s="882"/>
      <c r="AA120" s="23">
        <f>X119*12</f>
        <v>246578.2</v>
      </c>
      <c r="AB120" s="24">
        <f t="shared" si="25"/>
        <v>39232.80827366747</v>
      </c>
      <c r="AC120" s="24">
        <f t="shared" si="26"/>
        <v>308222.75</v>
      </c>
      <c r="AD120" s="24">
        <f t="shared" si="27"/>
        <v>49041.010342084337</v>
      </c>
      <c r="AK120" s="23"/>
      <c r="AL120" s="23"/>
      <c r="AM120" s="23"/>
      <c r="AN120" s="23"/>
      <c r="AO120" s="23"/>
      <c r="AP120" s="23"/>
      <c r="AQ120" s="23"/>
    </row>
    <row r="121" spans="1:69" s="24" customFormat="1" ht="17.25" customHeight="1">
      <c r="A121" s="547">
        <v>21</v>
      </c>
      <c r="B121" s="647" t="s">
        <v>287</v>
      </c>
      <c r="C121" s="647" t="s">
        <v>99</v>
      </c>
      <c r="D121" s="628" t="s">
        <v>25</v>
      </c>
      <c r="E121" s="586" t="s">
        <v>711</v>
      </c>
      <c r="F121" s="562" t="s">
        <v>40</v>
      </c>
      <c r="G121" s="560">
        <v>1</v>
      </c>
      <c r="H121" s="563" t="s">
        <v>102</v>
      </c>
      <c r="I121" s="563" t="s">
        <v>103</v>
      </c>
      <c r="J121" s="1603">
        <v>1</v>
      </c>
      <c r="K121" s="554">
        <v>17697</v>
      </c>
      <c r="L121" s="645">
        <v>24</v>
      </c>
      <c r="M121" s="552">
        <f t="shared" si="28"/>
        <v>1.3333333333333333</v>
      </c>
      <c r="N121" s="574" t="s">
        <v>152</v>
      </c>
      <c r="O121" s="1598">
        <v>4.75</v>
      </c>
      <c r="P121" s="556">
        <f t="shared" si="24"/>
        <v>112081</v>
      </c>
      <c r="Q121" s="556"/>
      <c r="R121" s="568"/>
      <c r="S121" s="554"/>
      <c r="T121" s="554">
        <v>0.1</v>
      </c>
      <c r="U121" s="556">
        <f t="shared" si="29"/>
        <v>11208.1</v>
      </c>
      <c r="V121" s="19"/>
      <c r="W121" s="552"/>
      <c r="X121" s="559">
        <f t="shared" si="30"/>
        <v>123289.1</v>
      </c>
      <c r="Y121" s="1547"/>
      <c r="Z121" s="1547"/>
      <c r="AA121" s="23"/>
      <c r="AK121" s="23"/>
      <c r="AL121" s="23"/>
      <c r="AM121" s="23"/>
      <c r="AN121" s="23"/>
      <c r="AO121" s="23"/>
      <c r="AP121" s="23"/>
      <c r="AQ121" s="23"/>
    </row>
    <row r="122" spans="1:69" s="24" customFormat="1" ht="17.25" customHeight="1">
      <c r="A122" s="547">
        <v>22</v>
      </c>
      <c r="B122" s="647" t="s">
        <v>289</v>
      </c>
      <c r="C122" s="647" t="s">
        <v>99</v>
      </c>
      <c r="D122" s="563" t="s">
        <v>64</v>
      </c>
      <c r="E122" s="586" t="s">
        <v>713</v>
      </c>
      <c r="F122" s="582" t="s">
        <v>77</v>
      </c>
      <c r="G122" s="560">
        <v>1</v>
      </c>
      <c r="H122" s="563" t="s">
        <v>102</v>
      </c>
      <c r="I122" s="563" t="s">
        <v>118</v>
      </c>
      <c r="J122" s="1603">
        <v>4</v>
      </c>
      <c r="K122" s="554">
        <v>17697</v>
      </c>
      <c r="L122" s="645">
        <v>18</v>
      </c>
      <c r="M122" s="552">
        <f t="shared" si="28"/>
        <v>1</v>
      </c>
      <c r="N122" s="1601" t="s">
        <v>112</v>
      </c>
      <c r="O122" s="1602">
        <v>3.45</v>
      </c>
      <c r="P122" s="556">
        <f t="shared" si="24"/>
        <v>61054.65</v>
      </c>
      <c r="Q122" s="556"/>
      <c r="R122" s="568"/>
      <c r="S122" s="554"/>
      <c r="T122" s="554">
        <v>0.1</v>
      </c>
      <c r="U122" s="556">
        <f t="shared" si="29"/>
        <v>6105.4650000000001</v>
      </c>
      <c r="V122" s="19"/>
      <c r="W122" s="552"/>
      <c r="X122" s="559">
        <f>P122+Q122+U122</f>
        <v>67160.115000000005</v>
      </c>
      <c r="Y122" s="7">
        <f>V121+R121</f>
        <v>0</v>
      </c>
      <c r="Z122" s="7">
        <f>W121+S121</f>
        <v>0</v>
      </c>
      <c r="AA122" s="23">
        <f>X121*12</f>
        <v>1479469.2000000002</v>
      </c>
      <c r="AB122" s="24">
        <f t="shared" si="25"/>
        <v>235396.84964200485</v>
      </c>
      <c r="AC122" s="24">
        <f t="shared" si="26"/>
        <v>1849336.5000000002</v>
      </c>
      <c r="AD122" s="24">
        <f t="shared" si="27"/>
        <v>294246.06205250602</v>
      </c>
      <c r="AK122" s="23"/>
      <c r="AL122" s="23"/>
      <c r="AM122" s="23"/>
      <c r="AN122" s="23"/>
      <c r="AO122" s="23"/>
      <c r="AP122" s="23"/>
      <c r="AQ122" s="23"/>
    </row>
    <row r="123" spans="1:69" s="377" customFormat="1" ht="17.25" customHeight="1">
      <c r="A123" s="1880"/>
      <c r="B123" s="1930" t="s">
        <v>798</v>
      </c>
      <c r="C123" s="1881"/>
      <c r="D123" s="1882"/>
      <c r="E123" s="1883"/>
      <c r="F123" s="1884"/>
      <c r="G123" s="1885"/>
      <c r="H123" s="1882"/>
      <c r="I123" s="1882"/>
      <c r="J123" s="1886"/>
      <c r="K123" s="1887"/>
      <c r="L123" s="1888">
        <f>SUM(L102:L122)</f>
        <v>460</v>
      </c>
      <c r="M123" s="1889"/>
      <c r="N123" s="1890"/>
      <c r="O123" s="1891"/>
      <c r="P123" s="1892"/>
      <c r="Q123" s="1892"/>
      <c r="R123" s="1893"/>
      <c r="S123" s="1887"/>
      <c r="T123" s="1887"/>
      <c r="U123" s="1892"/>
      <c r="V123" s="1894"/>
      <c r="W123" s="1889"/>
      <c r="X123" s="1895"/>
      <c r="Y123" s="359">
        <f>V122+R122</f>
        <v>0</v>
      </c>
      <c r="Z123" s="359">
        <f>W122+S122</f>
        <v>0</v>
      </c>
      <c r="AA123" s="375">
        <f>X122*12</f>
        <v>805921.38000000012</v>
      </c>
      <c r="AB123" s="377">
        <f>AA123/12/29.33*56</f>
        <v>128229.33651551316</v>
      </c>
      <c r="AC123" s="377">
        <f>AA123*1.25</f>
        <v>1007401.7250000001</v>
      </c>
      <c r="AD123" s="377">
        <f>AC123/12/29.33*56</f>
        <v>160286.67064439144</v>
      </c>
      <c r="AK123" s="23"/>
      <c r="AL123" s="23"/>
      <c r="AM123" s="23"/>
      <c r="AN123" s="23"/>
      <c r="AO123" s="23"/>
      <c r="AP123" s="23"/>
      <c r="AQ123" s="23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</row>
    <row r="124" spans="1:69" s="1346" customFormat="1" ht="17.25" customHeight="1">
      <c r="A124" s="560">
        <v>1</v>
      </c>
      <c r="B124" s="661" t="s">
        <v>516</v>
      </c>
      <c r="C124" s="647" t="s">
        <v>99</v>
      </c>
      <c r="D124" s="663" t="s">
        <v>25</v>
      </c>
      <c r="E124" s="664" t="s">
        <v>594</v>
      </c>
      <c r="F124" s="664" t="s">
        <v>40</v>
      </c>
      <c r="G124" s="177">
        <v>1</v>
      </c>
      <c r="H124" s="177" t="s">
        <v>102</v>
      </c>
      <c r="I124" s="177" t="s">
        <v>103</v>
      </c>
      <c r="J124" s="178">
        <v>1</v>
      </c>
      <c r="K124" s="554">
        <v>17697</v>
      </c>
      <c r="L124" s="665">
        <v>18</v>
      </c>
      <c r="M124" s="567">
        <f>L124/18</f>
        <v>1</v>
      </c>
      <c r="N124" s="574" t="s">
        <v>152</v>
      </c>
      <c r="O124" s="1608">
        <v>4.75</v>
      </c>
      <c r="P124" s="567">
        <f>K124*O124/18*L124</f>
        <v>84060.75</v>
      </c>
      <c r="Q124" s="697"/>
      <c r="R124" s="666">
        <v>0.25</v>
      </c>
      <c r="S124" s="554">
        <f>(P124+Q124)*R124</f>
        <v>21015.1875</v>
      </c>
      <c r="T124" s="554">
        <v>0.1</v>
      </c>
      <c r="U124" s="567">
        <f>(P124+Q124+S124)*T124</f>
        <v>10507.59375</v>
      </c>
      <c r="V124" s="19"/>
      <c r="W124" s="554"/>
      <c r="X124" s="570">
        <f>P124+Q124+S124+U124</f>
        <v>115583.53125</v>
      </c>
      <c r="Y124" s="1347"/>
      <c r="Z124" s="1347"/>
      <c r="AA124" s="1345"/>
      <c r="AK124" s="906">
        <f>S124-Q124</f>
        <v>21015.1875</v>
      </c>
      <c r="AL124" s="23"/>
      <c r="AM124" s="23"/>
      <c r="AN124" s="23"/>
      <c r="AO124" s="23"/>
      <c r="AP124" s="23"/>
      <c r="AQ124" s="23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</row>
    <row r="125" spans="1:69" s="225" customFormat="1" ht="17.25" customHeight="1">
      <c r="A125" s="560">
        <v>2</v>
      </c>
      <c r="B125" s="661" t="s">
        <v>38</v>
      </c>
      <c r="C125" s="647" t="s">
        <v>99</v>
      </c>
      <c r="D125" s="663" t="s">
        <v>25</v>
      </c>
      <c r="E125" s="664" t="s">
        <v>663</v>
      </c>
      <c r="F125" s="664" t="s">
        <v>40</v>
      </c>
      <c r="G125" s="177">
        <v>1</v>
      </c>
      <c r="H125" s="177" t="s">
        <v>102</v>
      </c>
      <c r="I125" s="177" t="s">
        <v>103</v>
      </c>
      <c r="J125" s="178">
        <v>1</v>
      </c>
      <c r="K125" s="554">
        <v>17697</v>
      </c>
      <c r="L125" s="665">
        <v>9</v>
      </c>
      <c r="M125" s="567">
        <f t="shared" ref="M125:M137" si="32">L125/18</f>
        <v>0.5</v>
      </c>
      <c r="N125" s="997" t="s">
        <v>152</v>
      </c>
      <c r="O125" s="1608">
        <v>4.75</v>
      </c>
      <c r="P125" s="567">
        <f>K125*O125/18*L125</f>
        <v>42030.375</v>
      </c>
      <c r="Q125" s="697"/>
      <c r="R125" s="666">
        <v>0.25</v>
      </c>
      <c r="S125" s="554">
        <f t="shared" ref="S125:S137" si="33">(P125+Q125)*R125</f>
        <v>10507.59375</v>
      </c>
      <c r="T125" s="554">
        <v>0.1</v>
      </c>
      <c r="U125" s="567">
        <f t="shared" ref="U125:U137" si="34">(P125+Q125+S125)*T125</f>
        <v>5253.796875</v>
      </c>
      <c r="V125" s="19"/>
      <c r="W125" s="554"/>
      <c r="X125" s="570">
        <f>P125+Q125+S125+U125</f>
        <v>57791.765625</v>
      </c>
      <c r="Y125" s="238"/>
      <c r="Z125" s="238"/>
      <c r="AA125" s="1370">
        <f t="shared" ref="AA125:AA132" si="35">X124*12</f>
        <v>1387002.375</v>
      </c>
      <c r="AB125" s="225">
        <f>AA125/12/29.33*56</f>
        <v>220684.54653937949</v>
      </c>
      <c r="AC125" s="225">
        <f>AA125*1.25</f>
        <v>1733752.96875</v>
      </c>
      <c r="AD125" s="225">
        <f>AC125/12/29.33*56</f>
        <v>275855.68317422434</v>
      </c>
      <c r="AK125" s="906">
        <f t="shared" ref="AK125:AK137" si="36">S125-Q125</f>
        <v>10507.59375</v>
      </c>
      <c r="AL125" s="23"/>
      <c r="AM125" s="23"/>
      <c r="AN125" s="23"/>
      <c r="AO125" s="23"/>
      <c r="AP125" s="23"/>
      <c r="AQ125" s="23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</row>
    <row r="126" spans="1:69" s="377" customFormat="1" ht="15.75">
      <c r="A126" s="560">
        <v>3</v>
      </c>
      <c r="B126" s="669" t="s">
        <v>306</v>
      </c>
      <c r="C126" s="647" t="s">
        <v>99</v>
      </c>
      <c r="D126" s="663" t="s">
        <v>25</v>
      </c>
      <c r="E126" s="1609" t="s">
        <v>666</v>
      </c>
      <c r="F126" s="670" t="s">
        <v>68</v>
      </c>
      <c r="G126" s="177">
        <v>1</v>
      </c>
      <c r="H126" s="177" t="s">
        <v>102</v>
      </c>
      <c r="I126" s="177" t="s">
        <v>103</v>
      </c>
      <c r="J126" s="182">
        <v>4</v>
      </c>
      <c r="K126" s="554">
        <v>17697</v>
      </c>
      <c r="L126" s="665">
        <v>31</v>
      </c>
      <c r="M126" s="567">
        <f t="shared" si="32"/>
        <v>1.7222222222222223</v>
      </c>
      <c r="N126" s="997" t="s">
        <v>112</v>
      </c>
      <c r="O126" s="1610">
        <v>3.64</v>
      </c>
      <c r="P126" s="567">
        <f>K126*O126/18*L126</f>
        <v>110940.52666666667</v>
      </c>
      <c r="Q126" s="697"/>
      <c r="R126" s="666">
        <v>0.25</v>
      </c>
      <c r="S126" s="554">
        <f t="shared" si="33"/>
        <v>27735.131666666668</v>
      </c>
      <c r="T126" s="554">
        <v>0.1</v>
      </c>
      <c r="U126" s="567">
        <f t="shared" si="34"/>
        <v>13867.565833333334</v>
      </c>
      <c r="V126" s="19"/>
      <c r="W126" s="554"/>
      <c r="X126" s="570">
        <f>P126+Q126+S126+U126</f>
        <v>152543.22416666665</v>
      </c>
      <c r="Y126" s="406">
        <f>V125+T125+R125</f>
        <v>0.35</v>
      </c>
      <c r="Z126" s="406">
        <f>W125+U125+S125</f>
        <v>15761.390625</v>
      </c>
      <c r="AA126" s="375">
        <f t="shared" si="35"/>
        <v>693501.1875</v>
      </c>
      <c r="AB126" s="377">
        <f>AA126/12/29.33*56</f>
        <v>110342.27326968974</v>
      </c>
      <c r="AC126" s="377">
        <f>AA126*1.25</f>
        <v>866876.484375</v>
      </c>
      <c r="AD126" s="377">
        <f>AC126/12/29.33*56</f>
        <v>137927.84158711217</v>
      </c>
      <c r="AK126" s="906">
        <f t="shared" si="36"/>
        <v>27735.131666666668</v>
      </c>
      <c r="AL126" s="23"/>
      <c r="AM126" s="23"/>
      <c r="AN126" s="23"/>
      <c r="AO126" s="23"/>
      <c r="AP126" s="23"/>
      <c r="AQ126" s="23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</row>
    <row r="127" spans="1:69" s="377" customFormat="1" ht="17.25" customHeight="1">
      <c r="A127" s="560">
        <v>4</v>
      </c>
      <c r="B127" s="661" t="s">
        <v>309</v>
      </c>
      <c r="C127" s="647" t="s">
        <v>99</v>
      </c>
      <c r="D127" s="663" t="s">
        <v>25</v>
      </c>
      <c r="E127" s="664" t="s">
        <v>668</v>
      </c>
      <c r="F127" s="664" t="s">
        <v>40</v>
      </c>
      <c r="G127" s="177">
        <v>1</v>
      </c>
      <c r="H127" s="177" t="s">
        <v>102</v>
      </c>
      <c r="I127" s="177" t="s">
        <v>103</v>
      </c>
      <c r="J127" s="178">
        <v>1</v>
      </c>
      <c r="K127" s="554">
        <v>17697</v>
      </c>
      <c r="L127" s="665">
        <v>24</v>
      </c>
      <c r="M127" s="567">
        <f t="shared" si="32"/>
        <v>1.3333333333333333</v>
      </c>
      <c r="N127" s="997" t="s">
        <v>152</v>
      </c>
      <c r="O127" s="1608">
        <v>4.75</v>
      </c>
      <c r="P127" s="567">
        <f t="shared" ref="P127" si="37">K127*O127/18*L127</f>
        <v>112081</v>
      </c>
      <c r="Q127" s="697"/>
      <c r="R127" s="666">
        <v>0.25</v>
      </c>
      <c r="S127" s="554">
        <f t="shared" si="33"/>
        <v>28020.25</v>
      </c>
      <c r="T127" s="554">
        <v>0.1</v>
      </c>
      <c r="U127" s="567">
        <f t="shared" si="34"/>
        <v>14010.125</v>
      </c>
      <c r="V127" s="19"/>
      <c r="W127" s="554"/>
      <c r="X127" s="570">
        <f t="shared" ref="X127:X136" si="38">P127+Q127+S127+U127</f>
        <v>154111.375</v>
      </c>
      <c r="Y127" s="406">
        <f>V126+R126</f>
        <v>0.25</v>
      </c>
      <c r="Z127" s="406">
        <f>W126+S126</f>
        <v>27735.131666666668</v>
      </c>
      <c r="AA127" s="375">
        <f t="shared" si="35"/>
        <v>1830518.69</v>
      </c>
      <c r="AB127" s="377">
        <f>AA127/12/29.33*56</f>
        <v>291251.97931583133</v>
      </c>
      <c r="AC127" s="377">
        <f>AA127*1.25</f>
        <v>2288148.3624999998</v>
      </c>
      <c r="AD127" s="377">
        <f>AC127/12/29.33*56</f>
        <v>364064.97414478916</v>
      </c>
      <c r="AK127" s="906">
        <f t="shared" si="36"/>
        <v>28020.25</v>
      </c>
      <c r="AL127" s="23"/>
      <c r="AM127" s="23"/>
      <c r="AN127" s="23"/>
      <c r="AO127" s="23"/>
      <c r="AP127" s="23"/>
      <c r="AQ127" s="23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</row>
    <row r="128" spans="1:69" s="377" customFormat="1" ht="22.5" customHeight="1">
      <c r="A128" s="560">
        <v>5</v>
      </c>
      <c r="B128" s="153" t="s">
        <v>145</v>
      </c>
      <c r="C128" s="561" t="s">
        <v>99</v>
      </c>
      <c r="D128" s="563" t="s">
        <v>25</v>
      </c>
      <c r="E128" s="562" t="s">
        <v>672</v>
      </c>
      <c r="F128" s="562" t="s">
        <v>476</v>
      </c>
      <c r="G128" s="547">
        <v>1</v>
      </c>
      <c r="H128" s="563" t="s">
        <v>102</v>
      </c>
      <c r="I128" s="563" t="s">
        <v>103</v>
      </c>
      <c r="J128" s="581">
        <v>2</v>
      </c>
      <c r="K128" s="554">
        <v>17697</v>
      </c>
      <c r="L128" s="665">
        <v>16</v>
      </c>
      <c r="M128" s="567">
        <f t="shared" si="32"/>
        <v>0.88888888888888884</v>
      </c>
      <c r="N128" s="574" t="s">
        <v>385</v>
      </c>
      <c r="O128" s="1608">
        <v>4.09</v>
      </c>
      <c r="P128" s="567">
        <f>K128*O128/18*L128</f>
        <v>64338.426666666666</v>
      </c>
      <c r="Q128" s="697"/>
      <c r="R128" s="666">
        <v>0.25</v>
      </c>
      <c r="S128" s="554">
        <f t="shared" si="33"/>
        <v>16084.606666666667</v>
      </c>
      <c r="T128" s="554">
        <v>0.1</v>
      </c>
      <c r="U128" s="567">
        <f t="shared" si="34"/>
        <v>8042.3033333333333</v>
      </c>
      <c r="V128" s="19"/>
      <c r="W128" s="554"/>
      <c r="X128" s="570">
        <f t="shared" si="38"/>
        <v>88465.336666666655</v>
      </c>
      <c r="Y128" s="359">
        <f t="shared" ref="Y128:Z130" si="39">V127+T127+R127</f>
        <v>0.35</v>
      </c>
      <c r="Z128" s="359">
        <f t="shared" si="39"/>
        <v>42030.375</v>
      </c>
      <c r="AA128" s="375">
        <f t="shared" si="35"/>
        <v>1849336.5</v>
      </c>
      <c r="AB128" s="377">
        <f t="shared" ref="AB128" si="40">AA128/12/29.33*56</f>
        <v>294246.06205250596</v>
      </c>
      <c r="AC128" s="377">
        <f t="shared" ref="AC128" si="41">AA128*1.25</f>
        <v>2311670.625</v>
      </c>
      <c r="AD128" s="377">
        <f t="shared" ref="AD128" si="42">AC128/12/29.33*56</f>
        <v>367807.57756563247</v>
      </c>
      <c r="AK128" s="906">
        <f t="shared" si="36"/>
        <v>16084.606666666667</v>
      </c>
      <c r="AL128" s="23"/>
      <c r="AM128" s="23"/>
      <c r="AN128" s="23"/>
      <c r="AO128" s="23"/>
      <c r="AP128" s="23"/>
      <c r="AQ128" s="23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</row>
    <row r="129" spans="1:69" s="986" customFormat="1" ht="17.25" customHeight="1">
      <c r="A129" s="560">
        <v>6</v>
      </c>
      <c r="B129" s="491" t="s">
        <v>447</v>
      </c>
      <c r="C129" s="647" t="s">
        <v>99</v>
      </c>
      <c r="D129" s="663" t="s">
        <v>300</v>
      </c>
      <c r="E129" s="664" t="s">
        <v>738</v>
      </c>
      <c r="F129" s="664" t="s">
        <v>602</v>
      </c>
      <c r="G129" s="177">
        <v>1</v>
      </c>
      <c r="H129" s="177" t="s">
        <v>102</v>
      </c>
      <c r="I129" s="177" t="s">
        <v>118</v>
      </c>
      <c r="J129" s="178">
        <v>4</v>
      </c>
      <c r="K129" s="554">
        <v>17697</v>
      </c>
      <c r="L129" s="665">
        <v>10</v>
      </c>
      <c r="M129" s="567">
        <f t="shared" si="32"/>
        <v>0.55555555555555558</v>
      </c>
      <c r="N129" s="997" t="s">
        <v>112</v>
      </c>
      <c r="O129" s="1608">
        <v>3.36</v>
      </c>
      <c r="P129" s="567">
        <f t="shared" ref="P129" si="43">K129*O129/18*L129</f>
        <v>33034.400000000001</v>
      </c>
      <c r="Q129" s="697"/>
      <c r="R129" s="666">
        <v>0.25</v>
      </c>
      <c r="S129" s="554">
        <f t="shared" si="33"/>
        <v>8258.6</v>
      </c>
      <c r="T129" s="554">
        <v>0.1</v>
      </c>
      <c r="U129" s="567">
        <f t="shared" si="34"/>
        <v>4129.3</v>
      </c>
      <c r="V129" s="19"/>
      <c r="W129" s="554"/>
      <c r="X129" s="570">
        <f t="shared" si="38"/>
        <v>45422.3</v>
      </c>
      <c r="Y129" s="984">
        <f t="shared" si="39"/>
        <v>0.35</v>
      </c>
      <c r="Z129" s="984">
        <f t="shared" si="39"/>
        <v>24126.91</v>
      </c>
      <c r="AA129" s="81">
        <f t="shared" si="35"/>
        <v>1061584.0399999998</v>
      </c>
      <c r="AB129" s="80">
        <f>AA129/12/29.33*56</f>
        <v>168907.56404136831</v>
      </c>
      <c r="AC129" s="80">
        <f>AA129*1.25</f>
        <v>1326980.0499999998</v>
      </c>
      <c r="AD129" s="80">
        <f>AC129/12/29.33*56</f>
        <v>211134.45505171042</v>
      </c>
      <c r="AK129" s="906">
        <f t="shared" si="36"/>
        <v>8258.6</v>
      </c>
      <c r="AL129" s="23"/>
      <c r="AM129" s="23"/>
      <c r="AN129" s="23"/>
      <c r="AO129" s="23"/>
      <c r="AP129" s="23"/>
      <c r="AQ129" s="23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</row>
    <row r="130" spans="1:69" s="377" customFormat="1" ht="17.25" customHeight="1">
      <c r="A130" s="560">
        <v>7</v>
      </c>
      <c r="B130" s="662" t="s">
        <v>319</v>
      </c>
      <c r="C130" s="647" t="s">
        <v>99</v>
      </c>
      <c r="D130" s="663" t="s">
        <v>25</v>
      </c>
      <c r="E130" s="664" t="s">
        <v>684</v>
      </c>
      <c r="F130" s="664" t="s">
        <v>239</v>
      </c>
      <c r="G130" s="177">
        <v>1</v>
      </c>
      <c r="H130" s="177" t="s">
        <v>232</v>
      </c>
      <c r="I130" s="177" t="s">
        <v>233</v>
      </c>
      <c r="J130" s="178">
        <v>3</v>
      </c>
      <c r="K130" s="554">
        <v>17697</v>
      </c>
      <c r="L130" s="665">
        <v>21</v>
      </c>
      <c r="M130" s="567">
        <f t="shared" si="32"/>
        <v>1.1666666666666667</v>
      </c>
      <c r="N130" s="1583" t="s">
        <v>109</v>
      </c>
      <c r="O130" s="1611">
        <v>4.21</v>
      </c>
      <c r="P130" s="567">
        <f>K130*O130/18*L130</f>
        <v>86921.764999999985</v>
      </c>
      <c r="Q130" s="697"/>
      <c r="R130" s="666">
        <v>0.25</v>
      </c>
      <c r="S130" s="554">
        <f t="shared" si="33"/>
        <v>21730.441249999996</v>
      </c>
      <c r="T130" s="554">
        <v>0.1</v>
      </c>
      <c r="U130" s="567">
        <f t="shared" si="34"/>
        <v>10865.220625</v>
      </c>
      <c r="V130" s="19"/>
      <c r="W130" s="554"/>
      <c r="X130" s="570">
        <f t="shared" si="38"/>
        <v>119517.42687499999</v>
      </c>
      <c r="Y130" s="359">
        <f t="shared" si="39"/>
        <v>0.35</v>
      </c>
      <c r="Z130" s="359">
        <f t="shared" si="39"/>
        <v>12387.900000000001</v>
      </c>
      <c r="AA130" s="375">
        <f t="shared" si="35"/>
        <v>545067.60000000009</v>
      </c>
      <c r="AB130" s="377">
        <f t="shared" ref="AB130" si="44">AA130/12/29.33*56</f>
        <v>86725.155131264939</v>
      </c>
      <c r="AC130" s="377">
        <f t="shared" ref="AC130" si="45">AA130*1.25</f>
        <v>681334.50000000012</v>
      </c>
      <c r="AD130" s="377">
        <f t="shared" ref="AD130" si="46">AC130/12/29.33*56</f>
        <v>108406.44391408117</v>
      </c>
      <c r="AK130" s="906">
        <f t="shared" si="36"/>
        <v>21730.441249999996</v>
      </c>
      <c r="AL130" s="23"/>
      <c r="AM130" s="23"/>
      <c r="AN130" s="23"/>
      <c r="AO130" s="23"/>
      <c r="AP130" s="23"/>
      <c r="AQ130" s="23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</row>
    <row r="131" spans="1:69" s="377" customFormat="1" ht="17.25" customHeight="1">
      <c r="A131" s="560">
        <v>8</v>
      </c>
      <c r="B131" s="153" t="s">
        <v>274</v>
      </c>
      <c r="C131" s="647" t="s">
        <v>99</v>
      </c>
      <c r="D131" s="663" t="s">
        <v>25</v>
      </c>
      <c r="E131" s="586" t="s">
        <v>686</v>
      </c>
      <c r="F131" s="562" t="s">
        <v>239</v>
      </c>
      <c r="G131" s="177">
        <v>1</v>
      </c>
      <c r="H131" s="177" t="s">
        <v>102</v>
      </c>
      <c r="I131" s="177" t="s">
        <v>103</v>
      </c>
      <c r="J131" s="178">
        <v>2</v>
      </c>
      <c r="K131" s="554">
        <v>17697</v>
      </c>
      <c r="L131" s="665">
        <v>12</v>
      </c>
      <c r="M131" s="567">
        <f t="shared" si="32"/>
        <v>0.66666666666666663</v>
      </c>
      <c r="N131" s="698" t="s">
        <v>104</v>
      </c>
      <c r="O131" s="1612">
        <v>4.2300000000000004</v>
      </c>
      <c r="P131" s="567">
        <f>K131*O131/18*L131</f>
        <v>49905.540000000008</v>
      </c>
      <c r="Q131" s="697"/>
      <c r="R131" s="666">
        <v>0.25</v>
      </c>
      <c r="S131" s="554">
        <f t="shared" si="33"/>
        <v>12476.385000000002</v>
      </c>
      <c r="T131" s="554">
        <v>0.1</v>
      </c>
      <c r="U131" s="567">
        <f t="shared" si="34"/>
        <v>6238.192500000001</v>
      </c>
      <c r="V131" s="19"/>
      <c r="W131" s="554"/>
      <c r="X131" s="570">
        <f t="shared" si="38"/>
        <v>68620.117500000008</v>
      </c>
      <c r="Y131" s="919"/>
      <c r="Z131" s="919"/>
      <c r="AA131" s="375">
        <f t="shared" si="35"/>
        <v>1434209.1224999998</v>
      </c>
      <c r="AB131" s="377">
        <f>AA131/12/29.33*56</f>
        <v>228195.56443914081</v>
      </c>
      <c r="AC131" s="377">
        <f>AA131*1.25</f>
        <v>1792761.4031249997</v>
      </c>
      <c r="AD131" s="377">
        <f>AC131/12/29.33*56</f>
        <v>285244.45554892602</v>
      </c>
      <c r="AK131" s="906">
        <f t="shared" si="36"/>
        <v>12476.385000000002</v>
      </c>
      <c r="AL131" s="23"/>
      <c r="AM131" s="23"/>
      <c r="AN131" s="23"/>
      <c r="AO131" s="23"/>
      <c r="AP131" s="23"/>
      <c r="AQ131" s="23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</row>
    <row r="132" spans="1:69" s="377" customFormat="1" ht="17.25" customHeight="1">
      <c r="A132" s="560">
        <v>9</v>
      </c>
      <c r="B132" s="662" t="s">
        <v>739</v>
      </c>
      <c r="C132" s="647" t="s">
        <v>99</v>
      </c>
      <c r="D132" s="663" t="s">
        <v>25</v>
      </c>
      <c r="E132" s="664" t="s">
        <v>503</v>
      </c>
      <c r="F132" s="664" t="s">
        <v>77</v>
      </c>
      <c r="G132" s="177">
        <v>1</v>
      </c>
      <c r="H132" s="177" t="s">
        <v>102</v>
      </c>
      <c r="I132" s="177" t="s">
        <v>103</v>
      </c>
      <c r="J132" s="182">
        <v>4</v>
      </c>
      <c r="K132" s="554">
        <v>17697</v>
      </c>
      <c r="L132" s="665">
        <v>10</v>
      </c>
      <c r="M132" s="567">
        <f t="shared" si="32"/>
        <v>0.55555555555555558</v>
      </c>
      <c r="N132" s="997" t="s">
        <v>112</v>
      </c>
      <c r="O132" s="1610">
        <v>3.71</v>
      </c>
      <c r="P132" s="567">
        <f t="shared" ref="P132:P137" si="47">K132*O132/18*L132</f>
        <v>36475.48333333333</v>
      </c>
      <c r="Q132" s="697"/>
      <c r="R132" s="666">
        <v>0.25</v>
      </c>
      <c r="S132" s="554">
        <f t="shared" si="33"/>
        <v>9118.8708333333325</v>
      </c>
      <c r="T132" s="554">
        <v>0.1</v>
      </c>
      <c r="U132" s="567">
        <f t="shared" si="34"/>
        <v>4559.4354166666662</v>
      </c>
      <c r="V132" s="19"/>
      <c r="W132" s="554"/>
      <c r="X132" s="570">
        <f t="shared" si="38"/>
        <v>50153.789583333331</v>
      </c>
      <c r="Y132" s="919"/>
      <c r="Z132" s="919"/>
      <c r="AA132" s="375">
        <f t="shared" si="35"/>
        <v>823441.41000000015</v>
      </c>
      <c r="AB132" s="377">
        <f>AA132/12/29.33*56</f>
        <v>131016.93078758952</v>
      </c>
      <c r="AC132" s="377">
        <f>AA132*1.25</f>
        <v>1029301.7625000002</v>
      </c>
      <c r="AD132" s="377">
        <f>AC132/12/29.33*56</f>
        <v>163771.16348448693</v>
      </c>
      <c r="AK132" s="906">
        <f t="shared" si="36"/>
        <v>9118.8708333333325</v>
      </c>
      <c r="AL132" s="23"/>
      <c r="AM132" s="23"/>
      <c r="AN132" s="23"/>
      <c r="AO132" s="23"/>
      <c r="AP132" s="23"/>
      <c r="AQ132" s="23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</row>
    <row r="133" spans="1:69" s="377" customFormat="1" ht="17.25" customHeight="1">
      <c r="A133" s="560">
        <v>10</v>
      </c>
      <c r="B133" s="701" t="s">
        <v>758</v>
      </c>
      <c r="C133" s="647" t="s">
        <v>99</v>
      </c>
      <c r="D133" s="693" t="s">
        <v>25</v>
      </c>
      <c r="E133" s="694" t="s">
        <v>816</v>
      </c>
      <c r="F133" s="664" t="s">
        <v>366</v>
      </c>
      <c r="G133" s="177">
        <v>1</v>
      </c>
      <c r="H133" s="563" t="s">
        <v>102</v>
      </c>
      <c r="I133" s="563" t="s">
        <v>103</v>
      </c>
      <c r="J133" s="581">
        <v>4</v>
      </c>
      <c r="K133" s="554">
        <v>17697</v>
      </c>
      <c r="L133" s="1607">
        <v>34</v>
      </c>
      <c r="M133" s="567">
        <f t="shared" si="32"/>
        <v>1.8888888888888888</v>
      </c>
      <c r="N133" s="1004" t="s">
        <v>112</v>
      </c>
      <c r="O133" s="1612">
        <v>4.12</v>
      </c>
      <c r="P133" s="567">
        <f t="shared" si="47"/>
        <v>137721.98666666666</v>
      </c>
      <c r="Q133" s="697"/>
      <c r="R133" s="666">
        <v>0.25</v>
      </c>
      <c r="S133" s="554">
        <f t="shared" si="33"/>
        <v>34430.496666666666</v>
      </c>
      <c r="T133" s="554">
        <v>0.1</v>
      </c>
      <c r="U133" s="567">
        <f t="shared" si="34"/>
        <v>17215.248333333333</v>
      </c>
      <c r="V133" s="1541"/>
      <c r="W133" s="552"/>
      <c r="X133" s="570">
        <f t="shared" si="38"/>
        <v>189367.73166666666</v>
      </c>
      <c r="Y133" s="406"/>
      <c r="Z133" s="406"/>
      <c r="AA133" s="375"/>
      <c r="AK133" s="906">
        <f t="shared" si="36"/>
        <v>34430.496666666666</v>
      </c>
      <c r="AL133" s="23"/>
      <c r="AM133" s="23"/>
      <c r="AN133" s="23"/>
      <c r="AO133" s="23"/>
      <c r="AP133" s="23"/>
      <c r="AQ133" s="23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</row>
    <row r="134" spans="1:69" s="377" customFormat="1" ht="17.25" customHeight="1">
      <c r="A134" s="560">
        <v>11</v>
      </c>
      <c r="B134" s="1018" t="s">
        <v>519</v>
      </c>
      <c r="C134" s="647" t="s">
        <v>99</v>
      </c>
      <c r="D134" s="663" t="s">
        <v>25</v>
      </c>
      <c r="E134" s="664" t="s">
        <v>815</v>
      </c>
      <c r="F134" s="664" t="s">
        <v>34</v>
      </c>
      <c r="G134" s="177">
        <v>1</v>
      </c>
      <c r="H134" s="177" t="s">
        <v>102</v>
      </c>
      <c r="I134" s="177" t="s">
        <v>103</v>
      </c>
      <c r="J134" s="178">
        <v>1</v>
      </c>
      <c r="K134" s="554">
        <v>17697</v>
      </c>
      <c r="L134" s="665">
        <v>18</v>
      </c>
      <c r="M134" s="567">
        <f t="shared" si="32"/>
        <v>1</v>
      </c>
      <c r="N134" s="698" t="s">
        <v>152</v>
      </c>
      <c r="O134" s="1612">
        <v>4.75</v>
      </c>
      <c r="P134" s="567">
        <f t="shared" si="47"/>
        <v>84060.75</v>
      </c>
      <c r="Q134" s="697"/>
      <c r="R134" s="666">
        <v>0.25</v>
      </c>
      <c r="S134" s="554">
        <f t="shared" si="33"/>
        <v>21015.1875</v>
      </c>
      <c r="T134" s="554">
        <v>0.1</v>
      </c>
      <c r="U134" s="567">
        <f t="shared" si="34"/>
        <v>10507.59375</v>
      </c>
      <c r="V134" s="19"/>
      <c r="W134" s="554"/>
      <c r="X134" s="570">
        <f t="shared" si="38"/>
        <v>115583.53125</v>
      </c>
      <c r="Y134" s="1175"/>
      <c r="Z134" s="1175"/>
      <c r="AA134" s="375"/>
      <c r="AK134" s="906">
        <f t="shared" si="36"/>
        <v>21015.1875</v>
      </c>
      <c r="AL134" s="23"/>
      <c r="AM134" s="23"/>
      <c r="AN134" s="23"/>
      <c r="AO134" s="23"/>
      <c r="AP134" s="23"/>
      <c r="AQ134" s="23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</row>
    <row r="135" spans="1:69" s="986" customFormat="1" ht="17.25" customHeight="1">
      <c r="A135" s="560">
        <v>12</v>
      </c>
      <c r="B135" s="1606" t="s">
        <v>706</v>
      </c>
      <c r="C135" s="647" t="s">
        <v>99</v>
      </c>
      <c r="D135" s="693" t="s">
        <v>75</v>
      </c>
      <c r="E135" s="694" t="s">
        <v>707</v>
      </c>
      <c r="F135" s="694" t="s">
        <v>159</v>
      </c>
      <c r="G135" s="177">
        <v>1</v>
      </c>
      <c r="H135" s="1002" t="s">
        <v>102</v>
      </c>
      <c r="I135" s="563" t="s">
        <v>118</v>
      </c>
      <c r="J135" s="1603">
        <v>4</v>
      </c>
      <c r="K135" s="554">
        <v>17697</v>
      </c>
      <c r="L135" s="1607">
        <v>8</v>
      </c>
      <c r="M135" s="567">
        <f t="shared" si="32"/>
        <v>0.44444444444444442</v>
      </c>
      <c r="N135" s="698" t="s">
        <v>112</v>
      </c>
      <c r="O135" s="1612">
        <v>3.32</v>
      </c>
      <c r="P135" s="567">
        <f t="shared" si="47"/>
        <v>26112.906666666662</v>
      </c>
      <c r="Q135" s="697"/>
      <c r="R135" s="666">
        <v>0.25</v>
      </c>
      <c r="S135" s="554">
        <f t="shared" si="33"/>
        <v>6528.2266666666656</v>
      </c>
      <c r="T135" s="554">
        <v>0.1</v>
      </c>
      <c r="U135" s="567">
        <f t="shared" si="34"/>
        <v>3264.1133333333328</v>
      </c>
      <c r="V135" s="1541"/>
      <c r="W135" s="552"/>
      <c r="X135" s="570">
        <f t="shared" si="38"/>
        <v>35905.246666666659</v>
      </c>
      <c r="Y135" s="988"/>
      <c r="Z135" s="988"/>
      <c r="AA135" s="81">
        <f>X134*12</f>
        <v>1387002.375</v>
      </c>
      <c r="AB135" s="80">
        <f>AA135/12/29.33*56</f>
        <v>220684.54653937949</v>
      </c>
      <c r="AC135" s="80">
        <f>AA135*1.25</f>
        <v>1733752.96875</v>
      </c>
      <c r="AD135" s="80">
        <f>AC135/12/29.33*56</f>
        <v>275855.68317422434</v>
      </c>
      <c r="AK135" s="906">
        <f t="shared" si="36"/>
        <v>6528.2266666666656</v>
      </c>
      <c r="AL135" s="23"/>
      <c r="AM135" s="23"/>
      <c r="AN135" s="23"/>
      <c r="AO135" s="23"/>
      <c r="AP135" s="23"/>
      <c r="AQ135" s="23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</row>
    <row r="136" spans="1:69" s="986" customFormat="1" ht="17.25" customHeight="1">
      <c r="A136" s="560">
        <v>13</v>
      </c>
      <c r="B136" s="662" t="s">
        <v>524</v>
      </c>
      <c r="C136" s="647" t="s">
        <v>99</v>
      </c>
      <c r="D136" s="663" t="s">
        <v>25</v>
      </c>
      <c r="E136" s="664" t="s">
        <v>814</v>
      </c>
      <c r="F136" s="664" t="s">
        <v>366</v>
      </c>
      <c r="G136" s="177">
        <v>1</v>
      </c>
      <c r="H136" s="177" t="s">
        <v>102</v>
      </c>
      <c r="I136" s="177" t="s">
        <v>103</v>
      </c>
      <c r="J136" s="178">
        <v>1</v>
      </c>
      <c r="K136" s="554">
        <v>17697</v>
      </c>
      <c r="L136" s="665">
        <v>17</v>
      </c>
      <c r="M136" s="567">
        <f t="shared" si="32"/>
        <v>0.94444444444444442</v>
      </c>
      <c r="N136" s="997" t="s">
        <v>152</v>
      </c>
      <c r="O136" s="1608">
        <v>4.6900000000000004</v>
      </c>
      <c r="P136" s="567">
        <f t="shared" si="47"/>
        <v>78387.878333333341</v>
      </c>
      <c r="Q136" s="697"/>
      <c r="R136" s="666">
        <v>0.25</v>
      </c>
      <c r="S136" s="554">
        <f t="shared" si="33"/>
        <v>19596.969583333335</v>
      </c>
      <c r="T136" s="554">
        <v>0.1</v>
      </c>
      <c r="U136" s="567">
        <f t="shared" si="34"/>
        <v>9798.4847916666677</v>
      </c>
      <c r="V136" s="19"/>
      <c r="W136" s="554"/>
      <c r="X136" s="570">
        <f t="shared" si="38"/>
        <v>107783.33270833334</v>
      </c>
      <c r="Y136" s="988"/>
      <c r="Z136" s="988"/>
      <c r="AA136" s="81"/>
      <c r="AB136" s="80"/>
      <c r="AC136" s="80"/>
      <c r="AD136" s="80"/>
      <c r="AK136" s="906">
        <f t="shared" si="36"/>
        <v>19596.969583333335</v>
      </c>
      <c r="AL136" s="23"/>
      <c r="AM136" s="23"/>
      <c r="AN136" s="23"/>
      <c r="AO136" s="23"/>
      <c r="AP136" s="23"/>
      <c r="AQ136" s="23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</row>
    <row r="137" spans="1:69" s="986" customFormat="1" ht="17.25" customHeight="1">
      <c r="A137" s="560">
        <v>14</v>
      </c>
      <c r="B137" s="1613" t="s">
        <v>329</v>
      </c>
      <c r="C137" s="647" t="s">
        <v>99</v>
      </c>
      <c r="D137" s="693" t="s">
        <v>75</v>
      </c>
      <c r="E137" s="694" t="s">
        <v>684</v>
      </c>
      <c r="F137" s="694" t="s">
        <v>239</v>
      </c>
      <c r="G137" s="177">
        <v>1</v>
      </c>
      <c r="H137" s="563" t="s">
        <v>102</v>
      </c>
      <c r="I137" s="563" t="s">
        <v>118</v>
      </c>
      <c r="J137" s="564">
        <v>3</v>
      </c>
      <c r="K137" s="554">
        <v>17697</v>
      </c>
      <c r="L137" s="696">
        <v>18</v>
      </c>
      <c r="M137" s="567">
        <f t="shared" si="32"/>
        <v>1</v>
      </c>
      <c r="N137" s="698" t="s">
        <v>109</v>
      </c>
      <c r="O137" s="1612">
        <v>4.03</v>
      </c>
      <c r="P137" s="567">
        <f t="shared" si="47"/>
        <v>71318.91</v>
      </c>
      <c r="Q137" s="697"/>
      <c r="R137" s="666">
        <v>0.25</v>
      </c>
      <c r="S137" s="554">
        <f t="shared" si="33"/>
        <v>17829.727500000001</v>
      </c>
      <c r="T137" s="554">
        <v>0.1</v>
      </c>
      <c r="U137" s="567">
        <f t="shared" si="34"/>
        <v>8914.8637500000023</v>
      </c>
      <c r="V137" s="1541"/>
      <c r="W137" s="700"/>
      <c r="X137" s="570">
        <f>P137+Q137+S137+U137+1.81</f>
        <v>98065.311250000013</v>
      </c>
      <c r="Y137" s="985">
        <f>V136+T136+R136</f>
        <v>0.35</v>
      </c>
      <c r="Z137" s="985">
        <f>W136+U136+S136</f>
        <v>29395.454375000001</v>
      </c>
      <c r="AA137" s="81">
        <f>X136*12</f>
        <v>1293399.9925000002</v>
      </c>
      <c r="AB137" s="80">
        <f>AA137/12/29.33*56</f>
        <v>205791.56603023075</v>
      </c>
      <c r="AC137" s="80">
        <f>AA137*1.25</f>
        <v>1616749.9906250001</v>
      </c>
      <c r="AD137" s="80">
        <f>AC137/12/29.33*56</f>
        <v>257239.45753778843</v>
      </c>
      <c r="AK137" s="906">
        <f t="shared" si="36"/>
        <v>17829.727500000001</v>
      </c>
      <c r="AL137" s="23"/>
      <c r="AM137" s="23"/>
      <c r="AN137" s="23"/>
      <c r="AO137" s="23"/>
      <c r="AP137" s="23"/>
      <c r="AQ137" s="23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</row>
    <row r="138" spans="1:69" s="377" customFormat="1" ht="15.75">
      <c r="A138" s="1896"/>
      <c r="B138" s="1930" t="s">
        <v>798</v>
      </c>
      <c r="C138" s="1897"/>
      <c r="D138" s="1898"/>
      <c r="E138" s="1898"/>
      <c r="F138" s="1897"/>
      <c r="G138" s="1899"/>
      <c r="H138" s="1899"/>
      <c r="I138" s="1899"/>
      <c r="J138" s="1900"/>
      <c r="K138" s="1901"/>
      <c r="L138" s="1902">
        <f>SUM(L124:L137)</f>
        <v>246</v>
      </c>
      <c r="M138" s="1903"/>
      <c r="N138" s="1904"/>
      <c r="O138" s="1898"/>
      <c r="P138" s="1903"/>
      <c r="Q138" s="1905">
        <f>SUM(Q124:Q137)</f>
        <v>0</v>
      </c>
      <c r="R138" s="1906"/>
      <c r="S138" s="1901"/>
      <c r="T138" s="1901"/>
      <c r="U138" s="1903"/>
      <c r="V138" s="1907"/>
      <c r="W138" s="1901"/>
      <c r="X138" s="1908"/>
      <c r="Y138" s="1175"/>
      <c r="Z138" s="1175"/>
      <c r="AA138" s="375"/>
      <c r="AK138" s="906">
        <f>SUM(AK124:AK137)</f>
        <v>254347.67458333334</v>
      </c>
      <c r="AL138" s="23"/>
      <c r="AM138" s="23"/>
      <c r="AN138" s="23"/>
      <c r="AO138" s="23"/>
      <c r="AP138" s="23"/>
      <c r="AQ138" s="23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</row>
    <row r="139" spans="1:69" s="24" customFormat="1" ht="17.25" customHeight="1">
      <c r="A139" s="703">
        <v>130</v>
      </c>
      <c r="B139" s="548" t="s">
        <v>605</v>
      </c>
      <c r="C139" s="647" t="s">
        <v>338</v>
      </c>
      <c r="D139" s="547" t="s">
        <v>64</v>
      </c>
      <c r="E139" s="704"/>
      <c r="F139" s="705"/>
      <c r="G139" s="1019">
        <v>1.5</v>
      </c>
      <c r="H139" s="577"/>
      <c r="I139" s="707"/>
      <c r="J139" s="577">
        <v>2</v>
      </c>
      <c r="K139" s="552">
        <v>17697</v>
      </c>
      <c r="L139" s="552"/>
      <c r="M139" s="556">
        <v>1.5</v>
      </c>
      <c r="N139" s="552"/>
      <c r="O139" s="552">
        <v>2.81</v>
      </c>
      <c r="P139" s="567">
        <f>K139*O139*M139</f>
        <v>74592.854999999996</v>
      </c>
      <c r="Q139" s="556"/>
      <c r="R139" s="552">
        <f>K139*P140*N139</f>
        <v>0</v>
      </c>
      <c r="S139" s="557"/>
      <c r="T139" s="708">
        <v>0.1</v>
      </c>
      <c r="U139" s="552">
        <f t="shared" ref="U139:U164" si="48">T139*P139</f>
        <v>7459.2855</v>
      </c>
      <c r="V139" s="552"/>
      <c r="W139" s="558"/>
      <c r="X139" s="559">
        <f>P139+U139+W139</f>
        <v>82052.140499999994</v>
      </c>
      <c r="Y139" s="104"/>
      <c r="Z139" s="104"/>
      <c r="AA139" s="81" t="e">
        <f>SUM(AA27:AA138)</f>
        <v>#REF!</v>
      </c>
      <c r="AC139" s="24" t="e">
        <f>SUM(AC27:AC138)</f>
        <v>#REF!</v>
      </c>
      <c r="AD139" s="24" t="e">
        <f>SUM(AD27:AD138)</f>
        <v>#REF!</v>
      </c>
      <c r="AK139" s="23"/>
      <c r="AL139" s="23"/>
      <c r="AM139" s="23"/>
      <c r="AN139" s="23"/>
      <c r="AO139" s="23"/>
      <c r="AP139" s="23"/>
      <c r="AQ139" s="23"/>
    </row>
    <row r="140" spans="1:69" s="1459" customFormat="1" ht="18" customHeight="1">
      <c r="A140" s="709">
        <v>131</v>
      </c>
      <c r="B140" s="153" t="s">
        <v>332</v>
      </c>
      <c r="C140" s="647" t="s">
        <v>338</v>
      </c>
      <c r="D140" s="560" t="s">
        <v>64</v>
      </c>
      <c r="E140" s="710"/>
      <c r="F140" s="711"/>
      <c r="G140" s="717">
        <v>0.5</v>
      </c>
      <c r="H140" s="563"/>
      <c r="I140" s="689"/>
      <c r="J140" s="563">
        <v>2</v>
      </c>
      <c r="K140" s="554">
        <v>17697</v>
      </c>
      <c r="L140" s="554"/>
      <c r="M140" s="552">
        <v>0.5</v>
      </c>
      <c r="N140" s="554"/>
      <c r="O140" s="552">
        <v>2.81</v>
      </c>
      <c r="P140" s="567">
        <f t="shared" ref="P140:P164" si="49">K140*O140*M140</f>
        <v>24864.285</v>
      </c>
      <c r="Q140" s="556"/>
      <c r="R140" s="552">
        <f>K140*P141*N140</f>
        <v>0</v>
      </c>
      <c r="S140" s="568"/>
      <c r="T140" s="708">
        <v>0.1</v>
      </c>
      <c r="U140" s="552">
        <f t="shared" si="48"/>
        <v>2486.4285</v>
      </c>
      <c r="V140" s="554"/>
      <c r="W140" s="554"/>
      <c r="X140" s="559">
        <f t="shared" ref="X140:X164" si="50">P140+U140+W140</f>
        <v>27350.713499999998</v>
      </c>
      <c r="Y140" s="1276">
        <f t="shared" ref="Y140:Y165" si="51">R139+V139+X139</f>
        <v>82052.140499999994</v>
      </c>
      <c r="Z140" s="1276">
        <f t="shared" ref="Z140:Z165" si="52">S139+W139+Y140</f>
        <v>82052.140499999994</v>
      </c>
      <c r="AA140" s="1277">
        <f t="shared" ref="AA140:AA165" si="53">X139*12</f>
        <v>984625.68599999999</v>
      </c>
      <c r="AB140" s="1458">
        <f>AA140/12/29.33*24</f>
        <v>67141.199181725198</v>
      </c>
      <c r="AC140" s="1458"/>
      <c r="AD140" s="1458"/>
      <c r="AE140" s="1458"/>
      <c r="AF140" s="1458"/>
      <c r="AG140" s="1458"/>
      <c r="AH140" s="1458"/>
      <c r="AI140" s="1458"/>
      <c r="AJ140" s="1458"/>
      <c r="AK140" s="914"/>
      <c r="AL140" s="914"/>
      <c r="AM140" s="914"/>
      <c r="AN140" s="914"/>
      <c r="AO140" s="914"/>
      <c r="AP140" s="914"/>
      <c r="AQ140" s="914"/>
      <c r="AR140" s="915"/>
      <c r="AS140" s="915"/>
      <c r="AT140" s="915"/>
      <c r="AU140" s="915"/>
      <c r="AV140" s="915"/>
      <c r="AW140" s="915"/>
      <c r="AX140" s="915"/>
      <c r="AY140" s="915"/>
      <c r="AZ140" s="915"/>
      <c r="BA140" s="915"/>
      <c r="BB140" s="915"/>
      <c r="BC140" s="915"/>
      <c r="BD140" s="915"/>
      <c r="BE140" s="915"/>
      <c r="BF140" s="915"/>
      <c r="BG140" s="915"/>
      <c r="BH140" s="915"/>
      <c r="BI140" s="915"/>
      <c r="BJ140" s="915"/>
      <c r="BK140" s="915"/>
      <c r="BL140" s="915"/>
      <c r="BM140" s="915"/>
      <c r="BN140" s="915"/>
      <c r="BO140" s="915"/>
      <c r="BP140" s="915"/>
      <c r="BQ140" s="915"/>
    </row>
    <row r="141" spans="1:69" s="1459" customFormat="1" ht="15.75" customHeight="1">
      <c r="A141" s="703">
        <v>132</v>
      </c>
      <c r="B141" s="153" t="s">
        <v>735</v>
      </c>
      <c r="C141" s="647" t="s">
        <v>338</v>
      </c>
      <c r="D141" s="560" t="s">
        <v>64</v>
      </c>
      <c r="E141" s="710"/>
      <c r="F141" s="560"/>
      <c r="G141" s="717">
        <v>0.5</v>
      </c>
      <c r="H141" s="563"/>
      <c r="I141" s="689"/>
      <c r="J141" s="563">
        <v>2</v>
      </c>
      <c r="K141" s="554">
        <v>17697</v>
      </c>
      <c r="L141" s="554"/>
      <c r="M141" s="554">
        <v>0.5</v>
      </c>
      <c r="N141" s="554"/>
      <c r="O141" s="554">
        <v>2.81</v>
      </c>
      <c r="P141" s="567">
        <f t="shared" si="49"/>
        <v>24864.285</v>
      </c>
      <c r="Q141" s="556"/>
      <c r="R141" s="552">
        <f>K141*P142*N141</f>
        <v>0</v>
      </c>
      <c r="S141" s="554"/>
      <c r="T141" s="708">
        <v>0.1</v>
      </c>
      <c r="U141" s="552">
        <f t="shared" si="48"/>
        <v>2486.4285</v>
      </c>
      <c r="V141" s="554"/>
      <c r="W141" s="554"/>
      <c r="X141" s="559">
        <f t="shared" si="50"/>
        <v>27350.713499999998</v>
      </c>
      <c r="Y141" s="1276">
        <f t="shared" si="51"/>
        <v>27350.713499999998</v>
      </c>
      <c r="Z141" s="1276">
        <f t="shared" si="52"/>
        <v>27350.713499999998</v>
      </c>
      <c r="AA141" s="1277">
        <f t="shared" si="53"/>
        <v>328208.56199999998</v>
      </c>
      <c r="AB141" s="1458">
        <f t="shared" ref="AB141:AB165" si="54">AA141/12/29.33*24</f>
        <v>22380.399727241733</v>
      </c>
      <c r="AC141" s="1458"/>
      <c r="AD141" s="1458"/>
      <c r="AE141" s="1458"/>
      <c r="AF141" s="1458"/>
      <c r="AG141" s="1458"/>
      <c r="AH141" s="1458"/>
      <c r="AI141" s="1458"/>
      <c r="AJ141" s="1458"/>
      <c r="AK141" s="914"/>
      <c r="AL141" s="914"/>
      <c r="AM141" s="914"/>
      <c r="AN141" s="914"/>
      <c r="AO141" s="914"/>
      <c r="AP141" s="914"/>
      <c r="AQ141" s="914"/>
      <c r="AR141" s="915"/>
      <c r="AS141" s="915"/>
      <c r="AT141" s="915"/>
      <c r="AU141" s="915"/>
      <c r="AV141" s="915"/>
      <c r="AW141" s="915"/>
      <c r="AX141" s="915"/>
      <c r="AY141" s="915"/>
      <c r="AZ141" s="915"/>
      <c r="BA141" s="915"/>
      <c r="BB141" s="915"/>
      <c r="BC141" s="915"/>
      <c r="BD141" s="915"/>
      <c r="BE141" s="915"/>
      <c r="BF141" s="915"/>
      <c r="BG141" s="915"/>
      <c r="BH141" s="915"/>
      <c r="BI141" s="915"/>
      <c r="BJ141" s="915"/>
      <c r="BK141" s="915"/>
      <c r="BL141" s="915"/>
      <c r="BM141" s="915"/>
      <c r="BN141" s="915"/>
      <c r="BO141" s="915"/>
      <c r="BP141" s="915"/>
      <c r="BQ141" s="915"/>
    </row>
    <row r="142" spans="1:69" s="1278" customFormat="1" ht="15.75">
      <c r="A142" s="709">
        <v>133</v>
      </c>
      <c r="B142" s="153" t="s">
        <v>335</v>
      </c>
      <c r="C142" s="561" t="s">
        <v>336</v>
      </c>
      <c r="D142" s="560" t="s">
        <v>64</v>
      </c>
      <c r="E142" s="710"/>
      <c r="F142" s="560"/>
      <c r="G142" s="717">
        <v>1.5</v>
      </c>
      <c r="H142" s="563"/>
      <c r="I142" s="689"/>
      <c r="J142" s="563">
        <v>4</v>
      </c>
      <c r="K142" s="554">
        <v>17697</v>
      </c>
      <c r="L142" s="554"/>
      <c r="M142" s="554">
        <v>1.5</v>
      </c>
      <c r="N142" s="554"/>
      <c r="O142" s="554">
        <v>2.89</v>
      </c>
      <c r="P142" s="567">
        <f t="shared" si="49"/>
        <v>76716.494999999995</v>
      </c>
      <c r="Q142" s="556"/>
      <c r="R142" s="552">
        <f>K142*P143*N142</f>
        <v>0</v>
      </c>
      <c r="S142" s="554"/>
      <c r="T142" s="708">
        <v>0.1</v>
      </c>
      <c r="U142" s="552">
        <f t="shared" si="48"/>
        <v>7671.6494999999995</v>
      </c>
      <c r="V142" s="554"/>
      <c r="W142" s="554"/>
      <c r="X142" s="559">
        <f t="shared" si="50"/>
        <v>84388.144499999995</v>
      </c>
      <c r="Y142" s="1276">
        <f t="shared" si="51"/>
        <v>27350.713499999998</v>
      </c>
      <c r="Z142" s="1276">
        <f t="shared" si="52"/>
        <v>27350.713499999998</v>
      </c>
      <c r="AA142" s="1277">
        <f t="shared" si="53"/>
        <v>328208.56199999998</v>
      </c>
      <c r="AB142" s="1458">
        <f t="shared" si="54"/>
        <v>22380.399727241733</v>
      </c>
      <c r="AK142" s="23"/>
      <c r="AL142" s="23"/>
      <c r="AM142" s="23"/>
      <c r="AN142" s="23"/>
      <c r="AO142" s="23"/>
      <c r="AP142" s="23"/>
      <c r="AQ142" s="23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</row>
    <row r="143" spans="1:69" s="1278" customFormat="1" ht="19.5" customHeight="1">
      <c r="A143" s="703">
        <v>134</v>
      </c>
      <c r="B143" s="646" t="s">
        <v>337</v>
      </c>
      <c r="C143" s="647" t="s">
        <v>338</v>
      </c>
      <c r="D143" s="628" t="s">
        <v>64</v>
      </c>
      <c r="E143" s="713"/>
      <c r="F143" s="628"/>
      <c r="G143" s="628">
        <v>0.5</v>
      </c>
      <c r="H143" s="714"/>
      <c r="I143" s="715"/>
      <c r="J143" s="628">
        <v>2</v>
      </c>
      <c r="K143" s="715">
        <v>17697</v>
      </c>
      <c r="L143" s="715"/>
      <c r="M143" s="554">
        <v>0.5</v>
      </c>
      <c r="N143" s="554"/>
      <c r="O143" s="552">
        <v>2.81</v>
      </c>
      <c r="P143" s="567">
        <f t="shared" si="49"/>
        <v>24864.285</v>
      </c>
      <c r="Q143" s="556"/>
      <c r="R143" s="552">
        <f>K143*P144*N143</f>
        <v>0</v>
      </c>
      <c r="S143" s="554"/>
      <c r="T143" s="708">
        <v>0.1</v>
      </c>
      <c r="U143" s="552">
        <f t="shared" si="48"/>
        <v>2486.4285</v>
      </c>
      <c r="V143" s="554"/>
      <c r="W143" s="554"/>
      <c r="X143" s="559">
        <f t="shared" si="50"/>
        <v>27350.713499999998</v>
      </c>
      <c r="Y143" s="1276">
        <f t="shared" si="51"/>
        <v>84388.144499999995</v>
      </c>
      <c r="Z143" s="1276">
        <f t="shared" si="52"/>
        <v>84388.144499999995</v>
      </c>
      <c r="AA143" s="1277">
        <f t="shared" si="53"/>
        <v>1012657.7339999999</v>
      </c>
      <c r="AB143" s="1458">
        <f t="shared" si="54"/>
        <v>69052.692396863276</v>
      </c>
      <c r="AK143" s="23"/>
      <c r="AL143" s="906"/>
      <c r="AM143" s="906"/>
      <c r="AN143" s="23"/>
      <c r="AO143" s="23"/>
      <c r="AP143" s="23"/>
      <c r="AQ143" s="23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</row>
    <row r="144" spans="1:69" s="1469" customFormat="1" ht="15.75">
      <c r="A144" s="709">
        <v>135</v>
      </c>
      <c r="B144" s="646" t="s">
        <v>382</v>
      </c>
      <c r="C144" s="647" t="s">
        <v>338</v>
      </c>
      <c r="D144" s="560" t="s">
        <v>64</v>
      </c>
      <c r="E144" s="713"/>
      <c r="F144" s="646"/>
      <c r="G144" s="628">
        <v>0.5</v>
      </c>
      <c r="H144" s="714"/>
      <c r="I144" s="715"/>
      <c r="J144" s="628">
        <v>2</v>
      </c>
      <c r="K144" s="715">
        <v>17697</v>
      </c>
      <c r="L144" s="715"/>
      <c r="M144" s="554">
        <v>0.5</v>
      </c>
      <c r="N144" s="554"/>
      <c r="O144" s="552">
        <v>2.81</v>
      </c>
      <c r="P144" s="567">
        <f t="shared" si="49"/>
        <v>24864.285</v>
      </c>
      <c r="Q144" s="556"/>
      <c r="R144" s="552">
        <f>K144*P146*N144</f>
        <v>0</v>
      </c>
      <c r="S144" s="554"/>
      <c r="T144" s="708">
        <v>0.1</v>
      </c>
      <c r="U144" s="552">
        <f t="shared" si="48"/>
        <v>2486.4285</v>
      </c>
      <c r="V144" s="554"/>
      <c r="W144" s="554"/>
      <c r="X144" s="559">
        <f t="shared" si="50"/>
        <v>27350.713499999998</v>
      </c>
      <c r="Y144" s="1276">
        <f t="shared" si="51"/>
        <v>27350.713499999998</v>
      </c>
      <c r="Z144" s="1276">
        <f t="shared" si="52"/>
        <v>27350.713499999998</v>
      </c>
      <c r="AA144" s="1277">
        <f t="shared" si="53"/>
        <v>328208.56199999998</v>
      </c>
      <c r="AB144" s="1458">
        <f t="shared" si="54"/>
        <v>22380.399727241733</v>
      </c>
      <c r="AK144" s="1778"/>
      <c r="AL144" s="1778"/>
      <c r="AM144" s="1778"/>
      <c r="AN144" s="1778"/>
      <c r="AO144" s="1778"/>
      <c r="AP144" s="1778"/>
      <c r="AQ144" s="1778"/>
      <c r="AR144" s="908"/>
      <c r="AS144" s="908"/>
      <c r="AT144" s="908"/>
      <c r="AU144" s="908"/>
      <c r="AV144" s="908"/>
      <c r="AW144" s="908"/>
      <c r="AX144" s="908"/>
      <c r="AY144" s="908"/>
      <c r="AZ144" s="908"/>
      <c r="BA144" s="908"/>
      <c r="BB144" s="908"/>
      <c r="BC144" s="908"/>
      <c r="BD144" s="908"/>
      <c r="BE144" s="908"/>
      <c r="BF144" s="908"/>
      <c r="BG144" s="908"/>
      <c r="BH144" s="908"/>
      <c r="BI144" s="908"/>
      <c r="BJ144" s="908"/>
      <c r="BK144" s="908"/>
      <c r="BL144" s="908"/>
      <c r="BM144" s="908"/>
      <c r="BN144" s="908"/>
      <c r="BO144" s="908"/>
      <c r="BP144" s="908"/>
      <c r="BQ144" s="908"/>
    </row>
    <row r="145" spans="1:69" s="1469" customFormat="1" ht="15.75">
      <c r="A145" s="703">
        <v>136</v>
      </c>
      <c r="B145" s="646" t="s">
        <v>383</v>
      </c>
      <c r="C145" s="647" t="s">
        <v>338</v>
      </c>
      <c r="D145" s="560" t="s">
        <v>75</v>
      </c>
      <c r="E145" s="713"/>
      <c r="F145" s="716"/>
      <c r="G145" s="628">
        <v>1</v>
      </c>
      <c r="H145" s="714"/>
      <c r="I145" s="715"/>
      <c r="J145" s="628">
        <v>2</v>
      </c>
      <c r="K145" s="715">
        <v>17697</v>
      </c>
      <c r="L145" s="715"/>
      <c r="M145" s="554">
        <v>1</v>
      </c>
      <c r="N145" s="554"/>
      <c r="O145" s="552">
        <v>2.81</v>
      </c>
      <c r="P145" s="567">
        <f t="shared" si="49"/>
        <v>49728.57</v>
      </c>
      <c r="Q145" s="556"/>
      <c r="R145" s="552">
        <f>K145*P147*N145</f>
        <v>0</v>
      </c>
      <c r="S145" s="554"/>
      <c r="T145" s="708">
        <v>0.1</v>
      </c>
      <c r="U145" s="552">
        <f t="shared" si="48"/>
        <v>4972.857</v>
      </c>
      <c r="V145" s="554"/>
      <c r="W145" s="554"/>
      <c r="X145" s="559">
        <f t="shared" si="50"/>
        <v>54701.426999999996</v>
      </c>
      <c r="Y145" s="1276">
        <f t="shared" si="51"/>
        <v>27350.713499999998</v>
      </c>
      <c r="Z145" s="1276">
        <f t="shared" si="52"/>
        <v>27350.713499999998</v>
      </c>
      <c r="AA145" s="1277">
        <f t="shared" si="53"/>
        <v>328208.56199999998</v>
      </c>
      <c r="AB145" s="1458">
        <f t="shared" si="54"/>
        <v>22380.399727241733</v>
      </c>
      <c r="AK145" s="1778"/>
      <c r="AL145" s="1778"/>
      <c r="AM145" s="1778"/>
      <c r="AN145" s="1778"/>
      <c r="AO145" s="1778"/>
      <c r="AP145" s="1778"/>
      <c r="AQ145" s="1778"/>
      <c r="AR145" s="908"/>
      <c r="AS145" s="908"/>
      <c r="AT145" s="908"/>
      <c r="AU145" s="908"/>
      <c r="AV145" s="908"/>
      <c r="AW145" s="908"/>
      <c r="AX145" s="908"/>
      <c r="AY145" s="908"/>
      <c r="AZ145" s="908"/>
      <c r="BA145" s="908"/>
      <c r="BB145" s="908"/>
      <c r="BC145" s="908"/>
      <c r="BD145" s="908"/>
      <c r="BE145" s="908"/>
      <c r="BF145" s="908"/>
      <c r="BG145" s="908"/>
      <c r="BH145" s="908"/>
      <c r="BI145" s="908"/>
      <c r="BJ145" s="908"/>
      <c r="BK145" s="908"/>
      <c r="BL145" s="908"/>
      <c r="BM145" s="908"/>
      <c r="BN145" s="908"/>
      <c r="BO145" s="908"/>
      <c r="BP145" s="908"/>
      <c r="BQ145" s="908"/>
    </row>
    <row r="146" spans="1:69" s="1469" customFormat="1" ht="15.75">
      <c r="A146" s="709">
        <v>137</v>
      </c>
      <c r="B146" s="153" t="s">
        <v>339</v>
      </c>
      <c r="C146" s="647" t="s">
        <v>340</v>
      </c>
      <c r="D146" s="560" t="s">
        <v>64</v>
      </c>
      <c r="E146" s="563"/>
      <c r="F146" s="711"/>
      <c r="G146" s="712">
        <v>1</v>
      </c>
      <c r="H146" s="563"/>
      <c r="I146" s="689"/>
      <c r="J146" s="563">
        <v>2</v>
      </c>
      <c r="K146" s="554">
        <v>17697</v>
      </c>
      <c r="L146" s="554"/>
      <c r="M146" s="554">
        <v>1</v>
      </c>
      <c r="N146" s="554"/>
      <c r="O146" s="552">
        <v>2.81</v>
      </c>
      <c r="P146" s="567">
        <f t="shared" si="49"/>
        <v>49728.57</v>
      </c>
      <c r="Q146" s="556"/>
      <c r="R146" s="552">
        <f t="shared" ref="R146:R164" si="55">K146*P147*N146</f>
        <v>0</v>
      </c>
      <c r="S146" s="568"/>
      <c r="T146" s="708">
        <v>0.1</v>
      </c>
      <c r="U146" s="552">
        <f t="shared" si="48"/>
        <v>4972.857</v>
      </c>
      <c r="V146" s="569">
        <v>0.3</v>
      </c>
      <c r="W146" s="554">
        <f t="shared" ref="W146:W149" si="56">V146*K146</f>
        <v>5309.0999999999995</v>
      </c>
      <c r="X146" s="559">
        <f t="shared" si="50"/>
        <v>60010.526999999995</v>
      </c>
      <c r="Y146" s="1276">
        <f t="shared" si="51"/>
        <v>54701.426999999996</v>
      </c>
      <c r="Z146" s="1276">
        <f t="shared" si="52"/>
        <v>54701.426999999996</v>
      </c>
      <c r="AA146" s="1277">
        <f t="shared" si="53"/>
        <v>656417.12399999995</v>
      </c>
      <c r="AB146" s="1458">
        <f t="shared" si="54"/>
        <v>44760.799454483466</v>
      </c>
      <c r="AK146" s="1778"/>
      <c r="AL146" s="1778"/>
      <c r="AM146" s="1778"/>
      <c r="AN146" s="1778"/>
      <c r="AO146" s="1778"/>
      <c r="AP146" s="1778"/>
      <c r="AQ146" s="1778"/>
      <c r="AR146" s="908"/>
      <c r="AS146" s="908"/>
      <c r="AT146" s="908"/>
      <c r="AU146" s="908"/>
      <c r="AV146" s="908"/>
      <c r="AW146" s="908"/>
      <c r="AX146" s="908"/>
      <c r="AY146" s="908"/>
      <c r="AZ146" s="908"/>
      <c r="BA146" s="908"/>
      <c r="BB146" s="908"/>
      <c r="BC146" s="908"/>
      <c r="BD146" s="908"/>
      <c r="BE146" s="908"/>
      <c r="BF146" s="908"/>
      <c r="BG146" s="908"/>
      <c r="BH146" s="908"/>
      <c r="BI146" s="908"/>
      <c r="BJ146" s="908"/>
      <c r="BK146" s="908"/>
      <c r="BL146" s="908"/>
      <c r="BM146" s="908"/>
      <c r="BN146" s="908"/>
      <c r="BO146" s="908"/>
      <c r="BP146" s="908"/>
      <c r="BQ146" s="908"/>
    </row>
    <row r="147" spans="1:69" s="1459" customFormat="1" ht="15.75">
      <c r="A147" s="703">
        <v>138</v>
      </c>
      <c r="B147" s="153" t="s">
        <v>341</v>
      </c>
      <c r="C147" s="647" t="s">
        <v>340</v>
      </c>
      <c r="D147" s="560" t="s">
        <v>64</v>
      </c>
      <c r="E147" s="563"/>
      <c r="F147" s="711"/>
      <c r="G147" s="712">
        <v>1</v>
      </c>
      <c r="H147" s="563"/>
      <c r="I147" s="689"/>
      <c r="J147" s="563">
        <v>2</v>
      </c>
      <c r="K147" s="554">
        <v>17697</v>
      </c>
      <c r="L147" s="554"/>
      <c r="M147" s="554">
        <v>1</v>
      </c>
      <c r="N147" s="554"/>
      <c r="O147" s="552">
        <v>2.81</v>
      </c>
      <c r="P147" s="567">
        <f t="shared" si="49"/>
        <v>49728.57</v>
      </c>
      <c r="Q147" s="556"/>
      <c r="R147" s="552">
        <f t="shared" si="55"/>
        <v>0</v>
      </c>
      <c r="S147" s="568"/>
      <c r="T147" s="708">
        <v>0.1</v>
      </c>
      <c r="U147" s="552">
        <f t="shared" si="48"/>
        <v>4972.857</v>
      </c>
      <c r="V147" s="569">
        <v>0.3</v>
      </c>
      <c r="W147" s="554">
        <f t="shared" si="56"/>
        <v>5309.0999999999995</v>
      </c>
      <c r="X147" s="559">
        <f t="shared" si="50"/>
        <v>60010.526999999995</v>
      </c>
      <c r="Y147" s="1276">
        <f t="shared" si="51"/>
        <v>60010.826999999997</v>
      </c>
      <c r="Z147" s="1276">
        <f t="shared" si="52"/>
        <v>65319.926999999996</v>
      </c>
      <c r="AA147" s="1277">
        <f t="shared" si="53"/>
        <v>720126.32399999991</v>
      </c>
      <c r="AB147" s="1458">
        <f t="shared" si="54"/>
        <v>49105.102216160922</v>
      </c>
      <c r="AC147" s="1458"/>
      <c r="AD147" s="1458"/>
      <c r="AE147" s="1458"/>
      <c r="AF147" s="1458"/>
      <c r="AG147" s="1458"/>
      <c r="AH147" s="1458"/>
      <c r="AI147" s="1458"/>
      <c r="AJ147" s="1458"/>
      <c r="AK147" s="914"/>
      <c r="AL147" s="914"/>
      <c r="AM147" s="914"/>
      <c r="AN147" s="914"/>
      <c r="AO147" s="914"/>
      <c r="AP147" s="914"/>
      <c r="AQ147" s="914"/>
      <c r="AR147" s="915"/>
      <c r="AS147" s="915"/>
      <c r="AT147" s="915"/>
      <c r="AU147" s="915"/>
      <c r="AV147" s="915"/>
      <c r="AW147" s="915"/>
      <c r="AX147" s="915"/>
      <c r="AY147" s="915"/>
      <c r="AZ147" s="915"/>
      <c r="BA147" s="915"/>
      <c r="BB147" s="915"/>
      <c r="BC147" s="915"/>
      <c r="BD147" s="915"/>
      <c r="BE147" s="915"/>
      <c r="BF147" s="915"/>
      <c r="BG147" s="915"/>
      <c r="BH147" s="915"/>
      <c r="BI147" s="915"/>
      <c r="BJ147" s="915"/>
      <c r="BK147" s="915"/>
      <c r="BL147" s="915"/>
      <c r="BM147" s="915"/>
      <c r="BN147" s="915"/>
      <c r="BO147" s="915"/>
      <c r="BP147" s="915"/>
      <c r="BQ147" s="915"/>
    </row>
    <row r="148" spans="1:69" s="1459" customFormat="1" ht="15.75">
      <c r="A148" s="709">
        <v>139</v>
      </c>
      <c r="B148" s="153" t="s">
        <v>342</v>
      </c>
      <c r="C148" s="647" t="s">
        <v>340</v>
      </c>
      <c r="D148" s="560" t="s">
        <v>64</v>
      </c>
      <c r="E148" s="563"/>
      <c r="F148" s="711"/>
      <c r="G148" s="712">
        <v>1</v>
      </c>
      <c r="H148" s="563"/>
      <c r="I148" s="689"/>
      <c r="J148" s="563">
        <v>2</v>
      </c>
      <c r="K148" s="554">
        <v>17697</v>
      </c>
      <c r="L148" s="554"/>
      <c r="M148" s="554">
        <v>1</v>
      </c>
      <c r="N148" s="554"/>
      <c r="O148" s="552">
        <v>2.81</v>
      </c>
      <c r="P148" s="567">
        <f t="shared" si="49"/>
        <v>49728.57</v>
      </c>
      <c r="Q148" s="556"/>
      <c r="R148" s="552">
        <f t="shared" si="55"/>
        <v>0</v>
      </c>
      <c r="S148" s="568"/>
      <c r="T148" s="708">
        <v>0.1</v>
      </c>
      <c r="U148" s="552">
        <f t="shared" si="48"/>
        <v>4972.857</v>
      </c>
      <c r="V148" s="569">
        <v>0.3</v>
      </c>
      <c r="W148" s="554">
        <f t="shared" si="56"/>
        <v>5309.0999999999995</v>
      </c>
      <c r="X148" s="559">
        <f t="shared" si="50"/>
        <v>60010.526999999995</v>
      </c>
      <c r="Y148" s="1276">
        <f t="shared" si="51"/>
        <v>60010.826999999997</v>
      </c>
      <c r="Z148" s="1276">
        <f t="shared" si="52"/>
        <v>65319.926999999996</v>
      </c>
      <c r="AA148" s="1277">
        <f t="shared" si="53"/>
        <v>720126.32399999991</v>
      </c>
      <c r="AB148" s="1458">
        <f t="shared" si="54"/>
        <v>49105.102216160922</v>
      </c>
      <c r="AC148" s="1458"/>
      <c r="AD148" s="1458"/>
      <c r="AE148" s="1458"/>
      <c r="AF148" s="1458"/>
      <c r="AG148" s="1458"/>
      <c r="AH148" s="1458"/>
      <c r="AI148" s="1458"/>
      <c r="AJ148" s="1458"/>
      <c r="AK148" s="914"/>
      <c r="AL148" s="914"/>
      <c r="AM148" s="914"/>
      <c r="AN148" s="914"/>
      <c r="AO148" s="914"/>
      <c r="AP148" s="914"/>
      <c r="AQ148" s="914"/>
      <c r="AR148" s="915"/>
      <c r="AS148" s="915"/>
      <c r="AT148" s="915"/>
      <c r="AU148" s="915"/>
      <c r="AV148" s="915"/>
      <c r="AW148" s="915"/>
      <c r="AX148" s="915"/>
      <c r="AY148" s="915"/>
      <c r="AZ148" s="915"/>
      <c r="BA148" s="915"/>
      <c r="BB148" s="915"/>
      <c r="BC148" s="915"/>
      <c r="BD148" s="915"/>
      <c r="BE148" s="915"/>
      <c r="BF148" s="915"/>
      <c r="BG148" s="915"/>
      <c r="BH148" s="915"/>
      <c r="BI148" s="915"/>
      <c r="BJ148" s="915"/>
      <c r="BK148" s="915"/>
      <c r="BL148" s="915"/>
      <c r="BM148" s="915"/>
      <c r="BN148" s="915"/>
      <c r="BO148" s="915"/>
      <c r="BP148" s="915"/>
      <c r="BQ148" s="915"/>
    </row>
    <row r="149" spans="1:69" s="1459" customFormat="1" ht="15.75">
      <c r="A149" s="703">
        <v>140</v>
      </c>
      <c r="B149" s="153" t="s">
        <v>343</v>
      </c>
      <c r="C149" s="647" t="s">
        <v>340</v>
      </c>
      <c r="D149" s="560" t="s">
        <v>64</v>
      </c>
      <c r="E149" s="563"/>
      <c r="F149" s="711"/>
      <c r="G149" s="712">
        <v>1</v>
      </c>
      <c r="H149" s="563"/>
      <c r="I149" s="689"/>
      <c r="J149" s="563">
        <v>2</v>
      </c>
      <c r="K149" s="554">
        <v>17697</v>
      </c>
      <c r="L149" s="554"/>
      <c r="M149" s="554">
        <v>1</v>
      </c>
      <c r="N149" s="554"/>
      <c r="O149" s="552">
        <v>2.81</v>
      </c>
      <c r="P149" s="567">
        <f t="shared" si="49"/>
        <v>49728.57</v>
      </c>
      <c r="Q149" s="556"/>
      <c r="R149" s="552">
        <f t="shared" si="55"/>
        <v>0</v>
      </c>
      <c r="S149" s="568"/>
      <c r="T149" s="708">
        <v>0.1</v>
      </c>
      <c r="U149" s="552">
        <f t="shared" si="48"/>
        <v>4972.857</v>
      </c>
      <c r="V149" s="569">
        <v>0.3</v>
      </c>
      <c r="W149" s="554">
        <f t="shared" si="56"/>
        <v>5309.0999999999995</v>
      </c>
      <c r="X149" s="559">
        <f t="shared" si="50"/>
        <v>60010.526999999995</v>
      </c>
      <c r="Y149" s="1276">
        <f t="shared" si="51"/>
        <v>60010.826999999997</v>
      </c>
      <c r="Z149" s="1276">
        <f t="shared" si="52"/>
        <v>65319.926999999996</v>
      </c>
      <c r="AA149" s="1277">
        <f t="shared" si="53"/>
        <v>720126.32399999991</v>
      </c>
      <c r="AB149" s="1458">
        <f t="shared" si="54"/>
        <v>49105.102216160922</v>
      </c>
      <c r="AC149" s="1458"/>
      <c r="AD149" s="1458"/>
      <c r="AE149" s="1458"/>
      <c r="AF149" s="1458"/>
      <c r="AG149" s="1458"/>
      <c r="AH149" s="1458"/>
      <c r="AI149" s="1458"/>
      <c r="AJ149" s="1458"/>
      <c r="AK149" s="914"/>
      <c r="AL149" s="914"/>
      <c r="AM149" s="914"/>
      <c r="AN149" s="914"/>
      <c r="AO149" s="914"/>
      <c r="AP149" s="914"/>
      <c r="AQ149" s="914"/>
      <c r="AR149" s="915"/>
      <c r="AS149" s="915"/>
      <c r="AT149" s="915"/>
      <c r="AU149" s="915"/>
      <c r="AV149" s="915"/>
      <c r="AW149" s="915"/>
      <c r="AX149" s="915"/>
      <c r="AY149" s="915"/>
      <c r="AZ149" s="915"/>
      <c r="BA149" s="915"/>
      <c r="BB149" s="915"/>
      <c r="BC149" s="915"/>
      <c r="BD149" s="915"/>
      <c r="BE149" s="915"/>
      <c r="BF149" s="915"/>
      <c r="BG149" s="915"/>
      <c r="BH149" s="915"/>
      <c r="BI149" s="915"/>
      <c r="BJ149" s="915"/>
      <c r="BK149" s="915"/>
      <c r="BL149" s="915"/>
      <c r="BM149" s="915"/>
      <c r="BN149" s="915"/>
      <c r="BO149" s="915"/>
      <c r="BP149" s="915"/>
      <c r="BQ149" s="915"/>
    </row>
    <row r="150" spans="1:69" s="78" customFormat="1" ht="15.75">
      <c r="A150" s="709">
        <v>141</v>
      </c>
      <c r="B150" s="153" t="s">
        <v>734</v>
      </c>
      <c r="C150" s="647" t="s">
        <v>340</v>
      </c>
      <c r="D150" s="560" t="s">
        <v>64</v>
      </c>
      <c r="E150" s="563"/>
      <c r="F150" s="717"/>
      <c r="G150" s="712" t="s">
        <v>409</v>
      </c>
      <c r="H150" s="563"/>
      <c r="I150" s="689"/>
      <c r="J150" s="563">
        <v>2</v>
      </c>
      <c r="K150" s="554">
        <v>17697</v>
      </c>
      <c r="L150" s="554"/>
      <c r="M150" s="554">
        <v>1.5</v>
      </c>
      <c r="N150" s="554"/>
      <c r="O150" s="552">
        <v>2.81</v>
      </c>
      <c r="P150" s="567">
        <f t="shared" si="49"/>
        <v>74592.854999999996</v>
      </c>
      <c r="Q150" s="556"/>
      <c r="R150" s="552">
        <f t="shared" si="55"/>
        <v>0</v>
      </c>
      <c r="S150" s="554"/>
      <c r="T150" s="708">
        <v>0.1</v>
      </c>
      <c r="U150" s="552">
        <f t="shared" si="48"/>
        <v>7459.2855</v>
      </c>
      <c r="V150" s="569">
        <v>0.3</v>
      </c>
      <c r="W150" s="554">
        <f>V150*K150*1.5</f>
        <v>7963.65</v>
      </c>
      <c r="X150" s="559">
        <f t="shared" si="50"/>
        <v>90015.790499999988</v>
      </c>
      <c r="Y150" s="319">
        <f t="shared" si="51"/>
        <v>60010.826999999997</v>
      </c>
      <c r="Z150" s="319">
        <f t="shared" si="52"/>
        <v>65319.926999999996</v>
      </c>
      <c r="AA150" s="81">
        <f t="shared" si="53"/>
        <v>720126.32399999991</v>
      </c>
      <c r="AB150" s="79">
        <f t="shared" si="54"/>
        <v>49105.102216160922</v>
      </c>
      <c r="AC150" s="79"/>
      <c r="AD150" s="79"/>
      <c r="AE150" s="79"/>
      <c r="AF150" s="79"/>
      <c r="AG150" s="79"/>
      <c r="AH150" s="79"/>
      <c r="AI150" s="79"/>
      <c r="AJ150" s="79"/>
      <c r="AK150" s="914"/>
      <c r="AL150" s="914"/>
      <c r="AM150" s="914"/>
      <c r="AN150" s="914"/>
      <c r="AO150" s="914"/>
      <c r="AP150" s="914"/>
      <c r="AQ150" s="914"/>
      <c r="AR150" s="915"/>
      <c r="AS150" s="915"/>
      <c r="AT150" s="915"/>
      <c r="AU150" s="915"/>
      <c r="AV150" s="915"/>
      <c r="AW150" s="915"/>
      <c r="AX150" s="915"/>
      <c r="AY150" s="915"/>
      <c r="AZ150" s="915"/>
      <c r="BA150" s="915"/>
      <c r="BB150" s="915"/>
      <c r="BC150" s="915"/>
      <c r="BD150" s="915"/>
      <c r="BE150" s="915"/>
      <c r="BF150" s="915"/>
      <c r="BG150" s="915"/>
      <c r="BH150" s="915"/>
      <c r="BI150" s="915"/>
      <c r="BJ150" s="915"/>
      <c r="BK150" s="915"/>
      <c r="BL150" s="915"/>
      <c r="BM150" s="915"/>
      <c r="BN150" s="915"/>
      <c r="BO150" s="915"/>
      <c r="BP150" s="915"/>
      <c r="BQ150" s="915"/>
    </row>
    <row r="151" spans="1:69" s="80" customFormat="1" ht="15.75">
      <c r="A151" s="709">
        <v>143</v>
      </c>
      <c r="B151" s="153" t="s">
        <v>506</v>
      </c>
      <c r="C151" s="647" t="s">
        <v>340</v>
      </c>
      <c r="D151" s="560" t="s">
        <v>64</v>
      </c>
      <c r="E151" s="563"/>
      <c r="F151" s="711"/>
      <c r="G151" s="712" t="s">
        <v>409</v>
      </c>
      <c r="H151" s="563"/>
      <c r="I151" s="689"/>
      <c r="J151" s="563">
        <v>2</v>
      </c>
      <c r="K151" s="554">
        <v>17697</v>
      </c>
      <c r="L151" s="554"/>
      <c r="M151" s="554">
        <v>1.5</v>
      </c>
      <c r="N151" s="554"/>
      <c r="O151" s="552">
        <v>2.81</v>
      </c>
      <c r="P151" s="567">
        <f t="shared" si="49"/>
        <v>74592.854999999996</v>
      </c>
      <c r="Q151" s="556"/>
      <c r="R151" s="552">
        <f t="shared" si="55"/>
        <v>0</v>
      </c>
      <c r="S151" s="554"/>
      <c r="T151" s="708">
        <v>0.1</v>
      </c>
      <c r="U151" s="552">
        <f t="shared" si="48"/>
        <v>7459.2855</v>
      </c>
      <c r="V151" s="569">
        <v>0.3</v>
      </c>
      <c r="W151" s="554">
        <f>V151*K151*1.5</f>
        <v>7963.65</v>
      </c>
      <c r="X151" s="559">
        <f t="shared" si="50"/>
        <v>90015.790499999988</v>
      </c>
      <c r="Y151" s="319">
        <f t="shared" si="51"/>
        <v>90016.090499999991</v>
      </c>
      <c r="Z151" s="319">
        <f t="shared" si="52"/>
        <v>97979.740499999985</v>
      </c>
      <c r="AA151" s="81">
        <f t="shared" si="53"/>
        <v>1080189.4859999998</v>
      </c>
      <c r="AB151" s="79">
        <f t="shared" si="54"/>
        <v>73657.653324241386</v>
      </c>
      <c r="AK151" s="23"/>
      <c r="AL151" s="23"/>
      <c r="AM151" s="23"/>
      <c r="AN151" s="23"/>
      <c r="AO151" s="23"/>
      <c r="AP151" s="23"/>
      <c r="AQ151" s="23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</row>
    <row r="152" spans="1:69" s="1278" customFormat="1" ht="15.75">
      <c r="A152" s="703">
        <v>144</v>
      </c>
      <c r="B152" s="646" t="s">
        <v>507</v>
      </c>
      <c r="C152" s="647" t="s">
        <v>340</v>
      </c>
      <c r="D152" s="560" t="s">
        <v>64</v>
      </c>
      <c r="E152" s="713"/>
      <c r="F152" s="628"/>
      <c r="G152" s="712" t="s">
        <v>563</v>
      </c>
      <c r="H152" s="714"/>
      <c r="I152" s="715"/>
      <c r="J152" s="563">
        <v>2</v>
      </c>
      <c r="K152" s="715">
        <v>17697</v>
      </c>
      <c r="L152" s="715"/>
      <c r="M152" s="554">
        <v>1.3</v>
      </c>
      <c r="N152" s="554"/>
      <c r="O152" s="552">
        <v>2.81</v>
      </c>
      <c r="P152" s="567">
        <f t="shared" si="49"/>
        <v>64647.141000000003</v>
      </c>
      <c r="Q152" s="556"/>
      <c r="R152" s="552">
        <f t="shared" si="55"/>
        <v>0</v>
      </c>
      <c r="S152" s="554"/>
      <c r="T152" s="708">
        <v>0.1</v>
      </c>
      <c r="U152" s="552">
        <f t="shared" si="48"/>
        <v>6464.7141000000011</v>
      </c>
      <c r="V152" s="569">
        <v>0.3</v>
      </c>
      <c r="W152" s="554">
        <f>V152*K152/1*1.3</f>
        <v>6901.83</v>
      </c>
      <c r="X152" s="559">
        <f t="shared" si="50"/>
        <v>78013.685100000002</v>
      </c>
      <c r="Y152" s="1276">
        <f t="shared" si="51"/>
        <v>90016.090499999991</v>
      </c>
      <c r="Z152" s="1276">
        <f t="shared" si="52"/>
        <v>97979.740499999985</v>
      </c>
      <c r="AA152" s="1277">
        <f t="shared" si="53"/>
        <v>1080189.4859999998</v>
      </c>
      <c r="AB152" s="1458">
        <f t="shared" si="54"/>
        <v>73657.653324241386</v>
      </c>
      <c r="AK152" s="23"/>
      <c r="AL152" s="23"/>
      <c r="AM152" s="23"/>
      <c r="AN152" s="23"/>
      <c r="AO152" s="23"/>
      <c r="AP152" s="23"/>
      <c r="AQ152" s="23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</row>
    <row r="153" spans="1:69" s="1469" customFormat="1" ht="15.75">
      <c r="A153" s="709">
        <v>145</v>
      </c>
      <c r="B153" s="718" t="s">
        <v>508</v>
      </c>
      <c r="C153" s="719" t="s">
        <v>340</v>
      </c>
      <c r="D153" s="720" t="s">
        <v>75</v>
      </c>
      <c r="E153" s="720"/>
      <c r="F153" s="721"/>
      <c r="G153" s="720">
        <v>1</v>
      </c>
      <c r="H153" s="722"/>
      <c r="I153" s="722"/>
      <c r="J153" s="601">
        <v>2</v>
      </c>
      <c r="K153" s="723">
        <v>17697</v>
      </c>
      <c r="L153" s="723"/>
      <c r="M153" s="554">
        <v>1</v>
      </c>
      <c r="N153" s="723"/>
      <c r="O153" s="552">
        <v>2.81</v>
      </c>
      <c r="P153" s="567">
        <f t="shared" si="49"/>
        <v>49728.57</v>
      </c>
      <c r="Q153" s="556"/>
      <c r="R153" s="552">
        <f t="shared" si="55"/>
        <v>0</v>
      </c>
      <c r="S153" s="723"/>
      <c r="T153" s="708">
        <v>0.1</v>
      </c>
      <c r="U153" s="552">
        <f t="shared" si="48"/>
        <v>4972.857</v>
      </c>
      <c r="V153" s="609">
        <v>0.3</v>
      </c>
      <c r="W153" s="605">
        <f>V153*K153</f>
        <v>5309.0999999999995</v>
      </c>
      <c r="X153" s="559">
        <f t="shared" si="50"/>
        <v>60010.526999999995</v>
      </c>
      <c r="Y153" s="1276">
        <f t="shared" si="51"/>
        <v>78013.985100000005</v>
      </c>
      <c r="Z153" s="1276">
        <f t="shared" si="52"/>
        <v>84915.815100000007</v>
      </c>
      <c r="AA153" s="1277">
        <f t="shared" si="53"/>
        <v>936164.22120000003</v>
      </c>
      <c r="AB153" s="1458">
        <f t="shared" si="54"/>
        <v>63836.632881009216</v>
      </c>
      <c r="AK153" s="1778"/>
      <c r="AL153" s="1778"/>
      <c r="AM153" s="1778"/>
      <c r="AN153" s="1778"/>
      <c r="AO153" s="1778"/>
      <c r="AP153" s="1778"/>
      <c r="AQ153" s="1778"/>
      <c r="AR153" s="908"/>
      <c r="AS153" s="908"/>
      <c r="AT153" s="908"/>
      <c r="AU153" s="908"/>
      <c r="AV153" s="908"/>
      <c r="AW153" s="908"/>
      <c r="AX153" s="908"/>
      <c r="AY153" s="908"/>
      <c r="AZ153" s="908"/>
      <c r="BA153" s="908"/>
      <c r="BB153" s="908"/>
      <c r="BC153" s="908"/>
      <c r="BD153" s="908"/>
      <c r="BE153" s="908"/>
      <c r="BF153" s="908"/>
      <c r="BG153" s="908"/>
      <c r="BH153" s="908"/>
      <c r="BI153" s="908"/>
      <c r="BJ153" s="908"/>
      <c r="BK153" s="908"/>
      <c r="BL153" s="908"/>
      <c r="BM153" s="908"/>
      <c r="BN153" s="908"/>
      <c r="BO153" s="908"/>
      <c r="BP153" s="908"/>
      <c r="BQ153" s="908"/>
    </row>
    <row r="154" spans="1:69" s="1278" customFormat="1" ht="15.75">
      <c r="A154" s="703">
        <v>146</v>
      </c>
      <c r="B154" s="153" t="s">
        <v>345</v>
      </c>
      <c r="C154" s="561" t="s">
        <v>784</v>
      </c>
      <c r="D154" s="560" t="s">
        <v>64</v>
      </c>
      <c r="E154" s="563"/>
      <c r="F154" s="711"/>
      <c r="G154" s="712">
        <v>1</v>
      </c>
      <c r="H154" s="563"/>
      <c r="I154" s="689"/>
      <c r="J154" s="563">
        <v>1</v>
      </c>
      <c r="K154" s="554">
        <v>17697</v>
      </c>
      <c r="L154" s="554"/>
      <c r="M154" s="723">
        <v>1</v>
      </c>
      <c r="N154" s="554"/>
      <c r="O154" s="554">
        <v>2.77</v>
      </c>
      <c r="P154" s="567">
        <f t="shared" si="49"/>
        <v>49020.69</v>
      </c>
      <c r="Q154" s="556"/>
      <c r="R154" s="552">
        <f t="shared" si="55"/>
        <v>0</v>
      </c>
      <c r="S154" s="568"/>
      <c r="T154" s="708">
        <v>0.1</v>
      </c>
      <c r="U154" s="552">
        <f t="shared" si="48"/>
        <v>4902.0690000000004</v>
      </c>
      <c r="V154" s="724">
        <v>0.5</v>
      </c>
      <c r="W154" s="593">
        <v>12439.34</v>
      </c>
      <c r="X154" s="559">
        <f t="shared" si="50"/>
        <v>66362.099000000002</v>
      </c>
      <c r="Y154" s="1276">
        <f t="shared" si="51"/>
        <v>60010.826999999997</v>
      </c>
      <c r="Z154" s="1276">
        <f t="shared" si="52"/>
        <v>65319.926999999996</v>
      </c>
      <c r="AA154" s="1277">
        <f t="shared" si="53"/>
        <v>720126.32399999991</v>
      </c>
      <c r="AB154" s="1458">
        <f t="shared" si="54"/>
        <v>49105.102216160922</v>
      </c>
      <c r="AC154" s="1277"/>
      <c r="AD154" s="1277"/>
      <c r="AE154" s="1482"/>
      <c r="AF154" s="1483"/>
      <c r="AG154" s="1277"/>
      <c r="AK154" s="23"/>
      <c r="AL154" s="23"/>
      <c r="AM154" s="23"/>
      <c r="AN154" s="23"/>
      <c r="AO154" s="23"/>
      <c r="AP154" s="23"/>
      <c r="AQ154" s="23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</row>
    <row r="155" spans="1:69" s="1459" customFormat="1" ht="15.75">
      <c r="A155" s="709">
        <v>147</v>
      </c>
      <c r="B155" s="153" t="s">
        <v>347</v>
      </c>
      <c r="C155" s="561" t="s">
        <v>784</v>
      </c>
      <c r="D155" s="560" t="s">
        <v>25</v>
      </c>
      <c r="E155" s="563"/>
      <c r="F155" s="560"/>
      <c r="G155" s="712">
        <v>1</v>
      </c>
      <c r="H155" s="563"/>
      <c r="I155" s="689"/>
      <c r="J155" s="563">
        <v>1</v>
      </c>
      <c r="K155" s="554">
        <v>17697</v>
      </c>
      <c r="L155" s="554"/>
      <c r="M155" s="554">
        <v>1</v>
      </c>
      <c r="N155" s="554"/>
      <c r="O155" s="554">
        <v>2.77</v>
      </c>
      <c r="P155" s="567">
        <f t="shared" si="49"/>
        <v>49020.69</v>
      </c>
      <c r="Q155" s="556"/>
      <c r="R155" s="552">
        <f t="shared" si="55"/>
        <v>0</v>
      </c>
      <c r="S155" s="568"/>
      <c r="T155" s="708">
        <v>0.1</v>
      </c>
      <c r="U155" s="552">
        <f t="shared" si="48"/>
        <v>4902.0690000000004</v>
      </c>
      <c r="V155" s="724">
        <v>0.5</v>
      </c>
      <c r="W155" s="593">
        <v>12439.34</v>
      </c>
      <c r="X155" s="559">
        <f t="shared" si="50"/>
        <v>66362.099000000002</v>
      </c>
      <c r="Y155" s="1276">
        <f t="shared" si="51"/>
        <v>66362.599000000002</v>
      </c>
      <c r="Z155" s="1276">
        <f t="shared" si="52"/>
        <v>78801.938999999998</v>
      </c>
      <c r="AA155" s="1277">
        <f t="shared" si="53"/>
        <v>796345.18800000008</v>
      </c>
      <c r="AB155" s="1458">
        <f t="shared" si="54"/>
        <v>54302.433549266971</v>
      </c>
      <c r="AC155" s="1458"/>
      <c r="AD155" s="1458"/>
      <c r="AE155" s="1458"/>
      <c r="AF155" s="1458"/>
      <c r="AG155" s="1458"/>
      <c r="AH155" s="1458"/>
      <c r="AI155" s="1458"/>
      <c r="AJ155" s="1458"/>
      <c r="AK155" s="914"/>
      <c r="AL155" s="914"/>
      <c r="AM155" s="914"/>
      <c r="AN155" s="914"/>
      <c r="AO155" s="914"/>
      <c r="AP155" s="914"/>
      <c r="AQ155" s="914"/>
      <c r="AR155" s="915"/>
      <c r="AS155" s="915"/>
      <c r="AT155" s="915"/>
      <c r="AU155" s="915"/>
      <c r="AV155" s="915"/>
      <c r="AW155" s="915"/>
      <c r="AX155" s="915"/>
      <c r="AY155" s="915"/>
      <c r="AZ155" s="915"/>
      <c r="BA155" s="915"/>
      <c r="BB155" s="915"/>
      <c r="BC155" s="915"/>
      <c r="BD155" s="915"/>
      <c r="BE155" s="915"/>
      <c r="BF155" s="915"/>
      <c r="BG155" s="915"/>
      <c r="BH155" s="915"/>
      <c r="BI155" s="915"/>
      <c r="BJ155" s="915"/>
      <c r="BK155" s="915"/>
      <c r="BL155" s="915"/>
      <c r="BM155" s="915"/>
      <c r="BN155" s="915"/>
      <c r="BO155" s="915"/>
      <c r="BP155" s="915"/>
      <c r="BQ155" s="915"/>
    </row>
    <row r="156" spans="1:69" s="1459" customFormat="1" ht="15.75">
      <c r="A156" s="703">
        <v>148</v>
      </c>
      <c r="B156" s="153" t="s">
        <v>606</v>
      </c>
      <c r="C156" s="561" t="s">
        <v>784</v>
      </c>
      <c r="D156" s="560" t="s">
        <v>64</v>
      </c>
      <c r="E156" s="563"/>
      <c r="F156" s="560"/>
      <c r="G156" s="712">
        <v>1</v>
      </c>
      <c r="H156" s="563"/>
      <c r="I156" s="689"/>
      <c r="J156" s="563">
        <v>1</v>
      </c>
      <c r="K156" s="554">
        <v>17697</v>
      </c>
      <c r="L156" s="554"/>
      <c r="M156" s="554">
        <v>1</v>
      </c>
      <c r="N156" s="554"/>
      <c r="O156" s="554">
        <v>2.77</v>
      </c>
      <c r="P156" s="567">
        <f t="shared" si="49"/>
        <v>49020.69</v>
      </c>
      <c r="Q156" s="556"/>
      <c r="R156" s="552">
        <f t="shared" si="55"/>
        <v>0</v>
      </c>
      <c r="S156" s="568"/>
      <c r="T156" s="708">
        <v>0.1</v>
      </c>
      <c r="U156" s="552">
        <f t="shared" si="48"/>
        <v>4902.0690000000004</v>
      </c>
      <c r="V156" s="724">
        <v>0.5</v>
      </c>
      <c r="W156" s="593">
        <v>12439.34</v>
      </c>
      <c r="X156" s="559">
        <f t="shared" si="50"/>
        <v>66362.099000000002</v>
      </c>
      <c r="Y156" s="1276">
        <f t="shared" si="51"/>
        <v>66362.599000000002</v>
      </c>
      <c r="Z156" s="1276">
        <f t="shared" si="52"/>
        <v>78801.938999999998</v>
      </c>
      <c r="AA156" s="1277">
        <f t="shared" si="53"/>
        <v>796345.18800000008</v>
      </c>
      <c r="AB156" s="1458">
        <f t="shared" si="54"/>
        <v>54302.433549266971</v>
      </c>
      <c r="AC156" s="1458"/>
      <c r="AD156" s="1458"/>
      <c r="AE156" s="1458"/>
      <c r="AF156" s="1458"/>
      <c r="AG156" s="1458"/>
      <c r="AH156" s="1458"/>
      <c r="AI156" s="1458"/>
      <c r="AJ156" s="1458"/>
      <c r="AK156" s="914"/>
      <c r="AL156" s="914"/>
      <c r="AM156" s="914"/>
      <c r="AN156" s="914"/>
      <c r="AO156" s="914"/>
      <c r="AP156" s="914"/>
      <c r="AQ156" s="914"/>
      <c r="AR156" s="915"/>
      <c r="AS156" s="915"/>
      <c r="AT156" s="915"/>
      <c r="AU156" s="915"/>
      <c r="AV156" s="915"/>
      <c r="AW156" s="915"/>
      <c r="AX156" s="915"/>
      <c r="AY156" s="915"/>
      <c r="AZ156" s="915"/>
      <c r="BA156" s="915"/>
      <c r="BB156" s="915"/>
      <c r="BC156" s="915"/>
      <c r="BD156" s="915"/>
      <c r="BE156" s="915"/>
      <c r="BF156" s="915"/>
      <c r="BG156" s="915"/>
      <c r="BH156" s="915"/>
      <c r="BI156" s="915"/>
      <c r="BJ156" s="915"/>
      <c r="BK156" s="915"/>
      <c r="BL156" s="915"/>
      <c r="BM156" s="915"/>
      <c r="BN156" s="915"/>
      <c r="BO156" s="915"/>
      <c r="BP156" s="915"/>
      <c r="BQ156" s="915"/>
    </row>
    <row r="157" spans="1:69" s="1459" customFormat="1" ht="15.75">
      <c r="A157" s="709">
        <v>149</v>
      </c>
      <c r="B157" s="153" t="s">
        <v>735</v>
      </c>
      <c r="C157" s="725" t="s">
        <v>785</v>
      </c>
      <c r="D157" s="560" t="s">
        <v>64</v>
      </c>
      <c r="E157" s="563"/>
      <c r="F157" s="560"/>
      <c r="G157" s="712">
        <v>1</v>
      </c>
      <c r="H157" s="563"/>
      <c r="I157" s="689"/>
      <c r="J157" s="563">
        <v>1</v>
      </c>
      <c r="K157" s="554">
        <v>17697</v>
      </c>
      <c r="L157" s="554"/>
      <c r="M157" s="554">
        <v>1</v>
      </c>
      <c r="N157" s="554"/>
      <c r="O157" s="554">
        <v>2.77</v>
      </c>
      <c r="P157" s="567">
        <f t="shared" si="49"/>
        <v>49020.69</v>
      </c>
      <c r="Q157" s="556"/>
      <c r="R157" s="552">
        <f t="shared" si="55"/>
        <v>0</v>
      </c>
      <c r="S157" s="554"/>
      <c r="T157" s="708">
        <v>0.1</v>
      </c>
      <c r="U157" s="552">
        <f t="shared" si="48"/>
        <v>4902.0690000000004</v>
      </c>
      <c r="V157" s="724">
        <v>0.5</v>
      </c>
      <c r="W157" s="593">
        <v>12439.34</v>
      </c>
      <c r="X157" s="559">
        <f t="shared" si="50"/>
        <v>66362.099000000002</v>
      </c>
      <c r="Y157" s="1276">
        <f t="shared" si="51"/>
        <v>66362.599000000002</v>
      </c>
      <c r="Z157" s="1276">
        <f t="shared" si="52"/>
        <v>78801.938999999998</v>
      </c>
      <c r="AA157" s="1277">
        <f t="shared" si="53"/>
        <v>796345.18800000008</v>
      </c>
      <c r="AB157" s="1458">
        <f t="shared" si="54"/>
        <v>54302.433549266971</v>
      </c>
      <c r="AC157" s="1458"/>
      <c r="AD157" s="1458"/>
      <c r="AE157" s="1458"/>
      <c r="AF157" s="1458"/>
      <c r="AG157" s="1458"/>
      <c r="AH157" s="1458"/>
      <c r="AI157" s="1458"/>
      <c r="AJ157" s="1458"/>
      <c r="AK157" s="914"/>
      <c r="AL157" s="1787"/>
      <c r="AM157" s="914"/>
      <c r="AN157" s="914"/>
      <c r="AO157" s="914"/>
      <c r="AP157" s="914"/>
      <c r="AQ157" s="914"/>
      <c r="AR157" s="915"/>
      <c r="AS157" s="915"/>
      <c r="AT157" s="915"/>
      <c r="AU157" s="915"/>
      <c r="AV157" s="915"/>
      <c r="AW157" s="915"/>
      <c r="AX157" s="915"/>
      <c r="AY157" s="915"/>
      <c r="AZ157" s="915"/>
      <c r="BA157" s="915"/>
      <c r="BB157" s="915"/>
      <c r="BC157" s="915"/>
      <c r="BD157" s="915"/>
      <c r="BE157" s="915"/>
      <c r="BF157" s="915"/>
      <c r="BG157" s="915"/>
      <c r="BH157" s="915"/>
      <c r="BI157" s="915"/>
      <c r="BJ157" s="915"/>
      <c r="BK157" s="915"/>
      <c r="BL157" s="915"/>
      <c r="BM157" s="915"/>
      <c r="BN157" s="915"/>
      <c r="BO157" s="915"/>
      <c r="BP157" s="915"/>
      <c r="BQ157" s="915"/>
    </row>
    <row r="158" spans="1:69" s="1278" customFormat="1" ht="15.75">
      <c r="A158" s="703">
        <v>150</v>
      </c>
      <c r="B158" s="153" t="s">
        <v>333</v>
      </c>
      <c r="C158" s="725" t="s">
        <v>785</v>
      </c>
      <c r="D158" s="560" t="s">
        <v>64</v>
      </c>
      <c r="E158" s="563"/>
      <c r="F158" s="560"/>
      <c r="G158" s="712">
        <v>1</v>
      </c>
      <c r="H158" s="563"/>
      <c r="I158" s="689"/>
      <c r="J158" s="563">
        <v>1</v>
      </c>
      <c r="K158" s="554">
        <v>17697</v>
      </c>
      <c r="L158" s="554"/>
      <c r="M158" s="554">
        <v>1</v>
      </c>
      <c r="N158" s="554"/>
      <c r="O158" s="554">
        <v>2.77</v>
      </c>
      <c r="P158" s="567">
        <f t="shared" si="49"/>
        <v>49020.69</v>
      </c>
      <c r="Q158" s="556"/>
      <c r="R158" s="552">
        <f t="shared" si="55"/>
        <v>0</v>
      </c>
      <c r="S158" s="554"/>
      <c r="T158" s="708">
        <v>0.1</v>
      </c>
      <c r="U158" s="552">
        <f t="shared" si="48"/>
        <v>4902.0690000000004</v>
      </c>
      <c r="V158" s="724">
        <v>0.5</v>
      </c>
      <c r="W158" s="593">
        <v>12439.34</v>
      </c>
      <c r="X158" s="559">
        <f t="shared" si="50"/>
        <v>66362.099000000002</v>
      </c>
      <c r="Y158" s="1276">
        <f t="shared" si="51"/>
        <v>66362.599000000002</v>
      </c>
      <c r="Z158" s="1276">
        <f t="shared" si="52"/>
        <v>78801.938999999998</v>
      </c>
      <c r="AA158" s="1277">
        <f t="shared" si="53"/>
        <v>796345.18800000008</v>
      </c>
      <c r="AB158" s="1458">
        <f t="shared" si="54"/>
        <v>54302.433549266971</v>
      </c>
      <c r="AK158" s="23"/>
      <c r="AL158" s="23"/>
      <c r="AM158" s="23"/>
      <c r="AN158" s="23"/>
      <c r="AO158" s="23"/>
      <c r="AP158" s="23"/>
      <c r="AQ158" s="23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</row>
    <row r="159" spans="1:69" s="1278" customFormat="1" ht="15.75">
      <c r="A159" s="709">
        <v>151</v>
      </c>
      <c r="B159" s="153" t="s">
        <v>350</v>
      </c>
      <c r="C159" s="725" t="s">
        <v>785</v>
      </c>
      <c r="D159" s="560" t="s">
        <v>64</v>
      </c>
      <c r="E159" s="563"/>
      <c r="F159" s="560"/>
      <c r="G159" s="712">
        <v>1</v>
      </c>
      <c r="H159" s="563"/>
      <c r="I159" s="689"/>
      <c r="J159" s="563">
        <v>1</v>
      </c>
      <c r="K159" s="554">
        <v>17697</v>
      </c>
      <c r="L159" s="554"/>
      <c r="M159" s="554">
        <v>1</v>
      </c>
      <c r="N159" s="554"/>
      <c r="O159" s="554">
        <v>2.77</v>
      </c>
      <c r="P159" s="567">
        <f t="shared" si="49"/>
        <v>49020.69</v>
      </c>
      <c r="Q159" s="556"/>
      <c r="R159" s="552">
        <f t="shared" si="55"/>
        <v>0</v>
      </c>
      <c r="S159" s="554"/>
      <c r="T159" s="708">
        <v>0.1</v>
      </c>
      <c r="U159" s="552">
        <f t="shared" si="48"/>
        <v>4902.0690000000004</v>
      </c>
      <c r="V159" s="724">
        <v>0.5</v>
      </c>
      <c r="W159" s="593">
        <v>12439.34</v>
      </c>
      <c r="X159" s="559">
        <f t="shared" si="50"/>
        <v>66362.099000000002</v>
      </c>
      <c r="Y159" s="1276">
        <f t="shared" si="51"/>
        <v>66362.599000000002</v>
      </c>
      <c r="Z159" s="1276">
        <f t="shared" si="52"/>
        <v>78801.938999999998</v>
      </c>
      <c r="AA159" s="1277">
        <f t="shared" si="53"/>
        <v>796345.18800000008</v>
      </c>
      <c r="AB159" s="1458">
        <f t="shared" si="54"/>
        <v>54302.433549266971</v>
      </c>
      <c r="AK159" s="23"/>
      <c r="AL159" s="23"/>
      <c r="AM159" s="906"/>
      <c r="AN159" s="906"/>
      <c r="AO159" s="23"/>
      <c r="AP159" s="23"/>
      <c r="AQ159" s="23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</row>
    <row r="160" spans="1:69" s="1278" customFormat="1" ht="15.75">
      <c r="A160" s="703">
        <v>152</v>
      </c>
      <c r="B160" s="726" t="s">
        <v>351</v>
      </c>
      <c r="C160" s="662" t="s">
        <v>786</v>
      </c>
      <c r="D160" s="663" t="s">
        <v>75</v>
      </c>
      <c r="E160" s="663"/>
      <c r="F160" s="727"/>
      <c r="G160" s="663">
        <v>1</v>
      </c>
      <c r="H160" s="728"/>
      <c r="I160" s="728"/>
      <c r="J160" s="663">
        <v>1</v>
      </c>
      <c r="K160" s="567">
        <v>17697</v>
      </c>
      <c r="L160" s="567"/>
      <c r="M160" s="554">
        <v>1</v>
      </c>
      <c r="N160" s="567"/>
      <c r="O160" s="554">
        <v>2.77</v>
      </c>
      <c r="P160" s="567">
        <f t="shared" si="49"/>
        <v>49020.69</v>
      </c>
      <c r="Q160" s="556"/>
      <c r="R160" s="552">
        <f t="shared" si="55"/>
        <v>0</v>
      </c>
      <c r="S160" s="567"/>
      <c r="T160" s="708">
        <v>0.1</v>
      </c>
      <c r="U160" s="552">
        <f t="shared" si="48"/>
        <v>4902.0690000000004</v>
      </c>
      <c r="V160" s="567">
        <v>0</v>
      </c>
      <c r="W160" s="593">
        <v>12439.34</v>
      </c>
      <c r="X160" s="559">
        <f t="shared" si="50"/>
        <v>66362.099000000002</v>
      </c>
      <c r="Y160" s="1276">
        <f t="shared" si="51"/>
        <v>66362.599000000002</v>
      </c>
      <c r="Z160" s="1276">
        <f t="shared" si="52"/>
        <v>78801.938999999998</v>
      </c>
      <c r="AA160" s="1277">
        <f t="shared" si="53"/>
        <v>796345.18800000008</v>
      </c>
      <c r="AB160" s="1458">
        <f t="shared" si="54"/>
        <v>54302.433549266971</v>
      </c>
      <c r="AK160" s="23"/>
      <c r="AL160" s="23"/>
      <c r="AM160" s="906"/>
      <c r="AN160" s="23"/>
      <c r="AO160" s="23"/>
      <c r="AP160" s="23"/>
      <c r="AQ160" s="23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</row>
    <row r="161" spans="1:69" s="1278" customFormat="1" ht="15.75">
      <c r="A161" s="709">
        <v>153</v>
      </c>
      <c r="B161" s="726" t="s">
        <v>607</v>
      </c>
      <c r="C161" s="662" t="s">
        <v>786</v>
      </c>
      <c r="D161" s="663" t="s">
        <v>75</v>
      </c>
      <c r="E161" s="663"/>
      <c r="F161" s="727"/>
      <c r="G161" s="663">
        <v>1</v>
      </c>
      <c r="H161" s="728"/>
      <c r="I161" s="728"/>
      <c r="J161" s="663">
        <v>1</v>
      </c>
      <c r="K161" s="567">
        <v>17697</v>
      </c>
      <c r="L161" s="567"/>
      <c r="M161" s="554">
        <v>1</v>
      </c>
      <c r="N161" s="567"/>
      <c r="O161" s="554">
        <v>2.77</v>
      </c>
      <c r="P161" s="567">
        <f t="shared" si="49"/>
        <v>49020.69</v>
      </c>
      <c r="Q161" s="556"/>
      <c r="R161" s="552">
        <f t="shared" si="55"/>
        <v>0</v>
      </c>
      <c r="S161" s="567"/>
      <c r="T161" s="708">
        <v>0.1</v>
      </c>
      <c r="U161" s="552">
        <f t="shared" si="48"/>
        <v>4902.0690000000004</v>
      </c>
      <c r="V161" s="567">
        <v>0</v>
      </c>
      <c r="W161" s="593">
        <v>12439.34</v>
      </c>
      <c r="X161" s="559">
        <f t="shared" si="50"/>
        <v>66362.099000000002</v>
      </c>
      <c r="Y161" s="1276">
        <f t="shared" si="51"/>
        <v>66362.099000000002</v>
      </c>
      <c r="Z161" s="1276">
        <f t="shared" si="52"/>
        <v>78801.438999999998</v>
      </c>
      <c r="AA161" s="1277">
        <f t="shared" si="53"/>
        <v>796345.18800000008</v>
      </c>
      <c r="AB161" s="1458">
        <f t="shared" si="54"/>
        <v>54302.433549266971</v>
      </c>
      <c r="AC161" s="1277"/>
      <c r="AD161" s="1277"/>
      <c r="AE161" s="1482"/>
      <c r="AF161" s="1483"/>
      <c r="AG161" s="1277"/>
      <c r="AK161" s="23"/>
      <c r="AL161" s="23"/>
      <c r="AM161" s="906"/>
      <c r="AN161" s="23"/>
      <c r="AO161" s="23"/>
      <c r="AP161" s="23"/>
      <c r="AQ161" s="23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</row>
    <row r="162" spans="1:69" s="1278" customFormat="1" ht="15.75">
      <c r="A162" s="703">
        <v>154</v>
      </c>
      <c r="B162" s="729" t="s">
        <v>354</v>
      </c>
      <c r="C162" s="662" t="s">
        <v>786</v>
      </c>
      <c r="D162" s="663" t="s">
        <v>75</v>
      </c>
      <c r="E162" s="663"/>
      <c r="F162" s="727"/>
      <c r="G162" s="663">
        <v>1</v>
      </c>
      <c r="H162" s="728"/>
      <c r="I162" s="728"/>
      <c r="J162" s="663">
        <v>1</v>
      </c>
      <c r="K162" s="567">
        <v>17697</v>
      </c>
      <c r="L162" s="567"/>
      <c r="M162" s="554">
        <v>1</v>
      </c>
      <c r="N162" s="567"/>
      <c r="O162" s="554">
        <v>2.77</v>
      </c>
      <c r="P162" s="567">
        <f t="shared" si="49"/>
        <v>49020.69</v>
      </c>
      <c r="Q162" s="556"/>
      <c r="R162" s="552">
        <f t="shared" si="55"/>
        <v>0</v>
      </c>
      <c r="S162" s="567"/>
      <c r="T162" s="708">
        <v>0.1</v>
      </c>
      <c r="U162" s="552">
        <f t="shared" si="48"/>
        <v>4902.0690000000004</v>
      </c>
      <c r="V162" s="567">
        <v>0</v>
      </c>
      <c r="W162" s="593">
        <v>12439.34</v>
      </c>
      <c r="X162" s="559">
        <f t="shared" si="50"/>
        <v>66362.099000000002</v>
      </c>
      <c r="Y162" s="1276">
        <f t="shared" si="51"/>
        <v>66362.099000000002</v>
      </c>
      <c r="Z162" s="1276">
        <f t="shared" si="52"/>
        <v>78801.438999999998</v>
      </c>
      <c r="AA162" s="1277">
        <f t="shared" si="53"/>
        <v>796345.18800000008</v>
      </c>
      <c r="AB162" s="1458">
        <f t="shared" si="54"/>
        <v>54302.433549266971</v>
      </c>
      <c r="AC162" s="1277"/>
      <c r="AD162" s="1277"/>
      <c r="AE162" s="1482"/>
      <c r="AF162" s="1483"/>
      <c r="AG162" s="1277"/>
      <c r="AK162" s="23"/>
      <c r="AL162" s="23"/>
      <c r="AM162" s="23"/>
      <c r="AN162" s="23"/>
      <c r="AO162" s="23"/>
      <c r="AP162" s="23"/>
      <c r="AQ162" s="23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</row>
    <row r="163" spans="1:69" s="1278" customFormat="1" ht="15.75">
      <c r="A163" s="709">
        <v>155</v>
      </c>
      <c r="B163" s="646" t="s">
        <v>355</v>
      </c>
      <c r="C163" s="647" t="s">
        <v>356</v>
      </c>
      <c r="D163" s="663" t="s">
        <v>75</v>
      </c>
      <c r="E163" s="646"/>
      <c r="F163" s="646"/>
      <c r="G163" s="628">
        <v>1</v>
      </c>
      <c r="H163" s="714"/>
      <c r="I163" s="715"/>
      <c r="J163" s="628">
        <v>1</v>
      </c>
      <c r="K163" s="715">
        <v>17697</v>
      </c>
      <c r="L163" s="715"/>
      <c r="M163" s="554">
        <v>1</v>
      </c>
      <c r="N163" s="554"/>
      <c r="O163" s="554">
        <v>2.77</v>
      </c>
      <c r="P163" s="567">
        <f t="shared" si="49"/>
        <v>49020.69</v>
      </c>
      <c r="Q163" s="556"/>
      <c r="R163" s="552">
        <f t="shared" si="55"/>
        <v>0</v>
      </c>
      <c r="S163" s="554"/>
      <c r="T163" s="708">
        <v>0.1</v>
      </c>
      <c r="U163" s="552">
        <f t="shared" si="48"/>
        <v>4902.0690000000004</v>
      </c>
      <c r="V163" s="567">
        <v>0</v>
      </c>
      <c r="W163" s="567">
        <v>0</v>
      </c>
      <c r="X163" s="559">
        <f t="shared" si="50"/>
        <v>53922.759000000005</v>
      </c>
      <c r="Y163" s="1276">
        <f t="shared" si="51"/>
        <v>66362.099000000002</v>
      </c>
      <c r="Z163" s="1276">
        <f t="shared" si="52"/>
        <v>78801.438999999998</v>
      </c>
      <c r="AA163" s="1277">
        <f t="shared" si="53"/>
        <v>796345.18800000008</v>
      </c>
      <c r="AB163" s="1458">
        <f t="shared" si="54"/>
        <v>54302.433549266971</v>
      </c>
      <c r="AC163" s="1277"/>
      <c r="AD163" s="1277"/>
      <c r="AE163" s="1482"/>
      <c r="AF163" s="1483"/>
      <c r="AG163" s="1277"/>
      <c r="AK163" s="23"/>
      <c r="AL163" s="23"/>
      <c r="AM163" s="23"/>
      <c r="AN163" s="23"/>
      <c r="AO163" s="23"/>
      <c r="AP163" s="23"/>
      <c r="AQ163" s="23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</row>
    <row r="164" spans="1:69" s="1469" customFormat="1" ht="15.75">
      <c r="A164" s="703">
        <v>156</v>
      </c>
      <c r="B164" s="646" t="s">
        <v>357</v>
      </c>
      <c r="C164" s="561" t="s">
        <v>358</v>
      </c>
      <c r="D164" s="560" t="s">
        <v>64</v>
      </c>
      <c r="E164" s="646"/>
      <c r="F164" s="646"/>
      <c r="G164" s="628">
        <v>1</v>
      </c>
      <c r="H164" s="714"/>
      <c r="I164" s="715"/>
      <c r="J164" s="628">
        <v>1</v>
      </c>
      <c r="K164" s="715">
        <v>17697</v>
      </c>
      <c r="L164" s="715"/>
      <c r="M164" s="554">
        <v>1</v>
      </c>
      <c r="N164" s="554"/>
      <c r="O164" s="554">
        <v>2.77</v>
      </c>
      <c r="P164" s="567">
        <f t="shared" si="49"/>
        <v>49020.69</v>
      </c>
      <c r="Q164" s="556"/>
      <c r="R164" s="552">
        <f t="shared" si="55"/>
        <v>0</v>
      </c>
      <c r="S164" s="554"/>
      <c r="T164" s="708">
        <v>0.1</v>
      </c>
      <c r="U164" s="552">
        <f t="shared" si="48"/>
        <v>4902.0690000000004</v>
      </c>
      <c r="V164" s="567">
        <v>0</v>
      </c>
      <c r="W164" s="567">
        <v>0</v>
      </c>
      <c r="X164" s="559">
        <f t="shared" si="50"/>
        <v>53922.759000000005</v>
      </c>
      <c r="Y164" s="1276">
        <f t="shared" si="51"/>
        <v>53922.759000000005</v>
      </c>
      <c r="Z164" s="1276">
        <f t="shared" si="52"/>
        <v>53922.759000000005</v>
      </c>
      <c r="AA164" s="1277">
        <f t="shared" si="53"/>
        <v>647073.10800000001</v>
      </c>
      <c r="AB164" s="1458">
        <f t="shared" si="54"/>
        <v>44123.635049437435</v>
      </c>
      <c r="AC164" s="1493">
        <f>SUM(X139:X164)</f>
        <v>1593746.8760999998</v>
      </c>
      <c r="AK164" s="1778"/>
      <c r="AL164" s="1778"/>
      <c r="AM164" s="1778"/>
      <c r="AN164" s="1778"/>
      <c r="AO164" s="1778"/>
      <c r="AP164" s="1778"/>
      <c r="AQ164" s="1778"/>
      <c r="AR164" s="908"/>
      <c r="AS164" s="908"/>
      <c r="AT164" s="908"/>
      <c r="AU164" s="908"/>
      <c r="AV164" s="908"/>
      <c r="AW164" s="908"/>
      <c r="AX164" s="908"/>
      <c r="AY164" s="908"/>
      <c r="AZ164" s="908"/>
      <c r="BA164" s="908"/>
      <c r="BB164" s="908"/>
      <c r="BC164" s="908"/>
      <c r="BD164" s="908"/>
      <c r="BE164" s="908"/>
      <c r="BF164" s="908"/>
      <c r="BG164" s="908"/>
      <c r="BH164" s="908"/>
      <c r="BI164" s="908"/>
      <c r="BJ164" s="908"/>
      <c r="BK164" s="908"/>
      <c r="BL164" s="908"/>
      <c r="BM164" s="908"/>
      <c r="BN164" s="908"/>
      <c r="BO164" s="908"/>
      <c r="BP164" s="908"/>
      <c r="BQ164" s="908"/>
    </row>
    <row r="165" spans="1:69" s="1469" customFormat="1" ht="15.75">
      <c r="A165" s="2307" t="s">
        <v>359</v>
      </c>
      <c r="B165" s="2307"/>
      <c r="C165" s="2307"/>
      <c r="D165" s="2307"/>
      <c r="E165" s="1942"/>
      <c r="F165" s="1942"/>
      <c r="G165" s="943"/>
      <c r="H165" s="1942"/>
      <c r="I165" s="1942"/>
      <c r="J165" s="1942"/>
      <c r="K165" s="1942"/>
      <c r="L165" s="944">
        <f>L138+L100+L77+L123</f>
        <v>2282</v>
      </c>
      <c r="M165" s="1035">
        <f>SUM(M6:M164)</f>
        <v>170.57777777777773</v>
      </c>
      <c r="N165" s="626"/>
      <c r="O165" s="626"/>
      <c r="P165" s="626">
        <f>SUM(P6:P164)</f>
        <v>12574214.016000001</v>
      </c>
      <c r="Q165" s="626">
        <f>SUM(Q6:Q164)</f>
        <v>0</v>
      </c>
      <c r="R165" s="626"/>
      <c r="S165" s="626">
        <f>SUM(S6:S164)</f>
        <v>279875.5970833333</v>
      </c>
      <c r="T165" s="626"/>
      <c r="U165" s="626">
        <f>SUM(U6:U164)</f>
        <v>1282856.1700583324</v>
      </c>
      <c r="V165" s="626"/>
      <c r="W165" s="626">
        <f>SUM(W6:W164)</f>
        <v>164868.08999999997</v>
      </c>
      <c r="X165" s="626">
        <f>SUM(X6:X164)-1.81</f>
        <v>14301813.873141671</v>
      </c>
      <c r="Y165" s="1276">
        <f t="shared" si="51"/>
        <v>53922.759000000005</v>
      </c>
      <c r="Z165" s="1276">
        <f t="shared" si="52"/>
        <v>53922.759000000005</v>
      </c>
      <c r="AA165" s="1277">
        <f t="shared" si="53"/>
        <v>647073.10800000001</v>
      </c>
      <c r="AB165" s="1458">
        <f t="shared" si="54"/>
        <v>44123.635049437435</v>
      </c>
      <c r="AK165" s="1778"/>
      <c r="AL165" s="1784"/>
      <c r="AM165" s="1778"/>
      <c r="AN165" s="1778"/>
      <c r="AO165" s="1778"/>
      <c r="AP165" s="1778"/>
      <c r="AQ165" s="1778"/>
      <c r="AR165" s="908"/>
      <c r="AS165" s="908"/>
      <c r="AT165" s="908"/>
      <c r="AU165" s="908"/>
      <c r="AV165" s="908"/>
      <c r="AW165" s="908"/>
      <c r="AX165" s="908"/>
      <c r="AY165" s="908"/>
      <c r="AZ165" s="908"/>
      <c r="BA165" s="908"/>
      <c r="BB165" s="908"/>
      <c r="BC165" s="908"/>
      <c r="BD165" s="908"/>
      <c r="BE165" s="908"/>
      <c r="BF165" s="908"/>
      <c r="BG165" s="908"/>
      <c r="BH165" s="908"/>
      <c r="BI165" s="908"/>
      <c r="BJ165" s="908"/>
      <c r="BK165" s="908"/>
      <c r="BL165" s="908"/>
      <c r="BM165" s="908"/>
      <c r="BN165" s="908"/>
      <c r="BO165" s="908"/>
      <c r="BP165" s="908"/>
      <c r="BQ165" s="908"/>
    </row>
    <row r="166" spans="1:69" s="84" customFormat="1" ht="22.5" customHeight="1">
      <c r="A166" s="24"/>
      <c r="B166" s="24"/>
      <c r="C166" s="89"/>
      <c r="D166" s="24"/>
      <c r="E166" s="24"/>
      <c r="F166" s="24"/>
      <c r="G166" s="24"/>
      <c r="H166" s="24"/>
      <c r="I166" s="24"/>
      <c r="J166" s="24"/>
      <c r="K166" s="262"/>
      <c r="L166" s="262"/>
      <c r="M166" s="262"/>
      <c r="N166" s="262"/>
      <c r="O166" s="262"/>
      <c r="P166" s="262"/>
      <c r="Q166" s="262"/>
      <c r="R166" s="262"/>
      <c r="S166" s="262"/>
      <c r="T166" s="262"/>
      <c r="U166" s="262"/>
      <c r="V166" s="262"/>
      <c r="W166" s="262"/>
      <c r="X166" s="262"/>
      <c r="Y166" s="141">
        <f>SUM(Y6:Y165)</f>
        <v>1680613.6020999998</v>
      </c>
      <c r="Z166" s="141">
        <f>SUM(Z6:Z165)</f>
        <v>2154188.2437666669</v>
      </c>
      <c r="AA166" s="262"/>
      <c r="AB166" s="1026" t="e">
        <f>SUM(AB6:AB165)</f>
        <v>#REF!</v>
      </c>
      <c r="AC166" s="262"/>
      <c r="AD166" s="262" t="e">
        <f>SUM(AD27:AD165)</f>
        <v>#REF!</v>
      </c>
      <c r="AE166" s="262"/>
      <c r="AF166" s="262"/>
      <c r="AG166" s="262"/>
      <c r="AH166" s="262"/>
      <c r="AI166" s="262"/>
      <c r="AJ166" s="262"/>
      <c r="AK166" s="1785"/>
      <c r="AL166" s="1785"/>
      <c r="AM166" s="1786"/>
      <c r="AN166" s="1786"/>
      <c r="AO166" s="1786"/>
      <c r="AP166" s="1786"/>
      <c r="AQ166" s="1786"/>
      <c r="AR166" s="262"/>
      <c r="AS166" s="262"/>
      <c r="AT166" s="262"/>
      <c r="AU166" s="262"/>
      <c r="AV166" s="262"/>
      <c r="AW166" s="262"/>
      <c r="AX166" s="262"/>
      <c r="AY166" s="262"/>
      <c r="AZ166" s="262"/>
      <c r="BA166" s="262"/>
      <c r="BB166" s="262"/>
      <c r="BC166" s="262"/>
      <c r="BD166" s="262"/>
      <c r="BE166" s="262"/>
      <c r="BF166" s="262"/>
      <c r="BG166" s="262"/>
      <c r="BH166" s="262"/>
      <c r="BI166" s="262"/>
      <c r="BJ166" s="262"/>
      <c r="BK166" s="262"/>
      <c r="BL166" s="262"/>
      <c r="BM166" s="262"/>
      <c r="BN166" s="262"/>
      <c r="BO166" s="262"/>
      <c r="BP166" s="262"/>
      <c r="BQ166" s="262"/>
    </row>
    <row r="167" spans="1:69" ht="25.5" customHeight="1">
      <c r="M167" s="85"/>
      <c r="N167" s="86"/>
      <c r="O167" s="23"/>
      <c r="P167" s="87"/>
      <c r="Q167" s="87"/>
      <c r="R167" s="88"/>
      <c r="AD167" s="1027"/>
      <c r="AL167" s="906"/>
    </row>
    <row r="168" spans="1:69" s="24" customFormat="1">
      <c r="A168" s="1"/>
      <c r="B168" s="1"/>
      <c r="C168" s="1931"/>
      <c r="D168" s="1"/>
      <c r="E168" s="1"/>
      <c r="F168" s="1"/>
      <c r="G168" s="1"/>
      <c r="H168" s="1"/>
      <c r="I168" s="1"/>
      <c r="J168" s="1"/>
      <c r="K168" s="982" t="s">
        <v>604</v>
      </c>
      <c r="L168" s="983">
        <f>SUM(M139:M164)</f>
        <v>26.3</v>
      </c>
      <c r="M168" s="22">
        <f>SUM(X139:X164)</f>
        <v>1593746.8760999998</v>
      </c>
      <c r="N168" s="89"/>
      <c r="R168" s="1"/>
      <c r="S168" s="1"/>
      <c r="T168" s="1"/>
      <c r="U168" s="3"/>
      <c r="V168" s="1"/>
      <c r="W168" s="1"/>
      <c r="X168" s="3"/>
      <c r="Y168" s="3"/>
      <c r="Z168" s="3"/>
      <c r="AK168" s="906"/>
      <c r="AL168" s="23"/>
      <c r="AM168" s="23"/>
      <c r="AN168" s="23"/>
      <c r="AO168" s="23"/>
      <c r="AP168" s="23"/>
      <c r="AQ168" s="23"/>
    </row>
    <row r="169" spans="1:69" s="24" customFormat="1">
      <c r="A169" s="1"/>
      <c r="B169" s="1"/>
      <c r="C169" s="1931"/>
      <c r="D169" s="1"/>
      <c r="E169" s="1"/>
      <c r="F169" s="1"/>
      <c r="G169" s="1"/>
      <c r="H169" s="1"/>
      <c r="I169" s="1"/>
      <c r="J169" s="1"/>
      <c r="K169" s="1"/>
      <c r="L169" s="1"/>
      <c r="M169" s="3"/>
      <c r="N169" s="1931"/>
      <c r="O169" s="1"/>
      <c r="P169" s="3"/>
      <c r="Q169" s="1"/>
      <c r="R169" s="3"/>
      <c r="S169" s="3"/>
      <c r="T169" s="1"/>
      <c r="U169" s="3"/>
      <c r="V169" s="3"/>
      <c r="W169" s="3"/>
      <c r="X169" s="3"/>
      <c r="Y169" s="3"/>
      <c r="Z169" s="3"/>
      <c r="AK169" s="23"/>
      <c r="AL169" s="23"/>
      <c r="AM169" s="23"/>
      <c r="AN169" s="23"/>
      <c r="AO169" s="23"/>
      <c r="AP169" s="23"/>
      <c r="AQ169" s="23"/>
    </row>
    <row r="170" spans="1:69" s="24" customFormat="1">
      <c r="A170" s="1"/>
      <c r="B170" s="1"/>
      <c r="C170" s="1931"/>
      <c r="D170" s="1"/>
      <c r="E170" s="1"/>
      <c r="F170" s="1"/>
      <c r="G170" s="1"/>
      <c r="H170" s="1"/>
      <c r="I170" s="1"/>
      <c r="J170" s="1"/>
      <c r="K170" s="983" t="s">
        <v>638</v>
      </c>
      <c r="L170" s="983">
        <f>SUM(M27:M137)</f>
        <v>126.77777777777773</v>
      </c>
      <c r="M170" s="3">
        <f>SUM(L170)</f>
        <v>126.77777777777773</v>
      </c>
      <c r="N170" s="995">
        <f>SUM(X27:X137)</f>
        <v>11107552.126041669</v>
      </c>
      <c r="O170" s="1"/>
      <c r="P170" s="1"/>
      <c r="Q170" s="1"/>
      <c r="R170" s="90"/>
      <c r="S170" s="90"/>
      <c r="T170" s="1"/>
      <c r="U170" s="1"/>
      <c r="V170" s="1"/>
      <c r="W170" s="1"/>
      <c r="X170" s="3"/>
      <c r="Y170" s="1"/>
      <c r="Z170" s="1"/>
      <c r="AK170" s="23"/>
      <c r="AL170" s="23"/>
      <c r="AM170" s="23"/>
      <c r="AN170" s="23"/>
      <c r="AO170" s="23"/>
      <c r="AP170" s="23"/>
      <c r="AQ170" s="23"/>
    </row>
    <row r="171" spans="1:69" s="24" customFormat="1">
      <c r="A171" s="1"/>
      <c r="B171" s="1"/>
      <c r="C171" s="1931"/>
      <c r="D171" s="1"/>
      <c r="E171" s="1"/>
      <c r="F171" s="1"/>
      <c r="G171" s="1"/>
      <c r="H171" s="1"/>
      <c r="I171" s="3"/>
      <c r="J171" s="1"/>
      <c r="K171" s="3"/>
      <c r="L171" s="3">
        <f>M26</f>
        <v>0</v>
      </c>
      <c r="M171" s="3"/>
      <c r="N171" s="995"/>
      <c r="O171" s="1"/>
      <c r="P171" s="1"/>
      <c r="Q171" s="3"/>
      <c r="R171" s="996"/>
      <c r="S171" s="1"/>
      <c r="T171" s="1"/>
      <c r="U171" s="1"/>
      <c r="V171" s="1"/>
      <c r="W171" s="3"/>
      <c r="X171" s="3"/>
      <c r="Y171" s="1"/>
      <c r="Z171" s="1"/>
      <c r="AK171" s="23"/>
      <c r="AL171" s="23"/>
      <c r="AM171" s="23"/>
      <c r="AN171" s="23"/>
      <c r="AO171" s="23"/>
      <c r="AP171" s="23"/>
      <c r="AQ171" s="23"/>
    </row>
    <row r="172" spans="1:69" s="24" customFormat="1">
      <c r="A172" s="1"/>
      <c r="B172" s="1"/>
      <c r="C172" s="1931"/>
      <c r="D172" s="1"/>
      <c r="E172" s="1"/>
      <c r="F172" s="1"/>
      <c r="G172" s="1"/>
      <c r="H172" s="1"/>
      <c r="I172" s="1"/>
      <c r="J172" s="1"/>
      <c r="K172" s="3"/>
      <c r="L172" s="3">
        <f>SUM(L168:L171)</f>
        <v>153.07777777777773</v>
      </c>
      <c r="M172" s="3"/>
      <c r="N172" s="193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22"/>
      <c r="AK172" s="23"/>
      <c r="AL172" s="23"/>
      <c r="AM172" s="23"/>
      <c r="AN172" s="23"/>
      <c r="AO172" s="23"/>
      <c r="AP172" s="23"/>
      <c r="AQ172" s="23"/>
    </row>
    <row r="173" spans="1:69">
      <c r="K173" s="3"/>
    </row>
    <row r="174" spans="1:69">
      <c r="K174" s="88"/>
      <c r="L174" s="88"/>
      <c r="M174" s="3"/>
    </row>
    <row r="175" spans="1:69">
      <c r="K175" s="982" t="s">
        <v>564</v>
      </c>
      <c r="L175" s="983">
        <f>SUM(M6:M25)</f>
        <v>17.5</v>
      </c>
      <c r="M175" s="3">
        <f>SUM(X6:X25)</f>
        <v>1600516.6810000003</v>
      </c>
      <c r="AA175" s="22"/>
    </row>
    <row r="176" spans="1:69">
      <c r="M176" s="3"/>
      <c r="O176" s="3"/>
      <c r="U176" s="3"/>
    </row>
    <row r="177" spans="1:43" s="24" customFormat="1">
      <c r="A177" s="1"/>
      <c r="B177" s="1"/>
      <c r="C177" s="1931"/>
      <c r="D177" s="1"/>
      <c r="E177" s="1"/>
      <c r="F177" s="1"/>
      <c r="G177" s="1"/>
      <c r="H177" s="1"/>
      <c r="I177" s="1"/>
      <c r="J177" s="1"/>
      <c r="K177" s="1"/>
      <c r="L177" s="3"/>
      <c r="M177" s="3"/>
      <c r="N177" s="193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K177" s="23"/>
      <c r="AL177" s="23"/>
      <c r="AM177" s="23"/>
      <c r="AN177" s="23"/>
      <c r="AO177" s="23"/>
      <c r="AP177" s="23"/>
      <c r="AQ177" s="23"/>
    </row>
    <row r="179" spans="1:43">
      <c r="M179" s="3">
        <f>M175+M168</f>
        <v>3194263.5570999999</v>
      </c>
    </row>
  </sheetData>
  <mergeCells count="25">
    <mergeCell ref="Y4:Y5"/>
    <mergeCell ref="Z4:Z5"/>
    <mergeCell ref="A165:D165"/>
    <mergeCell ref="O4:O5"/>
    <mergeCell ref="P4:P5"/>
    <mergeCell ref="R4:S4"/>
    <mergeCell ref="T4:U4"/>
    <mergeCell ref="V4:W4"/>
    <mergeCell ref="X4:X5"/>
    <mergeCell ref="I4:I5"/>
    <mergeCell ref="J4:J5"/>
    <mergeCell ref="K4:K5"/>
    <mergeCell ref="L4:L5"/>
    <mergeCell ref="M4:M5"/>
    <mergeCell ref="N4:N5"/>
    <mergeCell ref="A2:X2"/>
    <mergeCell ref="A3:X3"/>
    <mergeCell ref="A4:A5"/>
    <mergeCell ref="B4:B5"/>
    <mergeCell ref="C4:C5"/>
    <mergeCell ref="D4:D5"/>
    <mergeCell ref="E4:E5"/>
    <mergeCell ref="F4:F5"/>
    <mergeCell ref="G4:G5"/>
    <mergeCell ref="H4:H5"/>
  </mergeCells>
  <pageMargins left="0" right="0" top="0.62992125984251968" bottom="0" header="0.43307086614173229" footer="0.31496062992125984"/>
  <pageSetup paperSize="9" scale="5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0">
    <tabColor rgb="FFFFFF00"/>
  </sheetPr>
  <dimension ref="A1:AR179"/>
  <sheetViews>
    <sheetView topLeftCell="A139" zoomScale="70" zoomScaleNormal="70" zoomScaleSheetLayoutView="40" workbookViewId="0">
      <pane xSplit="3" topLeftCell="D1" activePane="topRight" state="frozen"/>
      <selection pane="topRight" activeCell="U10" sqref="U10"/>
    </sheetView>
  </sheetViews>
  <sheetFormatPr defaultRowHeight="12.75"/>
  <cols>
    <col min="1" max="1" width="6.42578125" style="1" customWidth="1"/>
    <col min="2" max="2" width="22.7109375" style="1" customWidth="1"/>
    <col min="3" max="3" width="21.7109375" style="1766" customWidth="1"/>
    <col min="4" max="4" width="12.85546875" style="1" customWidth="1"/>
    <col min="5" max="5" width="14.140625" style="1" customWidth="1"/>
    <col min="6" max="6" width="13.28515625" style="1" customWidth="1"/>
    <col min="7" max="7" width="7.42578125" style="1" customWidth="1"/>
    <col min="8" max="8" width="4.7109375" style="1" customWidth="1"/>
    <col min="9" max="9" width="8.5703125" style="1" customWidth="1"/>
    <col min="10" max="10" width="5.5703125" style="1" customWidth="1"/>
    <col min="11" max="11" width="11.5703125" style="1" customWidth="1"/>
    <col min="12" max="12" width="12.28515625" style="1" customWidth="1"/>
    <col min="13" max="13" width="12.85546875" style="1" customWidth="1"/>
    <col min="14" max="14" width="12.5703125" style="1766" customWidth="1"/>
    <col min="15" max="15" width="8.85546875" style="1" customWidth="1"/>
    <col min="16" max="16" width="16.28515625" style="1" customWidth="1"/>
    <col min="17" max="17" width="14.5703125" style="1" bestFit="1" customWidth="1"/>
    <col min="18" max="18" width="9" style="1" bestFit="1" customWidth="1"/>
    <col min="19" max="19" width="13.7109375" style="1" customWidth="1"/>
    <col min="20" max="20" width="9" style="1" customWidth="1"/>
    <col min="21" max="21" width="15.140625" style="1" customWidth="1"/>
    <col min="22" max="22" width="8.5703125" style="1" customWidth="1"/>
    <col min="23" max="23" width="13.140625" style="1" customWidth="1"/>
    <col min="24" max="24" width="13.85546875" style="1" customWidth="1"/>
    <col min="25" max="26" width="18.28515625" style="1" hidden="1" customWidth="1"/>
    <col min="27" max="27" width="13" style="24" hidden="1" customWidth="1"/>
    <col min="28" max="28" width="16" style="24" hidden="1" customWidth="1"/>
    <col min="29" max="29" width="13" style="24" hidden="1" customWidth="1"/>
    <col min="30" max="30" width="12" style="24" hidden="1" customWidth="1"/>
    <col min="31" max="33" width="0" style="24" hidden="1" customWidth="1"/>
    <col min="34" max="34" width="11.28515625" style="24" hidden="1" customWidth="1"/>
    <col min="35" max="35" width="10.7109375" style="24" hidden="1" customWidth="1"/>
    <col min="36" max="36" width="0" style="24" hidden="1" customWidth="1"/>
    <col min="37" max="37" width="12" style="23" bestFit="1" customWidth="1"/>
    <col min="38" max="38" width="12.140625" style="23" bestFit="1" customWidth="1"/>
    <col min="39" max="40" width="10.28515625" style="23" bestFit="1" customWidth="1"/>
    <col min="41" max="43" width="9.140625" style="23"/>
    <col min="44" max="44" width="9.140625" style="24"/>
    <col min="45" max="257" width="9.140625" style="1"/>
    <col min="258" max="258" width="6.42578125" style="1" customWidth="1"/>
    <col min="259" max="259" width="20.7109375" style="1" customWidth="1"/>
    <col min="260" max="260" width="24.7109375" style="1" customWidth="1"/>
    <col min="261" max="261" width="11.140625" style="1" customWidth="1"/>
    <col min="262" max="262" width="12.28515625" style="1" customWidth="1"/>
    <col min="263" max="263" width="11.140625" style="1" customWidth="1"/>
    <col min="264" max="264" width="10.42578125" style="1" customWidth="1"/>
    <col min="265" max="265" width="4.7109375" style="1" customWidth="1"/>
    <col min="266" max="266" width="8.5703125" style="1" customWidth="1"/>
    <col min="267" max="267" width="5.5703125" style="1" customWidth="1"/>
    <col min="268" max="269" width="11.5703125" style="1" customWidth="1"/>
    <col min="270" max="270" width="10.85546875" style="1" customWidth="1"/>
    <col min="271" max="271" width="7.7109375" style="1" customWidth="1"/>
    <col min="272" max="272" width="8" style="1" customWidth="1"/>
    <col min="273" max="273" width="16.28515625" style="1" customWidth="1"/>
    <col min="274" max="274" width="10.5703125" style="1" customWidth="1"/>
    <col min="275" max="275" width="14.140625" style="1" customWidth="1"/>
    <col min="276" max="276" width="10.140625" style="1" customWidth="1"/>
    <col min="277" max="277" width="15.140625" style="1" customWidth="1"/>
    <col min="278" max="278" width="8.5703125" style="1" customWidth="1"/>
    <col min="279" max="279" width="14.28515625" style="1" customWidth="1"/>
    <col min="280" max="280" width="18.28515625" style="1" customWidth="1"/>
    <col min="281" max="281" width="13" style="1" bestFit="1" customWidth="1"/>
    <col min="282" max="282" width="11.7109375" style="1" bestFit="1" customWidth="1"/>
    <col min="283" max="289" width="9.140625" style="1"/>
    <col min="290" max="290" width="11.28515625" style="1" bestFit="1" customWidth="1"/>
    <col min="291" max="291" width="10.7109375" style="1" bestFit="1" customWidth="1"/>
    <col min="292" max="513" width="9.140625" style="1"/>
    <col min="514" max="514" width="6.42578125" style="1" customWidth="1"/>
    <col min="515" max="515" width="20.7109375" style="1" customWidth="1"/>
    <col min="516" max="516" width="24.7109375" style="1" customWidth="1"/>
    <col min="517" max="517" width="11.140625" style="1" customWidth="1"/>
    <col min="518" max="518" width="12.28515625" style="1" customWidth="1"/>
    <col min="519" max="519" width="11.140625" style="1" customWidth="1"/>
    <col min="520" max="520" width="10.42578125" style="1" customWidth="1"/>
    <col min="521" max="521" width="4.7109375" style="1" customWidth="1"/>
    <col min="522" max="522" width="8.5703125" style="1" customWidth="1"/>
    <col min="523" max="523" width="5.5703125" style="1" customWidth="1"/>
    <col min="524" max="525" width="11.5703125" style="1" customWidth="1"/>
    <col min="526" max="526" width="10.85546875" style="1" customWidth="1"/>
    <col min="527" max="527" width="7.7109375" style="1" customWidth="1"/>
    <col min="528" max="528" width="8" style="1" customWidth="1"/>
    <col min="529" max="529" width="16.28515625" style="1" customWidth="1"/>
    <col min="530" max="530" width="10.5703125" style="1" customWidth="1"/>
    <col min="531" max="531" width="14.140625" style="1" customWidth="1"/>
    <col min="532" max="532" width="10.140625" style="1" customWidth="1"/>
    <col min="533" max="533" width="15.140625" style="1" customWidth="1"/>
    <col min="534" max="534" width="8.5703125" style="1" customWidth="1"/>
    <col min="535" max="535" width="14.28515625" style="1" customWidth="1"/>
    <col min="536" max="536" width="18.28515625" style="1" customWidth="1"/>
    <col min="537" max="537" width="13" style="1" bestFit="1" customWidth="1"/>
    <col min="538" max="538" width="11.7109375" style="1" bestFit="1" customWidth="1"/>
    <col min="539" max="545" width="9.140625" style="1"/>
    <col min="546" max="546" width="11.28515625" style="1" bestFit="1" customWidth="1"/>
    <col min="547" max="547" width="10.7109375" style="1" bestFit="1" customWidth="1"/>
    <col min="548" max="769" width="9.140625" style="1"/>
    <col min="770" max="770" width="6.42578125" style="1" customWidth="1"/>
    <col min="771" max="771" width="20.7109375" style="1" customWidth="1"/>
    <col min="772" max="772" width="24.7109375" style="1" customWidth="1"/>
    <col min="773" max="773" width="11.140625" style="1" customWidth="1"/>
    <col min="774" max="774" width="12.28515625" style="1" customWidth="1"/>
    <col min="775" max="775" width="11.140625" style="1" customWidth="1"/>
    <col min="776" max="776" width="10.42578125" style="1" customWidth="1"/>
    <col min="777" max="777" width="4.7109375" style="1" customWidth="1"/>
    <col min="778" max="778" width="8.5703125" style="1" customWidth="1"/>
    <col min="779" max="779" width="5.5703125" style="1" customWidth="1"/>
    <col min="780" max="781" width="11.5703125" style="1" customWidth="1"/>
    <col min="782" max="782" width="10.85546875" style="1" customWidth="1"/>
    <col min="783" max="783" width="7.7109375" style="1" customWidth="1"/>
    <col min="784" max="784" width="8" style="1" customWidth="1"/>
    <col min="785" max="785" width="16.28515625" style="1" customWidth="1"/>
    <col min="786" max="786" width="10.5703125" style="1" customWidth="1"/>
    <col min="787" max="787" width="14.140625" style="1" customWidth="1"/>
    <col min="788" max="788" width="10.140625" style="1" customWidth="1"/>
    <col min="789" max="789" width="15.140625" style="1" customWidth="1"/>
    <col min="790" max="790" width="8.5703125" style="1" customWidth="1"/>
    <col min="791" max="791" width="14.28515625" style="1" customWidth="1"/>
    <col min="792" max="792" width="18.28515625" style="1" customWidth="1"/>
    <col min="793" max="793" width="13" style="1" bestFit="1" customWidth="1"/>
    <col min="794" max="794" width="11.7109375" style="1" bestFit="1" customWidth="1"/>
    <col min="795" max="801" width="9.140625" style="1"/>
    <col min="802" max="802" width="11.28515625" style="1" bestFit="1" customWidth="1"/>
    <col min="803" max="803" width="10.7109375" style="1" bestFit="1" customWidth="1"/>
    <col min="804" max="1025" width="9.140625" style="1"/>
    <col min="1026" max="1026" width="6.42578125" style="1" customWidth="1"/>
    <col min="1027" max="1027" width="20.7109375" style="1" customWidth="1"/>
    <col min="1028" max="1028" width="24.7109375" style="1" customWidth="1"/>
    <col min="1029" max="1029" width="11.140625" style="1" customWidth="1"/>
    <col min="1030" max="1030" width="12.28515625" style="1" customWidth="1"/>
    <col min="1031" max="1031" width="11.140625" style="1" customWidth="1"/>
    <col min="1032" max="1032" width="10.42578125" style="1" customWidth="1"/>
    <col min="1033" max="1033" width="4.7109375" style="1" customWidth="1"/>
    <col min="1034" max="1034" width="8.5703125" style="1" customWidth="1"/>
    <col min="1035" max="1035" width="5.5703125" style="1" customWidth="1"/>
    <col min="1036" max="1037" width="11.5703125" style="1" customWidth="1"/>
    <col min="1038" max="1038" width="10.85546875" style="1" customWidth="1"/>
    <col min="1039" max="1039" width="7.7109375" style="1" customWidth="1"/>
    <col min="1040" max="1040" width="8" style="1" customWidth="1"/>
    <col min="1041" max="1041" width="16.28515625" style="1" customWidth="1"/>
    <col min="1042" max="1042" width="10.5703125" style="1" customWidth="1"/>
    <col min="1043" max="1043" width="14.140625" style="1" customWidth="1"/>
    <col min="1044" max="1044" width="10.140625" style="1" customWidth="1"/>
    <col min="1045" max="1045" width="15.140625" style="1" customWidth="1"/>
    <col min="1046" max="1046" width="8.5703125" style="1" customWidth="1"/>
    <col min="1047" max="1047" width="14.28515625" style="1" customWidth="1"/>
    <col min="1048" max="1048" width="18.28515625" style="1" customWidth="1"/>
    <col min="1049" max="1049" width="13" style="1" bestFit="1" customWidth="1"/>
    <col min="1050" max="1050" width="11.7109375" style="1" bestFit="1" customWidth="1"/>
    <col min="1051" max="1057" width="9.140625" style="1"/>
    <col min="1058" max="1058" width="11.28515625" style="1" bestFit="1" customWidth="1"/>
    <col min="1059" max="1059" width="10.7109375" style="1" bestFit="1" customWidth="1"/>
    <col min="1060" max="1281" width="9.140625" style="1"/>
    <col min="1282" max="1282" width="6.42578125" style="1" customWidth="1"/>
    <col min="1283" max="1283" width="20.7109375" style="1" customWidth="1"/>
    <col min="1284" max="1284" width="24.7109375" style="1" customWidth="1"/>
    <col min="1285" max="1285" width="11.140625" style="1" customWidth="1"/>
    <col min="1286" max="1286" width="12.28515625" style="1" customWidth="1"/>
    <col min="1287" max="1287" width="11.140625" style="1" customWidth="1"/>
    <col min="1288" max="1288" width="10.42578125" style="1" customWidth="1"/>
    <col min="1289" max="1289" width="4.7109375" style="1" customWidth="1"/>
    <col min="1290" max="1290" width="8.5703125" style="1" customWidth="1"/>
    <col min="1291" max="1291" width="5.5703125" style="1" customWidth="1"/>
    <col min="1292" max="1293" width="11.5703125" style="1" customWidth="1"/>
    <col min="1294" max="1294" width="10.85546875" style="1" customWidth="1"/>
    <col min="1295" max="1295" width="7.7109375" style="1" customWidth="1"/>
    <col min="1296" max="1296" width="8" style="1" customWidth="1"/>
    <col min="1297" max="1297" width="16.28515625" style="1" customWidth="1"/>
    <col min="1298" max="1298" width="10.5703125" style="1" customWidth="1"/>
    <col min="1299" max="1299" width="14.140625" style="1" customWidth="1"/>
    <col min="1300" max="1300" width="10.140625" style="1" customWidth="1"/>
    <col min="1301" max="1301" width="15.140625" style="1" customWidth="1"/>
    <col min="1302" max="1302" width="8.5703125" style="1" customWidth="1"/>
    <col min="1303" max="1303" width="14.28515625" style="1" customWidth="1"/>
    <col min="1304" max="1304" width="18.28515625" style="1" customWidth="1"/>
    <col min="1305" max="1305" width="13" style="1" bestFit="1" customWidth="1"/>
    <col min="1306" max="1306" width="11.7109375" style="1" bestFit="1" customWidth="1"/>
    <col min="1307" max="1313" width="9.140625" style="1"/>
    <col min="1314" max="1314" width="11.28515625" style="1" bestFit="1" customWidth="1"/>
    <col min="1315" max="1315" width="10.7109375" style="1" bestFit="1" customWidth="1"/>
    <col min="1316" max="1537" width="9.140625" style="1"/>
    <col min="1538" max="1538" width="6.42578125" style="1" customWidth="1"/>
    <col min="1539" max="1539" width="20.7109375" style="1" customWidth="1"/>
    <col min="1540" max="1540" width="24.7109375" style="1" customWidth="1"/>
    <col min="1541" max="1541" width="11.140625" style="1" customWidth="1"/>
    <col min="1542" max="1542" width="12.28515625" style="1" customWidth="1"/>
    <col min="1543" max="1543" width="11.140625" style="1" customWidth="1"/>
    <col min="1544" max="1544" width="10.42578125" style="1" customWidth="1"/>
    <col min="1545" max="1545" width="4.7109375" style="1" customWidth="1"/>
    <col min="1546" max="1546" width="8.5703125" style="1" customWidth="1"/>
    <col min="1547" max="1547" width="5.5703125" style="1" customWidth="1"/>
    <col min="1548" max="1549" width="11.5703125" style="1" customWidth="1"/>
    <col min="1550" max="1550" width="10.85546875" style="1" customWidth="1"/>
    <col min="1551" max="1551" width="7.7109375" style="1" customWidth="1"/>
    <col min="1552" max="1552" width="8" style="1" customWidth="1"/>
    <col min="1553" max="1553" width="16.28515625" style="1" customWidth="1"/>
    <col min="1554" max="1554" width="10.5703125" style="1" customWidth="1"/>
    <col min="1555" max="1555" width="14.140625" style="1" customWidth="1"/>
    <col min="1556" max="1556" width="10.140625" style="1" customWidth="1"/>
    <col min="1557" max="1557" width="15.140625" style="1" customWidth="1"/>
    <col min="1558" max="1558" width="8.5703125" style="1" customWidth="1"/>
    <col min="1559" max="1559" width="14.28515625" style="1" customWidth="1"/>
    <col min="1560" max="1560" width="18.28515625" style="1" customWidth="1"/>
    <col min="1561" max="1561" width="13" style="1" bestFit="1" customWidth="1"/>
    <col min="1562" max="1562" width="11.7109375" style="1" bestFit="1" customWidth="1"/>
    <col min="1563" max="1569" width="9.140625" style="1"/>
    <col min="1570" max="1570" width="11.28515625" style="1" bestFit="1" customWidth="1"/>
    <col min="1571" max="1571" width="10.7109375" style="1" bestFit="1" customWidth="1"/>
    <col min="1572" max="1793" width="9.140625" style="1"/>
    <col min="1794" max="1794" width="6.42578125" style="1" customWidth="1"/>
    <col min="1795" max="1795" width="20.7109375" style="1" customWidth="1"/>
    <col min="1796" max="1796" width="24.7109375" style="1" customWidth="1"/>
    <col min="1797" max="1797" width="11.140625" style="1" customWidth="1"/>
    <col min="1798" max="1798" width="12.28515625" style="1" customWidth="1"/>
    <col min="1799" max="1799" width="11.140625" style="1" customWidth="1"/>
    <col min="1800" max="1800" width="10.42578125" style="1" customWidth="1"/>
    <col min="1801" max="1801" width="4.7109375" style="1" customWidth="1"/>
    <col min="1802" max="1802" width="8.5703125" style="1" customWidth="1"/>
    <col min="1803" max="1803" width="5.5703125" style="1" customWidth="1"/>
    <col min="1804" max="1805" width="11.5703125" style="1" customWidth="1"/>
    <col min="1806" max="1806" width="10.85546875" style="1" customWidth="1"/>
    <col min="1807" max="1807" width="7.7109375" style="1" customWidth="1"/>
    <col min="1808" max="1808" width="8" style="1" customWidth="1"/>
    <col min="1809" max="1809" width="16.28515625" style="1" customWidth="1"/>
    <col min="1810" max="1810" width="10.5703125" style="1" customWidth="1"/>
    <col min="1811" max="1811" width="14.140625" style="1" customWidth="1"/>
    <col min="1812" max="1812" width="10.140625" style="1" customWidth="1"/>
    <col min="1813" max="1813" width="15.140625" style="1" customWidth="1"/>
    <col min="1814" max="1814" width="8.5703125" style="1" customWidth="1"/>
    <col min="1815" max="1815" width="14.28515625" style="1" customWidth="1"/>
    <col min="1816" max="1816" width="18.28515625" style="1" customWidth="1"/>
    <col min="1817" max="1817" width="13" style="1" bestFit="1" customWidth="1"/>
    <col min="1818" max="1818" width="11.7109375" style="1" bestFit="1" customWidth="1"/>
    <col min="1819" max="1825" width="9.140625" style="1"/>
    <col min="1826" max="1826" width="11.28515625" style="1" bestFit="1" customWidth="1"/>
    <col min="1827" max="1827" width="10.7109375" style="1" bestFit="1" customWidth="1"/>
    <col min="1828" max="2049" width="9.140625" style="1"/>
    <col min="2050" max="2050" width="6.42578125" style="1" customWidth="1"/>
    <col min="2051" max="2051" width="20.7109375" style="1" customWidth="1"/>
    <col min="2052" max="2052" width="24.7109375" style="1" customWidth="1"/>
    <col min="2053" max="2053" width="11.140625" style="1" customWidth="1"/>
    <col min="2054" max="2054" width="12.28515625" style="1" customWidth="1"/>
    <col min="2055" max="2055" width="11.140625" style="1" customWidth="1"/>
    <col min="2056" max="2056" width="10.42578125" style="1" customWidth="1"/>
    <col min="2057" max="2057" width="4.7109375" style="1" customWidth="1"/>
    <col min="2058" max="2058" width="8.5703125" style="1" customWidth="1"/>
    <col min="2059" max="2059" width="5.5703125" style="1" customWidth="1"/>
    <col min="2060" max="2061" width="11.5703125" style="1" customWidth="1"/>
    <col min="2062" max="2062" width="10.85546875" style="1" customWidth="1"/>
    <col min="2063" max="2063" width="7.7109375" style="1" customWidth="1"/>
    <col min="2064" max="2064" width="8" style="1" customWidth="1"/>
    <col min="2065" max="2065" width="16.28515625" style="1" customWidth="1"/>
    <col min="2066" max="2066" width="10.5703125" style="1" customWidth="1"/>
    <col min="2067" max="2067" width="14.140625" style="1" customWidth="1"/>
    <col min="2068" max="2068" width="10.140625" style="1" customWidth="1"/>
    <col min="2069" max="2069" width="15.140625" style="1" customWidth="1"/>
    <col min="2070" max="2070" width="8.5703125" style="1" customWidth="1"/>
    <col min="2071" max="2071" width="14.28515625" style="1" customWidth="1"/>
    <col min="2072" max="2072" width="18.28515625" style="1" customWidth="1"/>
    <col min="2073" max="2073" width="13" style="1" bestFit="1" customWidth="1"/>
    <col min="2074" max="2074" width="11.7109375" style="1" bestFit="1" customWidth="1"/>
    <col min="2075" max="2081" width="9.140625" style="1"/>
    <col min="2082" max="2082" width="11.28515625" style="1" bestFit="1" customWidth="1"/>
    <col min="2083" max="2083" width="10.7109375" style="1" bestFit="1" customWidth="1"/>
    <col min="2084" max="2305" width="9.140625" style="1"/>
    <col min="2306" max="2306" width="6.42578125" style="1" customWidth="1"/>
    <col min="2307" max="2307" width="20.7109375" style="1" customWidth="1"/>
    <col min="2308" max="2308" width="24.7109375" style="1" customWidth="1"/>
    <col min="2309" max="2309" width="11.140625" style="1" customWidth="1"/>
    <col min="2310" max="2310" width="12.28515625" style="1" customWidth="1"/>
    <col min="2311" max="2311" width="11.140625" style="1" customWidth="1"/>
    <col min="2312" max="2312" width="10.42578125" style="1" customWidth="1"/>
    <col min="2313" max="2313" width="4.7109375" style="1" customWidth="1"/>
    <col min="2314" max="2314" width="8.5703125" style="1" customWidth="1"/>
    <col min="2315" max="2315" width="5.5703125" style="1" customWidth="1"/>
    <col min="2316" max="2317" width="11.5703125" style="1" customWidth="1"/>
    <col min="2318" max="2318" width="10.85546875" style="1" customWidth="1"/>
    <col min="2319" max="2319" width="7.7109375" style="1" customWidth="1"/>
    <col min="2320" max="2320" width="8" style="1" customWidth="1"/>
    <col min="2321" max="2321" width="16.28515625" style="1" customWidth="1"/>
    <col min="2322" max="2322" width="10.5703125" style="1" customWidth="1"/>
    <col min="2323" max="2323" width="14.140625" style="1" customWidth="1"/>
    <col min="2324" max="2324" width="10.140625" style="1" customWidth="1"/>
    <col min="2325" max="2325" width="15.140625" style="1" customWidth="1"/>
    <col min="2326" max="2326" width="8.5703125" style="1" customWidth="1"/>
    <col min="2327" max="2327" width="14.28515625" style="1" customWidth="1"/>
    <col min="2328" max="2328" width="18.28515625" style="1" customWidth="1"/>
    <col min="2329" max="2329" width="13" style="1" bestFit="1" customWidth="1"/>
    <col min="2330" max="2330" width="11.7109375" style="1" bestFit="1" customWidth="1"/>
    <col min="2331" max="2337" width="9.140625" style="1"/>
    <col min="2338" max="2338" width="11.28515625" style="1" bestFit="1" customWidth="1"/>
    <col min="2339" max="2339" width="10.7109375" style="1" bestFit="1" customWidth="1"/>
    <col min="2340" max="2561" width="9.140625" style="1"/>
    <col min="2562" max="2562" width="6.42578125" style="1" customWidth="1"/>
    <col min="2563" max="2563" width="20.7109375" style="1" customWidth="1"/>
    <col min="2564" max="2564" width="24.7109375" style="1" customWidth="1"/>
    <col min="2565" max="2565" width="11.140625" style="1" customWidth="1"/>
    <col min="2566" max="2566" width="12.28515625" style="1" customWidth="1"/>
    <col min="2567" max="2567" width="11.140625" style="1" customWidth="1"/>
    <col min="2568" max="2568" width="10.42578125" style="1" customWidth="1"/>
    <col min="2569" max="2569" width="4.7109375" style="1" customWidth="1"/>
    <col min="2570" max="2570" width="8.5703125" style="1" customWidth="1"/>
    <col min="2571" max="2571" width="5.5703125" style="1" customWidth="1"/>
    <col min="2572" max="2573" width="11.5703125" style="1" customWidth="1"/>
    <col min="2574" max="2574" width="10.85546875" style="1" customWidth="1"/>
    <col min="2575" max="2575" width="7.7109375" style="1" customWidth="1"/>
    <col min="2576" max="2576" width="8" style="1" customWidth="1"/>
    <col min="2577" max="2577" width="16.28515625" style="1" customWidth="1"/>
    <col min="2578" max="2578" width="10.5703125" style="1" customWidth="1"/>
    <col min="2579" max="2579" width="14.140625" style="1" customWidth="1"/>
    <col min="2580" max="2580" width="10.140625" style="1" customWidth="1"/>
    <col min="2581" max="2581" width="15.140625" style="1" customWidth="1"/>
    <col min="2582" max="2582" width="8.5703125" style="1" customWidth="1"/>
    <col min="2583" max="2583" width="14.28515625" style="1" customWidth="1"/>
    <col min="2584" max="2584" width="18.28515625" style="1" customWidth="1"/>
    <col min="2585" max="2585" width="13" style="1" bestFit="1" customWidth="1"/>
    <col min="2586" max="2586" width="11.7109375" style="1" bestFit="1" customWidth="1"/>
    <col min="2587" max="2593" width="9.140625" style="1"/>
    <col min="2594" max="2594" width="11.28515625" style="1" bestFit="1" customWidth="1"/>
    <col min="2595" max="2595" width="10.7109375" style="1" bestFit="1" customWidth="1"/>
    <col min="2596" max="2817" width="9.140625" style="1"/>
    <col min="2818" max="2818" width="6.42578125" style="1" customWidth="1"/>
    <col min="2819" max="2819" width="20.7109375" style="1" customWidth="1"/>
    <col min="2820" max="2820" width="24.7109375" style="1" customWidth="1"/>
    <col min="2821" max="2821" width="11.140625" style="1" customWidth="1"/>
    <col min="2822" max="2822" width="12.28515625" style="1" customWidth="1"/>
    <col min="2823" max="2823" width="11.140625" style="1" customWidth="1"/>
    <col min="2824" max="2824" width="10.42578125" style="1" customWidth="1"/>
    <col min="2825" max="2825" width="4.7109375" style="1" customWidth="1"/>
    <col min="2826" max="2826" width="8.5703125" style="1" customWidth="1"/>
    <col min="2827" max="2827" width="5.5703125" style="1" customWidth="1"/>
    <col min="2828" max="2829" width="11.5703125" style="1" customWidth="1"/>
    <col min="2830" max="2830" width="10.85546875" style="1" customWidth="1"/>
    <col min="2831" max="2831" width="7.7109375" style="1" customWidth="1"/>
    <col min="2832" max="2832" width="8" style="1" customWidth="1"/>
    <col min="2833" max="2833" width="16.28515625" style="1" customWidth="1"/>
    <col min="2834" max="2834" width="10.5703125" style="1" customWidth="1"/>
    <col min="2835" max="2835" width="14.140625" style="1" customWidth="1"/>
    <col min="2836" max="2836" width="10.140625" style="1" customWidth="1"/>
    <col min="2837" max="2837" width="15.140625" style="1" customWidth="1"/>
    <col min="2838" max="2838" width="8.5703125" style="1" customWidth="1"/>
    <col min="2839" max="2839" width="14.28515625" style="1" customWidth="1"/>
    <col min="2840" max="2840" width="18.28515625" style="1" customWidth="1"/>
    <col min="2841" max="2841" width="13" style="1" bestFit="1" customWidth="1"/>
    <col min="2842" max="2842" width="11.7109375" style="1" bestFit="1" customWidth="1"/>
    <col min="2843" max="2849" width="9.140625" style="1"/>
    <col min="2850" max="2850" width="11.28515625" style="1" bestFit="1" customWidth="1"/>
    <col min="2851" max="2851" width="10.7109375" style="1" bestFit="1" customWidth="1"/>
    <col min="2852" max="3073" width="9.140625" style="1"/>
    <col min="3074" max="3074" width="6.42578125" style="1" customWidth="1"/>
    <col min="3075" max="3075" width="20.7109375" style="1" customWidth="1"/>
    <col min="3076" max="3076" width="24.7109375" style="1" customWidth="1"/>
    <col min="3077" max="3077" width="11.140625" style="1" customWidth="1"/>
    <col min="3078" max="3078" width="12.28515625" style="1" customWidth="1"/>
    <col min="3079" max="3079" width="11.140625" style="1" customWidth="1"/>
    <col min="3080" max="3080" width="10.42578125" style="1" customWidth="1"/>
    <col min="3081" max="3081" width="4.7109375" style="1" customWidth="1"/>
    <col min="3082" max="3082" width="8.5703125" style="1" customWidth="1"/>
    <col min="3083" max="3083" width="5.5703125" style="1" customWidth="1"/>
    <col min="3084" max="3085" width="11.5703125" style="1" customWidth="1"/>
    <col min="3086" max="3086" width="10.85546875" style="1" customWidth="1"/>
    <col min="3087" max="3087" width="7.7109375" style="1" customWidth="1"/>
    <col min="3088" max="3088" width="8" style="1" customWidth="1"/>
    <col min="3089" max="3089" width="16.28515625" style="1" customWidth="1"/>
    <col min="3090" max="3090" width="10.5703125" style="1" customWidth="1"/>
    <col min="3091" max="3091" width="14.140625" style="1" customWidth="1"/>
    <col min="3092" max="3092" width="10.140625" style="1" customWidth="1"/>
    <col min="3093" max="3093" width="15.140625" style="1" customWidth="1"/>
    <col min="3094" max="3094" width="8.5703125" style="1" customWidth="1"/>
    <col min="3095" max="3095" width="14.28515625" style="1" customWidth="1"/>
    <col min="3096" max="3096" width="18.28515625" style="1" customWidth="1"/>
    <col min="3097" max="3097" width="13" style="1" bestFit="1" customWidth="1"/>
    <col min="3098" max="3098" width="11.7109375" style="1" bestFit="1" customWidth="1"/>
    <col min="3099" max="3105" width="9.140625" style="1"/>
    <col min="3106" max="3106" width="11.28515625" style="1" bestFit="1" customWidth="1"/>
    <col min="3107" max="3107" width="10.7109375" style="1" bestFit="1" customWidth="1"/>
    <col min="3108" max="3329" width="9.140625" style="1"/>
    <col min="3330" max="3330" width="6.42578125" style="1" customWidth="1"/>
    <col min="3331" max="3331" width="20.7109375" style="1" customWidth="1"/>
    <col min="3332" max="3332" width="24.7109375" style="1" customWidth="1"/>
    <col min="3333" max="3333" width="11.140625" style="1" customWidth="1"/>
    <col min="3334" max="3334" width="12.28515625" style="1" customWidth="1"/>
    <col min="3335" max="3335" width="11.140625" style="1" customWidth="1"/>
    <col min="3336" max="3336" width="10.42578125" style="1" customWidth="1"/>
    <col min="3337" max="3337" width="4.7109375" style="1" customWidth="1"/>
    <col min="3338" max="3338" width="8.5703125" style="1" customWidth="1"/>
    <col min="3339" max="3339" width="5.5703125" style="1" customWidth="1"/>
    <col min="3340" max="3341" width="11.5703125" style="1" customWidth="1"/>
    <col min="3342" max="3342" width="10.85546875" style="1" customWidth="1"/>
    <col min="3343" max="3343" width="7.7109375" style="1" customWidth="1"/>
    <col min="3344" max="3344" width="8" style="1" customWidth="1"/>
    <col min="3345" max="3345" width="16.28515625" style="1" customWidth="1"/>
    <col min="3346" max="3346" width="10.5703125" style="1" customWidth="1"/>
    <col min="3347" max="3347" width="14.140625" style="1" customWidth="1"/>
    <col min="3348" max="3348" width="10.140625" style="1" customWidth="1"/>
    <col min="3349" max="3349" width="15.140625" style="1" customWidth="1"/>
    <col min="3350" max="3350" width="8.5703125" style="1" customWidth="1"/>
    <col min="3351" max="3351" width="14.28515625" style="1" customWidth="1"/>
    <col min="3352" max="3352" width="18.28515625" style="1" customWidth="1"/>
    <col min="3353" max="3353" width="13" style="1" bestFit="1" customWidth="1"/>
    <col min="3354" max="3354" width="11.7109375" style="1" bestFit="1" customWidth="1"/>
    <col min="3355" max="3361" width="9.140625" style="1"/>
    <col min="3362" max="3362" width="11.28515625" style="1" bestFit="1" customWidth="1"/>
    <col min="3363" max="3363" width="10.7109375" style="1" bestFit="1" customWidth="1"/>
    <col min="3364" max="3585" width="9.140625" style="1"/>
    <col min="3586" max="3586" width="6.42578125" style="1" customWidth="1"/>
    <col min="3587" max="3587" width="20.7109375" style="1" customWidth="1"/>
    <col min="3588" max="3588" width="24.7109375" style="1" customWidth="1"/>
    <col min="3589" max="3589" width="11.140625" style="1" customWidth="1"/>
    <col min="3590" max="3590" width="12.28515625" style="1" customWidth="1"/>
    <col min="3591" max="3591" width="11.140625" style="1" customWidth="1"/>
    <col min="3592" max="3592" width="10.42578125" style="1" customWidth="1"/>
    <col min="3593" max="3593" width="4.7109375" style="1" customWidth="1"/>
    <col min="3594" max="3594" width="8.5703125" style="1" customWidth="1"/>
    <col min="3595" max="3595" width="5.5703125" style="1" customWidth="1"/>
    <col min="3596" max="3597" width="11.5703125" style="1" customWidth="1"/>
    <col min="3598" max="3598" width="10.85546875" style="1" customWidth="1"/>
    <col min="3599" max="3599" width="7.7109375" style="1" customWidth="1"/>
    <col min="3600" max="3600" width="8" style="1" customWidth="1"/>
    <col min="3601" max="3601" width="16.28515625" style="1" customWidth="1"/>
    <col min="3602" max="3602" width="10.5703125" style="1" customWidth="1"/>
    <col min="3603" max="3603" width="14.140625" style="1" customWidth="1"/>
    <col min="3604" max="3604" width="10.140625" style="1" customWidth="1"/>
    <col min="3605" max="3605" width="15.140625" style="1" customWidth="1"/>
    <col min="3606" max="3606" width="8.5703125" style="1" customWidth="1"/>
    <col min="3607" max="3607" width="14.28515625" style="1" customWidth="1"/>
    <col min="3608" max="3608" width="18.28515625" style="1" customWidth="1"/>
    <col min="3609" max="3609" width="13" style="1" bestFit="1" customWidth="1"/>
    <col min="3610" max="3610" width="11.7109375" style="1" bestFit="1" customWidth="1"/>
    <col min="3611" max="3617" width="9.140625" style="1"/>
    <col min="3618" max="3618" width="11.28515625" style="1" bestFit="1" customWidth="1"/>
    <col min="3619" max="3619" width="10.7109375" style="1" bestFit="1" customWidth="1"/>
    <col min="3620" max="3841" width="9.140625" style="1"/>
    <col min="3842" max="3842" width="6.42578125" style="1" customWidth="1"/>
    <col min="3843" max="3843" width="20.7109375" style="1" customWidth="1"/>
    <col min="3844" max="3844" width="24.7109375" style="1" customWidth="1"/>
    <col min="3845" max="3845" width="11.140625" style="1" customWidth="1"/>
    <col min="3846" max="3846" width="12.28515625" style="1" customWidth="1"/>
    <col min="3847" max="3847" width="11.140625" style="1" customWidth="1"/>
    <col min="3848" max="3848" width="10.42578125" style="1" customWidth="1"/>
    <col min="3849" max="3849" width="4.7109375" style="1" customWidth="1"/>
    <col min="3850" max="3850" width="8.5703125" style="1" customWidth="1"/>
    <col min="3851" max="3851" width="5.5703125" style="1" customWidth="1"/>
    <col min="3852" max="3853" width="11.5703125" style="1" customWidth="1"/>
    <col min="3854" max="3854" width="10.85546875" style="1" customWidth="1"/>
    <col min="3855" max="3855" width="7.7109375" style="1" customWidth="1"/>
    <col min="3856" max="3856" width="8" style="1" customWidth="1"/>
    <col min="3857" max="3857" width="16.28515625" style="1" customWidth="1"/>
    <col min="3858" max="3858" width="10.5703125" style="1" customWidth="1"/>
    <col min="3859" max="3859" width="14.140625" style="1" customWidth="1"/>
    <col min="3860" max="3860" width="10.140625" style="1" customWidth="1"/>
    <col min="3861" max="3861" width="15.140625" style="1" customWidth="1"/>
    <col min="3862" max="3862" width="8.5703125" style="1" customWidth="1"/>
    <col min="3863" max="3863" width="14.28515625" style="1" customWidth="1"/>
    <col min="3864" max="3864" width="18.28515625" style="1" customWidth="1"/>
    <col min="3865" max="3865" width="13" style="1" bestFit="1" customWidth="1"/>
    <col min="3866" max="3866" width="11.7109375" style="1" bestFit="1" customWidth="1"/>
    <col min="3867" max="3873" width="9.140625" style="1"/>
    <col min="3874" max="3874" width="11.28515625" style="1" bestFit="1" customWidth="1"/>
    <col min="3875" max="3875" width="10.7109375" style="1" bestFit="1" customWidth="1"/>
    <col min="3876" max="4097" width="9.140625" style="1"/>
    <col min="4098" max="4098" width="6.42578125" style="1" customWidth="1"/>
    <col min="4099" max="4099" width="20.7109375" style="1" customWidth="1"/>
    <col min="4100" max="4100" width="24.7109375" style="1" customWidth="1"/>
    <col min="4101" max="4101" width="11.140625" style="1" customWidth="1"/>
    <col min="4102" max="4102" width="12.28515625" style="1" customWidth="1"/>
    <col min="4103" max="4103" width="11.140625" style="1" customWidth="1"/>
    <col min="4104" max="4104" width="10.42578125" style="1" customWidth="1"/>
    <col min="4105" max="4105" width="4.7109375" style="1" customWidth="1"/>
    <col min="4106" max="4106" width="8.5703125" style="1" customWidth="1"/>
    <col min="4107" max="4107" width="5.5703125" style="1" customWidth="1"/>
    <col min="4108" max="4109" width="11.5703125" style="1" customWidth="1"/>
    <col min="4110" max="4110" width="10.85546875" style="1" customWidth="1"/>
    <col min="4111" max="4111" width="7.7109375" style="1" customWidth="1"/>
    <col min="4112" max="4112" width="8" style="1" customWidth="1"/>
    <col min="4113" max="4113" width="16.28515625" style="1" customWidth="1"/>
    <col min="4114" max="4114" width="10.5703125" style="1" customWidth="1"/>
    <col min="4115" max="4115" width="14.140625" style="1" customWidth="1"/>
    <col min="4116" max="4116" width="10.140625" style="1" customWidth="1"/>
    <col min="4117" max="4117" width="15.140625" style="1" customWidth="1"/>
    <col min="4118" max="4118" width="8.5703125" style="1" customWidth="1"/>
    <col min="4119" max="4119" width="14.28515625" style="1" customWidth="1"/>
    <col min="4120" max="4120" width="18.28515625" style="1" customWidth="1"/>
    <col min="4121" max="4121" width="13" style="1" bestFit="1" customWidth="1"/>
    <col min="4122" max="4122" width="11.7109375" style="1" bestFit="1" customWidth="1"/>
    <col min="4123" max="4129" width="9.140625" style="1"/>
    <col min="4130" max="4130" width="11.28515625" style="1" bestFit="1" customWidth="1"/>
    <col min="4131" max="4131" width="10.7109375" style="1" bestFit="1" customWidth="1"/>
    <col min="4132" max="4353" width="9.140625" style="1"/>
    <col min="4354" max="4354" width="6.42578125" style="1" customWidth="1"/>
    <col min="4355" max="4355" width="20.7109375" style="1" customWidth="1"/>
    <col min="4356" max="4356" width="24.7109375" style="1" customWidth="1"/>
    <col min="4357" max="4357" width="11.140625" style="1" customWidth="1"/>
    <col min="4358" max="4358" width="12.28515625" style="1" customWidth="1"/>
    <col min="4359" max="4359" width="11.140625" style="1" customWidth="1"/>
    <col min="4360" max="4360" width="10.42578125" style="1" customWidth="1"/>
    <col min="4361" max="4361" width="4.7109375" style="1" customWidth="1"/>
    <col min="4362" max="4362" width="8.5703125" style="1" customWidth="1"/>
    <col min="4363" max="4363" width="5.5703125" style="1" customWidth="1"/>
    <col min="4364" max="4365" width="11.5703125" style="1" customWidth="1"/>
    <col min="4366" max="4366" width="10.85546875" style="1" customWidth="1"/>
    <col min="4367" max="4367" width="7.7109375" style="1" customWidth="1"/>
    <col min="4368" max="4368" width="8" style="1" customWidth="1"/>
    <col min="4369" max="4369" width="16.28515625" style="1" customWidth="1"/>
    <col min="4370" max="4370" width="10.5703125" style="1" customWidth="1"/>
    <col min="4371" max="4371" width="14.140625" style="1" customWidth="1"/>
    <col min="4372" max="4372" width="10.140625" style="1" customWidth="1"/>
    <col min="4373" max="4373" width="15.140625" style="1" customWidth="1"/>
    <col min="4374" max="4374" width="8.5703125" style="1" customWidth="1"/>
    <col min="4375" max="4375" width="14.28515625" style="1" customWidth="1"/>
    <col min="4376" max="4376" width="18.28515625" style="1" customWidth="1"/>
    <col min="4377" max="4377" width="13" style="1" bestFit="1" customWidth="1"/>
    <col min="4378" max="4378" width="11.7109375" style="1" bestFit="1" customWidth="1"/>
    <col min="4379" max="4385" width="9.140625" style="1"/>
    <col min="4386" max="4386" width="11.28515625" style="1" bestFit="1" customWidth="1"/>
    <col min="4387" max="4387" width="10.7109375" style="1" bestFit="1" customWidth="1"/>
    <col min="4388" max="4609" width="9.140625" style="1"/>
    <col min="4610" max="4610" width="6.42578125" style="1" customWidth="1"/>
    <col min="4611" max="4611" width="20.7109375" style="1" customWidth="1"/>
    <col min="4612" max="4612" width="24.7109375" style="1" customWidth="1"/>
    <col min="4613" max="4613" width="11.140625" style="1" customWidth="1"/>
    <col min="4614" max="4614" width="12.28515625" style="1" customWidth="1"/>
    <col min="4615" max="4615" width="11.140625" style="1" customWidth="1"/>
    <col min="4616" max="4616" width="10.42578125" style="1" customWidth="1"/>
    <col min="4617" max="4617" width="4.7109375" style="1" customWidth="1"/>
    <col min="4618" max="4618" width="8.5703125" style="1" customWidth="1"/>
    <col min="4619" max="4619" width="5.5703125" style="1" customWidth="1"/>
    <col min="4620" max="4621" width="11.5703125" style="1" customWidth="1"/>
    <col min="4622" max="4622" width="10.85546875" style="1" customWidth="1"/>
    <col min="4623" max="4623" width="7.7109375" style="1" customWidth="1"/>
    <col min="4624" max="4624" width="8" style="1" customWidth="1"/>
    <col min="4625" max="4625" width="16.28515625" style="1" customWidth="1"/>
    <col min="4626" max="4626" width="10.5703125" style="1" customWidth="1"/>
    <col min="4627" max="4627" width="14.140625" style="1" customWidth="1"/>
    <col min="4628" max="4628" width="10.140625" style="1" customWidth="1"/>
    <col min="4629" max="4629" width="15.140625" style="1" customWidth="1"/>
    <col min="4630" max="4630" width="8.5703125" style="1" customWidth="1"/>
    <col min="4631" max="4631" width="14.28515625" style="1" customWidth="1"/>
    <col min="4632" max="4632" width="18.28515625" style="1" customWidth="1"/>
    <col min="4633" max="4633" width="13" style="1" bestFit="1" customWidth="1"/>
    <col min="4634" max="4634" width="11.7109375" style="1" bestFit="1" customWidth="1"/>
    <col min="4635" max="4641" width="9.140625" style="1"/>
    <col min="4642" max="4642" width="11.28515625" style="1" bestFit="1" customWidth="1"/>
    <col min="4643" max="4643" width="10.7109375" style="1" bestFit="1" customWidth="1"/>
    <col min="4644" max="4865" width="9.140625" style="1"/>
    <col min="4866" max="4866" width="6.42578125" style="1" customWidth="1"/>
    <col min="4867" max="4867" width="20.7109375" style="1" customWidth="1"/>
    <col min="4868" max="4868" width="24.7109375" style="1" customWidth="1"/>
    <col min="4869" max="4869" width="11.140625" style="1" customWidth="1"/>
    <col min="4870" max="4870" width="12.28515625" style="1" customWidth="1"/>
    <col min="4871" max="4871" width="11.140625" style="1" customWidth="1"/>
    <col min="4872" max="4872" width="10.42578125" style="1" customWidth="1"/>
    <col min="4873" max="4873" width="4.7109375" style="1" customWidth="1"/>
    <col min="4874" max="4874" width="8.5703125" style="1" customWidth="1"/>
    <col min="4875" max="4875" width="5.5703125" style="1" customWidth="1"/>
    <col min="4876" max="4877" width="11.5703125" style="1" customWidth="1"/>
    <col min="4878" max="4878" width="10.85546875" style="1" customWidth="1"/>
    <col min="4879" max="4879" width="7.7109375" style="1" customWidth="1"/>
    <col min="4880" max="4880" width="8" style="1" customWidth="1"/>
    <col min="4881" max="4881" width="16.28515625" style="1" customWidth="1"/>
    <col min="4882" max="4882" width="10.5703125" style="1" customWidth="1"/>
    <col min="4883" max="4883" width="14.140625" style="1" customWidth="1"/>
    <col min="4884" max="4884" width="10.140625" style="1" customWidth="1"/>
    <col min="4885" max="4885" width="15.140625" style="1" customWidth="1"/>
    <col min="4886" max="4886" width="8.5703125" style="1" customWidth="1"/>
    <col min="4887" max="4887" width="14.28515625" style="1" customWidth="1"/>
    <col min="4888" max="4888" width="18.28515625" style="1" customWidth="1"/>
    <col min="4889" max="4889" width="13" style="1" bestFit="1" customWidth="1"/>
    <col min="4890" max="4890" width="11.7109375" style="1" bestFit="1" customWidth="1"/>
    <col min="4891" max="4897" width="9.140625" style="1"/>
    <col min="4898" max="4898" width="11.28515625" style="1" bestFit="1" customWidth="1"/>
    <col min="4899" max="4899" width="10.7109375" style="1" bestFit="1" customWidth="1"/>
    <col min="4900" max="5121" width="9.140625" style="1"/>
    <col min="5122" max="5122" width="6.42578125" style="1" customWidth="1"/>
    <col min="5123" max="5123" width="20.7109375" style="1" customWidth="1"/>
    <col min="5124" max="5124" width="24.7109375" style="1" customWidth="1"/>
    <col min="5125" max="5125" width="11.140625" style="1" customWidth="1"/>
    <col min="5126" max="5126" width="12.28515625" style="1" customWidth="1"/>
    <col min="5127" max="5127" width="11.140625" style="1" customWidth="1"/>
    <col min="5128" max="5128" width="10.42578125" style="1" customWidth="1"/>
    <col min="5129" max="5129" width="4.7109375" style="1" customWidth="1"/>
    <col min="5130" max="5130" width="8.5703125" style="1" customWidth="1"/>
    <col min="5131" max="5131" width="5.5703125" style="1" customWidth="1"/>
    <col min="5132" max="5133" width="11.5703125" style="1" customWidth="1"/>
    <col min="5134" max="5134" width="10.85546875" style="1" customWidth="1"/>
    <col min="5135" max="5135" width="7.7109375" style="1" customWidth="1"/>
    <col min="5136" max="5136" width="8" style="1" customWidth="1"/>
    <col min="5137" max="5137" width="16.28515625" style="1" customWidth="1"/>
    <col min="5138" max="5138" width="10.5703125" style="1" customWidth="1"/>
    <col min="5139" max="5139" width="14.140625" style="1" customWidth="1"/>
    <col min="5140" max="5140" width="10.140625" style="1" customWidth="1"/>
    <col min="5141" max="5141" width="15.140625" style="1" customWidth="1"/>
    <col min="5142" max="5142" width="8.5703125" style="1" customWidth="1"/>
    <col min="5143" max="5143" width="14.28515625" style="1" customWidth="1"/>
    <col min="5144" max="5144" width="18.28515625" style="1" customWidth="1"/>
    <col min="5145" max="5145" width="13" style="1" bestFit="1" customWidth="1"/>
    <col min="5146" max="5146" width="11.7109375" style="1" bestFit="1" customWidth="1"/>
    <col min="5147" max="5153" width="9.140625" style="1"/>
    <col min="5154" max="5154" width="11.28515625" style="1" bestFit="1" customWidth="1"/>
    <col min="5155" max="5155" width="10.7109375" style="1" bestFit="1" customWidth="1"/>
    <col min="5156" max="5377" width="9.140625" style="1"/>
    <col min="5378" max="5378" width="6.42578125" style="1" customWidth="1"/>
    <col min="5379" max="5379" width="20.7109375" style="1" customWidth="1"/>
    <col min="5380" max="5380" width="24.7109375" style="1" customWidth="1"/>
    <col min="5381" max="5381" width="11.140625" style="1" customWidth="1"/>
    <col min="5382" max="5382" width="12.28515625" style="1" customWidth="1"/>
    <col min="5383" max="5383" width="11.140625" style="1" customWidth="1"/>
    <col min="5384" max="5384" width="10.42578125" style="1" customWidth="1"/>
    <col min="5385" max="5385" width="4.7109375" style="1" customWidth="1"/>
    <col min="5386" max="5386" width="8.5703125" style="1" customWidth="1"/>
    <col min="5387" max="5387" width="5.5703125" style="1" customWidth="1"/>
    <col min="5388" max="5389" width="11.5703125" style="1" customWidth="1"/>
    <col min="5390" max="5390" width="10.85546875" style="1" customWidth="1"/>
    <col min="5391" max="5391" width="7.7109375" style="1" customWidth="1"/>
    <col min="5392" max="5392" width="8" style="1" customWidth="1"/>
    <col min="5393" max="5393" width="16.28515625" style="1" customWidth="1"/>
    <col min="5394" max="5394" width="10.5703125" style="1" customWidth="1"/>
    <col min="5395" max="5395" width="14.140625" style="1" customWidth="1"/>
    <col min="5396" max="5396" width="10.140625" style="1" customWidth="1"/>
    <col min="5397" max="5397" width="15.140625" style="1" customWidth="1"/>
    <col min="5398" max="5398" width="8.5703125" style="1" customWidth="1"/>
    <col min="5399" max="5399" width="14.28515625" style="1" customWidth="1"/>
    <col min="5400" max="5400" width="18.28515625" style="1" customWidth="1"/>
    <col min="5401" max="5401" width="13" style="1" bestFit="1" customWidth="1"/>
    <col min="5402" max="5402" width="11.7109375" style="1" bestFit="1" customWidth="1"/>
    <col min="5403" max="5409" width="9.140625" style="1"/>
    <col min="5410" max="5410" width="11.28515625" style="1" bestFit="1" customWidth="1"/>
    <col min="5411" max="5411" width="10.7109375" style="1" bestFit="1" customWidth="1"/>
    <col min="5412" max="5633" width="9.140625" style="1"/>
    <col min="5634" max="5634" width="6.42578125" style="1" customWidth="1"/>
    <col min="5635" max="5635" width="20.7109375" style="1" customWidth="1"/>
    <col min="5636" max="5636" width="24.7109375" style="1" customWidth="1"/>
    <col min="5637" max="5637" width="11.140625" style="1" customWidth="1"/>
    <col min="5638" max="5638" width="12.28515625" style="1" customWidth="1"/>
    <col min="5639" max="5639" width="11.140625" style="1" customWidth="1"/>
    <col min="5640" max="5640" width="10.42578125" style="1" customWidth="1"/>
    <col min="5641" max="5641" width="4.7109375" style="1" customWidth="1"/>
    <col min="5642" max="5642" width="8.5703125" style="1" customWidth="1"/>
    <col min="5643" max="5643" width="5.5703125" style="1" customWidth="1"/>
    <col min="5644" max="5645" width="11.5703125" style="1" customWidth="1"/>
    <col min="5646" max="5646" width="10.85546875" style="1" customWidth="1"/>
    <col min="5647" max="5647" width="7.7109375" style="1" customWidth="1"/>
    <col min="5648" max="5648" width="8" style="1" customWidth="1"/>
    <col min="5649" max="5649" width="16.28515625" style="1" customWidth="1"/>
    <col min="5650" max="5650" width="10.5703125" style="1" customWidth="1"/>
    <col min="5651" max="5651" width="14.140625" style="1" customWidth="1"/>
    <col min="5652" max="5652" width="10.140625" style="1" customWidth="1"/>
    <col min="5653" max="5653" width="15.140625" style="1" customWidth="1"/>
    <col min="5654" max="5654" width="8.5703125" style="1" customWidth="1"/>
    <col min="5655" max="5655" width="14.28515625" style="1" customWidth="1"/>
    <col min="5656" max="5656" width="18.28515625" style="1" customWidth="1"/>
    <col min="5657" max="5657" width="13" style="1" bestFit="1" customWidth="1"/>
    <col min="5658" max="5658" width="11.7109375" style="1" bestFit="1" customWidth="1"/>
    <col min="5659" max="5665" width="9.140625" style="1"/>
    <col min="5666" max="5666" width="11.28515625" style="1" bestFit="1" customWidth="1"/>
    <col min="5667" max="5667" width="10.7109375" style="1" bestFit="1" customWidth="1"/>
    <col min="5668" max="5889" width="9.140625" style="1"/>
    <col min="5890" max="5890" width="6.42578125" style="1" customWidth="1"/>
    <col min="5891" max="5891" width="20.7109375" style="1" customWidth="1"/>
    <col min="5892" max="5892" width="24.7109375" style="1" customWidth="1"/>
    <col min="5893" max="5893" width="11.140625" style="1" customWidth="1"/>
    <col min="5894" max="5894" width="12.28515625" style="1" customWidth="1"/>
    <col min="5895" max="5895" width="11.140625" style="1" customWidth="1"/>
    <col min="5896" max="5896" width="10.42578125" style="1" customWidth="1"/>
    <col min="5897" max="5897" width="4.7109375" style="1" customWidth="1"/>
    <col min="5898" max="5898" width="8.5703125" style="1" customWidth="1"/>
    <col min="5899" max="5899" width="5.5703125" style="1" customWidth="1"/>
    <col min="5900" max="5901" width="11.5703125" style="1" customWidth="1"/>
    <col min="5902" max="5902" width="10.85546875" style="1" customWidth="1"/>
    <col min="5903" max="5903" width="7.7109375" style="1" customWidth="1"/>
    <col min="5904" max="5904" width="8" style="1" customWidth="1"/>
    <col min="5905" max="5905" width="16.28515625" style="1" customWidth="1"/>
    <col min="5906" max="5906" width="10.5703125" style="1" customWidth="1"/>
    <col min="5907" max="5907" width="14.140625" style="1" customWidth="1"/>
    <col min="5908" max="5908" width="10.140625" style="1" customWidth="1"/>
    <col min="5909" max="5909" width="15.140625" style="1" customWidth="1"/>
    <col min="5910" max="5910" width="8.5703125" style="1" customWidth="1"/>
    <col min="5911" max="5911" width="14.28515625" style="1" customWidth="1"/>
    <col min="5912" max="5912" width="18.28515625" style="1" customWidth="1"/>
    <col min="5913" max="5913" width="13" style="1" bestFit="1" customWidth="1"/>
    <col min="5914" max="5914" width="11.7109375" style="1" bestFit="1" customWidth="1"/>
    <col min="5915" max="5921" width="9.140625" style="1"/>
    <col min="5922" max="5922" width="11.28515625" style="1" bestFit="1" customWidth="1"/>
    <col min="5923" max="5923" width="10.7109375" style="1" bestFit="1" customWidth="1"/>
    <col min="5924" max="6145" width="9.140625" style="1"/>
    <col min="6146" max="6146" width="6.42578125" style="1" customWidth="1"/>
    <col min="6147" max="6147" width="20.7109375" style="1" customWidth="1"/>
    <col min="6148" max="6148" width="24.7109375" style="1" customWidth="1"/>
    <col min="6149" max="6149" width="11.140625" style="1" customWidth="1"/>
    <col min="6150" max="6150" width="12.28515625" style="1" customWidth="1"/>
    <col min="6151" max="6151" width="11.140625" style="1" customWidth="1"/>
    <col min="6152" max="6152" width="10.42578125" style="1" customWidth="1"/>
    <col min="6153" max="6153" width="4.7109375" style="1" customWidth="1"/>
    <col min="6154" max="6154" width="8.5703125" style="1" customWidth="1"/>
    <col min="6155" max="6155" width="5.5703125" style="1" customWidth="1"/>
    <col min="6156" max="6157" width="11.5703125" style="1" customWidth="1"/>
    <col min="6158" max="6158" width="10.85546875" style="1" customWidth="1"/>
    <col min="6159" max="6159" width="7.7109375" style="1" customWidth="1"/>
    <col min="6160" max="6160" width="8" style="1" customWidth="1"/>
    <col min="6161" max="6161" width="16.28515625" style="1" customWidth="1"/>
    <col min="6162" max="6162" width="10.5703125" style="1" customWidth="1"/>
    <col min="6163" max="6163" width="14.140625" style="1" customWidth="1"/>
    <col min="6164" max="6164" width="10.140625" style="1" customWidth="1"/>
    <col min="6165" max="6165" width="15.140625" style="1" customWidth="1"/>
    <col min="6166" max="6166" width="8.5703125" style="1" customWidth="1"/>
    <col min="6167" max="6167" width="14.28515625" style="1" customWidth="1"/>
    <col min="6168" max="6168" width="18.28515625" style="1" customWidth="1"/>
    <col min="6169" max="6169" width="13" style="1" bestFit="1" customWidth="1"/>
    <col min="6170" max="6170" width="11.7109375" style="1" bestFit="1" customWidth="1"/>
    <col min="6171" max="6177" width="9.140625" style="1"/>
    <col min="6178" max="6178" width="11.28515625" style="1" bestFit="1" customWidth="1"/>
    <col min="6179" max="6179" width="10.7109375" style="1" bestFit="1" customWidth="1"/>
    <col min="6180" max="6401" width="9.140625" style="1"/>
    <col min="6402" max="6402" width="6.42578125" style="1" customWidth="1"/>
    <col min="6403" max="6403" width="20.7109375" style="1" customWidth="1"/>
    <col min="6404" max="6404" width="24.7109375" style="1" customWidth="1"/>
    <col min="6405" max="6405" width="11.140625" style="1" customWidth="1"/>
    <col min="6406" max="6406" width="12.28515625" style="1" customWidth="1"/>
    <col min="6407" max="6407" width="11.140625" style="1" customWidth="1"/>
    <col min="6408" max="6408" width="10.42578125" style="1" customWidth="1"/>
    <col min="6409" max="6409" width="4.7109375" style="1" customWidth="1"/>
    <col min="6410" max="6410" width="8.5703125" style="1" customWidth="1"/>
    <col min="6411" max="6411" width="5.5703125" style="1" customWidth="1"/>
    <col min="6412" max="6413" width="11.5703125" style="1" customWidth="1"/>
    <col min="6414" max="6414" width="10.85546875" style="1" customWidth="1"/>
    <col min="6415" max="6415" width="7.7109375" style="1" customWidth="1"/>
    <col min="6416" max="6416" width="8" style="1" customWidth="1"/>
    <col min="6417" max="6417" width="16.28515625" style="1" customWidth="1"/>
    <col min="6418" max="6418" width="10.5703125" style="1" customWidth="1"/>
    <col min="6419" max="6419" width="14.140625" style="1" customWidth="1"/>
    <col min="6420" max="6420" width="10.140625" style="1" customWidth="1"/>
    <col min="6421" max="6421" width="15.140625" style="1" customWidth="1"/>
    <col min="6422" max="6422" width="8.5703125" style="1" customWidth="1"/>
    <col min="6423" max="6423" width="14.28515625" style="1" customWidth="1"/>
    <col min="6424" max="6424" width="18.28515625" style="1" customWidth="1"/>
    <col min="6425" max="6425" width="13" style="1" bestFit="1" customWidth="1"/>
    <col min="6426" max="6426" width="11.7109375" style="1" bestFit="1" customWidth="1"/>
    <col min="6427" max="6433" width="9.140625" style="1"/>
    <col min="6434" max="6434" width="11.28515625" style="1" bestFit="1" customWidth="1"/>
    <col min="6435" max="6435" width="10.7109375" style="1" bestFit="1" customWidth="1"/>
    <col min="6436" max="6657" width="9.140625" style="1"/>
    <col min="6658" max="6658" width="6.42578125" style="1" customWidth="1"/>
    <col min="6659" max="6659" width="20.7109375" style="1" customWidth="1"/>
    <col min="6660" max="6660" width="24.7109375" style="1" customWidth="1"/>
    <col min="6661" max="6661" width="11.140625" style="1" customWidth="1"/>
    <col min="6662" max="6662" width="12.28515625" style="1" customWidth="1"/>
    <col min="6663" max="6663" width="11.140625" style="1" customWidth="1"/>
    <col min="6664" max="6664" width="10.42578125" style="1" customWidth="1"/>
    <col min="6665" max="6665" width="4.7109375" style="1" customWidth="1"/>
    <col min="6666" max="6666" width="8.5703125" style="1" customWidth="1"/>
    <col min="6667" max="6667" width="5.5703125" style="1" customWidth="1"/>
    <col min="6668" max="6669" width="11.5703125" style="1" customWidth="1"/>
    <col min="6670" max="6670" width="10.85546875" style="1" customWidth="1"/>
    <col min="6671" max="6671" width="7.7109375" style="1" customWidth="1"/>
    <col min="6672" max="6672" width="8" style="1" customWidth="1"/>
    <col min="6673" max="6673" width="16.28515625" style="1" customWidth="1"/>
    <col min="6674" max="6674" width="10.5703125" style="1" customWidth="1"/>
    <col min="6675" max="6675" width="14.140625" style="1" customWidth="1"/>
    <col min="6676" max="6676" width="10.140625" style="1" customWidth="1"/>
    <col min="6677" max="6677" width="15.140625" style="1" customWidth="1"/>
    <col min="6678" max="6678" width="8.5703125" style="1" customWidth="1"/>
    <col min="6679" max="6679" width="14.28515625" style="1" customWidth="1"/>
    <col min="6680" max="6680" width="18.28515625" style="1" customWidth="1"/>
    <col min="6681" max="6681" width="13" style="1" bestFit="1" customWidth="1"/>
    <col min="6682" max="6682" width="11.7109375" style="1" bestFit="1" customWidth="1"/>
    <col min="6683" max="6689" width="9.140625" style="1"/>
    <col min="6690" max="6690" width="11.28515625" style="1" bestFit="1" customWidth="1"/>
    <col min="6691" max="6691" width="10.7109375" style="1" bestFit="1" customWidth="1"/>
    <col min="6692" max="6913" width="9.140625" style="1"/>
    <col min="6914" max="6914" width="6.42578125" style="1" customWidth="1"/>
    <col min="6915" max="6915" width="20.7109375" style="1" customWidth="1"/>
    <col min="6916" max="6916" width="24.7109375" style="1" customWidth="1"/>
    <col min="6917" max="6917" width="11.140625" style="1" customWidth="1"/>
    <col min="6918" max="6918" width="12.28515625" style="1" customWidth="1"/>
    <col min="6919" max="6919" width="11.140625" style="1" customWidth="1"/>
    <col min="6920" max="6920" width="10.42578125" style="1" customWidth="1"/>
    <col min="6921" max="6921" width="4.7109375" style="1" customWidth="1"/>
    <col min="6922" max="6922" width="8.5703125" style="1" customWidth="1"/>
    <col min="6923" max="6923" width="5.5703125" style="1" customWidth="1"/>
    <col min="6924" max="6925" width="11.5703125" style="1" customWidth="1"/>
    <col min="6926" max="6926" width="10.85546875" style="1" customWidth="1"/>
    <col min="6927" max="6927" width="7.7109375" style="1" customWidth="1"/>
    <col min="6928" max="6928" width="8" style="1" customWidth="1"/>
    <col min="6929" max="6929" width="16.28515625" style="1" customWidth="1"/>
    <col min="6930" max="6930" width="10.5703125" style="1" customWidth="1"/>
    <col min="6931" max="6931" width="14.140625" style="1" customWidth="1"/>
    <col min="6932" max="6932" width="10.140625" style="1" customWidth="1"/>
    <col min="6933" max="6933" width="15.140625" style="1" customWidth="1"/>
    <col min="6934" max="6934" width="8.5703125" style="1" customWidth="1"/>
    <col min="6935" max="6935" width="14.28515625" style="1" customWidth="1"/>
    <col min="6936" max="6936" width="18.28515625" style="1" customWidth="1"/>
    <col min="6937" max="6937" width="13" style="1" bestFit="1" customWidth="1"/>
    <col min="6938" max="6938" width="11.7109375" style="1" bestFit="1" customWidth="1"/>
    <col min="6939" max="6945" width="9.140625" style="1"/>
    <col min="6946" max="6946" width="11.28515625" style="1" bestFit="1" customWidth="1"/>
    <col min="6947" max="6947" width="10.7109375" style="1" bestFit="1" customWidth="1"/>
    <col min="6948" max="7169" width="9.140625" style="1"/>
    <col min="7170" max="7170" width="6.42578125" style="1" customWidth="1"/>
    <col min="7171" max="7171" width="20.7109375" style="1" customWidth="1"/>
    <col min="7172" max="7172" width="24.7109375" style="1" customWidth="1"/>
    <col min="7173" max="7173" width="11.140625" style="1" customWidth="1"/>
    <col min="7174" max="7174" width="12.28515625" style="1" customWidth="1"/>
    <col min="7175" max="7175" width="11.140625" style="1" customWidth="1"/>
    <col min="7176" max="7176" width="10.42578125" style="1" customWidth="1"/>
    <col min="7177" max="7177" width="4.7109375" style="1" customWidth="1"/>
    <col min="7178" max="7178" width="8.5703125" style="1" customWidth="1"/>
    <col min="7179" max="7179" width="5.5703125" style="1" customWidth="1"/>
    <col min="7180" max="7181" width="11.5703125" style="1" customWidth="1"/>
    <col min="7182" max="7182" width="10.85546875" style="1" customWidth="1"/>
    <col min="7183" max="7183" width="7.7109375" style="1" customWidth="1"/>
    <col min="7184" max="7184" width="8" style="1" customWidth="1"/>
    <col min="7185" max="7185" width="16.28515625" style="1" customWidth="1"/>
    <col min="7186" max="7186" width="10.5703125" style="1" customWidth="1"/>
    <col min="7187" max="7187" width="14.140625" style="1" customWidth="1"/>
    <col min="7188" max="7188" width="10.140625" style="1" customWidth="1"/>
    <col min="7189" max="7189" width="15.140625" style="1" customWidth="1"/>
    <col min="7190" max="7190" width="8.5703125" style="1" customWidth="1"/>
    <col min="7191" max="7191" width="14.28515625" style="1" customWidth="1"/>
    <col min="7192" max="7192" width="18.28515625" style="1" customWidth="1"/>
    <col min="7193" max="7193" width="13" style="1" bestFit="1" customWidth="1"/>
    <col min="7194" max="7194" width="11.7109375" style="1" bestFit="1" customWidth="1"/>
    <col min="7195" max="7201" width="9.140625" style="1"/>
    <col min="7202" max="7202" width="11.28515625" style="1" bestFit="1" customWidth="1"/>
    <col min="7203" max="7203" width="10.7109375" style="1" bestFit="1" customWidth="1"/>
    <col min="7204" max="7425" width="9.140625" style="1"/>
    <col min="7426" max="7426" width="6.42578125" style="1" customWidth="1"/>
    <col min="7427" max="7427" width="20.7109375" style="1" customWidth="1"/>
    <col min="7428" max="7428" width="24.7109375" style="1" customWidth="1"/>
    <col min="7429" max="7429" width="11.140625" style="1" customWidth="1"/>
    <col min="7430" max="7430" width="12.28515625" style="1" customWidth="1"/>
    <col min="7431" max="7431" width="11.140625" style="1" customWidth="1"/>
    <col min="7432" max="7432" width="10.42578125" style="1" customWidth="1"/>
    <col min="7433" max="7433" width="4.7109375" style="1" customWidth="1"/>
    <col min="7434" max="7434" width="8.5703125" style="1" customWidth="1"/>
    <col min="7435" max="7435" width="5.5703125" style="1" customWidth="1"/>
    <col min="7436" max="7437" width="11.5703125" style="1" customWidth="1"/>
    <col min="7438" max="7438" width="10.85546875" style="1" customWidth="1"/>
    <col min="7439" max="7439" width="7.7109375" style="1" customWidth="1"/>
    <col min="7440" max="7440" width="8" style="1" customWidth="1"/>
    <col min="7441" max="7441" width="16.28515625" style="1" customWidth="1"/>
    <col min="7442" max="7442" width="10.5703125" style="1" customWidth="1"/>
    <col min="7443" max="7443" width="14.140625" style="1" customWidth="1"/>
    <col min="7444" max="7444" width="10.140625" style="1" customWidth="1"/>
    <col min="7445" max="7445" width="15.140625" style="1" customWidth="1"/>
    <col min="7446" max="7446" width="8.5703125" style="1" customWidth="1"/>
    <col min="7447" max="7447" width="14.28515625" style="1" customWidth="1"/>
    <col min="7448" max="7448" width="18.28515625" style="1" customWidth="1"/>
    <col min="7449" max="7449" width="13" style="1" bestFit="1" customWidth="1"/>
    <col min="7450" max="7450" width="11.7109375" style="1" bestFit="1" customWidth="1"/>
    <col min="7451" max="7457" width="9.140625" style="1"/>
    <col min="7458" max="7458" width="11.28515625" style="1" bestFit="1" customWidth="1"/>
    <col min="7459" max="7459" width="10.7109375" style="1" bestFit="1" customWidth="1"/>
    <col min="7460" max="7681" width="9.140625" style="1"/>
    <col min="7682" max="7682" width="6.42578125" style="1" customWidth="1"/>
    <col min="7683" max="7683" width="20.7109375" style="1" customWidth="1"/>
    <col min="7684" max="7684" width="24.7109375" style="1" customWidth="1"/>
    <col min="7685" max="7685" width="11.140625" style="1" customWidth="1"/>
    <col min="7686" max="7686" width="12.28515625" style="1" customWidth="1"/>
    <col min="7687" max="7687" width="11.140625" style="1" customWidth="1"/>
    <col min="7688" max="7688" width="10.42578125" style="1" customWidth="1"/>
    <col min="7689" max="7689" width="4.7109375" style="1" customWidth="1"/>
    <col min="7690" max="7690" width="8.5703125" style="1" customWidth="1"/>
    <col min="7691" max="7691" width="5.5703125" style="1" customWidth="1"/>
    <col min="7692" max="7693" width="11.5703125" style="1" customWidth="1"/>
    <col min="7694" max="7694" width="10.85546875" style="1" customWidth="1"/>
    <col min="7695" max="7695" width="7.7109375" style="1" customWidth="1"/>
    <col min="7696" max="7696" width="8" style="1" customWidth="1"/>
    <col min="7697" max="7697" width="16.28515625" style="1" customWidth="1"/>
    <col min="7698" max="7698" width="10.5703125" style="1" customWidth="1"/>
    <col min="7699" max="7699" width="14.140625" style="1" customWidth="1"/>
    <col min="7700" max="7700" width="10.140625" style="1" customWidth="1"/>
    <col min="7701" max="7701" width="15.140625" style="1" customWidth="1"/>
    <col min="7702" max="7702" width="8.5703125" style="1" customWidth="1"/>
    <col min="7703" max="7703" width="14.28515625" style="1" customWidth="1"/>
    <col min="7704" max="7704" width="18.28515625" style="1" customWidth="1"/>
    <col min="7705" max="7705" width="13" style="1" bestFit="1" customWidth="1"/>
    <col min="7706" max="7706" width="11.7109375" style="1" bestFit="1" customWidth="1"/>
    <col min="7707" max="7713" width="9.140625" style="1"/>
    <col min="7714" max="7714" width="11.28515625" style="1" bestFit="1" customWidth="1"/>
    <col min="7715" max="7715" width="10.7109375" style="1" bestFit="1" customWidth="1"/>
    <col min="7716" max="7937" width="9.140625" style="1"/>
    <col min="7938" max="7938" width="6.42578125" style="1" customWidth="1"/>
    <col min="7939" max="7939" width="20.7109375" style="1" customWidth="1"/>
    <col min="7940" max="7940" width="24.7109375" style="1" customWidth="1"/>
    <col min="7941" max="7941" width="11.140625" style="1" customWidth="1"/>
    <col min="7942" max="7942" width="12.28515625" style="1" customWidth="1"/>
    <col min="7943" max="7943" width="11.140625" style="1" customWidth="1"/>
    <col min="7944" max="7944" width="10.42578125" style="1" customWidth="1"/>
    <col min="7945" max="7945" width="4.7109375" style="1" customWidth="1"/>
    <col min="7946" max="7946" width="8.5703125" style="1" customWidth="1"/>
    <col min="7947" max="7947" width="5.5703125" style="1" customWidth="1"/>
    <col min="7948" max="7949" width="11.5703125" style="1" customWidth="1"/>
    <col min="7950" max="7950" width="10.85546875" style="1" customWidth="1"/>
    <col min="7951" max="7951" width="7.7109375" style="1" customWidth="1"/>
    <col min="7952" max="7952" width="8" style="1" customWidth="1"/>
    <col min="7953" max="7953" width="16.28515625" style="1" customWidth="1"/>
    <col min="7954" max="7954" width="10.5703125" style="1" customWidth="1"/>
    <col min="7955" max="7955" width="14.140625" style="1" customWidth="1"/>
    <col min="7956" max="7956" width="10.140625" style="1" customWidth="1"/>
    <col min="7957" max="7957" width="15.140625" style="1" customWidth="1"/>
    <col min="7958" max="7958" width="8.5703125" style="1" customWidth="1"/>
    <col min="7959" max="7959" width="14.28515625" style="1" customWidth="1"/>
    <col min="7960" max="7960" width="18.28515625" style="1" customWidth="1"/>
    <col min="7961" max="7961" width="13" style="1" bestFit="1" customWidth="1"/>
    <col min="7962" max="7962" width="11.7109375" style="1" bestFit="1" customWidth="1"/>
    <col min="7963" max="7969" width="9.140625" style="1"/>
    <col min="7970" max="7970" width="11.28515625" style="1" bestFit="1" customWidth="1"/>
    <col min="7971" max="7971" width="10.7109375" style="1" bestFit="1" customWidth="1"/>
    <col min="7972" max="8193" width="9.140625" style="1"/>
    <col min="8194" max="8194" width="6.42578125" style="1" customWidth="1"/>
    <col min="8195" max="8195" width="20.7109375" style="1" customWidth="1"/>
    <col min="8196" max="8196" width="24.7109375" style="1" customWidth="1"/>
    <col min="8197" max="8197" width="11.140625" style="1" customWidth="1"/>
    <col min="8198" max="8198" width="12.28515625" style="1" customWidth="1"/>
    <col min="8199" max="8199" width="11.140625" style="1" customWidth="1"/>
    <col min="8200" max="8200" width="10.42578125" style="1" customWidth="1"/>
    <col min="8201" max="8201" width="4.7109375" style="1" customWidth="1"/>
    <col min="8202" max="8202" width="8.5703125" style="1" customWidth="1"/>
    <col min="8203" max="8203" width="5.5703125" style="1" customWidth="1"/>
    <col min="8204" max="8205" width="11.5703125" style="1" customWidth="1"/>
    <col min="8206" max="8206" width="10.85546875" style="1" customWidth="1"/>
    <col min="8207" max="8207" width="7.7109375" style="1" customWidth="1"/>
    <col min="8208" max="8208" width="8" style="1" customWidth="1"/>
    <col min="8209" max="8209" width="16.28515625" style="1" customWidth="1"/>
    <col min="8210" max="8210" width="10.5703125" style="1" customWidth="1"/>
    <col min="8211" max="8211" width="14.140625" style="1" customWidth="1"/>
    <col min="8212" max="8212" width="10.140625" style="1" customWidth="1"/>
    <col min="8213" max="8213" width="15.140625" style="1" customWidth="1"/>
    <col min="8214" max="8214" width="8.5703125" style="1" customWidth="1"/>
    <col min="8215" max="8215" width="14.28515625" style="1" customWidth="1"/>
    <col min="8216" max="8216" width="18.28515625" style="1" customWidth="1"/>
    <col min="8217" max="8217" width="13" style="1" bestFit="1" customWidth="1"/>
    <col min="8218" max="8218" width="11.7109375" style="1" bestFit="1" customWidth="1"/>
    <col min="8219" max="8225" width="9.140625" style="1"/>
    <col min="8226" max="8226" width="11.28515625" style="1" bestFit="1" customWidth="1"/>
    <col min="8227" max="8227" width="10.7109375" style="1" bestFit="1" customWidth="1"/>
    <col min="8228" max="8449" width="9.140625" style="1"/>
    <col min="8450" max="8450" width="6.42578125" style="1" customWidth="1"/>
    <col min="8451" max="8451" width="20.7109375" style="1" customWidth="1"/>
    <col min="8452" max="8452" width="24.7109375" style="1" customWidth="1"/>
    <col min="8453" max="8453" width="11.140625" style="1" customWidth="1"/>
    <col min="8454" max="8454" width="12.28515625" style="1" customWidth="1"/>
    <col min="8455" max="8455" width="11.140625" style="1" customWidth="1"/>
    <col min="8456" max="8456" width="10.42578125" style="1" customWidth="1"/>
    <col min="8457" max="8457" width="4.7109375" style="1" customWidth="1"/>
    <col min="8458" max="8458" width="8.5703125" style="1" customWidth="1"/>
    <col min="8459" max="8459" width="5.5703125" style="1" customWidth="1"/>
    <col min="8460" max="8461" width="11.5703125" style="1" customWidth="1"/>
    <col min="8462" max="8462" width="10.85546875" style="1" customWidth="1"/>
    <col min="8463" max="8463" width="7.7109375" style="1" customWidth="1"/>
    <col min="8464" max="8464" width="8" style="1" customWidth="1"/>
    <col min="8465" max="8465" width="16.28515625" style="1" customWidth="1"/>
    <col min="8466" max="8466" width="10.5703125" style="1" customWidth="1"/>
    <col min="8467" max="8467" width="14.140625" style="1" customWidth="1"/>
    <col min="8468" max="8468" width="10.140625" style="1" customWidth="1"/>
    <col min="8469" max="8469" width="15.140625" style="1" customWidth="1"/>
    <col min="8470" max="8470" width="8.5703125" style="1" customWidth="1"/>
    <col min="8471" max="8471" width="14.28515625" style="1" customWidth="1"/>
    <col min="8472" max="8472" width="18.28515625" style="1" customWidth="1"/>
    <col min="8473" max="8473" width="13" style="1" bestFit="1" customWidth="1"/>
    <col min="8474" max="8474" width="11.7109375" style="1" bestFit="1" customWidth="1"/>
    <col min="8475" max="8481" width="9.140625" style="1"/>
    <col min="8482" max="8482" width="11.28515625" style="1" bestFit="1" customWidth="1"/>
    <col min="8483" max="8483" width="10.7109375" style="1" bestFit="1" customWidth="1"/>
    <col min="8484" max="8705" width="9.140625" style="1"/>
    <col min="8706" max="8706" width="6.42578125" style="1" customWidth="1"/>
    <col min="8707" max="8707" width="20.7109375" style="1" customWidth="1"/>
    <col min="8708" max="8708" width="24.7109375" style="1" customWidth="1"/>
    <col min="8709" max="8709" width="11.140625" style="1" customWidth="1"/>
    <col min="8710" max="8710" width="12.28515625" style="1" customWidth="1"/>
    <col min="8711" max="8711" width="11.140625" style="1" customWidth="1"/>
    <col min="8712" max="8712" width="10.42578125" style="1" customWidth="1"/>
    <col min="8713" max="8713" width="4.7109375" style="1" customWidth="1"/>
    <col min="8714" max="8714" width="8.5703125" style="1" customWidth="1"/>
    <col min="8715" max="8715" width="5.5703125" style="1" customWidth="1"/>
    <col min="8716" max="8717" width="11.5703125" style="1" customWidth="1"/>
    <col min="8718" max="8718" width="10.85546875" style="1" customWidth="1"/>
    <col min="8719" max="8719" width="7.7109375" style="1" customWidth="1"/>
    <col min="8720" max="8720" width="8" style="1" customWidth="1"/>
    <col min="8721" max="8721" width="16.28515625" style="1" customWidth="1"/>
    <col min="8722" max="8722" width="10.5703125" style="1" customWidth="1"/>
    <col min="8723" max="8723" width="14.140625" style="1" customWidth="1"/>
    <col min="8724" max="8724" width="10.140625" style="1" customWidth="1"/>
    <col min="8725" max="8725" width="15.140625" style="1" customWidth="1"/>
    <col min="8726" max="8726" width="8.5703125" style="1" customWidth="1"/>
    <col min="8727" max="8727" width="14.28515625" style="1" customWidth="1"/>
    <col min="8728" max="8728" width="18.28515625" style="1" customWidth="1"/>
    <col min="8729" max="8729" width="13" style="1" bestFit="1" customWidth="1"/>
    <col min="8730" max="8730" width="11.7109375" style="1" bestFit="1" customWidth="1"/>
    <col min="8731" max="8737" width="9.140625" style="1"/>
    <col min="8738" max="8738" width="11.28515625" style="1" bestFit="1" customWidth="1"/>
    <col min="8739" max="8739" width="10.7109375" style="1" bestFit="1" customWidth="1"/>
    <col min="8740" max="8961" width="9.140625" style="1"/>
    <col min="8962" max="8962" width="6.42578125" style="1" customWidth="1"/>
    <col min="8963" max="8963" width="20.7109375" style="1" customWidth="1"/>
    <col min="8964" max="8964" width="24.7109375" style="1" customWidth="1"/>
    <col min="8965" max="8965" width="11.140625" style="1" customWidth="1"/>
    <col min="8966" max="8966" width="12.28515625" style="1" customWidth="1"/>
    <col min="8967" max="8967" width="11.140625" style="1" customWidth="1"/>
    <col min="8968" max="8968" width="10.42578125" style="1" customWidth="1"/>
    <col min="8969" max="8969" width="4.7109375" style="1" customWidth="1"/>
    <col min="8970" max="8970" width="8.5703125" style="1" customWidth="1"/>
    <col min="8971" max="8971" width="5.5703125" style="1" customWidth="1"/>
    <col min="8972" max="8973" width="11.5703125" style="1" customWidth="1"/>
    <col min="8974" max="8974" width="10.85546875" style="1" customWidth="1"/>
    <col min="8975" max="8975" width="7.7109375" style="1" customWidth="1"/>
    <col min="8976" max="8976" width="8" style="1" customWidth="1"/>
    <col min="8977" max="8977" width="16.28515625" style="1" customWidth="1"/>
    <col min="8978" max="8978" width="10.5703125" style="1" customWidth="1"/>
    <col min="8979" max="8979" width="14.140625" style="1" customWidth="1"/>
    <col min="8980" max="8980" width="10.140625" style="1" customWidth="1"/>
    <col min="8981" max="8981" width="15.140625" style="1" customWidth="1"/>
    <col min="8982" max="8982" width="8.5703125" style="1" customWidth="1"/>
    <col min="8983" max="8983" width="14.28515625" style="1" customWidth="1"/>
    <col min="8984" max="8984" width="18.28515625" style="1" customWidth="1"/>
    <col min="8985" max="8985" width="13" style="1" bestFit="1" customWidth="1"/>
    <col min="8986" max="8986" width="11.7109375" style="1" bestFit="1" customWidth="1"/>
    <col min="8987" max="8993" width="9.140625" style="1"/>
    <col min="8994" max="8994" width="11.28515625" style="1" bestFit="1" customWidth="1"/>
    <col min="8995" max="8995" width="10.7109375" style="1" bestFit="1" customWidth="1"/>
    <col min="8996" max="9217" width="9.140625" style="1"/>
    <col min="9218" max="9218" width="6.42578125" style="1" customWidth="1"/>
    <col min="9219" max="9219" width="20.7109375" style="1" customWidth="1"/>
    <col min="9220" max="9220" width="24.7109375" style="1" customWidth="1"/>
    <col min="9221" max="9221" width="11.140625" style="1" customWidth="1"/>
    <col min="9222" max="9222" width="12.28515625" style="1" customWidth="1"/>
    <col min="9223" max="9223" width="11.140625" style="1" customWidth="1"/>
    <col min="9224" max="9224" width="10.42578125" style="1" customWidth="1"/>
    <col min="9225" max="9225" width="4.7109375" style="1" customWidth="1"/>
    <col min="9226" max="9226" width="8.5703125" style="1" customWidth="1"/>
    <col min="9227" max="9227" width="5.5703125" style="1" customWidth="1"/>
    <col min="9228" max="9229" width="11.5703125" style="1" customWidth="1"/>
    <col min="9230" max="9230" width="10.85546875" style="1" customWidth="1"/>
    <col min="9231" max="9231" width="7.7109375" style="1" customWidth="1"/>
    <col min="9232" max="9232" width="8" style="1" customWidth="1"/>
    <col min="9233" max="9233" width="16.28515625" style="1" customWidth="1"/>
    <col min="9234" max="9234" width="10.5703125" style="1" customWidth="1"/>
    <col min="9235" max="9235" width="14.140625" style="1" customWidth="1"/>
    <col min="9236" max="9236" width="10.140625" style="1" customWidth="1"/>
    <col min="9237" max="9237" width="15.140625" style="1" customWidth="1"/>
    <col min="9238" max="9238" width="8.5703125" style="1" customWidth="1"/>
    <col min="9239" max="9239" width="14.28515625" style="1" customWidth="1"/>
    <col min="9240" max="9240" width="18.28515625" style="1" customWidth="1"/>
    <col min="9241" max="9241" width="13" style="1" bestFit="1" customWidth="1"/>
    <col min="9242" max="9242" width="11.7109375" style="1" bestFit="1" customWidth="1"/>
    <col min="9243" max="9249" width="9.140625" style="1"/>
    <col min="9250" max="9250" width="11.28515625" style="1" bestFit="1" customWidth="1"/>
    <col min="9251" max="9251" width="10.7109375" style="1" bestFit="1" customWidth="1"/>
    <col min="9252" max="9473" width="9.140625" style="1"/>
    <col min="9474" max="9474" width="6.42578125" style="1" customWidth="1"/>
    <col min="9475" max="9475" width="20.7109375" style="1" customWidth="1"/>
    <col min="9476" max="9476" width="24.7109375" style="1" customWidth="1"/>
    <col min="9477" max="9477" width="11.140625" style="1" customWidth="1"/>
    <col min="9478" max="9478" width="12.28515625" style="1" customWidth="1"/>
    <col min="9479" max="9479" width="11.140625" style="1" customWidth="1"/>
    <col min="9480" max="9480" width="10.42578125" style="1" customWidth="1"/>
    <col min="9481" max="9481" width="4.7109375" style="1" customWidth="1"/>
    <col min="9482" max="9482" width="8.5703125" style="1" customWidth="1"/>
    <col min="9483" max="9483" width="5.5703125" style="1" customWidth="1"/>
    <col min="9484" max="9485" width="11.5703125" style="1" customWidth="1"/>
    <col min="9486" max="9486" width="10.85546875" style="1" customWidth="1"/>
    <col min="9487" max="9487" width="7.7109375" style="1" customWidth="1"/>
    <col min="9488" max="9488" width="8" style="1" customWidth="1"/>
    <col min="9489" max="9489" width="16.28515625" style="1" customWidth="1"/>
    <col min="9490" max="9490" width="10.5703125" style="1" customWidth="1"/>
    <col min="9491" max="9491" width="14.140625" style="1" customWidth="1"/>
    <col min="9492" max="9492" width="10.140625" style="1" customWidth="1"/>
    <col min="9493" max="9493" width="15.140625" style="1" customWidth="1"/>
    <col min="9494" max="9494" width="8.5703125" style="1" customWidth="1"/>
    <col min="9495" max="9495" width="14.28515625" style="1" customWidth="1"/>
    <col min="9496" max="9496" width="18.28515625" style="1" customWidth="1"/>
    <col min="9497" max="9497" width="13" style="1" bestFit="1" customWidth="1"/>
    <col min="9498" max="9498" width="11.7109375" style="1" bestFit="1" customWidth="1"/>
    <col min="9499" max="9505" width="9.140625" style="1"/>
    <col min="9506" max="9506" width="11.28515625" style="1" bestFit="1" customWidth="1"/>
    <col min="9507" max="9507" width="10.7109375" style="1" bestFit="1" customWidth="1"/>
    <col min="9508" max="9729" width="9.140625" style="1"/>
    <col min="9730" max="9730" width="6.42578125" style="1" customWidth="1"/>
    <col min="9731" max="9731" width="20.7109375" style="1" customWidth="1"/>
    <col min="9732" max="9732" width="24.7109375" style="1" customWidth="1"/>
    <col min="9733" max="9733" width="11.140625" style="1" customWidth="1"/>
    <col min="9734" max="9734" width="12.28515625" style="1" customWidth="1"/>
    <col min="9735" max="9735" width="11.140625" style="1" customWidth="1"/>
    <col min="9736" max="9736" width="10.42578125" style="1" customWidth="1"/>
    <col min="9737" max="9737" width="4.7109375" style="1" customWidth="1"/>
    <col min="9738" max="9738" width="8.5703125" style="1" customWidth="1"/>
    <col min="9739" max="9739" width="5.5703125" style="1" customWidth="1"/>
    <col min="9740" max="9741" width="11.5703125" style="1" customWidth="1"/>
    <col min="9742" max="9742" width="10.85546875" style="1" customWidth="1"/>
    <col min="9743" max="9743" width="7.7109375" style="1" customWidth="1"/>
    <col min="9744" max="9744" width="8" style="1" customWidth="1"/>
    <col min="9745" max="9745" width="16.28515625" style="1" customWidth="1"/>
    <col min="9746" max="9746" width="10.5703125" style="1" customWidth="1"/>
    <col min="9747" max="9747" width="14.140625" style="1" customWidth="1"/>
    <col min="9748" max="9748" width="10.140625" style="1" customWidth="1"/>
    <col min="9749" max="9749" width="15.140625" style="1" customWidth="1"/>
    <col min="9750" max="9750" width="8.5703125" style="1" customWidth="1"/>
    <col min="9751" max="9751" width="14.28515625" style="1" customWidth="1"/>
    <col min="9752" max="9752" width="18.28515625" style="1" customWidth="1"/>
    <col min="9753" max="9753" width="13" style="1" bestFit="1" customWidth="1"/>
    <col min="9754" max="9754" width="11.7109375" style="1" bestFit="1" customWidth="1"/>
    <col min="9755" max="9761" width="9.140625" style="1"/>
    <col min="9762" max="9762" width="11.28515625" style="1" bestFit="1" customWidth="1"/>
    <col min="9763" max="9763" width="10.7109375" style="1" bestFit="1" customWidth="1"/>
    <col min="9764" max="9985" width="9.140625" style="1"/>
    <col min="9986" max="9986" width="6.42578125" style="1" customWidth="1"/>
    <col min="9987" max="9987" width="20.7109375" style="1" customWidth="1"/>
    <col min="9988" max="9988" width="24.7109375" style="1" customWidth="1"/>
    <col min="9989" max="9989" width="11.140625" style="1" customWidth="1"/>
    <col min="9990" max="9990" width="12.28515625" style="1" customWidth="1"/>
    <col min="9991" max="9991" width="11.140625" style="1" customWidth="1"/>
    <col min="9992" max="9992" width="10.42578125" style="1" customWidth="1"/>
    <col min="9993" max="9993" width="4.7109375" style="1" customWidth="1"/>
    <col min="9994" max="9994" width="8.5703125" style="1" customWidth="1"/>
    <col min="9995" max="9995" width="5.5703125" style="1" customWidth="1"/>
    <col min="9996" max="9997" width="11.5703125" style="1" customWidth="1"/>
    <col min="9998" max="9998" width="10.85546875" style="1" customWidth="1"/>
    <col min="9999" max="9999" width="7.7109375" style="1" customWidth="1"/>
    <col min="10000" max="10000" width="8" style="1" customWidth="1"/>
    <col min="10001" max="10001" width="16.28515625" style="1" customWidth="1"/>
    <col min="10002" max="10002" width="10.5703125" style="1" customWidth="1"/>
    <col min="10003" max="10003" width="14.140625" style="1" customWidth="1"/>
    <col min="10004" max="10004" width="10.140625" style="1" customWidth="1"/>
    <col min="10005" max="10005" width="15.140625" style="1" customWidth="1"/>
    <col min="10006" max="10006" width="8.5703125" style="1" customWidth="1"/>
    <col min="10007" max="10007" width="14.28515625" style="1" customWidth="1"/>
    <col min="10008" max="10008" width="18.28515625" style="1" customWidth="1"/>
    <col min="10009" max="10009" width="13" style="1" bestFit="1" customWidth="1"/>
    <col min="10010" max="10010" width="11.7109375" style="1" bestFit="1" customWidth="1"/>
    <col min="10011" max="10017" width="9.140625" style="1"/>
    <col min="10018" max="10018" width="11.28515625" style="1" bestFit="1" customWidth="1"/>
    <col min="10019" max="10019" width="10.7109375" style="1" bestFit="1" customWidth="1"/>
    <col min="10020" max="10241" width="9.140625" style="1"/>
    <col min="10242" max="10242" width="6.42578125" style="1" customWidth="1"/>
    <col min="10243" max="10243" width="20.7109375" style="1" customWidth="1"/>
    <col min="10244" max="10244" width="24.7109375" style="1" customWidth="1"/>
    <col min="10245" max="10245" width="11.140625" style="1" customWidth="1"/>
    <col min="10246" max="10246" width="12.28515625" style="1" customWidth="1"/>
    <col min="10247" max="10247" width="11.140625" style="1" customWidth="1"/>
    <col min="10248" max="10248" width="10.42578125" style="1" customWidth="1"/>
    <col min="10249" max="10249" width="4.7109375" style="1" customWidth="1"/>
    <col min="10250" max="10250" width="8.5703125" style="1" customWidth="1"/>
    <col min="10251" max="10251" width="5.5703125" style="1" customWidth="1"/>
    <col min="10252" max="10253" width="11.5703125" style="1" customWidth="1"/>
    <col min="10254" max="10254" width="10.85546875" style="1" customWidth="1"/>
    <col min="10255" max="10255" width="7.7109375" style="1" customWidth="1"/>
    <col min="10256" max="10256" width="8" style="1" customWidth="1"/>
    <col min="10257" max="10257" width="16.28515625" style="1" customWidth="1"/>
    <col min="10258" max="10258" width="10.5703125" style="1" customWidth="1"/>
    <col min="10259" max="10259" width="14.140625" style="1" customWidth="1"/>
    <col min="10260" max="10260" width="10.140625" style="1" customWidth="1"/>
    <col min="10261" max="10261" width="15.140625" style="1" customWidth="1"/>
    <col min="10262" max="10262" width="8.5703125" style="1" customWidth="1"/>
    <col min="10263" max="10263" width="14.28515625" style="1" customWidth="1"/>
    <col min="10264" max="10264" width="18.28515625" style="1" customWidth="1"/>
    <col min="10265" max="10265" width="13" style="1" bestFit="1" customWidth="1"/>
    <col min="10266" max="10266" width="11.7109375" style="1" bestFit="1" customWidth="1"/>
    <col min="10267" max="10273" width="9.140625" style="1"/>
    <col min="10274" max="10274" width="11.28515625" style="1" bestFit="1" customWidth="1"/>
    <col min="10275" max="10275" width="10.7109375" style="1" bestFit="1" customWidth="1"/>
    <col min="10276" max="10497" width="9.140625" style="1"/>
    <col min="10498" max="10498" width="6.42578125" style="1" customWidth="1"/>
    <col min="10499" max="10499" width="20.7109375" style="1" customWidth="1"/>
    <col min="10500" max="10500" width="24.7109375" style="1" customWidth="1"/>
    <col min="10501" max="10501" width="11.140625" style="1" customWidth="1"/>
    <col min="10502" max="10502" width="12.28515625" style="1" customWidth="1"/>
    <col min="10503" max="10503" width="11.140625" style="1" customWidth="1"/>
    <col min="10504" max="10504" width="10.42578125" style="1" customWidth="1"/>
    <col min="10505" max="10505" width="4.7109375" style="1" customWidth="1"/>
    <col min="10506" max="10506" width="8.5703125" style="1" customWidth="1"/>
    <col min="10507" max="10507" width="5.5703125" style="1" customWidth="1"/>
    <col min="10508" max="10509" width="11.5703125" style="1" customWidth="1"/>
    <col min="10510" max="10510" width="10.85546875" style="1" customWidth="1"/>
    <col min="10511" max="10511" width="7.7109375" style="1" customWidth="1"/>
    <col min="10512" max="10512" width="8" style="1" customWidth="1"/>
    <col min="10513" max="10513" width="16.28515625" style="1" customWidth="1"/>
    <col min="10514" max="10514" width="10.5703125" style="1" customWidth="1"/>
    <col min="10515" max="10515" width="14.140625" style="1" customWidth="1"/>
    <col min="10516" max="10516" width="10.140625" style="1" customWidth="1"/>
    <col min="10517" max="10517" width="15.140625" style="1" customWidth="1"/>
    <col min="10518" max="10518" width="8.5703125" style="1" customWidth="1"/>
    <col min="10519" max="10519" width="14.28515625" style="1" customWidth="1"/>
    <col min="10520" max="10520" width="18.28515625" style="1" customWidth="1"/>
    <col min="10521" max="10521" width="13" style="1" bestFit="1" customWidth="1"/>
    <col min="10522" max="10522" width="11.7109375" style="1" bestFit="1" customWidth="1"/>
    <col min="10523" max="10529" width="9.140625" style="1"/>
    <col min="10530" max="10530" width="11.28515625" style="1" bestFit="1" customWidth="1"/>
    <col min="10531" max="10531" width="10.7109375" style="1" bestFit="1" customWidth="1"/>
    <col min="10532" max="10753" width="9.140625" style="1"/>
    <col min="10754" max="10754" width="6.42578125" style="1" customWidth="1"/>
    <col min="10755" max="10755" width="20.7109375" style="1" customWidth="1"/>
    <col min="10756" max="10756" width="24.7109375" style="1" customWidth="1"/>
    <col min="10757" max="10757" width="11.140625" style="1" customWidth="1"/>
    <col min="10758" max="10758" width="12.28515625" style="1" customWidth="1"/>
    <col min="10759" max="10759" width="11.140625" style="1" customWidth="1"/>
    <col min="10760" max="10760" width="10.42578125" style="1" customWidth="1"/>
    <col min="10761" max="10761" width="4.7109375" style="1" customWidth="1"/>
    <col min="10762" max="10762" width="8.5703125" style="1" customWidth="1"/>
    <col min="10763" max="10763" width="5.5703125" style="1" customWidth="1"/>
    <col min="10764" max="10765" width="11.5703125" style="1" customWidth="1"/>
    <col min="10766" max="10766" width="10.85546875" style="1" customWidth="1"/>
    <col min="10767" max="10767" width="7.7109375" style="1" customWidth="1"/>
    <col min="10768" max="10768" width="8" style="1" customWidth="1"/>
    <col min="10769" max="10769" width="16.28515625" style="1" customWidth="1"/>
    <col min="10770" max="10770" width="10.5703125" style="1" customWidth="1"/>
    <col min="10771" max="10771" width="14.140625" style="1" customWidth="1"/>
    <col min="10772" max="10772" width="10.140625" style="1" customWidth="1"/>
    <col min="10773" max="10773" width="15.140625" style="1" customWidth="1"/>
    <col min="10774" max="10774" width="8.5703125" style="1" customWidth="1"/>
    <col min="10775" max="10775" width="14.28515625" style="1" customWidth="1"/>
    <col min="10776" max="10776" width="18.28515625" style="1" customWidth="1"/>
    <col min="10777" max="10777" width="13" style="1" bestFit="1" customWidth="1"/>
    <col min="10778" max="10778" width="11.7109375" style="1" bestFit="1" customWidth="1"/>
    <col min="10779" max="10785" width="9.140625" style="1"/>
    <col min="10786" max="10786" width="11.28515625" style="1" bestFit="1" customWidth="1"/>
    <col min="10787" max="10787" width="10.7109375" style="1" bestFit="1" customWidth="1"/>
    <col min="10788" max="11009" width="9.140625" style="1"/>
    <col min="11010" max="11010" width="6.42578125" style="1" customWidth="1"/>
    <col min="11011" max="11011" width="20.7109375" style="1" customWidth="1"/>
    <col min="11012" max="11012" width="24.7109375" style="1" customWidth="1"/>
    <col min="11013" max="11013" width="11.140625" style="1" customWidth="1"/>
    <col min="11014" max="11014" width="12.28515625" style="1" customWidth="1"/>
    <col min="11015" max="11015" width="11.140625" style="1" customWidth="1"/>
    <col min="11016" max="11016" width="10.42578125" style="1" customWidth="1"/>
    <col min="11017" max="11017" width="4.7109375" style="1" customWidth="1"/>
    <col min="11018" max="11018" width="8.5703125" style="1" customWidth="1"/>
    <col min="11019" max="11019" width="5.5703125" style="1" customWidth="1"/>
    <col min="11020" max="11021" width="11.5703125" style="1" customWidth="1"/>
    <col min="11022" max="11022" width="10.85546875" style="1" customWidth="1"/>
    <col min="11023" max="11023" width="7.7109375" style="1" customWidth="1"/>
    <col min="11024" max="11024" width="8" style="1" customWidth="1"/>
    <col min="11025" max="11025" width="16.28515625" style="1" customWidth="1"/>
    <col min="11026" max="11026" width="10.5703125" style="1" customWidth="1"/>
    <col min="11027" max="11027" width="14.140625" style="1" customWidth="1"/>
    <col min="11028" max="11028" width="10.140625" style="1" customWidth="1"/>
    <col min="11029" max="11029" width="15.140625" style="1" customWidth="1"/>
    <col min="11030" max="11030" width="8.5703125" style="1" customWidth="1"/>
    <col min="11031" max="11031" width="14.28515625" style="1" customWidth="1"/>
    <col min="11032" max="11032" width="18.28515625" style="1" customWidth="1"/>
    <col min="11033" max="11033" width="13" style="1" bestFit="1" customWidth="1"/>
    <col min="11034" max="11034" width="11.7109375" style="1" bestFit="1" customWidth="1"/>
    <col min="11035" max="11041" width="9.140625" style="1"/>
    <col min="11042" max="11042" width="11.28515625" style="1" bestFit="1" customWidth="1"/>
    <col min="11043" max="11043" width="10.7109375" style="1" bestFit="1" customWidth="1"/>
    <col min="11044" max="11265" width="9.140625" style="1"/>
    <col min="11266" max="11266" width="6.42578125" style="1" customWidth="1"/>
    <col min="11267" max="11267" width="20.7109375" style="1" customWidth="1"/>
    <col min="11268" max="11268" width="24.7109375" style="1" customWidth="1"/>
    <col min="11269" max="11269" width="11.140625" style="1" customWidth="1"/>
    <col min="11270" max="11270" width="12.28515625" style="1" customWidth="1"/>
    <col min="11271" max="11271" width="11.140625" style="1" customWidth="1"/>
    <col min="11272" max="11272" width="10.42578125" style="1" customWidth="1"/>
    <col min="11273" max="11273" width="4.7109375" style="1" customWidth="1"/>
    <col min="11274" max="11274" width="8.5703125" style="1" customWidth="1"/>
    <col min="11275" max="11275" width="5.5703125" style="1" customWidth="1"/>
    <col min="11276" max="11277" width="11.5703125" style="1" customWidth="1"/>
    <col min="11278" max="11278" width="10.85546875" style="1" customWidth="1"/>
    <col min="11279" max="11279" width="7.7109375" style="1" customWidth="1"/>
    <col min="11280" max="11280" width="8" style="1" customWidth="1"/>
    <col min="11281" max="11281" width="16.28515625" style="1" customWidth="1"/>
    <col min="11282" max="11282" width="10.5703125" style="1" customWidth="1"/>
    <col min="11283" max="11283" width="14.140625" style="1" customWidth="1"/>
    <col min="11284" max="11284" width="10.140625" style="1" customWidth="1"/>
    <col min="11285" max="11285" width="15.140625" style="1" customWidth="1"/>
    <col min="11286" max="11286" width="8.5703125" style="1" customWidth="1"/>
    <col min="11287" max="11287" width="14.28515625" style="1" customWidth="1"/>
    <col min="11288" max="11288" width="18.28515625" style="1" customWidth="1"/>
    <col min="11289" max="11289" width="13" style="1" bestFit="1" customWidth="1"/>
    <col min="11290" max="11290" width="11.7109375" style="1" bestFit="1" customWidth="1"/>
    <col min="11291" max="11297" width="9.140625" style="1"/>
    <col min="11298" max="11298" width="11.28515625" style="1" bestFit="1" customWidth="1"/>
    <col min="11299" max="11299" width="10.7109375" style="1" bestFit="1" customWidth="1"/>
    <col min="11300" max="11521" width="9.140625" style="1"/>
    <col min="11522" max="11522" width="6.42578125" style="1" customWidth="1"/>
    <col min="11523" max="11523" width="20.7109375" style="1" customWidth="1"/>
    <col min="11524" max="11524" width="24.7109375" style="1" customWidth="1"/>
    <col min="11525" max="11525" width="11.140625" style="1" customWidth="1"/>
    <col min="11526" max="11526" width="12.28515625" style="1" customWidth="1"/>
    <col min="11527" max="11527" width="11.140625" style="1" customWidth="1"/>
    <col min="11528" max="11528" width="10.42578125" style="1" customWidth="1"/>
    <col min="11529" max="11529" width="4.7109375" style="1" customWidth="1"/>
    <col min="11530" max="11530" width="8.5703125" style="1" customWidth="1"/>
    <col min="11531" max="11531" width="5.5703125" style="1" customWidth="1"/>
    <col min="11532" max="11533" width="11.5703125" style="1" customWidth="1"/>
    <col min="11534" max="11534" width="10.85546875" style="1" customWidth="1"/>
    <col min="11535" max="11535" width="7.7109375" style="1" customWidth="1"/>
    <col min="11536" max="11536" width="8" style="1" customWidth="1"/>
    <col min="11537" max="11537" width="16.28515625" style="1" customWidth="1"/>
    <col min="11538" max="11538" width="10.5703125" style="1" customWidth="1"/>
    <col min="11539" max="11539" width="14.140625" style="1" customWidth="1"/>
    <col min="11540" max="11540" width="10.140625" style="1" customWidth="1"/>
    <col min="11541" max="11541" width="15.140625" style="1" customWidth="1"/>
    <col min="11542" max="11542" width="8.5703125" style="1" customWidth="1"/>
    <col min="11543" max="11543" width="14.28515625" style="1" customWidth="1"/>
    <col min="11544" max="11544" width="18.28515625" style="1" customWidth="1"/>
    <col min="11545" max="11545" width="13" style="1" bestFit="1" customWidth="1"/>
    <col min="11546" max="11546" width="11.7109375" style="1" bestFit="1" customWidth="1"/>
    <col min="11547" max="11553" width="9.140625" style="1"/>
    <col min="11554" max="11554" width="11.28515625" style="1" bestFit="1" customWidth="1"/>
    <col min="11555" max="11555" width="10.7109375" style="1" bestFit="1" customWidth="1"/>
    <col min="11556" max="11777" width="9.140625" style="1"/>
    <col min="11778" max="11778" width="6.42578125" style="1" customWidth="1"/>
    <col min="11779" max="11779" width="20.7109375" style="1" customWidth="1"/>
    <col min="11780" max="11780" width="24.7109375" style="1" customWidth="1"/>
    <col min="11781" max="11781" width="11.140625" style="1" customWidth="1"/>
    <col min="11782" max="11782" width="12.28515625" style="1" customWidth="1"/>
    <col min="11783" max="11783" width="11.140625" style="1" customWidth="1"/>
    <col min="11784" max="11784" width="10.42578125" style="1" customWidth="1"/>
    <col min="11785" max="11785" width="4.7109375" style="1" customWidth="1"/>
    <col min="11786" max="11786" width="8.5703125" style="1" customWidth="1"/>
    <col min="11787" max="11787" width="5.5703125" style="1" customWidth="1"/>
    <col min="11788" max="11789" width="11.5703125" style="1" customWidth="1"/>
    <col min="11790" max="11790" width="10.85546875" style="1" customWidth="1"/>
    <col min="11791" max="11791" width="7.7109375" style="1" customWidth="1"/>
    <col min="11792" max="11792" width="8" style="1" customWidth="1"/>
    <col min="11793" max="11793" width="16.28515625" style="1" customWidth="1"/>
    <col min="11794" max="11794" width="10.5703125" style="1" customWidth="1"/>
    <col min="11795" max="11795" width="14.140625" style="1" customWidth="1"/>
    <col min="11796" max="11796" width="10.140625" style="1" customWidth="1"/>
    <col min="11797" max="11797" width="15.140625" style="1" customWidth="1"/>
    <col min="11798" max="11798" width="8.5703125" style="1" customWidth="1"/>
    <col min="11799" max="11799" width="14.28515625" style="1" customWidth="1"/>
    <col min="11800" max="11800" width="18.28515625" style="1" customWidth="1"/>
    <col min="11801" max="11801" width="13" style="1" bestFit="1" customWidth="1"/>
    <col min="11802" max="11802" width="11.7109375" style="1" bestFit="1" customWidth="1"/>
    <col min="11803" max="11809" width="9.140625" style="1"/>
    <col min="11810" max="11810" width="11.28515625" style="1" bestFit="1" customWidth="1"/>
    <col min="11811" max="11811" width="10.7109375" style="1" bestFit="1" customWidth="1"/>
    <col min="11812" max="12033" width="9.140625" style="1"/>
    <col min="12034" max="12034" width="6.42578125" style="1" customWidth="1"/>
    <col min="12035" max="12035" width="20.7109375" style="1" customWidth="1"/>
    <col min="12036" max="12036" width="24.7109375" style="1" customWidth="1"/>
    <col min="12037" max="12037" width="11.140625" style="1" customWidth="1"/>
    <col min="12038" max="12038" width="12.28515625" style="1" customWidth="1"/>
    <col min="12039" max="12039" width="11.140625" style="1" customWidth="1"/>
    <col min="12040" max="12040" width="10.42578125" style="1" customWidth="1"/>
    <col min="12041" max="12041" width="4.7109375" style="1" customWidth="1"/>
    <col min="12042" max="12042" width="8.5703125" style="1" customWidth="1"/>
    <col min="12043" max="12043" width="5.5703125" style="1" customWidth="1"/>
    <col min="12044" max="12045" width="11.5703125" style="1" customWidth="1"/>
    <col min="12046" max="12046" width="10.85546875" style="1" customWidth="1"/>
    <col min="12047" max="12047" width="7.7109375" style="1" customWidth="1"/>
    <col min="12048" max="12048" width="8" style="1" customWidth="1"/>
    <col min="12049" max="12049" width="16.28515625" style="1" customWidth="1"/>
    <col min="12050" max="12050" width="10.5703125" style="1" customWidth="1"/>
    <col min="12051" max="12051" width="14.140625" style="1" customWidth="1"/>
    <col min="12052" max="12052" width="10.140625" style="1" customWidth="1"/>
    <col min="12053" max="12053" width="15.140625" style="1" customWidth="1"/>
    <col min="12054" max="12054" width="8.5703125" style="1" customWidth="1"/>
    <col min="12055" max="12055" width="14.28515625" style="1" customWidth="1"/>
    <col min="12056" max="12056" width="18.28515625" style="1" customWidth="1"/>
    <col min="12057" max="12057" width="13" style="1" bestFit="1" customWidth="1"/>
    <col min="12058" max="12058" width="11.7109375" style="1" bestFit="1" customWidth="1"/>
    <col min="12059" max="12065" width="9.140625" style="1"/>
    <col min="12066" max="12066" width="11.28515625" style="1" bestFit="1" customWidth="1"/>
    <col min="12067" max="12067" width="10.7109375" style="1" bestFit="1" customWidth="1"/>
    <col min="12068" max="12289" width="9.140625" style="1"/>
    <col min="12290" max="12290" width="6.42578125" style="1" customWidth="1"/>
    <col min="12291" max="12291" width="20.7109375" style="1" customWidth="1"/>
    <col min="12292" max="12292" width="24.7109375" style="1" customWidth="1"/>
    <col min="12293" max="12293" width="11.140625" style="1" customWidth="1"/>
    <col min="12294" max="12294" width="12.28515625" style="1" customWidth="1"/>
    <col min="12295" max="12295" width="11.140625" style="1" customWidth="1"/>
    <col min="12296" max="12296" width="10.42578125" style="1" customWidth="1"/>
    <col min="12297" max="12297" width="4.7109375" style="1" customWidth="1"/>
    <col min="12298" max="12298" width="8.5703125" style="1" customWidth="1"/>
    <col min="12299" max="12299" width="5.5703125" style="1" customWidth="1"/>
    <col min="12300" max="12301" width="11.5703125" style="1" customWidth="1"/>
    <col min="12302" max="12302" width="10.85546875" style="1" customWidth="1"/>
    <col min="12303" max="12303" width="7.7109375" style="1" customWidth="1"/>
    <col min="12304" max="12304" width="8" style="1" customWidth="1"/>
    <col min="12305" max="12305" width="16.28515625" style="1" customWidth="1"/>
    <col min="12306" max="12306" width="10.5703125" style="1" customWidth="1"/>
    <col min="12307" max="12307" width="14.140625" style="1" customWidth="1"/>
    <col min="12308" max="12308" width="10.140625" style="1" customWidth="1"/>
    <col min="12309" max="12309" width="15.140625" style="1" customWidth="1"/>
    <col min="12310" max="12310" width="8.5703125" style="1" customWidth="1"/>
    <col min="12311" max="12311" width="14.28515625" style="1" customWidth="1"/>
    <col min="12312" max="12312" width="18.28515625" style="1" customWidth="1"/>
    <col min="12313" max="12313" width="13" style="1" bestFit="1" customWidth="1"/>
    <col min="12314" max="12314" width="11.7109375" style="1" bestFit="1" customWidth="1"/>
    <col min="12315" max="12321" width="9.140625" style="1"/>
    <col min="12322" max="12322" width="11.28515625" style="1" bestFit="1" customWidth="1"/>
    <col min="12323" max="12323" width="10.7109375" style="1" bestFit="1" customWidth="1"/>
    <col min="12324" max="12545" width="9.140625" style="1"/>
    <col min="12546" max="12546" width="6.42578125" style="1" customWidth="1"/>
    <col min="12547" max="12547" width="20.7109375" style="1" customWidth="1"/>
    <col min="12548" max="12548" width="24.7109375" style="1" customWidth="1"/>
    <col min="12549" max="12549" width="11.140625" style="1" customWidth="1"/>
    <col min="12550" max="12550" width="12.28515625" style="1" customWidth="1"/>
    <col min="12551" max="12551" width="11.140625" style="1" customWidth="1"/>
    <col min="12552" max="12552" width="10.42578125" style="1" customWidth="1"/>
    <col min="12553" max="12553" width="4.7109375" style="1" customWidth="1"/>
    <col min="12554" max="12554" width="8.5703125" style="1" customWidth="1"/>
    <col min="12555" max="12555" width="5.5703125" style="1" customWidth="1"/>
    <col min="12556" max="12557" width="11.5703125" style="1" customWidth="1"/>
    <col min="12558" max="12558" width="10.85546875" style="1" customWidth="1"/>
    <col min="12559" max="12559" width="7.7109375" style="1" customWidth="1"/>
    <col min="12560" max="12560" width="8" style="1" customWidth="1"/>
    <col min="12561" max="12561" width="16.28515625" style="1" customWidth="1"/>
    <col min="12562" max="12562" width="10.5703125" style="1" customWidth="1"/>
    <col min="12563" max="12563" width="14.140625" style="1" customWidth="1"/>
    <col min="12564" max="12564" width="10.140625" style="1" customWidth="1"/>
    <col min="12565" max="12565" width="15.140625" style="1" customWidth="1"/>
    <col min="12566" max="12566" width="8.5703125" style="1" customWidth="1"/>
    <col min="12567" max="12567" width="14.28515625" style="1" customWidth="1"/>
    <col min="12568" max="12568" width="18.28515625" style="1" customWidth="1"/>
    <col min="12569" max="12569" width="13" style="1" bestFit="1" customWidth="1"/>
    <col min="12570" max="12570" width="11.7109375" style="1" bestFit="1" customWidth="1"/>
    <col min="12571" max="12577" width="9.140625" style="1"/>
    <col min="12578" max="12578" width="11.28515625" style="1" bestFit="1" customWidth="1"/>
    <col min="12579" max="12579" width="10.7109375" style="1" bestFit="1" customWidth="1"/>
    <col min="12580" max="12801" width="9.140625" style="1"/>
    <col min="12802" max="12802" width="6.42578125" style="1" customWidth="1"/>
    <col min="12803" max="12803" width="20.7109375" style="1" customWidth="1"/>
    <col min="12804" max="12804" width="24.7109375" style="1" customWidth="1"/>
    <col min="12805" max="12805" width="11.140625" style="1" customWidth="1"/>
    <col min="12806" max="12806" width="12.28515625" style="1" customWidth="1"/>
    <col min="12807" max="12807" width="11.140625" style="1" customWidth="1"/>
    <col min="12808" max="12808" width="10.42578125" style="1" customWidth="1"/>
    <col min="12809" max="12809" width="4.7109375" style="1" customWidth="1"/>
    <col min="12810" max="12810" width="8.5703125" style="1" customWidth="1"/>
    <col min="12811" max="12811" width="5.5703125" style="1" customWidth="1"/>
    <col min="12812" max="12813" width="11.5703125" style="1" customWidth="1"/>
    <col min="12814" max="12814" width="10.85546875" style="1" customWidth="1"/>
    <col min="12815" max="12815" width="7.7109375" style="1" customWidth="1"/>
    <col min="12816" max="12816" width="8" style="1" customWidth="1"/>
    <col min="12817" max="12817" width="16.28515625" style="1" customWidth="1"/>
    <col min="12818" max="12818" width="10.5703125" style="1" customWidth="1"/>
    <col min="12819" max="12819" width="14.140625" style="1" customWidth="1"/>
    <col min="12820" max="12820" width="10.140625" style="1" customWidth="1"/>
    <col min="12821" max="12821" width="15.140625" style="1" customWidth="1"/>
    <col min="12822" max="12822" width="8.5703125" style="1" customWidth="1"/>
    <col min="12823" max="12823" width="14.28515625" style="1" customWidth="1"/>
    <col min="12824" max="12824" width="18.28515625" style="1" customWidth="1"/>
    <col min="12825" max="12825" width="13" style="1" bestFit="1" customWidth="1"/>
    <col min="12826" max="12826" width="11.7109375" style="1" bestFit="1" customWidth="1"/>
    <col min="12827" max="12833" width="9.140625" style="1"/>
    <col min="12834" max="12834" width="11.28515625" style="1" bestFit="1" customWidth="1"/>
    <col min="12835" max="12835" width="10.7109375" style="1" bestFit="1" customWidth="1"/>
    <col min="12836" max="13057" width="9.140625" style="1"/>
    <col min="13058" max="13058" width="6.42578125" style="1" customWidth="1"/>
    <col min="13059" max="13059" width="20.7109375" style="1" customWidth="1"/>
    <col min="13060" max="13060" width="24.7109375" style="1" customWidth="1"/>
    <col min="13061" max="13061" width="11.140625" style="1" customWidth="1"/>
    <col min="13062" max="13062" width="12.28515625" style="1" customWidth="1"/>
    <col min="13063" max="13063" width="11.140625" style="1" customWidth="1"/>
    <col min="13064" max="13064" width="10.42578125" style="1" customWidth="1"/>
    <col min="13065" max="13065" width="4.7109375" style="1" customWidth="1"/>
    <col min="13066" max="13066" width="8.5703125" style="1" customWidth="1"/>
    <col min="13067" max="13067" width="5.5703125" style="1" customWidth="1"/>
    <col min="13068" max="13069" width="11.5703125" style="1" customWidth="1"/>
    <col min="13070" max="13070" width="10.85546875" style="1" customWidth="1"/>
    <col min="13071" max="13071" width="7.7109375" style="1" customWidth="1"/>
    <col min="13072" max="13072" width="8" style="1" customWidth="1"/>
    <col min="13073" max="13073" width="16.28515625" style="1" customWidth="1"/>
    <col min="13074" max="13074" width="10.5703125" style="1" customWidth="1"/>
    <col min="13075" max="13075" width="14.140625" style="1" customWidth="1"/>
    <col min="13076" max="13076" width="10.140625" style="1" customWidth="1"/>
    <col min="13077" max="13077" width="15.140625" style="1" customWidth="1"/>
    <col min="13078" max="13078" width="8.5703125" style="1" customWidth="1"/>
    <col min="13079" max="13079" width="14.28515625" style="1" customWidth="1"/>
    <col min="13080" max="13080" width="18.28515625" style="1" customWidth="1"/>
    <col min="13081" max="13081" width="13" style="1" bestFit="1" customWidth="1"/>
    <col min="13082" max="13082" width="11.7109375" style="1" bestFit="1" customWidth="1"/>
    <col min="13083" max="13089" width="9.140625" style="1"/>
    <col min="13090" max="13090" width="11.28515625" style="1" bestFit="1" customWidth="1"/>
    <col min="13091" max="13091" width="10.7109375" style="1" bestFit="1" customWidth="1"/>
    <col min="13092" max="13313" width="9.140625" style="1"/>
    <col min="13314" max="13314" width="6.42578125" style="1" customWidth="1"/>
    <col min="13315" max="13315" width="20.7109375" style="1" customWidth="1"/>
    <col min="13316" max="13316" width="24.7109375" style="1" customWidth="1"/>
    <col min="13317" max="13317" width="11.140625" style="1" customWidth="1"/>
    <col min="13318" max="13318" width="12.28515625" style="1" customWidth="1"/>
    <col min="13319" max="13319" width="11.140625" style="1" customWidth="1"/>
    <col min="13320" max="13320" width="10.42578125" style="1" customWidth="1"/>
    <col min="13321" max="13321" width="4.7109375" style="1" customWidth="1"/>
    <col min="13322" max="13322" width="8.5703125" style="1" customWidth="1"/>
    <col min="13323" max="13323" width="5.5703125" style="1" customWidth="1"/>
    <col min="13324" max="13325" width="11.5703125" style="1" customWidth="1"/>
    <col min="13326" max="13326" width="10.85546875" style="1" customWidth="1"/>
    <col min="13327" max="13327" width="7.7109375" style="1" customWidth="1"/>
    <col min="13328" max="13328" width="8" style="1" customWidth="1"/>
    <col min="13329" max="13329" width="16.28515625" style="1" customWidth="1"/>
    <col min="13330" max="13330" width="10.5703125" style="1" customWidth="1"/>
    <col min="13331" max="13331" width="14.140625" style="1" customWidth="1"/>
    <col min="13332" max="13332" width="10.140625" style="1" customWidth="1"/>
    <col min="13333" max="13333" width="15.140625" style="1" customWidth="1"/>
    <col min="13334" max="13334" width="8.5703125" style="1" customWidth="1"/>
    <col min="13335" max="13335" width="14.28515625" style="1" customWidth="1"/>
    <col min="13336" max="13336" width="18.28515625" style="1" customWidth="1"/>
    <col min="13337" max="13337" width="13" style="1" bestFit="1" customWidth="1"/>
    <col min="13338" max="13338" width="11.7109375" style="1" bestFit="1" customWidth="1"/>
    <col min="13339" max="13345" width="9.140625" style="1"/>
    <col min="13346" max="13346" width="11.28515625" style="1" bestFit="1" customWidth="1"/>
    <col min="13347" max="13347" width="10.7109375" style="1" bestFit="1" customWidth="1"/>
    <col min="13348" max="13569" width="9.140625" style="1"/>
    <col min="13570" max="13570" width="6.42578125" style="1" customWidth="1"/>
    <col min="13571" max="13571" width="20.7109375" style="1" customWidth="1"/>
    <col min="13572" max="13572" width="24.7109375" style="1" customWidth="1"/>
    <col min="13573" max="13573" width="11.140625" style="1" customWidth="1"/>
    <col min="13574" max="13574" width="12.28515625" style="1" customWidth="1"/>
    <col min="13575" max="13575" width="11.140625" style="1" customWidth="1"/>
    <col min="13576" max="13576" width="10.42578125" style="1" customWidth="1"/>
    <col min="13577" max="13577" width="4.7109375" style="1" customWidth="1"/>
    <col min="13578" max="13578" width="8.5703125" style="1" customWidth="1"/>
    <col min="13579" max="13579" width="5.5703125" style="1" customWidth="1"/>
    <col min="13580" max="13581" width="11.5703125" style="1" customWidth="1"/>
    <col min="13582" max="13582" width="10.85546875" style="1" customWidth="1"/>
    <col min="13583" max="13583" width="7.7109375" style="1" customWidth="1"/>
    <col min="13584" max="13584" width="8" style="1" customWidth="1"/>
    <col min="13585" max="13585" width="16.28515625" style="1" customWidth="1"/>
    <col min="13586" max="13586" width="10.5703125" style="1" customWidth="1"/>
    <col min="13587" max="13587" width="14.140625" style="1" customWidth="1"/>
    <col min="13588" max="13588" width="10.140625" style="1" customWidth="1"/>
    <col min="13589" max="13589" width="15.140625" style="1" customWidth="1"/>
    <col min="13590" max="13590" width="8.5703125" style="1" customWidth="1"/>
    <col min="13591" max="13591" width="14.28515625" style="1" customWidth="1"/>
    <col min="13592" max="13592" width="18.28515625" style="1" customWidth="1"/>
    <col min="13593" max="13593" width="13" style="1" bestFit="1" customWidth="1"/>
    <col min="13594" max="13594" width="11.7109375" style="1" bestFit="1" customWidth="1"/>
    <col min="13595" max="13601" width="9.140625" style="1"/>
    <col min="13602" max="13602" width="11.28515625" style="1" bestFit="1" customWidth="1"/>
    <col min="13603" max="13603" width="10.7109375" style="1" bestFit="1" customWidth="1"/>
    <col min="13604" max="13825" width="9.140625" style="1"/>
    <col min="13826" max="13826" width="6.42578125" style="1" customWidth="1"/>
    <col min="13827" max="13827" width="20.7109375" style="1" customWidth="1"/>
    <col min="13828" max="13828" width="24.7109375" style="1" customWidth="1"/>
    <col min="13829" max="13829" width="11.140625" style="1" customWidth="1"/>
    <col min="13830" max="13830" width="12.28515625" style="1" customWidth="1"/>
    <col min="13831" max="13831" width="11.140625" style="1" customWidth="1"/>
    <col min="13832" max="13832" width="10.42578125" style="1" customWidth="1"/>
    <col min="13833" max="13833" width="4.7109375" style="1" customWidth="1"/>
    <col min="13834" max="13834" width="8.5703125" style="1" customWidth="1"/>
    <col min="13835" max="13835" width="5.5703125" style="1" customWidth="1"/>
    <col min="13836" max="13837" width="11.5703125" style="1" customWidth="1"/>
    <col min="13838" max="13838" width="10.85546875" style="1" customWidth="1"/>
    <col min="13839" max="13839" width="7.7109375" style="1" customWidth="1"/>
    <col min="13840" max="13840" width="8" style="1" customWidth="1"/>
    <col min="13841" max="13841" width="16.28515625" style="1" customWidth="1"/>
    <col min="13842" max="13842" width="10.5703125" style="1" customWidth="1"/>
    <col min="13843" max="13843" width="14.140625" style="1" customWidth="1"/>
    <col min="13844" max="13844" width="10.140625" style="1" customWidth="1"/>
    <col min="13845" max="13845" width="15.140625" style="1" customWidth="1"/>
    <col min="13846" max="13846" width="8.5703125" style="1" customWidth="1"/>
    <col min="13847" max="13847" width="14.28515625" style="1" customWidth="1"/>
    <col min="13848" max="13848" width="18.28515625" style="1" customWidth="1"/>
    <col min="13849" max="13849" width="13" style="1" bestFit="1" customWidth="1"/>
    <col min="13850" max="13850" width="11.7109375" style="1" bestFit="1" customWidth="1"/>
    <col min="13851" max="13857" width="9.140625" style="1"/>
    <col min="13858" max="13858" width="11.28515625" style="1" bestFit="1" customWidth="1"/>
    <col min="13859" max="13859" width="10.7109375" style="1" bestFit="1" customWidth="1"/>
    <col min="13860" max="14081" width="9.140625" style="1"/>
    <col min="14082" max="14082" width="6.42578125" style="1" customWidth="1"/>
    <col min="14083" max="14083" width="20.7109375" style="1" customWidth="1"/>
    <col min="14084" max="14084" width="24.7109375" style="1" customWidth="1"/>
    <col min="14085" max="14085" width="11.140625" style="1" customWidth="1"/>
    <col min="14086" max="14086" width="12.28515625" style="1" customWidth="1"/>
    <col min="14087" max="14087" width="11.140625" style="1" customWidth="1"/>
    <col min="14088" max="14088" width="10.42578125" style="1" customWidth="1"/>
    <col min="14089" max="14089" width="4.7109375" style="1" customWidth="1"/>
    <col min="14090" max="14090" width="8.5703125" style="1" customWidth="1"/>
    <col min="14091" max="14091" width="5.5703125" style="1" customWidth="1"/>
    <col min="14092" max="14093" width="11.5703125" style="1" customWidth="1"/>
    <col min="14094" max="14094" width="10.85546875" style="1" customWidth="1"/>
    <col min="14095" max="14095" width="7.7109375" style="1" customWidth="1"/>
    <col min="14096" max="14096" width="8" style="1" customWidth="1"/>
    <col min="14097" max="14097" width="16.28515625" style="1" customWidth="1"/>
    <col min="14098" max="14098" width="10.5703125" style="1" customWidth="1"/>
    <col min="14099" max="14099" width="14.140625" style="1" customWidth="1"/>
    <col min="14100" max="14100" width="10.140625" style="1" customWidth="1"/>
    <col min="14101" max="14101" width="15.140625" style="1" customWidth="1"/>
    <col min="14102" max="14102" width="8.5703125" style="1" customWidth="1"/>
    <col min="14103" max="14103" width="14.28515625" style="1" customWidth="1"/>
    <col min="14104" max="14104" width="18.28515625" style="1" customWidth="1"/>
    <col min="14105" max="14105" width="13" style="1" bestFit="1" customWidth="1"/>
    <col min="14106" max="14106" width="11.7109375" style="1" bestFit="1" customWidth="1"/>
    <col min="14107" max="14113" width="9.140625" style="1"/>
    <col min="14114" max="14114" width="11.28515625" style="1" bestFit="1" customWidth="1"/>
    <col min="14115" max="14115" width="10.7109375" style="1" bestFit="1" customWidth="1"/>
    <col min="14116" max="14337" width="9.140625" style="1"/>
    <col min="14338" max="14338" width="6.42578125" style="1" customWidth="1"/>
    <col min="14339" max="14339" width="20.7109375" style="1" customWidth="1"/>
    <col min="14340" max="14340" width="24.7109375" style="1" customWidth="1"/>
    <col min="14341" max="14341" width="11.140625" style="1" customWidth="1"/>
    <col min="14342" max="14342" width="12.28515625" style="1" customWidth="1"/>
    <col min="14343" max="14343" width="11.140625" style="1" customWidth="1"/>
    <col min="14344" max="14344" width="10.42578125" style="1" customWidth="1"/>
    <col min="14345" max="14345" width="4.7109375" style="1" customWidth="1"/>
    <col min="14346" max="14346" width="8.5703125" style="1" customWidth="1"/>
    <col min="14347" max="14347" width="5.5703125" style="1" customWidth="1"/>
    <col min="14348" max="14349" width="11.5703125" style="1" customWidth="1"/>
    <col min="14350" max="14350" width="10.85546875" style="1" customWidth="1"/>
    <col min="14351" max="14351" width="7.7109375" style="1" customWidth="1"/>
    <col min="14352" max="14352" width="8" style="1" customWidth="1"/>
    <col min="14353" max="14353" width="16.28515625" style="1" customWidth="1"/>
    <col min="14354" max="14354" width="10.5703125" style="1" customWidth="1"/>
    <col min="14355" max="14355" width="14.140625" style="1" customWidth="1"/>
    <col min="14356" max="14356" width="10.140625" style="1" customWidth="1"/>
    <col min="14357" max="14357" width="15.140625" style="1" customWidth="1"/>
    <col min="14358" max="14358" width="8.5703125" style="1" customWidth="1"/>
    <col min="14359" max="14359" width="14.28515625" style="1" customWidth="1"/>
    <col min="14360" max="14360" width="18.28515625" style="1" customWidth="1"/>
    <col min="14361" max="14361" width="13" style="1" bestFit="1" customWidth="1"/>
    <col min="14362" max="14362" width="11.7109375" style="1" bestFit="1" customWidth="1"/>
    <col min="14363" max="14369" width="9.140625" style="1"/>
    <col min="14370" max="14370" width="11.28515625" style="1" bestFit="1" customWidth="1"/>
    <col min="14371" max="14371" width="10.7109375" style="1" bestFit="1" customWidth="1"/>
    <col min="14372" max="14593" width="9.140625" style="1"/>
    <col min="14594" max="14594" width="6.42578125" style="1" customWidth="1"/>
    <col min="14595" max="14595" width="20.7109375" style="1" customWidth="1"/>
    <col min="14596" max="14596" width="24.7109375" style="1" customWidth="1"/>
    <col min="14597" max="14597" width="11.140625" style="1" customWidth="1"/>
    <col min="14598" max="14598" width="12.28515625" style="1" customWidth="1"/>
    <col min="14599" max="14599" width="11.140625" style="1" customWidth="1"/>
    <col min="14600" max="14600" width="10.42578125" style="1" customWidth="1"/>
    <col min="14601" max="14601" width="4.7109375" style="1" customWidth="1"/>
    <col min="14602" max="14602" width="8.5703125" style="1" customWidth="1"/>
    <col min="14603" max="14603" width="5.5703125" style="1" customWidth="1"/>
    <col min="14604" max="14605" width="11.5703125" style="1" customWidth="1"/>
    <col min="14606" max="14606" width="10.85546875" style="1" customWidth="1"/>
    <col min="14607" max="14607" width="7.7109375" style="1" customWidth="1"/>
    <col min="14608" max="14608" width="8" style="1" customWidth="1"/>
    <col min="14609" max="14609" width="16.28515625" style="1" customWidth="1"/>
    <col min="14610" max="14610" width="10.5703125" style="1" customWidth="1"/>
    <col min="14611" max="14611" width="14.140625" style="1" customWidth="1"/>
    <col min="14612" max="14612" width="10.140625" style="1" customWidth="1"/>
    <col min="14613" max="14613" width="15.140625" style="1" customWidth="1"/>
    <col min="14614" max="14614" width="8.5703125" style="1" customWidth="1"/>
    <col min="14615" max="14615" width="14.28515625" style="1" customWidth="1"/>
    <col min="14616" max="14616" width="18.28515625" style="1" customWidth="1"/>
    <col min="14617" max="14617" width="13" style="1" bestFit="1" customWidth="1"/>
    <col min="14618" max="14618" width="11.7109375" style="1" bestFit="1" customWidth="1"/>
    <col min="14619" max="14625" width="9.140625" style="1"/>
    <col min="14626" max="14626" width="11.28515625" style="1" bestFit="1" customWidth="1"/>
    <col min="14627" max="14627" width="10.7109375" style="1" bestFit="1" customWidth="1"/>
    <col min="14628" max="14849" width="9.140625" style="1"/>
    <col min="14850" max="14850" width="6.42578125" style="1" customWidth="1"/>
    <col min="14851" max="14851" width="20.7109375" style="1" customWidth="1"/>
    <col min="14852" max="14852" width="24.7109375" style="1" customWidth="1"/>
    <col min="14853" max="14853" width="11.140625" style="1" customWidth="1"/>
    <col min="14854" max="14854" width="12.28515625" style="1" customWidth="1"/>
    <col min="14855" max="14855" width="11.140625" style="1" customWidth="1"/>
    <col min="14856" max="14856" width="10.42578125" style="1" customWidth="1"/>
    <col min="14857" max="14857" width="4.7109375" style="1" customWidth="1"/>
    <col min="14858" max="14858" width="8.5703125" style="1" customWidth="1"/>
    <col min="14859" max="14859" width="5.5703125" style="1" customWidth="1"/>
    <col min="14860" max="14861" width="11.5703125" style="1" customWidth="1"/>
    <col min="14862" max="14862" width="10.85546875" style="1" customWidth="1"/>
    <col min="14863" max="14863" width="7.7109375" style="1" customWidth="1"/>
    <col min="14864" max="14864" width="8" style="1" customWidth="1"/>
    <col min="14865" max="14865" width="16.28515625" style="1" customWidth="1"/>
    <col min="14866" max="14866" width="10.5703125" style="1" customWidth="1"/>
    <col min="14867" max="14867" width="14.140625" style="1" customWidth="1"/>
    <col min="14868" max="14868" width="10.140625" style="1" customWidth="1"/>
    <col min="14869" max="14869" width="15.140625" style="1" customWidth="1"/>
    <col min="14870" max="14870" width="8.5703125" style="1" customWidth="1"/>
    <col min="14871" max="14871" width="14.28515625" style="1" customWidth="1"/>
    <col min="14872" max="14872" width="18.28515625" style="1" customWidth="1"/>
    <col min="14873" max="14873" width="13" style="1" bestFit="1" customWidth="1"/>
    <col min="14874" max="14874" width="11.7109375" style="1" bestFit="1" customWidth="1"/>
    <col min="14875" max="14881" width="9.140625" style="1"/>
    <col min="14882" max="14882" width="11.28515625" style="1" bestFit="1" customWidth="1"/>
    <col min="14883" max="14883" width="10.7109375" style="1" bestFit="1" customWidth="1"/>
    <col min="14884" max="15105" width="9.140625" style="1"/>
    <col min="15106" max="15106" width="6.42578125" style="1" customWidth="1"/>
    <col min="15107" max="15107" width="20.7109375" style="1" customWidth="1"/>
    <col min="15108" max="15108" width="24.7109375" style="1" customWidth="1"/>
    <col min="15109" max="15109" width="11.140625" style="1" customWidth="1"/>
    <col min="15110" max="15110" width="12.28515625" style="1" customWidth="1"/>
    <col min="15111" max="15111" width="11.140625" style="1" customWidth="1"/>
    <col min="15112" max="15112" width="10.42578125" style="1" customWidth="1"/>
    <col min="15113" max="15113" width="4.7109375" style="1" customWidth="1"/>
    <col min="15114" max="15114" width="8.5703125" style="1" customWidth="1"/>
    <col min="15115" max="15115" width="5.5703125" style="1" customWidth="1"/>
    <col min="15116" max="15117" width="11.5703125" style="1" customWidth="1"/>
    <col min="15118" max="15118" width="10.85546875" style="1" customWidth="1"/>
    <col min="15119" max="15119" width="7.7109375" style="1" customWidth="1"/>
    <col min="15120" max="15120" width="8" style="1" customWidth="1"/>
    <col min="15121" max="15121" width="16.28515625" style="1" customWidth="1"/>
    <col min="15122" max="15122" width="10.5703125" style="1" customWidth="1"/>
    <col min="15123" max="15123" width="14.140625" style="1" customWidth="1"/>
    <col min="15124" max="15124" width="10.140625" style="1" customWidth="1"/>
    <col min="15125" max="15125" width="15.140625" style="1" customWidth="1"/>
    <col min="15126" max="15126" width="8.5703125" style="1" customWidth="1"/>
    <col min="15127" max="15127" width="14.28515625" style="1" customWidth="1"/>
    <col min="15128" max="15128" width="18.28515625" style="1" customWidth="1"/>
    <col min="15129" max="15129" width="13" style="1" bestFit="1" customWidth="1"/>
    <col min="15130" max="15130" width="11.7109375" style="1" bestFit="1" customWidth="1"/>
    <col min="15131" max="15137" width="9.140625" style="1"/>
    <col min="15138" max="15138" width="11.28515625" style="1" bestFit="1" customWidth="1"/>
    <col min="15139" max="15139" width="10.7109375" style="1" bestFit="1" customWidth="1"/>
    <col min="15140" max="15361" width="9.140625" style="1"/>
    <col min="15362" max="15362" width="6.42578125" style="1" customWidth="1"/>
    <col min="15363" max="15363" width="20.7109375" style="1" customWidth="1"/>
    <col min="15364" max="15364" width="24.7109375" style="1" customWidth="1"/>
    <col min="15365" max="15365" width="11.140625" style="1" customWidth="1"/>
    <col min="15366" max="15366" width="12.28515625" style="1" customWidth="1"/>
    <col min="15367" max="15367" width="11.140625" style="1" customWidth="1"/>
    <col min="15368" max="15368" width="10.42578125" style="1" customWidth="1"/>
    <col min="15369" max="15369" width="4.7109375" style="1" customWidth="1"/>
    <col min="15370" max="15370" width="8.5703125" style="1" customWidth="1"/>
    <col min="15371" max="15371" width="5.5703125" style="1" customWidth="1"/>
    <col min="15372" max="15373" width="11.5703125" style="1" customWidth="1"/>
    <col min="15374" max="15374" width="10.85546875" style="1" customWidth="1"/>
    <col min="15375" max="15375" width="7.7109375" style="1" customWidth="1"/>
    <col min="15376" max="15376" width="8" style="1" customWidth="1"/>
    <col min="15377" max="15377" width="16.28515625" style="1" customWidth="1"/>
    <col min="15378" max="15378" width="10.5703125" style="1" customWidth="1"/>
    <col min="15379" max="15379" width="14.140625" style="1" customWidth="1"/>
    <col min="15380" max="15380" width="10.140625" style="1" customWidth="1"/>
    <col min="15381" max="15381" width="15.140625" style="1" customWidth="1"/>
    <col min="15382" max="15382" width="8.5703125" style="1" customWidth="1"/>
    <col min="15383" max="15383" width="14.28515625" style="1" customWidth="1"/>
    <col min="15384" max="15384" width="18.28515625" style="1" customWidth="1"/>
    <col min="15385" max="15385" width="13" style="1" bestFit="1" customWidth="1"/>
    <col min="15386" max="15386" width="11.7109375" style="1" bestFit="1" customWidth="1"/>
    <col min="15387" max="15393" width="9.140625" style="1"/>
    <col min="15394" max="15394" width="11.28515625" style="1" bestFit="1" customWidth="1"/>
    <col min="15395" max="15395" width="10.7109375" style="1" bestFit="1" customWidth="1"/>
    <col min="15396" max="15617" width="9.140625" style="1"/>
    <col min="15618" max="15618" width="6.42578125" style="1" customWidth="1"/>
    <col min="15619" max="15619" width="20.7109375" style="1" customWidth="1"/>
    <col min="15620" max="15620" width="24.7109375" style="1" customWidth="1"/>
    <col min="15621" max="15621" width="11.140625" style="1" customWidth="1"/>
    <col min="15622" max="15622" width="12.28515625" style="1" customWidth="1"/>
    <col min="15623" max="15623" width="11.140625" style="1" customWidth="1"/>
    <col min="15624" max="15624" width="10.42578125" style="1" customWidth="1"/>
    <col min="15625" max="15625" width="4.7109375" style="1" customWidth="1"/>
    <col min="15626" max="15626" width="8.5703125" style="1" customWidth="1"/>
    <col min="15627" max="15627" width="5.5703125" style="1" customWidth="1"/>
    <col min="15628" max="15629" width="11.5703125" style="1" customWidth="1"/>
    <col min="15630" max="15630" width="10.85546875" style="1" customWidth="1"/>
    <col min="15631" max="15631" width="7.7109375" style="1" customWidth="1"/>
    <col min="15632" max="15632" width="8" style="1" customWidth="1"/>
    <col min="15633" max="15633" width="16.28515625" style="1" customWidth="1"/>
    <col min="15634" max="15634" width="10.5703125" style="1" customWidth="1"/>
    <col min="15635" max="15635" width="14.140625" style="1" customWidth="1"/>
    <col min="15636" max="15636" width="10.140625" style="1" customWidth="1"/>
    <col min="15637" max="15637" width="15.140625" style="1" customWidth="1"/>
    <col min="15638" max="15638" width="8.5703125" style="1" customWidth="1"/>
    <col min="15639" max="15639" width="14.28515625" style="1" customWidth="1"/>
    <col min="15640" max="15640" width="18.28515625" style="1" customWidth="1"/>
    <col min="15641" max="15641" width="13" style="1" bestFit="1" customWidth="1"/>
    <col min="15642" max="15642" width="11.7109375" style="1" bestFit="1" customWidth="1"/>
    <col min="15643" max="15649" width="9.140625" style="1"/>
    <col min="15650" max="15650" width="11.28515625" style="1" bestFit="1" customWidth="1"/>
    <col min="15651" max="15651" width="10.7109375" style="1" bestFit="1" customWidth="1"/>
    <col min="15652" max="15873" width="9.140625" style="1"/>
    <col min="15874" max="15874" width="6.42578125" style="1" customWidth="1"/>
    <col min="15875" max="15875" width="20.7109375" style="1" customWidth="1"/>
    <col min="15876" max="15876" width="24.7109375" style="1" customWidth="1"/>
    <col min="15877" max="15877" width="11.140625" style="1" customWidth="1"/>
    <col min="15878" max="15878" width="12.28515625" style="1" customWidth="1"/>
    <col min="15879" max="15879" width="11.140625" style="1" customWidth="1"/>
    <col min="15880" max="15880" width="10.42578125" style="1" customWidth="1"/>
    <col min="15881" max="15881" width="4.7109375" style="1" customWidth="1"/>
    <col min="15882" max="15882" width="8.5703125" style="1" customWidth="1"/>
    <col min="15883" max="15883" width="5.5703125" style="1" customWidth="1"/>
    <col min="15884" max="15885" width="11.5703125" style="1" customWidth="1"/>
    <col min="15886" max="15886" width="10.85546875" style="1" customWidth="1"/>
    <col min="15887" max="15887" width="7.7109375" style="1" customWidth="1"/>
    <col min="15888" max="15888" width="8" style="1" customWidth="1"/>
    <col min="15889" max="15889" width="16.28515625" style="1" customWidth="1"/>
    <col min="15890" max="15890" width="10.5703125" style="1" customWidth="1"/>
    <col min="15891" max="15891" width="14.140625" style="1" customWidth="1"/>
    <col min="15892" max="15892" width="10.140625" style="1" customWidth="1"/>
    <col min="15893" max="15893" width="15.140625" style="1" customWidth="1"/>
    <col min="15894" max="15894" width="8.5703125" style="1" customWidth="1"/>
    <col min="15895" max="15895" width="14.28515625" style="1" customWidth="1"/>
    <col min="15896" max="15896" width="18.28515625" style="1" customWidth="1"/>
    <col min="15897" max="15897" width="13" style="1" bestFit="1" customWidth="1"/>
    <col min="15898" max="15898" width="11.7109375" style="1" bestFit="1" customWidth="1"/>
    <col min="15899" max="15905" width="9.140625" style="1"/>
    <col min="15906" max="15906" width="11.28515625" style="1" bestFit="1" customWidth="1"/>
    <col min="15907" max="15907" width="10.7109375" style="1" bestFit="1" customWidth="1"/>
    <col min="15908" max="16129" width="9.140625" style="1"/>
    <col min="16130" max="16130" width="6.42578125" style="1" customWidth="1"/>
    <col min="16131" max="16131" width="20.7109375" style="1" customWidth="1"/>
    <col min="16132" max="16132" width="24.7109375" style="1" customWidth="1"/>
    <col min="16133" max="16133" width="11.140625" style="1" customWidth="1"/>
    <col min="16134" max="16134" width="12.28515625" style="1" customWidth="1"/>
    <col min="16135" max="16135" width="11.140625" style="1" customWidth="1"/>
    <col min="16136" max="16136" width="10.42578125" style="1" customWidth="1"/>
    <col min="16137" max="16137" width="4.7109375" style="1" customWidth="1"/>
    <col min="16138" max="16138" width="8.5703125" style="1" customWidth="1"/>
    <col min="16139" max="16139" width="5.5703125" style="1" customWidth="1"/>
    <col min="16140" max="16141" width="11.5703125" style="1" customWidth="1"/>
    <col min="16142" max="16142" width="10.85546875" style="1" customWidth="1"/>
    <col min="16143" max="16143" width="7.7109375" style="1" customWidth="1"/>
    <col min="16144" max="16144" width="8" style="1" customWidth="1"/>
    <col min="16145" max="16145" width="16.28515625" style="1" customWidth="1"/>
    <col min="16146" max="16146" width="10.5703125" style="1" customWidth="1"/>
    <col min="16147" max="16147" width="14.140625" style="1" customWidth="1"/>
    <col min="16148" max="16148" width="10.140625" style="1" customWidth="1"/>
    <col min="16149" max="16149" width="15.140625" style="1" customWidth="1"/>
    <col min="16150" max="16150" width="8.5703125" style="1" customWidth="1"/>
    <col min="16151" max="16151" width="14.28515625" style="1" customWidth="1"/>
    <col min="16152" max="16152" width="18.28515625" style="1" customWidth="1"/>
    <col min="16153" max="16153" width="13" style="1" bestFit="1" customWidth="1"/>
    <col min="16154" max="16154" width="11.7109375" style="1" bestFit="1" customWidth="1"/>
    <col min="16155" max="16161" width="9.140625" style="1"/>
    <col min="16162" max="16162" width="11.28515625" style="1" bestFit="1" customWidth="1"/>
    <col min="16163" max="16163" width="10.7109375" style="1" bestFit="1" customWidth="1"/>
    <col min="16164" max="16384" width="9.140625" style="1"/>
  </cols>
  <sheetData>
    <row r="1" spans="1:44" ht="9.75" customHeight="1">
      <c r="V1" s="3"/>
    </row>
    <row r="2" spans="1:44" ht="16.5" customHeight="1">
      <c r="A2" s="2308" t="s">
        <v>822</v>
      </c>
      <c r="B2" s="2308"/>
      <c r="C2" s="2308"/>
      <c r="D2" s="2308"/>
      <c r="E2" s="2308"/>
      <c r="F2" s="2308"/>
      <c r="G2" s="2308"/>
      <c r="H2" s="2308"/>
      <c r="I2" s="2308"/>
      <c r="J2" s="2308"/>
      <c r="K2" s="2308"/>
      <c r="L2" s="2308"/>
      <c r="M2" s="2308"/>
      <c r="N2" s="2308"/>
      <c r="O2" s="2308"/>
      <c r="P2" s="2308"/>
      <c r="Q2" s="2308"/>
      <c r="R2" s="2308"/>
      <c r="S2" s="2308"/>
      <c r="T2" s="2308"/>
      <c r="U2" s="2308"/>
      <c r="V2" s="2308"/>
      <c r="W2" s="2308"/>
      <c r="X2" s="2308"/>
      <c r="Y2" s="24"/>
      <c r="Z2" s="24"/>
    </row>
    <row r="3" spans="1:44" ht="13.5" customHeight="1">
      <c r="A3" s="2309" t="s">
        <v>0</v>
      </c>
      <c r="B3" s="2309"/>
      <c r="C3" s="2309"/>
      <c r="D3" s="2309"/>
      <c r="E3" s="2309"/>
      <c r="F3" s="2309"/>
      <c r="G3" s="2309"/>
      <c r="H3" s="2309"/>
      <c r="I3" s="2309"/>
      <c r="J3" s="2309"/>
      <c r="K3" s="2309"/>
      <c r="L3" s="2309"/>
      <c r="M3" s="2309"/>
      <c r="N3" s="2309"/>
      <c r="O3" s="2309"/>
      <c r="P3" s="2309"/>
      <c r="Q3" s="2309"/>
      <c r="R3" s="2309"/>
      <c r="S3" s="2309"/>
      <c r="T3" s="2309"/>
      <c r="U3" s="2309"/>
      <c r="V3" s="2309"/>
      <c r="W3" s="2309"/>
      <c r="X3" s="2309"/>
      <c r="Y3" s="24"/>
      <c r="Z3" s="24"/>
    </row>
    <row r="4" spans="1:44" s="1766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782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304" t="s">
        <v>821</v>
      </c>
      <c r="P4" s="2256" t="s">
        <v>16</v>
      </c>
      <c r="Q4" s="1767" t="s">
        <v>642</v>
      </c>
      <c r="R4" s="2256" t="s">
        <v>17</v>
      </c>
      <c r="S4" s="2256"/>
      <c r="T4" s="2256" t="s">
        <v>18</v>
      </c>
      <c r="U4" s="2256"/>
      <c r="V4" s="2256" t="s">
        <v>19</v>
      </c>
      <c r="W4" s="2256"/>
      <c r="X4" s="2306" t="s">
        <v>401</v>
      </c>
      <c r="Y4" s="2260" t="s">
        <v>401</v>
      </c>
      <c r="Z4" s="2305" t="s">
        <v>394</v>
      </c>
      <c r="AA4" s="24"/>
      <c r="AB4" s="89"/>
      <c r="AC4" s="89"/>
      <c r="AD4" s="89"/>
      <c r="AE4" s="89"/>
      <c r="AF4" s="89"/>
      <c r="AG4" s="89"/>
      <c r="AH4" s="89"/>
      <c r="AI4" s="89"/>
      <c r="AJ4" s="89"/>
      <c r="AK4" s="86"/>
      <c r="AL4" s="86"/>
      <c r="AM4" s="86"/>
      <c r="AN4" s="86"/>
      <c r="AO4" s="86"/>
      <c r="AP4" s="86"/>
      <c r="AQ4" s="86"/>
      <c r="AR4" s="89"/>
    </row>
    <row r="5" spans="1:44" s="1766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304"/>
      <c r="P5" s="2256"/>
      <c r="Q5" s="1767" t="s">
        <v>22</v>
      </c>
      <c r="R5" s="1767" t="s">
        <v>21</v>
      </c>
      <c r="S5" s="1767" t="s">
        <v>22</v>
      </c>
      <c r="T5" s="1767" t="s">
        <v>21</v>
      </c>
      <c r="U5" s="1767" t="s">
        <v>22</v>
      </c>
      <c r="V5" s="1767" t="s">
        <v>21</v>
      </c>
      <c r="W5" s="1767" t="s">
        <v>22</v>
      </c>
      <c r="X5" s="2306"/>
      <c r="Y5" s="2260"/>
      <c r="Z5" s="2305"/>
      <c r="AA5" s="1023" t="s">
        <v>640</v>
      </c>
      <c r="AB5" s="1024" t="s">
        <v>641</v>
      </c>
      <c r="AC5" s="89"/>
      <c r="AD5" s="89"/>
      <c r="AE5" s="89"/>
      <c r="AF5" s="89"/>
      <c r="AG5" s="89"/>
      <c r="AH5" s="89"/>
      <c r="AI5" s="89"/>
      <c r="AJ5" s="89"/>
      <c r="AK5" s="86"/>
      <c r="AL5" s="86"/>
      <c r="AM5" s="86"/>
      <c r="AN5" s="86"/>
      <c r="AO5" s="86"/>
      <c r="AP5" s="86"/>
      <c r="AQ5" s="86"/>
      <c r="AR5" s="89"/>
    </row>
    <row r="6" spans="1:44" s="1265" customFormat="1" ht="15" customHeight="1">
      <c r="A6" s="5">
        <v>1</v>
      </c>
      <c r="B6" s="730" t="s">
        <v>23</v>
      </c>
      <c r="C6" s="6" t="s">
        <v>620</v>
      </c>
      <c r="D6" s="5" t="s">
        <v>25</v>
      </c>
      <c r="E6" s="57" t="s">
        <v>724</v>
      </c>
      <c r="F6" s="5" t="s">
        <v>27</v>
      </c>
      <c r="G6" s="5">
        <v>1</v>
      </c>
      <c r="H6" s="5" t="s">
        <v>28</v>
      </c>
      <c r="I6" s="5" t="s">
        <v>29</v>
      </c>
      <c r="J6" s="731" t="s">
        <v>30</v>
      </c>
      <c r="K6" s="7">
        <v>17697</v>
      </c>
      <c r="L6" s="7"/>
      <c r="M6" s="10">
        <v>1</v>
      </c>
      <c r="N6" s="7"/>
      <c r="O6" s="10">
        <v>6.22</v>
      </c>
      <c r="P6" s="7">
        <f>O6*K6</f>
        <v>110075.34</v>
      </c>
      <c r="Q6" s="882"/>
      <c r="R6" s="7"/>
      <c r="S6" s="8"/>
      <c r="T6" s="7">
        <v>0.1</v>
      </c>
      <c r="U6" s="7">
        <f>(P6+Q6+S6)*T6</f>
        <v>11007.534</v>
      </c>
      <c r="V6" s="7"/>
      <c r="W6" s="9"/>
      <c r="X6" s="10">
        <f>P6+S6+U6+W6+Q6</f>
        <v>121082.874</v>
      </c>
      <c r="Y6" s="1268">
        <f>R6+T6+V6</f>
        <v>0.1</v>
      </c>
      <c r="Z6" s="1268">
        <f>S6+U6+W6</f>
        <v>11007.534</v>
      </c>
      <c r="AA6" s="1264">
        <f>X6*12</f>
        <v>1452994.4879999999</v>
      </c>
      <c r="AB6" s="1382">
        <f>AA6/12/29.33*30</f>
        <v>123848.83123082168</v>
      </c>
      <c r="AC6" s="1383"/>
      <c r="AD6" s="1264"/>
      <c r="AE6" s="1264"/>
      <c r="AF6" s="1264"/>
      <c r="AG6" s="1264"/>
      <c r="AH6" s="1264"/>
      <c r="AI6" s="1264"/>
      <c r="AJ6" s="1264"/>
      <c r="AK6" s="23"/>
      <c r="AL6" s="23"/>
      <c r="AM6" s="23"/>
      <c r="AN6" s="23"/>
      <c r="AO6" s="23"/>
      <c r="AP6" s="23"/>
      <c r="AQ6" s="23"/>
    </row>
    <row r="7" spans="1:44" s="1265" customFormat="1" ht="15" customHeight="1">
      <c r="A7" s="5">
        <v>2</v>
      </c>
      <c r="B7" s="730" t="s">
        <v>31</v>
      </c>
      <c r="C7" s="6" t="s">
        <v>32</v>
      </c>
      <c r="D7" s="5" t="s">
        <v>25</v>
      </c>
      <c r="E7" s="45" t="s">
        <v>772</v>
      </c>
      <c r="F7" s="12" t="s">
        <v>34</v>
      </c>
      <c r="G7" s="5">
        <v>1</v>
      </c>
      <c r="H7" s="5" t="s">
        <v>28</v>
      </c>
      <c r="I7" s="5" t="s">
        <v>35</v>
      </c>
      <c r="J7" s="733" t="s">
        <v>30</v>
      </c>
      <c r="K7" s="7">
        <v>17697</v>
      </c>
      <c r="L7" s="7"/>
      <c r="M7" s="10">
        <v>1</v>
      </c>
      <c r="N7" s="7"/>
      <c r="O7" s="1626">
        <v>5.77</v>
      </c>
      <c r="P7" s="7">
        <f>O7*K7</f>
        <v>102111.68999999999</v>
      </c>
      <c r="Q7" s="882"/>
      <c r="R7" s="8"/>
      <c r="S7" s="7"/>
      <c r="T7" s="7">
        <v>0.1</v>
      </c>
      <c r="U7" s="7">
        <f t="shared" ref="U7:U25" si="0">(P7+Q7+S7)*T7</f>
        <v>10211.169</v>
      </c>
      <c r="V7" s="9"/>
      <c r="W7" s="7"/>
      <c r="X7" s="10">
        <f t="shared" ref="X7:X25" si="1">P7+S7+U7+W7+Q7</f>
        <v>112322.85899999998</v>
      </c>
      <c r="Y7" s="1268">
        <f t="shared" ref="Y7:Z24" si="2">R7+T7+V7</f>
        <v>0.1</v>
      </c>
      <c r="Z7" s="1268">
        <f t="shared" si="2"/>
        <v>10211.169</v>
      </c>
      <c r="AA7" s="1264">
        <f t="shared" ref="AA7:AA72" si="3">X7*12</f>
        <v>1347874.3079999997</v>
      </c>
      <c r="AB7" s="1382">
        <f t="shared" ref="AB7:AB24" si="4">AA7/12/29.33*30</f>
        <v>114888.7067848619</v>
      </c>
      <c r="AH7" s="1388"/>
      <c r="AI7" s="1389"/>
      <c r="AK7" s="23"/>
      <c r="AL7" s="23"/>
      <c r="AM7" s="23"/>
      <c r="AN7" s="23"/>
      <c r="AO7" s="23"/>
      <c r="AP7" s="23"/>
      <c r="AQ7" s="23"/>
    </row>
    <row r="8" spans="1:44" s="1396" customFormat="1" ht="15" customHeight="1">
      <c r="A8" s="5">
        <v>3</v>
      </c>
      <c r="B8" s="13" t="s">
        <v>36</v>
      </c>
      <c r="C8" s="6" t="s">
        <v>32</v>
      </c>
      <c r="D8" s="14" t="s">
        <v>25</v>
      </c>
      <c r="E8" s="536" t="s">
        <v>265</v>
      </c>
      <c r="F8" s="12" t="s">
        <v>34</v>
      </c>
      <c r="G8" s="14">
        <v>1</v>
      </c>
      <c r="H8" s="5" t="s">
        <v>28</v>
      </c>
      <c r="I8" s="5" t="s">
        <v>35</v>
      </c>
      <c r="J8" s="14">
        <v>3</v>
      </c>
      <c r="K8" s="15">
        <v>17697</v>
      </c>
      <c r="L8" s="15"/>
      <c r="M8" s="1627">
        <v>1</v>
      </c>
      <c r="N8" s="7"/>
      <c r="O8" s="1628">
        <v>5.77</v>
      </c>
      <c r="P8" s="7">
        <f>O8*K8</f>
        <v>102111.68999999999</v>
      </c>
      <c r="Q8" s="882"/>
      <c r="R8" s="8"/>
      <c r="S8" s="7"/>
      <c r="T8" s="7">
        <v>0.1</v>
      </c>
      <c r="U8" s="7">
        <f>(P8+Q8+S8)*T8</f>
        <v>10211.169</v>
      </c>
      <c r="V8" s="9"/>
      <c r="W8" s="7"/>
      <c r="X8" s="10">
        <f t="shared" si="1"/>
        <v>112322.85899999998</v>
      </c>
      <c r="Y8" s="1268">
        <f t="shared" si="2"/>
        <v>0.1</v>
      </c>
      <c r="Z8" s="1268">
        <f t="shared" si="2"/>
        <v>10211.169</v>
      </c>
      <c r="AA8" s="1264">
        <f t="shared" si="3"/>
        <v>1347874.3079999997</v>
      </c>
      <c r="AB8" s="1382">
        <f t="shared" si="4"/>
        <v>114888.7067848619</v>
      </c>
      <c r="AH8" s="1397"/>
      <c r="AI8" s="1398"/>
      <c r="AK8" s="1778"/>
      <c r="AL8" s="1778"/>
      <c r="AM8" s="1778"/>
      <c r="AN8" s="1778"/>
      <c r="AO8" s="1778"/>
      <c r="AP8" s="1778"/>
      <c r="AQ8" s="1778"/>
    </row>
    <row r="9" spans="1:44" s="1407" customFormat="1" ht="15">
      <c r="A9" s="5">
        <v>4</v>
      </c>
      <c r="B9" s="17" t="s">
        <v>38</v>
      </c>
      <c r="C9" s="6" t="s">
        <v>32</v>
      </c>
      <c r="D9" s="16" t="s">
        <v>25</v>
      </c>
      <c r="E9" s="543" t="s">
        <v>774</v>
      </c>
      <c r="F9" s="734" t="s">
        <v>40</v>
      </c>
      <c r="G9" s="16">
        <v>1</v>
      </c>
      <c r="H9" s="5" t="s">
        <v>28</v>
      </c>
      <c r="I9" s="5" t="s">
        <v>35</v>
      </c>
      <c r="J9" s="735">
        <v>3</v>
      </c>
      <c r="K9" s="18">
        <v>17697</v>
      </c>
      <c r="L9" s="18"/>
      <c r="M9" s="1629">
        <v>1</v>
      </c>
      <c r="N9" s="18"/>
      <c r="O9" s="1628">
        <v>5.77</v>
      </c>
      <c r="P9" s="18">
        <f t="shared" ref="P9:P23" si="5">O9*K9*M9</f>
        <v>102111.68999999999</v>
      </c>
      <c r="Q9" s="882"/>
      <c r="R9" s="19">
        <v>0.25</v>
      </c>
      <c r="S9" s="18">
        <v>25527.9</v>
      </c>
      <c r="T9" s="7">
        <v>0.1</v>
      </c>
      <c r="U9" s="7">
        <f>(P9+Q9)*T9</f>
        <v>10211.169</v>
      </c>
      <c r="V9" s="736"/>
      <c r="W9" s="18"/>
      <c r="X9" s="10">
        <f>P9+S9+U9+W9+Q9</f>
        <v>137850.75899999999</v>
      </c>
      <c r="Y9" s="1268">
        <f t="shared" si="2"/>
        <v>0.35</v>
      </c>
      <c r="Z9" s="1268">
        <f t="shared" si="2"/>
        <v>35739.069000000003</v>
      </c>
      <c r="AA9" s="1264">
        <f t="shared" si="3"/>
        <v>1654209.108</v>
      </c>
      <c r="AB9" s="1382">
        <f t="shared" si="4"/>
        <v>140999.75349471529</v>
      </c>
      <c r="AC9" s="1264"/>
      <c r="AD9" s="1264"/>
      <c r="AE9" s="1383"/>
      <c r="AF9" s="1383"/>
      <c r="AG9" s="1264"/>
      <c r="AK9" s="1779"/>
      <c r="AL9" s="1780"/>
      <c r="AM9" s="1779"/>
      <c r="AN9" s="1779"/>
      <c r="AO9" s="1779"/>
      <c r="AP9" s="1781"/>
      <c r="AQ9" s="1780">
        <f>P9+U9+S9+W9</f>
        <v>137850.75899999999</v>
      </c>
    </row>
    <row r="10" spans="1:44" s="1265" customFormat="1" ht="15" customHeight="1">
      <c r="A10" s="5">
        <v>5</v>
      </c>
      <c r="B10" s="730" t="s">
        <v>91</v>
      </c>
      <c r="C10" s="6" t="s">
        <v>783</v>
      </c>
      <c r="D10" s="5" t="s">
        <v>25</v>
      </c>
      <c r="E10" s="562" t="s">
        <v>677</v>
      </c>
      <c r="F10" s="5" t="s">
        <v>367</v>
      </c>
      <c r="G10" s="5">
        <v>1</v>
      </c>
      <c r="H10" s="20" t="s">
        <v>28</v>
      </c>
      <c r="I10" s="20" t="s">
        <v>29</v>
      </c>
      <c r="J10" s="731" t="s">
        <v>44</v>
      </c>
      <c r="K10" s="7">
        <v>17697</v>
      </c>
      <c r="L10" s="7"/>
      <c r="M10" s="10">
        <v>1</v>
      </c>
      <c r="N10" s="7"/>
      <c r="O10" s="1022" t="s">
        <v>771</v>
      </c>
      <c r="P10" s="18">
        <f>O10*K10*M10</f>
        <v>98926.23</v>
      </c>
      <c r="Q10" s="882"/>
      <c r="R10" s="7"/>
      <c r="S10" s="8"/>
      <c r="T10" s="7">
        <v>0.1</v>
      </c>
      <c r="U10" s="7">
        <f t="shared" si="0"/>
        <v>9892.6229999999996</v>
      </c>
      <c r="V10" s="7"/>
      <c r="W10" s="9"/>
      <c r="X10" s="10">
        <f t="shared" si="1"/>
        <v>108818.853</v>
      </c>
      <c r="Y10" s="1268">
        <f t="shared" si="2"/>
        <v>0.1</v>
      </c>
      <c r="Z10" s="1268">
        <f t="shared" si="2"/>
        <v>9892.6229999999996</v>
      </c>
      <c r="AA10" s="1264">
        <f t="shared" si="3"/>
        <v>1305826.236</v>
      </c>
      <c r="AB10" s="1382">
        <f t="shared" si="4"/>
        <v>111304.65700647802</v>
      </c>
      <c r="AC10" s="1264"/>
      <c r="AD10" s="1264"/>
      <c r="AE10" s="1264"/>
      <c r="AF10" s="1264"/>
      <c r="AG10" s="1264"/>
      <c r="AH10" s="1264"/>
      <c r="AI10" s="1264"/>
      <c r="AJ10" s="1264"/>
      <c r="AK10" s="23"/>
      <c r="AL10" s="23"/>
      <c r="AM10" s="23"/>
      <c r="AN10" s="23"/>
      <c r="AO10" s="23"/>
      <c r="AP10" s="23"/>
      <c r="AQ10" s="23"/>
    </row>
    <row r="11" spans="1:44" s="1265" customFormat="1" ht="15" customHeight="1">
      <c r="A11" s="5">
        <v>6</v>
      </c>
      <c r="B11" s="730" t="s">
        <v>45</v>
      </c>
      <c r="C11" s="6" t="s">
        <v>46</v>
      </c>
      <c r="D11" s="560" t="s">
        <v>25</v>
      </c>
      <c r="E11" s="582" t="s">
        <v>727</v>
      </c>
      <c r="F11" s="582" t="s">
        <v>34</v>
      </c>
      <c r="G11" s="560">
        <v>1</v>
      </c>
      <c r="H11" s="5" t="s">
        <v>28</v>
      </c>
      <c r="I11" s="5" t="s">
        <v>29</v>
      </c>
      <c r="J11" s="731" t="s">
        <v>44</v>
      </c>
      <c r="K11" s="7">
        <v>17697</v>
      </c>
      <c r="L11" s="7"/>
      <c r="M11" s="10">
        <v>1</v>
      </c>
      <c r="N11" s="7"/>
      <c r="O11" s="10">
        <v>5.91</v>
      </c>
      <c r="P11" s="18">
        <f t="shared" si="5"/>
        <v>104589.27</v>
      </c>
      <c r="Q11" s="882"/>
      <c r="R11" s="19"/>
      <c r="S11" s="7"/>
      <c r="T11" s="7">
        <v>0.1</v>
      </c>
      <c r="U11" s="7">
        <f t="shared" si="0"/>
        <v>10458.927000000001</v>
      </c>
      <c r="V11" s="9"/>
      <c r="W11" s="7"/>
      <c r="X11" s="10">
        <f t="shared" si="1"/>
        <v>115048.197</v>
      </c>
      <c r="Y11" s="1268">
        <f t="shared" si="2"/>
        <v>0.1</v>
      </c>
      <c r="Z11" s="1268">
        <f t="shared" si="2"/>
        <v>10458.927000000001</v>
      </c>
      <c r="AA11" s="1264">
        <f t="shared" si="3"/>
        <v>1380578.3640000001</v>
      </c>
      <c r="AB11" s="1382">
        <f t="shared" si="4"/>
        <v>117676.30105693829</v>
      </c>
      <c r="AK11" s="23"/>
      <c r="AL11" s="23"/>
      <c r="AM11" s="23"/>
      <c r="AN11" s="23"/>
      <c r="AO11" s="23"/>
      <c r="AP11" s="23"/>
      <c r="AQ11" s="23"/>
    </row>
    <row r="12" spans="1:44" s="1265" customFormat="1" ht="15" customHeight="1">
      <c r="A12" s="5">
        <v>7</v>
      </c>
      <c r="B12" s="730" t="s">
        <v>48</v>
      </c>
      <c r="C12" s="6" t="s">
        <v>49</v>
      </c>
      <c r="D12" s="5" t="s">
        <v>25</v>
      </c>
      <c r="E12" s="57" t="s">
        <v>777</v>
      </c>
      <c r="F12" s="5" t="s">
        <v>51</v>
      </c>
      <c r="G12" s="5">
        <v>1</v>
      </c>
      <c r="H12" s="20" t="s">
        <v>28</v>
      </c>
      <c r="I12" s="20" t="s">
        <v>35</v>
      </c>
      <c r="J12" s="731" t="s">
        <v>30</v>
      </c>
      <c r="K12" s="7">
        <v>17697</v>
      </c>
      <c r="L12" s="7"/>
      <c r="M12" s="10">
        <v>1</v>
      </c>
      <c r="N12" s="7"/>
      <c r="O12" s="1022" t="s">
        <v>370</v>
      </c>
      <c r="P12" s="18">
        <f t="shared" si="5"/>
        <v>99280.170000000013</v>
      </c>
      <c r="Q12" s="882"/>
      <c r="R12" s="7"/>
      <c r="S12" s="8"/>
      <c r="T12" s="7">
        <v>0.1</v>
      </c>
      <c r="U12" s="7">
        <f t="shared" si="0"/>
        <v>9928.0170000000016</v>
      </c>
      <c r="V12" s="7"/>
      <c r="W12" s="9"/>
      <c r="X12" s="10">
        <f t="shared" si="1"/>
        <v>109208.18700000002</v>
      </c>
      <c r="Y12" s="1268">
        <f t="shared" si="2"/>
        <v>0.1</v>
      </c>
      <c r="Z12" s="1268">
        <f t="shared" si="2"/>
        <v>9928.0170000000016</v>
      </c>
      <c r="AA12" s="1264">
        <f t="shared" si="3"/>
        <v>1310498.2440000002</v>
      </c>
      <c r="AB12" s="1382">
        <f t="shared" si="4"/>
        <v>111702.88475963179</v>
      </c>
      <c r="AC12" s="1264"/>
      <c r="AD12" s="1264"/>
      <c r="AE12" s="1264"/>
      <c r="AF12" s="1264"/>
      <c r="AG12" s="1264"/>
      <c r="AH12" s="1264"/>
      <c r="AI12" s="1264"/>
      <c r="AJ12" s="1264"/>
      <c r="AK12" s="23"/>
      <c r="AL12" s="23"/>
      <c r="AM12" s="23"/>
      <c r="AN12" s="23"/>
      <c r="AO12" s="23"/>
      <c r="AP12" s="23"/>
      <c r="AQ12" s="23"/>
    </row>
    <row r="13" spans="1:44" s="1265" customFormat="1" ht="15" customHeight="1">
      <c r="A13" s="5">
        <v>8</v>
      </c>
      <c r="B13" s="26" t="s">
        <v>52</v>
      </c>
      <c r="C13" s="6" t="s">
        <v>53</v>
      </c>
      <c r="D13" s="5" t="s">
        <v>25</v>
      </c>
      <c r="E13" s="57" t="s">
        <v>775</v>
      </c>
      <c r="F13" s="5" t="s">
        <v>73</v>
      </c>
      <c r="G13" s="5">
        <v>1</v>
      </c>
      <c r="H13" s="20" t="s">
        <v>56</v>
      </c>
      <c r="I13" s="20" t="s">
        <v>56</v>
      </c>
      <c r="J13" s="731" t="s">
        <v>57</v>
      </c>
      <c r="K13" s="7">
        <v>17697</v>
      </c>
      <c r="L13" s="7"/>
      <c r="M13" s="10">
        <v>1</v>
      </c>
      <c r="N13" s="7"/>
      <c r="O13" s="1022" t="s">
        <v>639</v>
      </c>
      <c r="P13" s="18">
        <f t="shared" si="5"/>
        <v>78397.709999999992</v>
      </c>
      <c r="Q13" s="882"/>
      <c r="R13" s="7"/>
      <c r="S13" s="8"/>
      <c r="T13" s="7">
        <v>0.1</v>
      </c>
      <c r="U13" s="7">
        <f t="shared" si="0"/>
        <v>7839.7709999999997</v>
      </c>
      <c r="V13" s="7"/>
      <c r="W13" s="9"/>
      <c r="X13" s="10">
        <f t="shared" si="1"/>
        <v>86237.480999999985</v>
      </c>
      <c r="Y13" s="1268">
        <f t="shared" si="2"/>
        <v>0.1</v>
      </c>
      <c r="Z13" s="1268">
        <f t="shared" si="2"/>
        <v>7839.7709999999997</v>
      </c>
      <c r="AA13" s="1264">
        <f t="shared" si="3"/>
        <v>1034849.7719999999</v>
      </c>
      <c r="AB13" s="1382">
        <f t="shared" si="4"/>
        <v>88207.447323559478</v>
      </c>
      <c r="AC13" s="1264"/>
      <c r="AD13" s="1264"/>
      <c r="AE13" s="1264"/>
      <c r="AF13" s="1264"/>
      <c r="AG13" s="1264"/>
      <c r="AH13" s="1264"/>
      <c r="AI13" s="1264"/>
      <c r="AJ13" s="1264"/>
      <c r="AK13" s="23"/>
      <c r="AL13" s="23"/>
      <c r="AM13" s="23"/>
      <c r="AN13" s="23"/>
      <c r="AO13" s="23"/>
      <c r="AP13" s="23"/>
      <c r="AQ13" s="23"/>
    </row>
    <row r="14" spans="1:44" s="1265" customFormat="1" ht="15" customHeight="1">
      <c r="A14" s="5">
        <v>9</v>
      </c>
      <c r="B14" s="26" t="s">
        <v>399</v>
      </c>
      <c r="C14" s="6" t="s">
        <v>621</v>
      </c>
      <c r="D14" s="5" t="s">
        <v>25</v>
      </c>
      <c r="E14" s="48" t="s">
        <v>776</v>
      </c>
      <c r="F14" s="5" t="s">
        <v>77</v>
      </c>
      <c r="G14" s="40">
        <v>1</v>
      </c>
      <c r="H14" s="5" t="s">
        <v>61</v>
      </c>
      <c r="I14" s="5" t="s">
        <v>61</v>
      </c>
      <c r="J14" s="27">
        <v>1</v>
      </c>
      <c r="K14" s="7">
        <v>17697</v>
      </c>
      <c r="L14" s="7"/>
      <c r="M14" s="10">
        <v>1</v>
      </c>
      <c r="N14" s="732"/>
      <c r="O14" s="1022" t="s">
        <v>402</v>
      </c>
      <c r="P14" s="18">
        <f t="shared" si="5"/>
        <v>53798.879999999997</v>
      </c>
      <c r="Q14" s="882"/>
      <c r="R14" s="7"/>
      <c r="S14" s="8"/>
      <c r="T14" s="7">
        <v>0.1</v>
      </c>
      <c r="U14" s="7">
        <f t="shared" si="0"/>
        <v>5379.8879999999999</v>
      </c>
      <c r="V14" s="7"/>
      <c r="W14" s="9"/>
      <c r="X14" s="10">
        <f t="shared" si="1"/>
        <v>59178.767999999996</v>
      </c>
      <c r="Y14" s="1268">
        <f t="shared" si="2"/>
        <v>0.1</v>
      </c>
      <c r="Z14" s="1268">
        <f t="shared" si="2"/>
        <v>5379.8879999999999</v>
      </c>
      <c r="AA14" s="1264">
        <f t="shared" si="3"/>
        <v>710145.21600000001</v>
      </c>
      <c r="AB14" s="1382">
        <f t="shared" si="4"/>
        <v>60530.618479372664</v>
      </c>
      <c r="AC14" s="1264"/>
      <c r="AD14" s="1264"/>
      <c r="AE14" s="1264"/>
      <c r="AF14" s="1264"/>
      <c r="AG14" s="1264"/>
      <c r="AH14" s="1264"/>
      <c r="AI14" s="1264"/>
      <c r="AJ14" s="1264"/>
      <c r="AK14" s="23"/>
      <c r="AL14" s="23"/>
      <c r="AM14" s="23"/>
      <c r="AN14" s="23"/>
      <c r="AO14" s="23"/>
      <c r="AP14" s="23"/>
      <c r="AQ14" s="23"/>
    </row>
    <row r="15" spans="1:44" s="1265" customFormat="1" ht="15" customHeight="1">
      <c r="A15" s="5">
        <v>10</v>
      </c>
      <c r="B15" s="702" t="s">
        <v>767</v>
      </c>
      <c r="C15" s="1630" t="s">
        <v>768</v>
      </c>
      <c r="D15" s="894" t="s">
        <v>25</v>
      </c>
      <c r="E15" s="1631" t="s">
        <v>769</v>
      </c>
      <c r="F15" s="5" t="s">
        <v>77</v>
      </c>
      <c r="G15" s="1632">
        <v>1</v>
      </c>
      <c r="H15" s="40" t="s">
        <v>56</v>
      </c>
      <c r="I15" s="40" t="s">
        <v>56</v>
      </c>
      <c r="J15" s="41" t="s">
        <v>57</v>
      </c>
      <c r="K15" s="7">
        <v>17697</v>
      </c>
      <c r="L15" s="882"/>
      <c r="M15" s="1547">
        <v>1</v>
      </c>
      <c r="N15" s="1633"/>
      <c r="O15" s="1634" t="s">
        <v>770</v>
      </c>
      <c r="P15" s="883">
        <f t="shared" si="5"/>
        <v>74858.310000000012</v>
      </c>
      <c r="Q15" s="882"/>
      <c r="R15" s="882"/>
      <c r="S15" s="1635"/>
      <c r="T15" s="7">
        <v>0.1</v>
      </c>
      <c r="U15" s="7">
        <f t="shared" si="0"/>
        <v>7485.8310000000019</v>
      </c>
      <c r="V15" s="882"/>
      <c r="W15" s="881"/>
      <c r="X15" s="10">
        <f t="shared" si="1"/>
        <v>82344.141000000018</v>
      </c>
      <c r="Y15" s="1269"/>
      <c r="Z15" s="1269"/>
      <c r="AA15" s="1264"/>
      <c r="AB15" s="1382"/>
      <c r="AC15" s="1264"/>
      <c r="AD15" s="1264"/>
      <c r="AE15" s="1264"/>
      <c r="AF15" s="1264"/>
      <c r="AG15" s="1264"/>
      <c r="AH15" s="1264"/>
      <c r="AI15" s="1264"/>
      <c r="AJ15" s="1264"/>
      <c r="AK15" s="23"/>
      <c r="AL15" s="23"/>
      <c r="AM15" s="23"/>
      <c r="AN15" s="23"/>
      <c r="AO15" s="23"/>
      <c r="AP15" s="23"/>
      <c r="AQ15" s="23"/>
    </row>
    <row r="16" spans="1:44" s="1265" customFormat="1" ht="15" customHeight="1">
      <c r="A16" s="5">
        <v>11</v>
      </c>
      <c r="B16" s="26" t="s">
        <v>62</v>
      </c>
      <c r="C16" s="13" t="s">
        <v>63</v>
      </c>
      <c r="D16" s="5" t="s">
        <v>64</v>
      </c>
      <c r="E16" s="57" t="s">
        <v>730</v>
      </c>
      <c r="F16" s="5" t="s">
        <v>367</v>
      </c>
      <c r="G16" s="5">
        <v>1</v>
      </c>
      <c r="H16" s="20" t="s">
        <v>56</v>
      </c>
      <c r="I16" s="20" t="s">
        <v>56</v>
      </c>
      <c r="J16" s="27">
        <v>3</v>
      </c>
      <c r="K16" s="7">
        <v>17697</v>
      </c>
      <c r="L16" s="7"/>
      <c r="M16" s="10">
        <v>1</v>
      </c>
      <c r="N16" s="7"/>
      <c r="O16" s="10">
        <v>3.61</v>
      </c>
      <c r="P16" s="18">
        <f t="shared" si="5"/>
        <v>63886.17</v>
      </c>
      <c r="Q16" s="882"/>
      <c r="R16" s="7"/>
      <c r="S16" s="8"/>
      <c r="T16" s="7">
        <v>0.1</v>
      </c>
      <c r="U16" s="7">
        <f t="shared" si="0"/>
        <v>6388.6170000000002</v>
      </c>
      <c r="V16" s="7"/>
      <c r="W16" s="9"/>
      <c r="X16" s="10">
        <f t="shared" si="1"/>
        <v>70274.786999999997</v>
      </c>
      <c r="Y16" s="1268">
        <f t="shared" si="2"/>
        <v>0.1</v>
      </c>
      <c r="Z16" s="1268">
        <f t="shared" si="2"/>
        <v>6388.6170000000002</v>
      </c>
      <c r="AA16" s="1264">
        <f t="shared" si="3"/>
        <v>843297.4439999999</v>
      </c>
      <c r="AB16" s="1382">
        <f t="shared" si="4"/>
        <v>71880.109444255024</v>
      </c>
      <c r="AC16" s="1264"/>
      <c r="AD16" s="1264"/>
      <c r="AE16" s="1264"/>
      <c r="AF16" s="1264"/>
      <c r="AG16" s="1264"/>
      <c r="AH16" s="1264"/>
      <c r="AI16" s="1264"/>
      <c r="AJ16" s="1264"/>
      <c r="AK16" s="23"/>
      <c r="AL16" s="23"/>
      <c r="AM16" s="23"/>
      <c r="AN16" s="23"/>
      <c r="AO16" s="23"/>
      <c r="AP16" s="23"/>
      <c r="AQ16" s="23"/>
    </row>
    <row r="17" spans="1:43" s="1265" customFormat="1" ht="15" customHeight="1">
      <c r="A17" s="5">
        <v>12</v>
      </c>
      <c r="B17" s="26" t="s">
        <v>400</v>
      </c>
      <c r="C17" s="13" t="s">
        <v>63</v>
      </c>
      <c r="D17" s="5" t="s">
        <v>64</v>
      </c>
      <c r="E17" s="1636" t="s">
        <v>121</v>
      </c>
      <c r="F17" s="5" t="s">
        <v>122</v>
      </c>
      <c r="G17" s="5">
        <v>1.5</v>
      </c>
      <c r="H17" s="20" t="s">
        <v>69</v>
      </c>
      <c r="I17" s="20" t="s">
        <v>69</v>
      </c>
      <c r="J17" s="737" t="s">
        <v>30</v>
      </c>
      <c r="K17" s="7">
        <v>17697</v>
      </c>
      <c r="L17" s="7"/>
      <c r="M17" s="10">
        <v>1.5</v>
      </c>
      <c r="N17" s="7"/>
      <c r="O17" s="1626">
        <v>3.35</v>
      </c>
      <c r="P17" s="18">
        <f>O17*K17*M17</f>
        <v>88927.425000000003</v>
      </c>
      <c r="Q17" s="882"/>
      <c r="R17" s="8"/>
      <c r="S17" s="7"/>
      <c r="T17" s="7">
        <v>0.1</v>
      </c>
      <c r="U17" s="7">
        <f t="shared" si="0"/>
        <v>8892.7425000000003</v>
      </c>
      <c r="V17" s="9"/>
      <c r="W17" s="7"/>
      <c r="X17" s="10">
        <f t="shared" si="1"/>
        <v>97820.16750000001</v>
      </c>
      <c r="Y17" s="1268">
        <f t="shared" si="2"/>
        <v>0.1</v>
      </c>
      <c r="Z17" s="1268">
        <f t="shared" si="2"/>
        <v>8892.7425000000003</v>
      </c>
      <c r="AA17" s="1264">
        <f t="shared" si="3"/>
        <v>1173842.0100000002</v>
      </c>
      <c r="AB17" s="1382">
        <f t="shared" si="4"/>
        <v>100054.72297988411</v>
      </c>
      <c r="AK17" s="23"/>
      <c r="AL17" s="23"/>
      <c r="AM17" s="23"/>
      <c r="AN17" s="23"/>
      <c r="AO17" s="23"/>
      <c r="AP17" s="23"/>
      <c r="AQ17" s="23"/>
    </row>
    <row r="18" spans="1:43" s="1396" customFormat="1" ht="15.75" customHeight="1">
      <c r="A18" s="5">
        <v>13</v>
      </c>
      <c r="B18" s="13" t="s">
        <v>378</v>
      </c>
      <c r="C18" s="13" t="s">
        <v>63</v>
      </c>
      <c r="D18" s="5" t="s">
        <v>64</v>
      </c>
      <c r="E18" s="536" t="s">
        <v>780</v>
      </c>
      <c r="F18" s="5" t="s">
        <v>159</v>
      </c>
      <c r="G18" s="5">
        <v>0.5</v>
      </c>
      <c r="H18" s="15" t="s">
        <v>56</v>
      </c>
      <c r="I18" s="15" t="s">
        <v>56</v>
      </c>
      <c r="J18" s="14">
        <v>3</v>
      </c>
      <c r="K18" s="15">
        <v>17697</v>
      </c>
      <c r="L18" s="15"/>
      <c r="M18" s="10">
        <v>0.5</v>
      </c>
      <c r="N18" s="21"/>
      <c r="O18" s="10">
        <v>3.31</v>
      </c>
      <c r="P18" s="18">
        <f t="shared" si="5"/>
        <v>29288.535</v>
      </c>
      <c r="Q18" s="882"/>
      <c r="R18" s="8"/>
      <c r="S18" s="7"/>
      <c r="T18" s="7">
        <v>0.1</v>
      </c>
      <c r="U18" s="7">
        <f t="shared" si="0"/>
        <v>2928.8535000000002</v>
      </c>
      <c r="V18" s="9"/>
      <c r="W18" s="7"/>
      <c r="X18" s="10">
        <f t="shared" si="1"/>
        <v>32217.388500000001</v>
      </c>
      <c r="Y18" s="1268">
        <f t="shared" si="2"/>
        <v>0.1</v>
      </c>
      <c r="Z18" s="1268">
        <f t="shared" si="2"/>
        <v>2928.8535000000002</v>
      </c>
      <c r="AA18" s="1264">
        <f t="shared" si="3"/>
        <v>386608.66200000001</v>
      </c>
      <c r="AB18" s="1382">
        <f t="shared" si="4"/>
        <v>32953.346573474264</v>
      </c>
      <c r="AK18" s="1778"/>
      <c r="AL18" s="1778"/>
      <c r="AM18" s="1778"/>
      <c r="AN18" s="1778"/>
      <c r="AO18" s="1778"/>
      <c r="AP18" s="1778"/>
      <c r="AQ18" s="1778"/>
    </row>
    <row r="19" spans="1:43" s="1396" customFormat="1" ht="15.75" customHeight="1">
      <c r="A19" s="5">
        <v>14</v>
      </c>
      <c r="B19" s="13" t="s">
        <v>70</v>
      </c>
      <c r="C19" s="13" t="s">
        <v>71</v>
      </c>
      <c r="D19" s="5" t="s">
        <v>25</v>
      </c>
      <c r="E19" s="536" t="s">
        <v>731</v>
      </c>
      <c r="F19" s="5" t="s">
        <v>239</v>
      </c>
      <c r="G19" s="5">
        <v>1</v>
      </c>
      <c r="H19" s="738" t="s">
        <v>56</v>
      </c>
      <c r="I19" s="738" t="s">
        <v>56</v>
      </c>
      <c r="J19" s="738">
        <v>2</v>
      </c>
      <c r="K19" s="15">
        <v>17697</v>
      </c>
      <c r="L19" s="15"/>
      <c r="M19" s="10">
        <v>0.5</v>
      </c>
      <c r="N19" s="21"/>
      <c r="O19" s="10">
        <v>4.46</v>
      </c>
      <c r="P19" s="18">
        <f>O19*K19*M19</f>
        <v>39464.31</v>
      </c>
      <c r="Q19" s="894"/>
      <c r="R19" s="8"/>
      <c r="S19" s="7"/>
      <c r="T19" s="7">
        <v>0.1</v>
      </c>
      <c r="U19" s="7">
        <f t="shared" si="0"/>
        <v>3946.431</v>
      </c>
      <c r="V19" s="9">
        <v>0.2</v>
      </c>
      <c r="W19" s="7">
        <f>V19*K19*50%</f>
        <v>1769.7</v>
      </c>
      <c r="X19" s="10">
        <f>P19+S19+U19+W19+Q19</f>
        <v>45180.440999999992</v>
      </c>
      <c r="Y19" s="1268">
        <f>R19+T19+V19+X19</f>
        <v>45180.740999999995</v>
      </c>
      <c r="Z19" s="1268">
        <f>S19+U19+W19+Y19</f>
        <v>50896.871999999996</v>
      </c>
      <c r="AA19" s="1264">
        <f t="shared" si="3"/>
        <v>542165.2919999999</v>
      </c>
      <c r="AB19" s="1382">
        <f t="shared" si="4"/>
        <v>46212.520627344013</v>
      </c>
      <c r="AK19" s="1778"/>
      <c r="AL19" s="1778"/>
      <c r="AM19" s="1778"/>
      <c r="AN19" s="1778"/>
      <c r="AO19" s="1778"/>
      <c r="AP19" s="1778"/>
      <c r="AQ19" s="1778"/>
    </row>
    <row r="20" spans="1:43" s="1396" customFormat="1" ht="15.75" customHeight="1">
      <c r="A20" s="5">
        <v>15</v>
      </c>
      <c r="B20" s="13" t="s">
        <v>378</v>
      </c>
      <c r="C20" s="13" t="s">
        <v>71</v>
      </c>
      <c r="D20" s="5" t="s">
        <v>75</v>
      </c>
      <c r="E20" s="536" t="s">
        <v>787</v>
      </c>
      <c r="F20" s="5" t="s">
        <v>159</v>
      </c>
      <c r="G20" s="5">
        <v>0.5</v>
      </c>
      <c r="H20" s="15" t="s">
        <v>56</v>
      </c>
      <c r="I20" s="15" t="s">
        <v>56</v>
      </c>
      <c r="J20" s="14">
        <v>2</v>
      </c>
      <c r="K20" s="15">
        <v>17697</v>
      </c>
      <c r="L20" s="15"/>
      <c r="M20" s="10">
        <v>0.5</v>
      </c>
      <c r="N20" s="21"/>
      <c r="O20" s="10">
        <v>4.0999999999999996</v>
      </c>
      <c r="P20" s="18">
        <f>O20*K20*M20</f>
        <v>36278.85</v>
      </c>
      <c r="Q20" s="894"/>
      <c r="R20" s="8"/>
      <c r="S20" s="7"/>
      <c r="T20" s="7">
        <v>0.1</v>
      </c>
      <c r="U20" s="7">
        <f t="shared" si="0"/>
        <v>3627.8850000000002</v>
      </c>
      <c r="V20" s="9">
        <v>0.2</v>
      </c>
      <c r="W20" s="7">
        <f>V20*K20*50%</f>
        <v>1769.7</v>
      </c>
      <c r="X20" s="10">
        <f t="shared" si="1"/>
        <v>41676.434999999998</v>
      </c>
      <c r="Y20" s="1268">
        <f>R20+T20+V20+X20</f>
        <v>41676.735000000001</v>
      </c>
      <c r="Z20" s="1268">
        <f>S20+U20+W20+Y20</f>
        <v>47074.32</v>
      </c>
      <c r="AA20" s="1264">
        <f t="shared" si="3"/>
        <v>500117.22</v>
      </c>
      <c r="AB20" s="1382">
        <f t="shared" si="4"/>
        <v>42628.470848960111</v>
      </c>
      <c r="AK20" s="1778"/>
      <c r="AL20" s="1778"/>
      <c r="AM20" s="1778"/>
      <c r="AN20" s="1778"/>
      <c r="AO20" s="1778"/>
      <c r="AP20" s="1778"/>
      <c r="AQ20" s="1778"/>
    </row>
    <row r="21" spans="1:43" s="1265" customFormat="1" ht="15" customHeight="1">
      <c r="A21" s="5">
        <v>16</v>
      </c>
      <c r="B21" s="26" t="s">
        <v>619</v>
      </c>
      <c r="C21" s="6" t="s">
        <v>622</v>
      </c>
      <c r="D21" s="5" t="s">
        <v>75</v>
      </c>
      <c r="E21" s="57" t="s">
        <v>778</v>
      </c>
      <c r="F21" s="5" t="s">
        <v>779</v>
      </c>
      <c r="G21" s="5">
        <v>1</v>
      </c>
      <c r="H21" s="5" t="s">
        <v>56</v>
      </c>
      <c r="I21" s="5" t="s">
        <v>56</v>
      </c>
      <c r="J21" s="27">
        <v>3</v>
      </c>
      <c r="K21" s="7">
        <v>17697</v>
      </c>
      <c r="L21" s="7"/>
      <c r="M21" s="10">
        <v>0.5</v>
      </c>
      <c r="N21" s="739"/>
      <c r="O21" s="10">
        <v>3.57</v>
      </c>
      <c r="P21" s="18">
        <f t="shared" si="5"/>
        <v>31589.144999999997</v>
      </c>
      <c r="Q21" s="894"/>
      <c r="R21" s="7"/>
      <c r="S21" s="8"/>
      <c r="T21" s="7">
        <v>0.1</v>
      </c>
      <c r="U21" s="7">
        <f t="shared" si="0"/>
        <v>3158.9144999999999</v>
      </c>
      <c r="V21" s="7"/>
      <c r="W21" s="9"/>
      <c r="X21" s="10">
        <f t="shared" si="1"/>
        <v>34748.059499999996</v>
      </c>
      <c r="Y21" s="1268">
        <f t="shared" si="2"/>
        <v>0.1</v>
      </c>
      <c r="Z21" s="1268">
        <f t="shared" si="2"/>
        <v>3158.9144999999999</v>
      </c>
      <c r="AA21" s="1264">
        <f t="shared" si="3"/>
        <v>416976.71399999992</v>
      </c>
      <c r="AB21" s="1382">
        <f t="shared" si="4"/>
        <v>35541.82696897375</v>
      </c>
      <c r="AC21" s="1264"/>
      <c r="AD21" s="1264"/>
      <c r="AE21" s="1264"/>
      <c r="AF21" s="1264"/>
      <c r="AG21" s="1264"/>
      <c r="AH21" s="1264"/>
      <c r="AI21" s="1264"/>
      <c r="AJ21" s="1264"/>
      <c r="AK21" s="23"/>
      <c r="AL21" s="23"/>
      <c r="AM21" s="23"/>
      <c r="AN21" s="23"/>
      <c r="AO21" s="23"/>
      <c r="AP21" s="23"/>
      <c r="AQ21" s="23"/>
    </row>
    <row r="22" spans="1:43" s="1437" customFormat="1" ht="15.75" customHeight="1">
      <c r="A22" s="5">
        <v>17</v>
      </c>
      <c r="B22" s="29" t="s">
        <v>81</v>
      </c>
      <c r="C22" s="6" t="s">
        <v>82</v>
      </c>
      <c r="D22" s="30" t="s">
        <v>64</v>
      </c>
      <c r="E22" s="57" t="s">
        <v>773</v>
      </c>
      <c r="F22" s="30" t="s">
        <v>84</v>
      </c>
      <c r="G22" s="21">
        <v>1</v>
      </c>
      <c r="H22" s="20" t="s">
        <v>56</v>
      </c>
      <c r="I22" s="5" t="s">
        <v>56</v>
      </c>
      <c r="J22" s="20">
        <v>3</v>
      </c>
      <c r="K22" s="7">
        <v>17697</v>
      </c>
      <c r="L22" s="7"/>
      <c r="M22" s="10">
        <v>1</v>
      </c>
      <c r="N22" s="7"/>
      <c r="O22" s="10">
        <v>3.5</v>
      </c>
      <c r="P22" s="18">
        <f t="shared" si="5"/>
        <v>61939.5</v>
      </c>
      <c r="Q22" s="894"/>
      <c r="R22" s="7"/>
      <c r="S22" s="8"/>
      <c r="T22" s="7">
        <v>0.1</v>
      </c>
      <c r="U22" s="7">
        <f t="shared" si="0"/>
        <v>6193.9500000000007</v>
      </c>
      <c r="V22" s="7"/>
      <c r="W22" s="9"/>
      <c r="X22" s="10">
        <f t="shared" si="1"/>
        <v>68133.45</v>
      </c>
      <c r="Y22" s="1268">
        <f t="shared" si="2"/>
        <v>0.1</v>
      </c>
      <c r="Z22" s="1268">
        <f t="shared" si="2"/>
        <v>6193.9500000000007</v>
      </c>
      <c r="AA22" s="1264">
        <f t="shared" si="3"/>
        <v>817601.39999999991</v>
      </c>
      <c r="AB22" s="1382">
        <f t="shared" si="4"/>
        <v>69689.856801909307</v>
      </c>
      <c r="AC22" s="1436"/>
      <c r="AD22" s="1436"/>
      <c r="AE22" s="1436"/>
      <c r="AF22" s="1436"/>
      <c r="AG22" s="1436"/>
      <c r="AH22" s="1436"/>
      <c r="AI22" s="1436"/>
      <c r="AJ22" s="1436"/>
      <c r="AK22" s="914"/>
      <c r="AL22" s="914"/>
      <c r="AM22" s="914"/>
      <c r="AN22" s="914"/>
      <c r="AO22" s="914"/>
      <c r="AP22" s="914"/>
      <c r="AQ22" s="914"/>
    </row>
    <row r="23" spans="1:43" s="1265" customFormat="1" ht="18" customHeight="1">
      <c r="A23" s="5">
        <v>18</v>
      </c>
      <c r="B23" s="26" t="s">
        <v>85</v>
      </c>
      <c r="C23" s="6" t="s">
        <v>86</v>
      </c>
      <c r="D23" s="5" t="s">
        <v>25</v>
      </c>
      <c r="E23" s="45" t="s">
        <v>733</v>
      </c>
      <c r="F23" s="5" t="s">
        <v>249</v>
      </c>
      <c r="G23" s="5">
        <v>1</v>
      </c>
      <c r="H23" s="5" t="s">
        <v>56</v>
      </c>
      <c r="I23" s="5" t="s">
        <v>56</v>
      </c>
      <c r="J23" s="731" t="s">
        <v>57</v>
      </c>
      <c r="K23" s="7">
        <v>17697</v>
      </c>
      <c r="L23" s="7"/>
      <c r="M23" s="10">
        <v>1</v>
      </c>
      <c r="N23" s="7"/>
      <c r="O23" s="10">
        <v>4.43</v>
      </c>
      <c r="P23" s="18">
        <f t="shared" si="5"/>
        <v>78397.709999999992</v>
      </c>
      <c r="Q23" s="894"/>
      <c r="R23" s="8"/>
      <c r="S23" s="740"/>
      <c r="T23" s="7">
        <v>0.1</v>
      </c>
      <c r="U23" s="7">
        <f t="shared" si="0"/>
        <v>7839.7709999999997</v>
      </c>
      <c r="V23" s="741"/>
      <c r="W23" s="740"/>
      <c r="X23" s="10">
        <f t="shared" si="1"/>
        <v>86237.480999999985</v>
      </c>
      <c r="Y23" s="1268">
        <f t="shared" si="2"/>
        <v>0.1</v>
      </c>
      <c r="Z23" s="1268">
        <f t="shared" si="2"/>
        <v>7839.7709999999997</v>
      </c>
      <c r="AA23" s="1264">
        <f t="shared" si="3"/>
        <v>1034849.7719999999</v>
      </c>
      <c r="AB23" s="1382">
        <f t="shared" si="4"/>
        <v>88207.447323559478</v>
      </c>
      <c r="AK23" s="906"/>
      <c r="AL23" s="23"/>
      <c r="AM23" s="23"/>
      <c r="AN23" s="23"/>
      <c r="AO23" s="23"/>
      <c r="AP23" s="23"/>
      <c r="AQ23" s="23"/>
    </row>
    <row r="24" spans="1:43" s="1265" customFormat="1" ht="17.25" customHeight="1">
      <c r="A24" s="5">
        <v>19</v>
      </c>
      <c r="B24" s="690" t="s">
        <v>732</v>
      </c>
      <c r="C24" s="6" t="s">
        <v>86</v>
      </c>
      <c r="D24" s="20" t="s">
        <v>25</v>
      </c>
      <c r="E24" s="1637" t="s">
        <v>707</v>
      </c>
      <c r="F24" s="742" t="s">
        <v>159</v>
      </c>
      <c r="G24" s="743">
        <v>1</v>
      </c>
      <c r="H24" s="5" t="s">
        <v>56</v>
      </c>
      <c r="I24" s="5" t="s">
        <v>56</v>
      </c>
      <c r="J24" s="731" t="s">
        <v>57</v>
      </c>
      <c r="K24" s="7">
        <v>17697</v>
      </c>
      <c r="L24" s="34"/>
      <c r="M24" s="35">
        <v>0.5</v>
      </c>
      <c r="N24" s="34"/>
      <c r="O24" s="35">
        <v>4.0999999999999996</v>
      </c>
      <c r="P24" s="36">
        <f>O24*K24*M24</f>
        <v>36278.85</v>
      </c>
      <c r="Q24" s="894"/>
      <c r="R24" s="37"/>
      <c r="S24" s="34"/>
      <c r="T24" s="34">
        <v>0.1</v>
      </c>
      <c r="U24" s="7">
        <f t="shared" si="0"/>
        <v>3627.8850000000002</v>
      </c>
      <c r="V24" s="38"/>
      <c r="W24" s="34"/>
      <c r="X24" s="10">
        <f t="shared" si="1"/>
        <v>39906.735000000001</v>
      </c>
      <c r="Y24" s="1445">
        <f t="shared" si="2"/>
        <v>0.1</v>
      </c>
      <c r="Z24" s="1445">
        <f t="shared" si="2"/>
        <v>3627.8850000000002</v>
      </c>
      <c r="AA24" s="1264">
        <f t="shared" si="3"/>
        <v>478880.82</v>
      </c>
      <c r="AB24" s="1382">
        <f t="shared" si="4"/>
        <v>40818.344698261171</v>
      </c>
      <c r="AK24" s="23"/>
      <c r="AL24" s="23"/>
      <c r="AM24" s="23"/>
      <c r="AN24" s="23"/>
      <c r="AO24" s="23"/>
      <c r="AP24" s="23"/>
      <c r="AQ24" s="23"/>
    </row>
    <row r="25" spans="1:43" s="1265" customFormat="1" ht="17.25" customHeight="1">
      <c r="A25" s="894">
        <v>20</v>
      </c>
      <c r="B25" s="1638" t="s">
        <v>253</v>
      </c>
      <c r="C25" s="1630" t="s">
        <v>800</v>
      </c>
      <c r="D25" s="1639" t="s">
        <v>25</v>
      </c>
      <c r="E25" s="1637" t="s">
        <v>707</v>
      </c>
      <c r="F25" s="1640" t="s">
        <v>159</v>
      </c>
      <c r="G25" s="743">
        <v>1</v>
      </c>
      <c r="H25" s="5" t="s">
        <v>56</v>
      </c>
      <c r="I25" s="5" t="s">
        <v>56</v>
      </c>
      <c r="J25" s="731" t="s">
        <v>57</v>
      </c>
      <c r="K25" s="7">
        <v>17697</v>
      </c>
      <c r="L25" s="34"/>
      <c r="M25" s="35">
        <v>0.5</v>
      </c>
      <c r="N25" s="34"/>
      <c r="O25" s="35">
        <v>4.0999999999999996</v>
      </c>
      <c r="P25" s="36">
        <f>O25*K25*M25</f>
        <v>36278.85</v>
      </c>
      <c r="Q25" s="894"/>
      <c r="R25" s="1641"/>
      <c r="S25" s="885"/>
      <c r="T25" s="34">
        <v>0.1</v>
      </c>
      <c r="U25" s="7">
        <f t="shared" si="0"/>
        <v>3627.8850000000002</v>
      </c>
      <c r="V25" s="1642"/>
      <c r="W25" s="885"/>
      <c r="X25" s="10">
        <f t="shared" si="1"/>
        <v>39906.735000000001</v>
      </c>
      <c r="Y25" s="1565"/>
      <c r="Z25" s="1565"/>
      <c r="AA25" s="1264"/>
      <c r="AB25" s="1382"/>
      <c r="AK25" s="23"/>
      <c r="AL25" s="23"/>
      <c r="AM25" s="23"/>
      <c r="AN25" s="23"/>
      <c r="AO25" s="23"/>
      <c r="AP25" s="23"/>
      <c r="AQ25" s="23"/>
    </row>
    <row r="26" spans="1:43" s="24" customFormat="1" ht="17.25" customHeight="1">
      <c r="A26" s="1507"/>
      <c r="B26" s="1518" t="s">
        <v>790</v>
      </c>
      <c r="C26" s="1508"/>
      <c r="D26" s="1507"/>
      <c r="E26" s="1509"/>
      <c r="F26" s="1507"/>
      <c r="G26" s="1507"/>
      <c r="H26" s="1507"/>
      <c r="I26" s="1507"/>
      <c r="J26" s="1510"/>
      <c r="K26" s="1509"/>
      <c r="L26" s="1509"/>
      <c r="M26" s="1511"/>
      <c r="N26" s="1509"/>
      <c r="O26" s="1509"/>
      <c r="P26" s="1512"/>
      <c r="Q26" s="1513"/>
      <c r="R26" s="1514"/>
      <c r="S26" s="1509"/>
      <c r="T26" s="1509"/>
      <c r="U26" s="1512"/>
      <c r="V26" s="1515"/>
      <c r="W26" s="1509"/>
      <c r="X26" s="1511"/>
      <c r="Y26" s="104"/>
      <c r="Z26" s="104"/>
      <c r="AA26" s="81">
        <f>SUM(AA6:AA24)</f>
        <v>17739189.377999999</v>
      </c>
      <c r="AB26" s="683">
        <f>SUM(AB6:AB24)</f>
        <v>1512034.5531878627</v>
      </c>
      <c r="AC26" s="22">
        <f>SUM(X6:X24)</f>
        <v>1560609.9225000001</v>
      </c>
      <c r="AD26" s="683"/>
      <c r="AK26" s="906"/>
      <c r="AL26" s="23"/>
      <c r="AM26" s="23"/>
      <c r="AN26" s="23"/>
      <c r="AO26" s="23"/>
      <c r="AP26" s="23"/>
      <c r="AQ26" s="23"/>
    </row>
    <row r="27" spans="1:43" s="24" customFormat="1" ht="15.75">
      <c r="A27" s="547">
        <v>1</v>
      </c>
      <c r="B27" s="548" t="s">
        <v>98</v>
      </c>
      <c r="C27" s="549" t="s">
        <v>99</v>
      </c>
      <c r="D27" s="547" t="s">
        <v>25</v>
      </c>
      <c r="E27" s="550" t="s">
        <v>647</v>
      </c>
      <c r="F27" s="550" t="s">
        <v>463</v>
      </c>
      <c r="G27" s="547">
        <v>1</v>
      </c>
      <c r="H27" s="547" t="s">
        <v>102</v>
      </c>
      <c r="I27" s="547" t="s">
        <v>103</v>
      </c>
      <c r="J27" s="1578">
        <v>1</v>
      </c>
      <c r="K27" s="552">
        <v>17697</v>
      </c>
      <c r="L27" s="553">
        <v>35</v>
      </c>
      <c r="M27" s="554">
        <f>L27/18</f>
        <v>1.9444444444444444</v>
      </c>
      <c r="N27" s="555" t="s">
        <v>152</v>
      </c>
      <c r="O27" s="1579">
        <v>4.55</v>
      </c>
      <c r="P27" s="556">
        <f t="shared" ref="P27:P76" si="6">O27*K27/18*L27</f>
        <v>156569.29166666666</v>
      </c>
      <c r="Q27" s="556"/>
      <c r="R27" s="557"/>
      <c r="S27" s="552"/>
      <c r="T27" s="552">
        <v>0.1</v>
      </c>
      <c r="U27" s="556">
        <f>(P27+Q27)*T27</f>
        <v>15656.929166666667</v>
      </c>
      <c r="V27" s="558"/>
      <c r="W27" s="552"/>
      <c r="X27" s="559">
        <f>P27+Q27+U27</f>
        <v>172226.22083333333</v>
      </c>
      <c r="Y27" s="70">
        <f>V27+R27</f>
        <v>0</v>
      </c>
      <c r="Z27" s="70">
        <f>W27+S27</f>
        <v>0</v>
      </c>
      <c r="AA27" s="23">
        <f t="shared" si="3"/>
        <v>2066714.65</v>
      </c>
      <c r="AB27" s="24">
        <f>AA27/12/29.33*56</f>
        <v>328832.87987271283</v>
      </c>
      <c r="AC27" s="24">
        <f>AA27*1.25</f>
        <v>2583393.3125</v>
      </c>
      <c r="AD27" s="24">
        <f>AC27/12/29.33*56</f>
        <v>411041.09984089102</v>
      </c>
      <c r="AK27" s="23"/>
      <c r="AL27" s="23"/>
      <c r="AM27" s="23"/>
      <c r="AN27" s="23"/>
      <c r="AO27" s="23"/>
      <c r="AP27" s="23"/>
      <c r="AQ27" s="23"/>
    </row>
    <row r="28" spans="1:43" s="24" customFormat="1" ht="17.25" customHeight="1">
      <c r="A28" s="560">
        <v>2</v>
      </c>
      <c r="B28" s="998" t="s">
        <v>41</v>
      </c>
      <c r="C28" s="873" t="s">
        <v>99</v>
      </c>
      <c r="D28" s="874" t="s">
        <v>25</v>
      </c>
      <c r="E28" s="1539" t="s">
        <v>648</v>
      </c>
      <c r="F28" s="1539" t="s">
        <v>34</v>
      </c>
      <c r="G28" s="547">
        <v>1</v>
      </c>
      <c r="H28" s="1002" t="s">
        <v>102</v>
      </c>
      <c r="I28" s="1002" t="s">
        <v>103</v>
      </c>
      <c r="J28" s="1580">
        <v>2</v>
      </c>
      <c r="K28" s="700">
        <v>17697</v>
      </c>
      <c r="L28" s="1540">
        <v>24</v>
      </c>
      <c r="M28" s="554">
        <f t="shared" ref="M28:M76" si="7">L28/18</f>
        <v>1.3333333333333333</v>
      </c>
      <c r="N28" s="566" t="s">
        <v>104</v>
      </c>
      <c r="O28" s="1014">
        <v>4.51</v>
      </c>
      <c r="P28" s="567">
        <f t="shared" si="6"/>
        <v>106417.96</v>
      </c>
      <c r="Q28" s="556"/>
      <c r="R28" s="568"/>
      <c r="S28" s="554"/>
      <c r="T28" s="554">
        <v>0.1</v>
      </c>
      <c r="U28" s="556">
        <f t="shared" ref="U28:U76" si="8">(P28+Q28)*T28</f>
        <v>10641.796000000002</v>
      </c>
      <c r="V28" s="569"/>
      <c r="W28" s="554"/>
      <c r="X28" s="559">
        <f t="shared" ref="X28:X74" si="9">P28+Q28+U28</f>
        <v>117059.75600000001</v>
      </c>
      <c r="Y28" s="10">
        <f t="shared" ref="Y28:Z72" si="10">V28+R28</f>
        <v>0</v>
      </c>
      <c r="Z28" s="10">
        <f t="shared" si="10"/>
        <v>0</v>
      </c>
      <c r="AA28" s="23">
        <f t="shared" si="3"/>
        <v>1404717.0720000002</v>
      </c>
      <c r="AB28" s="24">
        <f t="shared" ref="AB28:AB82" si="11">AA28/12/29.33*56</f>
        <v>223503.11408114561</v>
      </c>
      <c r="AC28" s="24">
        <f t="shared" ref="AC28:AC82" si="12">AA28*1.25</f>
        <v>1755896.3400000003</v>
      </c>
      <c r="AD28" s="24">
        <f t="shared" ref="AD28:AD82" si="13">AC28/12/29.33*56</f>
        <v>279378.89260143205</v>
      </c>
      <c r="AK28" s="23"/>
      <c r="AL28" s="23"/>
      <c r="AM28" s="23"/>
      <c r="AN28" s="23"/>
      <c r="AO28" s="23"/>
      <c r="AP28" s="23"/>
      <c r="AQ28" s="23"/>
    </row>
    <row r="29" spans="1:43" s="24" customFormat="1" ht="15.75">
      <c r="A29" s="547">
        <v>3</v>
      </c>
      <c r="B29" s="576" t="s">
        <v>110</v>
      </c>
      <c r="C29" s="561" t="s">
        <v>99</v>
      </c>
      <c r="D29" s="560" t="s">
        <v>25</v>
      </c>
      <c r="E29" s="562" t="s">
        <v>650</v>
      </c>
      <c r="F29" s="562" t="s">
        <v>77</v>
      </c>
      <c r="G29" s="547">
        <v>1</v>
      </c>
      <c r="H29" s="577" t="s">
        <v>102</v>
      </c>
      <c r="I29" s="577" t="s">
        <v>103</v>
      </c>
      <c r="J29" s="578">
        <v>3</v>
      </c>
      <c r="K29" s="554">
        <v>17697</v>
      </c>
      <c r="L29" s="565">
        <v>36</v>
      </c>
      <c r="M29" s="554">
        <f t="shared" si="7"/>
        <v>2</v>
      </c>
      <c r="N29" s="1581" t="s">
        <v>109</v>
      </c>
      <c r="O29" s="1016">
        <v>4</v>
      </c>
      <c r="P29" s="567">
        <f t="shared" si="6"/>
        <v>141576</v>
      </c>
      <c r="Q29" s="556"/>
      <c r="R29" s="568"/>
      <c r="S29" s="554"/>
      <c r="T29" s="554">
        <v>0.1</v>
      </c>
      <c r="U29" s="556">
        <f t="shared" si="8"/>
        <v>14157.6</v>
      </c>
      <c r="V29" s="569"/>
      <c r="W29" s="554"/>
      <c r="X29" s="559">
        <f t="shared" si="9"/>
        <v>155733.6</v>
      </c>
      <c r="Y29" s="10"/>
      <c r="Z29" s="10"/>
      <c r="AA29" s="23">
        <f t="shared" si="3"/>
        <v>1868803.2000000002</v>
      </c>
      <c r="AB29" s="24">
        <f t="shared" si="11"/>
        <v>297343.38902147976</v>
      </c>
      <c r="AC29" s="24">
        <f t="shared" si="12"/>
        <v>2336004</v>
      </c>
      <c r="AD29" s="24">
        <f t="shared" si="13"/>
        <v>371679.2362768497</v>
      </c>
      <c r="AK29" s="23"/>
      <c r="AL29" s="23"/>
      <c r="AM29" s="23"/>
      <c r="AN29" s="23"/>
      <c r="AO29" s="23"/>
      <c r="AP29" s="23"/>
      <c r="AQ29" s="23"/>
    </row>
    <row r="30" spans="1:43" s="24" customFormat="1" ht="17.25" customHeight="1">
      <c r="A30" s="560">
        <v>4</v>
      </c>
      <c r="B30" s="153" t="s">
        <v>106</v>
      </c>
      <c r="C30" s="561" t="s">
        <v>99</v>
      </c>
      <c r="D30" s="560" t="s">
        <v>25</v>
      </c>
      <c r="E30" s="562" t="s">
        <v>651</v>
      </c>
      <c r="F30" s="562" t="s">
        <v>77</v>
      </c>
      <c r="G30" s="547">
        <v>1</v>
      </c>
      <c r="H30" s="563" t="s">
        <v>102</v>
      </c>
      <c r="I30" s="563" t="s">
        <v>103</v>
      </c>
      <c r="J30" s="564">
        <v>3</v>
      </c>
      <c r="K30" s="554">
        <v>17697</v>
      </c>
      <c r="L30" s="565">
        <v>18</v>
      </c>
      <c r="M30" s="554">
        <f t="shared" si="7"/>
        <v>1</v>
      </c>
      <c r="N30" s="566" t="s">
        <v>109</v>
      </c>
      <c r="O30" s="1016">
        <v>4</v>
      </c>
      <c r="P30" s="567">
        <f t="shared" si="6"/>
        <v>70788</v>
      </c>
      <c r="Q30" s="556"/>
      <c r="R30" s="568"/>
      <c r="S30" s="554"/>
      <c r="T30" s="554">
        <v>0.1</v>
      </c>
      <c r="U30" s="556">
        <f t="shared" si="8"/>
        <v>7078.8</v>
      </c>
      <c r="V30" s="569"/>
      <c r="W30" s="554"/>
      <c r="X30" s="559">
        <f t="shared" si="9"/>
        <v>77866.8</v>
      </c>
      <c r="Y30" s="10">
        <f t="shared" si="10"/>
        <v>0</v>
      </c>
      <c r="Z30" s="10">
        <f t="shared" si="10"/>
        <v>0</v>
      </c>
      <c r="AA30" s="23">
        <f t="shared" si="3"/>
        <v>934401.60000000009</v>
      </c>
      <c r="AB30" s="24">
        <f t="shared" si="11"/>
        <v>148671.69451073988</v>
      </c>
      <c r="AC30" s="24">
        <f t="shared" si="12"/>
        <v>1168002</v>
      </c>
      <c r="AD30" s="24">
        <f t="shared" si="13"/>
        <v>185839.61813842485</v>
      </c>
      <c r="AK30" s="23"/>
      <c r="AL30" s="23"/>
      <c r="AM30" s="23"/>
      <c r="AN30" s="23"/>
      <c r="AO30" s="23"/>
      <c r="AP30" s="23"/>
      <c r="AQ30" s="23"/>
    </row>
    <row r="31" spans="1:43" s="24" customFormat="1" ht="15.75">
      <c r="A31" s="547">
        <v>5</v>
      </c>
      <c r="B31" s="153" t="s">
        <v>215</v>
      </c>
      <c r="C31" s="561" t="s">
        <v>99</v>
      </c>
      <c r="D31" s="563" t="s">
        <v>25</v>
      </c>
      <c r="E31" s="562" t="s">
        <v>750</v>
      </c>
      <c r="F31" s="562" t="s">
        <v>217</v>
      </c>
      <c r="G31" s="547">
        <v>1</v>
      </c>
      <c r="H31" s="580" t="s">
        <v>102</v>
      </c>
      <c r="I31" s="580" t="s">
        <v>103</v>
      </c>
      <c r="J31" s="997">
        <v>1</v>
      </c>
      <c r="K31" s="554">
        <v>17697</v>
      </c>
      <c r="L31" s="573">
        <v>4</v>
      </c>
      <c r="M31" s="554">
        <f t="shared" si="7"/>
        <v>0.22222222222222221</v>
      </c>
      <c r="N31" s="997" t="s">
        <v>152</v>
      </c>
      <c r="O31" s="1015">
        <v>4.6900000000000004</v>
      </c>
      <c r="P31" s="567">
        <f t="shared" si="6"/>
        <v>18444.206666666669</v>
      </c>
      <c r="Q31" s="556"/>
      <c r="R31" s="568"/>
      <c r="S31" s="554"/>
      <c r="T31" s="554">
        <v>0.1</v>
      </c>
      <c r="U31" s="556">
        <f t="shared" si="8"/>
        <v>1844.4206666666669</v>
      </c>
      <c r="V31" s="569"/>
      <c r="W31" s="554"/>
      <c r="X31" s="559">
        <f t="shared" si="9"/>
        <v>20288.627333333337</v>
      </c>
      <c r="Y31" s="7">
        <f t="shared" si="10"/>
        <v>0</v>
      </c>
      <c r="Z31" s="7">
        <f t="shared" si="10"/>
        <v>0</v>
      </c>
      <c r="AA31" s="23">
        <f t="shared" si="3"/>
        <v>243463.52800000005</v>
      </c>
      <c r="AB31" s="24">
        <f t="shared" si="11"/>
        <v>38737.235958631674</v>
      </c>
      <c r="AC31" s="24">
        <f t="shared" si="12"/>
        <v>304329.41000000003</v>
      </c>
      <c r="AD31" s="24">
        <f t="shared" si="13"/>
        <v>48421.544948289586</v>
      </c>
      <c r="AK31" s="23"/>
      <c r="AL31" s="23"/>
      <c r="AM31" s="23"/>
      <c r="AN31" s="23"/>
      <c r="AO31" s="23"/>
      <c r="AP31" s="23"/>
      <c r="AQ31" s="23"/>
    </row>
    <row r="32" spans="1:43" s="24" customFormat="1" ht="17.25" customHeight="1">
      <c r="A32" s="560">
        <v>6</v>
      </c>
      <c r="B32" s="153" t="s">
        <v>23</v>
      </c>
      <c r="C32" s="561" t="s">
        <v>99</v>
      </c>
      <c r="D32" s="560" t="s">
        <v>25</v>
      </c>
      <c r="E32" s="562" t="s">
        <v>656</v>
      </c>
      <c r="F32" s="562" t="s">
        <v>114</v>
      </c>
      <c r="G32" s="547">
        <v>1</v>
      </c>
      <c r="H32" s="563" t="s">
        <v>102</v>
      </c>
      <c r="I32" s="563" t="s">
        <v>103</v>
      </c>
      <c r="J32" s="581">
        <v>1</v>
      </c>
      <c r="K32" s="554">
        <v>17697</v>
      </c>
      <c r="L32" s="565">
        <v>9</v>
      </c>
      <c r="M32" s="554">
        <f t="shared" si="7"/>
        <v>0.5</v>
      </c>
      <c r="N32" s="574" t="s">
        <v>152</v>
      </c>
      <c r="O32" s="1582">
        <v>4.75</v>
      </c>
      <c r="P32" s="567">
        <f t="shared" si="6"/>
        <v>42030.375</v>
      </c>
      <c r="Q32" s="556"/>
      <c r="R32" s="568"/>
      <c r="S32" s="554"/>
      <c r="T32" s="554">
        <v>0.1</v>
      </c>
      <c r="U32" s="556">
        <f t="shared" si="8"/>
        <v>4203.0375000000004</v>
      </c>
      <c r="V32" s="569"/>
      <c r="W32" s="554"/>
      <c r="X32" s="559">
        <f t="shared" si="9"/>
        <v>46233.412499999999</v>
      </c>
      <c r="Y32" s="7">
        <f t="shared" si="10"/>
        <v>0</v>
      </c>
      <c r="Z32" s="7">
        <f t="shared" si="10"/>
        <v>0</v>
      </c>
      <c r="AA32" s="23">
        <f t="shared" si="3"/>
        <v>554800.94999999995</v>
      </c>
      <c r="AB32" s="24">
        <f t="shared" si="11"/>
        <v>88273.818615751792</v>
      </c>
      <c r="AC32" s="24">
        <f t="shared" si="12"/>
        <v>693501.1875</v>
      </c>
      <c r="AD32" s="24">
        <f t="shared" si="13"/>
        <v>110342.27326968974</v>
      </c>
      <c r="AK32" s="23"/>
      <c r="AL32" s="23"/>
      <c r="AM32" s="23"/>
      <c r="AN32" s="23"/>
      <c r="AO32" s="23"/>
      <c r="AP32" s="23"/>
      <c r="AQ32" s="23"/>
    </row>
    <row r="33" spans="1:43" s="24" customFormat="1" ht="17.25" customHeight="1">
      <c r="A33" s="547">
        <v>7</v>
      </c>
      <c r="B33" s="153" t="s">
        <v>631</v>
      </c>
      <c r="C33" s="561" t="s">
        <v>525</v>
      </c>
      <c r="D33" s="560" t="s">
        <v>25</v>
      </c>
      <c r="E33" s="1000" t="s">
        <v>657</v>
      </c>
      <c r="F33" s="562" t="s">
        <v>114</v>
      </c>
      <c r="G33" s="547">
        <v>1</v>
      </c>
      <c r="H33" s="563" t="s">
        <v>102</v>
      </c>
      <c r="I33" s="563" t="s">
        <v>103</v>
      </c>
      <c r="J33" s="581">
        <v>1</v>
      </c>
      <c r="K33" s="554">
        <v>17697</v>
      </c>
      <c r="L33" s="565">
        <v>26</v>
      </c>
      <c r="M33" s="554">
        <f t="shared" si="7"/>
        <v>1.4444444444444444</v>
      </c>
      <c r="N33" s="574" t="s">
        <v>152</v>
      </c>
      <c r="O33" s="1582">
        <v>4.75</v>
      </c>
      <c r="P33" s="567">
        <f>O33*K33/18*L33</f>
        <v>121421.08333333334</v>
      </c>
      <c r="Q33" s="556"/>
      <c r="R33" s="1538"/>
      <c r="S33" s="700"/>
      <c r="T33" s="554">
        <v>0.1</v>
      </c>
      <c r="U33" s="556">
        <f t="shared" si="8"/>
        <v>12142.108333333335</v>
      </c>
      <c r="V33" s="699"/>
      <c r="W33" s="700"/>
      <c r="X33" s="559">
        <f t="shared" si="9"/>
        <v>133563.19166666668</v>
      </c>
      <c r="Y33" s="882"/>
      <c r="Z33" s="882"/>
      <c r="AA33" s="23">
        <f t="shared" si="3"/>
        <v>1602758.3000000003</v>
      </c>
      <c r="AB33" s="24">
        <f t="shared" si="11"/>
        <v>255013.25377883855</v>
      </c>
      <c r="AC33" s="24">
        <f t="shared" si="12"/>
        <v>2003447.8750000005</v>
      </c>
      <c r="AD33" s="24">
        <f t="shared" si="13"/>
        <v>318766.56722354819</v>
      </c>
      <c r="AK33" s="23"/>
      <c r="AL33" s="23"/>
      <c r="AM33" s="23"/>
      <c r="AN33" s="23"/>
      <c r="AO33" s="23"/>
      <c r="AP33" s="23"/>
      <c r="AQ33" s="23"/>
    </row>
    <row r="34" spans="1:43" s="24" customFormat="1" ht="17.25" customHeight="1">
      <c r="A34" s="560">
        <v>8</v>
      </c>
      <c r="B34" s="153" t="s">
        <v>124</v>
      </c>
      <c r="C34" s="561" t="s">
        <v>125</v>
      </c>
      <c r="D34" s="560" t="s">
        <v>75</v>
      </c>
      <c r="E34" s="582" t="s">
        <v>503</v>
      </c>
      <c r="F34" s="562" t="s">
        <v>77</v>
      </c>
      <c r="G34" s="547">
        <v>1</v>
      </c>
      <c r="H34" s="577" t="s">
        <v>102</v>
      </c>
      <c r="I34" s="577" t="s">
        <v>118</v>
      </c>
      <c r="J34" s="578">
        <v>3</v>
      </c>
      <c r="K34" s="554">
        <v>17697</v>
      </c>
      <c r="L34" s="565">
        <v>18</v>
      </c>
      <c r="M34" s="554">
        <f t="shared" si="7"/>
        <v>1</v>
      </c>
      <c r="N34" s="1583" t="s">
        <v>109</v>
      </c>
      <c r="O34" s="1582">
        <v>3.85</v>
      </c>
      <c r="P34" s="697">
        <f>O34*K34/18*L34</f>
        <v>68133.45</v>
      </c>
      <c r="Q34" s="556"/>
      <c r="R34" s="1538"/>
      <c r="S34" s="700"/>
      <c r="T34" s="554">
        <v>0.1</v>
      </c>
      <c r="U34" s="556">
        <f t="shared" si="8"/>
        <v>6813.3450000000003</v>
      </c>
      <c r="V34" s="699"/>
      <c r="W34" s="700"/>
      <c r="X34" s="559">
        <f t="shared" si="9"/>
        <v>74946.794999999998</v>
      </c>
      <c r="Y34" s="882"/>
      <c r="Z34" s="882"/>
      <c r="AA34" s="23">
        <f t="shared" si="3"/>
        <v>899361.54</v>
      </c>
      <c r="AB34" s="24">
        <f t="shared" si="11"/>
        <v>143096.50596658711</v>
      </c>
      <c r="AC34" s="24">
        <f t="shared" si="12"/>
        <v>1124201.925</v>
      </c>
      <c r="AD34" s="24">
        <f t="shared" si="13"/>
        <v>178870.63245823391</v>
      </c>
      <c r="AK34" s="23"/>
      <c r="AL34" s="23"/>
      <c r="AM34" s="23"/>
      <c r="AN34" s="23"/>
      <c r="AO34" s="23"/>
      <c r="AP34" s="23"/>
      <c r="AQ34" s="23"/>
    </row>
    <row r="35" spans="1:43" s="24" customFormat="1" ht="17.25" customHeight="1">
      <c r="A35" s="547">
        <v>9</v>
      </c>
      <c r="B35" s="153" t="s">
        <v>629</v>
      </c>
      <c r="C35" s="561" t="s">
        <v>99</v>
      </c>
      <c r="D35" s="560" t="s">
        <v>25</v>
      </c>
      <c r="E35" s="562" t="s">
        <v>805</v>
      </c>
      <c r="F35" s="562" t="s">
        <v>252</v>
      </c>
      <c r="G35" s="547">
        <v>1</v>
      </c>
      <c r="H35" s="563" t="s">
        <v>102</v>
      </c>
      <c r="I35" s="563" t="s">
        <v>103</v>
      </c>
      <c r="J35" s="581">
        <v>4</v>
      </c>
      <c r="K35" s="554">
        <v>17697</v>
      </c>
      <c r="L35" s="565">
        <v>10</v>
      </c>
      <c r="M35" s="554">
        <f t="shared" si="7"/>
        <v>0.55555555555555558</v>
      </c>
      <c r="N35" s="574" t="s">
        <v>112</v>
      </c>
      <c r="O35" s="1014">
        <v>3.78</v>
      </c>
      <c r="P35" s="567">
        <f t="shared" si="6"/>
        <v>37163.700000000004</v>
      </c>
      <c r="Q35" s="556"/>
      <c r="R35" s="568"/>
      <c r="S35" s="554"/>
      <c r="T35" s="554">
        <v>0.1</v>
      </c>
      <c r="U35" s="556">
        <f t="shared" si="8"/>
        <v>3716.3700000000008</v>
      </c>
      <c r="V35" s="569"/>
      <c r="W35" s="554"/>
      <c r="X35" s="559">
        <f t="shared" si="9"/>
        <v>40880.070000000007</v>
      </c>
      <c r="Y35" s="10">
        <f t="shared" si="10"/>
        <v>0</v>
      </c>
      <c r="Z35" s="10">
        <f t="shared" si="10"/>
        <v>0</v>
      </c>
      <c r="AA35" s="23">
        <f t="shared" si="3"/>
        <v>490560.84000000008</v>
      </c>
      <c r="AB35" s="24">
        <f t="shared" si="11"/>
        <v>78052.639618138433</v>
      </c>
      <c r="AC35" s="24">
        <f t="shared" si="12"/>
        <v>613201.05000000005</v>
      </c>
      <c r="AD35" s="24">
        <f t="shared" si="13"/>
        <v>97565.799522673042</v>
      </c>
      <c r="AK35" s="23"/>
      <c r="AL35" s="23"/>
      <c r="AM35" s="23"/>
      <c r="AN35" s="23"/>
      <c r="AO35" s="23"/>
      <c r="AP35" s="23"/>
      <c r="AQ35" s="23"/>
    </row>
    <row r="36" spans="1:43" s="24" customFormat="1" ht="19.5" customHeight="1">
      <c r="A36" s="560">
        <v>10</v>
      </c>
      <c r="B36" s="153" t="s">
        <v>116</v>
      </c>
      <c r="C36" s="561" t="s">
        <v>99</v>
      </c>
      <c r="D36" s="560" t="s">
        <v>64</v>
      </c>
      <c r="E36" s="583" t="s">
        <v>660</v>
      </c>
      <c r="F36" s="562" t="s">
        <v>114</v>
      </c>
      <c r="G36" s="547">
        <v>1</v>
      </c>
      <c r="H36" s="563" t="s">
        <v>102</v>
      </c>
      <c r="I36" s="563" t="s">
        <v>118</v>
      </c>
      <c r="J36" s="564">
        <v>1</v>
      </c>
      <c r="K36" s="554">
        <v>17697</v>
      </c>
      <c r="L36" s="565">
        <v>36</v>
      </c>
      <c r="M36" s="554">
        <f t="shared" si="7"/>
        <v>2</v>
      </c>
      <c r="N36" s="574" t="s">
        <v>152</v>
      </c>
      <c r="O36" s="1014">
        <v>4.5199999999999996</v>
      </c>
      <c r="P36" s="567">
        <f t="shared" si="6"/>
        <v>159980.87999999998</v>
      </c>
      <c r="Q36" s="556"/>
      <c r="R36" s="568"/>
      <c r="S36" s="554"/>
      <c r="T36" s="554">
        <v>0.1</v>
      </c>
      <c r="U36" s="556">
        <f t="shared" si="8"/>
        <v>15998.087999999998</v>
      </c>
      <c r="V36" s="569"/>
      <c r="W36" s="554"/>
      <c r="X36" s="559">
        <f t="shared" si="9"/>
        <v>175978.96799999996</v>
      </c>
      <c r="Y36" s="10">
        <f t="shared" si="10"/>
        <v>0</v>
      </c>
      <c r="Z36" s="10">
        <f t="shared" si="10"/>
        <v>0</v>
      </c>
      <c r="AA36" s="23">
        <f t="shared" si="3"/>
        <v>2111747.6159999995</v>
      </c>
      <c r="AB36" s="24">
        <f t="shared" si="11"/>
        <v>335998.02959427203</v>
      </c>
      <c r="AC36" s="24">
        <f t="shared" si="12"/>
        <v>2639684.5199999996</v>
      </c>
      <c r="AD36" s="24">
        <f t="shared" si="13"/>
        <v>419997.53699284006</v>
      </c>
      <c r="AK36" s="23"/>
      <c r="AL36" s="23"/>
      <c r="AM36" s="23"/>
      <c r="AN36" s="23"/>
      <c r="AO36" s="23"/>
      <c r="AP36" s="23"/>
      <c r="AQ36" s="23"/>
    </row>
    <row r="37" spans="1:43" s="24" customFormat="1" ht="17.25" customHeight="1">
      <c r="A37" s="547">
        <v>11</v>
      </c>
      <c r="B37" s="153" t="s">
        <v>127</v>
      </c>
      <c r="C37" s="561" t="s">
        <v>99</v>
      </c>
      <c r="D37" s="560" t="s">
        <v>25</v>
      </c>
      <c r="E37" s="562" t="s">
        <v>661</v>
      </c>
      <c r="F37" s="562" t="s">
        <v>34</v>
      </c>
      <c r="G37" s="547">
        <v>1</v>
      </c>
      <c r="H37" s="563" t="s">
        <v>102</v>
      </c>
      <c r="I37" s="563" t="s">
        <v>103</v>
      </c>
      <c r="J37" s="564">
        <v>1</v>
      </c>
      <c r="K37" s="554">
        <v>17697</v>
      </c>
      <c r="L37" s="565">
        <v>26</v>
      </c>
      <c r="M37" s="554">
        <f t="shared" si="7"/>
        <v>1.4444444444444444</v>
      </c>
      <c r="N37" s="574" t="s">
        <v>152</v>
      </c>
      <c r="O37" s="1014">
        <v>4.75</v>
      </c>
      <c r="P37" s="567">
        <f t="shared" si="6"/>
        <v>121421.08333333334</v>
      </c>
      <c r="Q37" s="556"/>
      <c r="R37" s="568"/>
      <c r="S37" s="554"/>
      <c r="T37" s="554">
        <v>0.1</v>
      </c>
      <c r="U37" s="556">
        <f t="shared" si="8"/>
        <v>12142.108333333335</v>
      </c>
      <c r="V37" s="569"/>
      <c r="W37" s="554"/>
      <c r="X37" s="559">
        <f t="shared" si="9"/>
        <v>133563.19166666668</v>
      </c>
      <c r="Y37" s="10"/>
      <c r="Z37" s="10"/>
      <c r="AA37" s="23">
        <f t="shared" si="3"/>
        <v>1602758.3000000003</v>
      </c>
      <c r="AB37" s="24">
        <f t="shared" si="11"/>
        <v>255013.25377883855</v>
      </c>
      <c r="AC37" s="24">
        <f t="shared" si="12"/>
        <v>2003447.8750000005</v>
      </c>
      <c r="AD37" s="24">
        <f t="shared" si="13"/>
        <v>318766.56722354819</v>
      </c>
      <c r="AK37" s="23"/>
      <c r="AL37" s="23"/>
      <c r="AM37" s="23"/>
      <c r="AN37" s="23"/>
      <c r="AO37" s="23"/>
      <c r="AP37" s="23"/>
      <c r="AQ37" s="23"/>
    </row>
    <row r="38" spans="1:43" s="24" customFormat="1" ht="17.25" customHeight="1">
      <c r="A38" s="560">
        <v>12</v>
      </c>
      <c r="B38" s="153" t="s">
        <v>386</v>
      </c>
      <c r="C38" s="561" t="s">
        <v>99</v>
      </c>
      <c r="D38" s="560" t="s">
        <v>25</v>
      </c>
      <c r="E38" s="582" t="s">
        <v>662</v>
      </c>
      <c r="F38" s="582" t="s">
        <v>34</v>
      </c>
      <c r="G38" s="547">
        <v>1</v>
      </c>
      <c r="H38" s="563" t="s">
        <v>102</v>
      </c>
      <c r="I38" s="563" t="s">
        <v>103</v>
      </c>
      <c r="J38" s="581">
        <v>1</v>
      </c>
      <c r="K38" s="554">
        <v>17697</v>
      </c>
      <c r="L38" s="565">
        <v>28</v>
      </c>
      <c r="M38" s="554">
        <f t="shared" si="7"/>
        <v>1.5555555555555556</v>
      </c>
      <c r="N38" s="698" t="s">
        <v>152</v>
      </c>
      <c r="O38" s="1157">
        <v>4.75</v>
      </c>
      <c r="P38" s="697">
        <f t="shared" si="6"/>
        <v>130761.16666666667</v>
      </c>
      <c r="Q38" s="556"/>
      <c r="R38" s="1538"/>
      <c r="S38" s="700"/>
      <c r="T38" s="554">
        <v>0.1</v>
      </c>
      <c r="U38" s="556">
        <f t="shared" si="8"/>
        <v>13076.116666666669</v>
      </c>
      <c r="V38" s="699"/>
      <c r="W38" s="700"/>
      <c r="X38" s="559">
        <f t="shared" si="9"/>
        <v>143837.28333333333</v>
      </c>
      <c r="Y38" s="1547"/>
      <c r="Z38" s="1547"/>
      <c r="AA38" s="23">
        <f t="shared" si="3"/>
        <v>1726047.4</v>
      </c>
      <c r="AB38" s="24">
        <f t="shared" si="11"/>
        <v>274629.65791567223</v>
      </c>
      <c r="AC38" s="24">
        <f t="shared" si="12"/>
        <v>2157559.25</v>
      </c>
      <c r="AD38" s="24">
        <f t="shared" si="13"/>
        <v>343287.0723945903</v>
      </c>
      <c r="AK38" s="23"/>
      <c r="AL38" s="23"/>
      <c r="AM38" s="23"/>
      <c r="AN38" s="23"/>
      <c r="AO38" s="23"/>
      <c r="AP38" s="23"/>
      <c r="AQ38" s="23"/>
    </row>
    <row r="39" spans="1:43" s="24" customFormat="1" ht="17.25" customHeight="1">
      <c r="A39" s="547">
        <v>13</v>
      </c>
      <c r="B39" s="998" t="s">
        <v>458</v>
      </c>
      <c r="C39" s="561" t="s">
        <v>99</v>
      </c>
      <c r="D39" s="560" t="s">
        <v>25</v>
      </c>
      <c r="E39" s="582" t="s">
        <v>662</v>
      </c>
      <c r="F39" s="582" t="s">
        <v>34</v>
      </c>
      <c r="G39" s="547">
        <v>1</v>
      </c>
      <c r="H39" s="563" t="s">
        <v>102</v>
      </c>
      <c r="I39" s="563" t="s">
        <v>103</v>
      </c>
      <c r="J39" s="581">
        <v>1</v>
      </c>
      <c r="K39" s="554">
        <v>17697</v>
      </c>
      <c r="L39" s="1540">
        <v>17</v>
      </c>
      <c r="M39" s="554">
        <f t="shared" si="7"/>
        <v>0.94444444444444442</v>
      </c>
      <c r="N39" s="698" t="s">
        <v>152</v>
      </c>
      <c r="O39" s="1157">
        <v>4.75</v>
      </c>
      <c r="P39" s="697">
        <f t="shared" si="6"/>
        <v>79390.708333333343</v>
      </c>
      <c r="Q39" s="556"/>
      <c r="R39" s="1538"/>
      <c r="S39" s="700"/>
      <c r="T39" s="554">
        <v>0.1</v>
      </c>
      <c r="U39" s="556">
        <f t="shared" si="8"/>
        <v>7939.070833333335</v>
      </c>
      <c r="V39" s="699"/>
      <c r="W39" s="700"/>
      <c r="X39" s="559">
        <f t="shared" si="9"/>
        <v>87329.779166666674</v>
      </c>
      <c r="Y39" s="1547"/>
      <c r="Z39" s="1547"/>
      <c r="AA39" s="23"/>
      <c r="AK39" s="23"/>
      <c r="AL39" s="23"/>
      <c r="AM39" s="23"/>
      <c r="AN39" s="23"/>
      <c r="AO39" s="23"/>
      <c r="AP39" s="23"/>
      <c r="AQ39" s="23"/>
    </row>
    <row r="40" spans="1:43" s="24" customFormat="1" ht="17.25" customHeight="1">
      <c r="A40" s="560">
        <v>14</v>
      </c>
      <c r="B40" s="153" t="s">
        <v>130</v>
      </c>
      <c r="C40" s="561" t="s">
        <v>99</v>
      </c>
      <c r="D40" s="560" t="s">
        <v>25</v>
      </c>
      <c r="E40" s="582" t="s">
        <v>665</v>
      </c>
      <c r="F40" s="582" t="s">
        <v>34</v>
      </c>
      <c r="G40" s="547">
        <v>1</v>
      </c>
      <c r="H40" s="563" t="s">
        <v>102</v>
      </c>
      <c r="I40" s="563" t="s">
        <v>103</v>
      </c>
      <c r="J40" s="564">
        <v>1</v>
      </c>
      <c r="K40" s="554">
        <v>17697</v>
      </c>
      <c r="L40" s="565">
        <v>9</v>
      </c>
      <c r="M40" s="554">
        <f t="shared" si="7"/>
        <v>0.5</v>
      </c>
      <c r="N40" s="997" t="s">
        <v>152</v>
      </c>
      <c r="O40" s="1014">
        <v>4.75</v>
      </c>
      <c r="P40" s="567">
        <f t="shared" si="6"/>
        <v>42030.375</v>
      </c>
      <c r="Q40" s="556"/>
      <c r="R40" s="568"/>
      <c r="S40" s="554"/>
      <c r="T40" s="554">
        <v>0.1</v>
      </c>
      <c r="U40" s="556">
        <f t="shared" si="8"/>
        <v>4203.0375000000004</v>
      </c>
      <c r="V40" s="569"/>
      <c r="W40" s="554"/>
      <c r="X40" s="559">
        <f t="shared" si="9"/>
        <v>46233.412499999999</v>
      </c>
      <c r="Y40" s="7">
        <f t="shared" si="10"/>
        <v>0</v>
      </c>
      <c r="Z40" s="7">
        <f t="shared" si="10"/>
        <v>0</v>
      </c>
      <c r="AA40" s="23">
        <f t="shared" si="3"/>
        <v>554800.94999999995</v>
      </c>
      <c r="AB40" s="24">
        <f t="shared" si="11"/>
        <v>88273.818615751792</v>
      </c>
      <c r="AC40" s="24">
        <f t="shared" si="12"/>
        <v>693501.1875</v>
      </c>
      <c r="AD40" s="24">
        <f t="shared" si="13"/>
        <v>110342.27326968974</v>
      </c>
      <c r="AK40" s="23"/>
      <c r="AL40" s="23"/>
      <c r="AM40" s="23"/>
      <c r="AN40" s="23"/>
      <c r="AO40" s="23"/>
      <c r="AP40" s="23"/>
      <c r="AQ40" s="23"/>
    </row>
    <row r="41" spans="1:43" s="1692" customFormat="1" ht="17.25" customHeight="1">
      <c r="A41" s="547">
        <v>15</v>
      </c>
      <c r="B41" s="153" t="s">
        <v>455</v>
      </c>
      <c r="C41" s="561" t="s">
        <v>99</v>
      </c>
      <c r="D41" s="563" t="s">
        <v>25</v>
      </c>
      <c r="E41" s="210" t="s">
        <v>667</v>
      </c>
      <c r="F41" s="562" t="s">
        <v>34</v>
      </c>
      <c r="G41" s="547">
        <v>1</v>
      </c>
      <c r="H41" s="563" t="s">
        <v>102</v>
      </c>
      <c r="I41" s="563" t="s">
        <v>103</v>
      </c>
      <c r="J41" s="564">
        <v>1</v>
      </c>
      <c r="K41" s="554">
        <v>17697</v>
      </c>
      <c r="L41" s="565">
        <v>8</v>
      </c>
      <c r="M41" s="554">
        <f t="shared" si="7"/>
        <v>0.44444444444444442</v>
      </c>
      <c r="N41" s="997" t="s">
        <v>152</v>
      </c>
      <c r="O41" s="1014">
        <v>4.75</v>
      </c>
      <c r="P41" s="567">
        <f t="shared" si="6"/>
        <v>37360.333333333336</v>
      </c>
      <c r="Q41" s="556"/>
      <c r="R41" s="568"/>
      <c r="S41" s="554"/>
      <c r="T41" s="554">
        <v>0.1</v>
      </c>
      <c r="U41" s="556">
        <f t="shared" si="8"/>
        <v>3736.0333333333338</v>
      </c>
      <c r="V41" s="569"/>
      <c r="W41" s="554"/>
      <c r="X41" s="559">
        <f t="shared" si="9"/>
        <v>41096.366666666669</v>
      </c>
      <c r="Y41" s="1691">
        <f t="shared" si="10"/>
        <v>0</v>
      </c>
      <c r="Z41" s="1691">
        <f t="shared" si="10"/>
        <v>0</v>
      </c>
      <c r="AA41" s="23">
        <f t="shared" si="3"/>
        <v>493156.4</v>
      </c>
      <c r="AB41" s="24">
        <f t="shared" si="11"/>
        <v>78465.616547334939</v>
      </c>
      <c r="AC41" s="24">
        <f t="shared" si="12"/>
        <v>616445.5</v>
      </c>
      <c r="AD41" s="24">
        <f t="shared" si="13"/>
        <v>98082.020684168674</v>
      </c>
      <c r="AK41" s="1782"/>
      <c r="AL41" s="1782"/>
      <c r="AM41" s="1782"/>
      <c r="AN41" s="1782"/>
      <c r="AO41" s="1782"/>
      <c r="AP41" s="1782"/>
      <c r="AQ41" s="1782"/>
    </row>
    <row r="42" spans="1:43" s="24" customFormat="1" ht="17.25" customHeight="1">
      <c r="A42" s="560">
        <v>16</v>
      </c>
      <c r="B42" s="153" t="s">
        <v>227</v>
      </c>
      <c r="C42" s="561" t="s">
        <v>99</v>
      </c>
      <c r="D42" s="560" t="s">
        <v>25</v>
      </c>
      <c r="E42" s="562" t="s">
        <v>741</v>
      </c>
      <c r="F42" s="562" t="s">
        <v>669</v>
      </c>
      <c r="G42" s="547">
        <v>1</v>
      </c>
      <c r="H42" s="580" t="s">
        <v>102</v>
      </c>
      <c r="I42" s="580" t="s">
        <v>103</v>
      </c>
      <c r="J42" s="574">
        <v>2</v>
      </c>
      <c r="K42" s="554">
        <v>17697</v>
      </c>
      <c r="L42" s="565">
        <v>4</v>
      </c>
      <c r="M42" s="554">
        <f t="shared" si="7"/>
        <v>0.22222222222222221</v>
      </c>
      <c r="N42" s="1014" t="s">
        <v>104</v>
      </c>
      <c r="O42" s="1014">
        <v>4.09</v>
      </c>
      <c r="P42" s="567">
        <f t="shared" si="6"/>
        <v>16084.606666666667</v>
      </c>
      <c r="Q42" s="556"/>
      <c r="R42" s="568"/>
      <c r="S42" s="554"/>
      <c r="T42" s="554">
        <v>0.1</v>
      </c>
      <c r="U42" s="556">
        <f t="shared" si="8"/>
        <v>1608.4606666666668</v>
      </c>
      <c r="V42" s="569"/>
      <c r="W42" s="554"/>
      <c r="X42" s="559">
        <f t="shared" si="9"/>
        <v>17693.067333333332</v>
      </c>
      <c r="Y42" s="10">
        <f t="shared" si="10"/>
        <v>0</v>
      </c>
      <c r="Z42" s="10">
        <f t="shared" si="10"/>
        <v>0</v>
      </c>
      <c r="AA42" s="23">
        <f t="shared" si="3"/>
        <v>212316.80799999999</v>
      </c>
      <c r="AB42" s="24">
        <f t="shared" si="11"/>
        <v>33781.512808273663</v>
      </c>
      <c r="AC42" s="24">
        <f t="shared" si="12"/>
        <v>265396.01</v>
      </c>
      <c r="AD42" s="24">
        <f t="shared" si="13"/>
        <v>42226.891010342086</v>
      </c>
      <c r="AK42" s="23"/>
      <c r="AL42" s="23"/>
      <c r="AM42" s="23"/>
      <c r="AN42" s="23"/>
      <c r="AO42" s="23"/>
      <c r="AP42" s="23"/>
      <c r="AQ42" s="23"/>
    </row>
    <row r="43" spans="1:43" s="24" customFormat="1" ht="17.25" customHeight="1">
      <c r="A43" s="547">
        <v>17</v>
      </c>
      <c r="B43" s="153" t="s">
        <v>138</v>
      </c>
      <c r="C43" s="561" t="s">
        <v>99</v>
      </c>
      <c r="D43" s="563" t="s">
        <v>25</v>
      </c>
      <c r="E43" s="562" t="s">
        <v>671</v>
      </c>
      <c r="F43" s="562" t="s">
        <v>476</v>
      </c>
      <c r="G43" s="547">
        <v>1</v>
      </c>
      <c r="H43" s="563" t="s">
        <v>102</v>
      </c>
      <c r="I43" s="563" t="s">
        <v>103</v>
      </c>
      <c r="J43" s="1584">
        <v>3</v>
      </c>
      <c r="K43" s="554">
        <v>17697</v>
      </c>
      <c r="L43" s="565">
        <v>18</v>
      </c>
      <c r="M43" s="554">
        <f t="shared" si="7"/>
        <v>1</v>
      </c>
      <c r="N43" s="1585" t="s">
        <v>109</v>
      </c>
      <c r="O43" s="1014">
        <v>4.07</v>
      </c>
      <c r="P43" s="567">
        <f t="shared" si="6"/>
        <v>72026.790000000008</v>
      </c>
      <c r="Q43" s="556"/>
      <c r="R43" s="568"/>
      <c r="S43" s="554"/>
      <c r="T43" s="554">
        <v>0.1</v>
      </c>
      <c r="U43" s="556">
        <f t="shared" si="8"/>
        <v>7202.679000000001</v>
      </c>
      <c r="V43" s="569"/>
      <c r="W43" s="554"/>
      <c r="X43" s="559">
        <f t="shared" si="9"/>
        <v>79229.469000000012</v>
      </c>
      <c r="Y43" s="7"/>
      <c r="Z43" s="7"/>
      <c r="AA43" s="23">
        <f t="shared" si="3"/>
        <v>950753.62800000014</v>
      </c>
      <c r="AB43" s="24">
        <f t="shared" si="11"/>
        <v>151273.44916467785</v>
      </c>
      <c r="AC43" s="24">
        <f t="shared" si="12"/>
        <v>1188442.0350000001</v>
      </c>
      <c r="AD43" s="24">
        <f t="shared" si="13"/>
        <v>189091.81145584729</v>
      </c>
      <c r="AK43" s="23"/>
      <c r="AL43" s="23"/>
      <c r="AM43" s="23"/>
      <c r="AN43" s="23"/>
      <c r="AO43" s="23"/>
      <c r="AP43" s="23"/>
      <c r="AQ43" s="23"/>
    </row>
    <row r="44" spans="1:43" s="24" customFormat="1" ht="18" customHeight="1">
      <c r="A44" s="560">
        <v>18</v>
      </c>
      <c r="B44" s="153" t="s">
        <v>58</v>
      </c>
      <c r="C44" s="561" t="s">
        <v>99</v>
      </c>
      <c r="D44" s="563" t="s">
        <v>25</v>
      </c>
      <c r="E44" s="562" t="s">
        <v>608</v>
      </c>
      <c r="F44" s="562" t="s">
        <v>366</v>
      </c>
      <c r="G44" s="547">
        <v>1</v>
      </c>
      <c r="H44" s="563" t="s">
        <v>102</v>
      </c>
      <c r="I44" s="563" t="s">
        <v>103</v>
      </c>
      <c r="J44" s="581">
        <v>2</v>
      </c>
      <c r="K44" s="554">
        <v>17697</v>
      </c>
      <c r="L44" s="565">
        <v>14</v>
      </c>
      <c r="M44" s="554">
        <f t="shared" si="7"/>
        <v>0.77777777777777779</v>
      </c>
      <c r="N44" s="1014" t="s">
        <v>104</v>
      </c>
      <c r="O44" s="1014">
        <v>4.4400000000000004</v>
      </c>
      <c r="P44" s="567">
        <f t="shared" si="6"/>
        <v>61113.64</v>
      </c>
      <c r="Q44" s="556"/>
      <c r="R44" s="568"/>
      <c r="S44" s="554"/>
      <c r="T44" s="554">
        <v>0.1</v>
      </c>
      <c r="U44" s="556">
        <f t="shared" si="8"/>
        <v>6111.3640000000005</v>
      </c>
      <c r="V44" s="569"/>
      <c r="W44" s="554"/>
      <c r="X44" s="559">
        <f t="shared" si="9"/>
        <v>67225.004000000001</v>
      </c>
      <c r="Y44" s="10">
        <f t="shared" si="10"/>
        <v>0</v>
      </c>
      <c r="Z44" s="10">
        <f t="shared" si="10"/>
        <v>0</v>
      </c>
      <c r="AA44" s="23">
        <f t="shared" si="3"/>
        <v>806700.04799999995</v>
      </c>
      <c r="AB44" s="24">
        <f t="shared" si="11"/>
        <v>128353.22959427208</v>
      </c>
      <c r="AC44" s="24">
        <f t="shared" si="12"/>
        <v>1008375.0599999999</v>
      </c>
      <c r="AD44" s="24">
        <f t="shared" si="13"/>
        <v>160441.53699284009</v>
      </c>
      <c r="AK44" s="23"/>
      <c r="AL44" s="23"/>
      <c r="AM44" s="23"/>
      <c r="AN44" s="23"/>
      <c r="AO44" s="23"/>
      <c r="AP44" s="23"/>
      <c r="AQ44" s="23"/>
    </row>
    <row r="45" spans="1:43" s="24" customFormat="1" ht="17.25" customHeight="1">
      <c r="A45" s="547">
        <v>19</v>
      </c>
      <c r="B45" s="153" t="s">
        <v>145</v>
      </c>
      <c r="C45" s="561" t="s">
        <v>99</v>
      </c>
      <c r="D45" s="563" t="s">
        <v>25</v>
      </c>
      <c r="E45" s="562" t="s">
        <v>672</v>
      </c>
      <c r="F45" s="562" t="s">
        <v>476</v>
      </c>
      <c r="G45" s="547">
        <v>1</v>
      </c>
      <c r="H45" s="563" t="s">
        <v>102</v>
      </c>
      <c r="I45" s="563" t="s">
        <v>103</v>
      </c>
      <c r="J45" s="581">
        <v>2</v>
      </c>
      <c r="K45" s="554">
        <v>17697</v>
      </c>
      <c r="L45" s="565">
        <v>12</v>
      </c>
      <c r="M45" s="554">
        <f t="shared" si="7"/>
        <v>0.66666666666666663</v>
      </c>
      <c r="N45" s="1581" t="s">
        <v>104</v>
      </c>
      <c r="O45" s="1014">
        <v>4.09</v>
      </c>
      <c r="P45" s="567">
        <f t="shared" si="6"/>
        <v>48253.82</v>
      </c>
      <c r="Q45" s="556"/>
      <c r="R45" s="568"/>
      <c r="S45" s="554"/>
      <c r="T45" s="554">
        <v>0.1</v>
      </c>
      <c r="U45" s="556">
        <f t="shared" si="8"/>
        <v>4825.3820000000005</v>
      </c>
      <c r="V45" s="569"/>
      <c r="W45" s="554"/>
      <c r="X45" s="559">
        <f t="shared" si="9"/>
        <v>53079.201999999997</v>
      </c>
      <c r="Y45" s="10">
        <f t="shared" si="10"/>
        <v>0</v>
      </c>
      <c r="Z45" s="10">
        <f t="shared" si="10"/>
        <v>0</v>
      </c>
      <c r="AA45" s="23">
        <f t="shared" si="3"/>
        <v>636950.424</v>
      </c>
      <c r="AB45" s="24">
        <f t="shared" si="11"/>
        <v>101344.538424821</v>
      </c>
      <c r="AC45" s="24">
        <f t="shared" si="12"/>
        <v>796188.03</v>
      </c>
      <c r="AD45" s="24">
        <f t="shared" si="13"/>
        <v>126680.67303102625</v>
      </c>
      <c r="AK45" s="23"/>
      <c r="AL45" s="23"/>
      <c r="AM45" s="23"/>
      <c r="AN45" s="23"/>
      <c r="AO45" s="23"/>
      <c r="AP45" s="23"/>
      <c r="AQ45" s="23"/>
    </row>
    <row r="46" spans="1:43" s="24" customFormat="1" ht="17.25" customHeight="1">
      <c r="A46" s="560">
        <v>20</v>
      </c>
      <c r="B46" s="153" t="s">
        <v>143</v>
      </c>
      <c r="C46" s="561" t="s">
        <v>99</v>
      </c>
      <c r="D46" s="563" t="s">
        <v>25</v>
      </c>
      <c r="E46" s="562" t="s">
        <v>674</v>
      </c>
      <c r="F46" s="562" t="s">
        <v>239</v>
      </c>
      <c r="G46" s="547">
        <v>1</v>
      </c>
      <c r="H46" s="563" t="s">
        <v>102</v>
      </c>
      <c r="I46" s="563" t="s">
        <v>103</v>
      </c>
      <c r="J46" s="581">
        <v>1</v>
      </c>
      <c r="K46" s="554">
        <v>17697</v>
      </c>
      <c r="L46" s="565">
        <v>28</v>
      </c>
      <c r="M46" s="554">
        <f t="shared" si="7"/>
        <v>1.5555555555555556</v>
      </c>
      <c r="N46" s="574" t="s">
        <v>152</v>
      </c>
      <c r="O46" s="1014">
        <v>4.49</v>
      </c>
      <c r="P46" s="567">
        <f t="shared" si="6"/>
        <v>123603.71333333332</v>
      </c>
      <c r="Q46" s="556"/>
      <c r="R46" s="568"/>
      <c r="S46" s="554"/>
      <c r="T46" s="554">
        <v>0.1</v>
      </c>
      <c r="U46" s="556">
        <f t="shared" si="8"/>
        <v>12360.371333333333</v>
      </c>
      <c r="V46" s="569"/>
      <c r="W46" s="554"/>
      <c r="X46" s="559">
        <f t="shared" si="9"/>
        <v>135964.08466666666</v>
      </c>
      <c r="Y46" s="10">
        <f t="shared" si="10"/>
        <v>0</v>
      </c>
      <c r="Z46" s="10">
        <f t="shared" si="10"/>
        <v>0</v>
      </c>
      <c r="AA46" s="23">
        <f t="shared" si="3"/>
        <v>1631569.0159999998</v>
      </c>
      <c r="AB46" s="24">
        <f t="shared" si="11"/>
        <v>259597.29769291967</v>
      </c>
      <c r="AC46" s="24">
        <f t="shared" si="12"/>
        <v>2039461.2699999998</v>
      </c>
      <c r="AD46" s="24">
        <f t="shared" si="13"/>
        <v>324496.62211614952</v>
      </c>
      <c r="AK46" s="23"/>
      <c r="AL46" s="23"/>
      <c r="AM46" s="23"/>
      <c r="AN46" s="23"/>
      <c r="AO46" s="23"/>
      <c r="AP46" s="23"/>
      <c r="AQ46" s="23"/>
    </row>
    <row r="47" spans="1:43" s="24" customFormat="1" ht="17.25" customHeight="1">
      <c r="A47" s="547">
        <v>21</v>
      </c>
      <c r="B47" s="153" t="s">
        <v>447</v>
      </c>
      <c r="C47" s="561" t="s">
        <v>99</v>
      </c>
      <c r="D47" s="563" t="s">
        <v>75</v>
      </c>
      <c r="E47" s="1586" t="s">
        <v>806</v>
      </c>
      <c r="F47" s="1586" t="s">
        <v>602</v>
      </c>
      <c r="G47" s="547">
        <v>1</v>
      </c>
      <c r="H47" s="563" t="s">
        <v>102</v>
      </c>
      <c r="I47" s="563" t="s">
        <v>118</v>
      </c>
      <c r="J47" s="581">
        <v>4</v>
      </c>
      <c r="K47" s="554">
        <v>17697</v>
      </c>
      <c r="L47" s="565">
        <v>10</v>
      </c>
      <c r="M47" s="554">
        <f t="shared" si="7"/>
        <v>0.55555555555555558</v>
      </c>
      <c r="N47" s="574" t="s">
        <v>112</v>
      </c>
      <c r="O47" s="1014">
        <v>3.36</v>
      </c>
      <c r="P47" s="567">
        <f t="shared" si="6"/>
        <v>33034.400000000001</v>
      </c>
      <c r="Q47" s="556"/>
      <c r="R47" s="568"/>
      <c r="S47" s="554"/>
      <c r="T47" s="554">
        <v>0.1</v>
      </c>
      <c r="U47" s="556">
        <f t="shared" si="8"/>
        <v>3303.4400000000005</v>
      </c>
      <c r="V47" s="569"/>
      <c r="W47" s="554"/>
      <c r="X47" s="559">
        <f t="shared" si="9"/>
        <v>36337.840000000004</v>
      </c>
      <c r="Y47" s="10">
        <f t="shared" si="10"/>
        <v>0</v>
      </c>
      <c r="Z47" s="10">
        <f t="shared" si="10"/>
        <v>0</v>
      </c>
      <c r="AA47" s="23">
        <f t="shared" si="3"/>
        <v>436054.08000000007</v>
      </c>
      <c r="AB47" s="24">
        <f t="shared" si="11"/>
        <v>69380.124105011942</v>
      </c>
      <c r="AC47" s="24">
        <f t="shared" si="12"/>
        <v>545067.60000000009</v>
      </c>
      <c r="AD47" s="24">
        <f t="shared" si="13"/>
        <v>86725.155131264939</v>
      </c>
      <c r="AK47" s="23"/>
      <c r="AL47" s="23"/>
      <c r="AM47" s="23"/>
      <c r="AN47" s="23"/>
      <c r="AO47" s="23"/>
      <c r="AP47" s="23"/>
      <c r="AQ47" s="23"/>
    </row>
    <row r="48" spans="1:43" s="24" customFormat="1" ht="17.25" customHeight="1">
      <c r="A48" s="560">
        <v>22</v>
      </c>
      <c r="B48" s="998" t="s">
        <v>803</v>
      </c>
      <c r="C48" s="873" t="s">
        <v>99</v>
      </c>
      <c r="D48" s="1002" t="s">
        <v>25</v>
      </c>
      <c r="E48" s="1586" t="s">
        <v>807</v>
      </c>
      <c r="F48" s="1586" t="s">
        <v>34</v>
      </c>
      <c r="G48" s="547">
        <v>1</v>
      </c>
      <c r="H48" s="563" t="s">
        <v>102</v>
      </c>
      <c r="I48" s="563" t="s">
        <v>103</v>
      </c>
      <c r="J48" s="581">
        <v>1</v>
      </c>
      <c r="K48" s="554">
        <v>17697</v>
      </c>
      <c r="L48" s="1540">
        <v>12</v>
      </c>
      <c r="M48" s="554">
        <f t="shared" si="7"/>
        <v>0.66666666666666663</v>
      </c>
      <c r="N48" s="698" t="s">
        <v>152</v>
      </c>
      <c r="O48" s="1157">
        <v>4.75</v>
      </c>
      <c r="P48" s="697">
        <f t="shared" si="6"/>
        <v>56040.5</v>
      </c>
      <c r="Q48" s="556"/>
      <c r="R48" s="1538"/>
      <c r="S48" s="700"/>
      <c r="T48" s="554">
        <v>0.1</v>
      </c>
      <c r="U48" s="556">
        <f t="shared" si="8"/>
        <v>5604.05</v>
      </c>
      <c r="V48" s="699"/>
      <c r="W48" s="700"/>
      <c r="X48" s="559">
        <f t="shared" si="9"/>
        <v>61644.55</v>
      </c>
      <c r="Y48" s="1547"/>
      <c r="Z48" s="1547"/>
      <c r="AA48" s="23"/>
      <c r="AK48" s="23"/>
      <c r="AL48" s="23"/>
      <c r="AM48" s="23"/>
      <c r="AN48" s="23"/>
      <c r="AO48" s="23"/>
      <c r="AP48" s="23"/>
      <c r="AQ48" s="23"/>
    </row>
    <row r="49" spans="1:43" s="24" customFormat="1" ht="17.25" customHeight="1">
      <c r="A49" s="547">
        <v>23</v>
      </c>
      <c r="B49" s="153" t="s">
        <v>147</v>
      </c>
      <c r="C49" s="561" t="s">
        <v>148</v>
      </c>
      <c r="D49" s="563" t="s">
        <v>25</v>
      </c>
      <c r="E49" s="562" t="s">
        <v>676</v>
      </c>
      <c r="F49" s="562" t="s">
        <v>51</v>
      </c>
      <c r="G49" s="547">
        <v>1</v>
      </c>
      <c r="H49" s="563" t="s">
        <v>102</v>
      </c>
      <c r="I49" s="563" t="s">
        <v>103</v>
      </c>
      <c r="J49" s="564">
        <v>3</v>
      </c>
      <c r="K49" s="554">
        <v>17697</v>
      </c>
      <c r="L49" s="565">
        <v>34</v>
      </c>
      <c r="M49" s="554">
        <f t="shared" si="7"/>
        <v>1.8888888888888888</v>
      </c>
      <c r="N49" s="566" t="s">
        <v>109</v>
      </c>
      <c r="O49" s="1014">
        <v>4.43</v>
      </c>
      <c r="P49" s="567">
        <f t="shared" si="6"/>
        <v>148084.56333333332</v>
      </c>
      <c r="Q49" s="556"/>
      <c r="R49" s="568"/>
      <c r="S49" s="554"/>
      <c r="T49" s="554">
        <v>0.1</v>
      </c>
      <c r="U49" s="556">
        <f t="shared" si="8"/>
        <v>14808.456333333334</v>
      </c>
      <c r="V49" s="569"/>
      <c r="W49" s="554"/>
      <c r="X49" s="559">
        <f t="shared" si="9"/>
        <v>162893.01966666666</v>
      </c>
      <c r="Y49" s="10">
        <f t="shared" si="10"/>
        <v>0</v>
      </c>
      <c r="Z49" s="10">
        <f t="shared" si="10"/>
        <v>0</v>
      </c>
      <c r="AA49" s="23">
        <f t="shared" si="3"/>
        <v>1954716.236</v>
      </c>
      <c r="AB49" s="24">
        <f t="shared" si="11"/>
        <v>311012.92537788383</v>
      </c>
      <c r="AC49" s="24">
        <f t="shared" si="12"/>
        <v>2443395.2949999999</v>
      </c>
      <c r="AD49" s="24">
        <f t="shared" si="13"/>
        <v>388766.15672235476</v>
      </c>
      <c r="AK49" s="23"/>
      <c r="AL49" s="23"/>
      <c r="AM49" s="23"/>
      <c r="AN49" s="23"/>
      <c r="AO49" s="23"/>
      <c r="AP49" s="23"/>
      <c r="AQ49" s="23"/>
    </row>
    <row r="50" spans="1:43" s="24" customFormat="1" ht="17.25" customHeight="1">
      <c r="A50" s="560">
        <v>24</v>
      </c>
      <c r="B50" s="153" t="s">
        <v>91</v>
      </c>
      <c r="C50" s="561" t="s">
        <v>99</v>
      </c>
      <c r="D50" s="563" t="s">
        <v>25</v>
      </c>
      <c r="E50" s="562" t="s">
        <v>677</v>
      </c>
      <c r="F50" s="562" t="s">
        <v>93</v>
      </c>
      <c r="G50" s="547">
        <v>1</v>
      </c>
      <c r="H50" s="563" t="s">
        <v>102</v>
      </c>
      <c r="I50" s="563" t="s">
        <v>103</v>
      </c>
      <c r="J50" s="581">
        <v>1</v>
      </c>
      <c r="K50" s="554">
        <v>17697</v>
      </c>
      <c r="L50" s="565">
        <v>9</v>
      </c>
      <c r="M50" s="554">
        <f t="shared" si="7"/>
        <v>0.5</v>
      </c>
      <c r="N50" s="574" t="s">
        <v>152</v>
      </c>
      <c r="O50" s="1014">
        <v>4.62</v>
      </c>
      <c r="P50" s="567">
        <f t="shared" si="6"/>
        <v>40880.069999999992</v>
      </c>
      <c r="Q50" s="556"/>
      <c r="R50" s="568"/>
      <c r="S50" s="554"/>
      <c r="T50" s="554">
        <v>0.1</v>
      </c>
      <c r="U50" s="556">
        <f t="shared" si="8"/>
        <v>4088.0069999999996</v>
      </c>
      <c r="V50" s="569"/>
      <c r="W50" s="554"/>
      <c r="X50" s="559">
        <f t="shared" si="9"/>
        <v>44968.07699999999</v>
      </c>
      <c r="Y50" s="10">
        <f t="shared" si="10"/>
        <v>0</v>
      </c>
      <c r="Z50" s="10">
        <f t="shared" si="10"/>
        <v>0</v>
      </c>
      <c r="AA50" s="23">
        <f t="shared" si="3"/>
        <v>539616.92399999988</v>
      </c>
      <c r="AB50" s="24">
        <f t="shared" si="11"/>
        <v>85857.903579952253</v>
      </c>
      <c r="AC50" s="24">
        <f t="shared" si="12"/>
        <v>674521.1549999998</v>
      </c>
      <c r="AD50" s="24">
        <f t="shared" si="13"/>
        <v>107322.3794749403</v>
      </c>
      <c r="AK50" s="23"/>
      <c r="AL50" s="23"/>
      <c r="AM50" s="23"/>
      <c r="AN50" s="23"/>
      <c r="AO50" s="23"/>
      <c r="AP50" s="23"/>
      <c r="AQ50" s="23"/>
    </row>
    <row r="51" spans="1:43" s="24" customFormat="1" ht="17.25" customHeight="1">
      <c r="A51" s="547">
        <v>25</v>
      </c>
      <c r="B51" s="153" t="s">
        <v>150</v>
      </c>
      <c r="C51" s="561" t="s">
        <v>99</v>
      </c>
      <c r="D51" s="563" t="s">
        <v>25</v>
      </c>
      <c r="E51" s="562" t="s">
        <v>680</v>
      </c>
      <c r="F51" s="562" t="s">
        <v>34</v>
      </c>
      <c r="G51" s="547">
        <v>1</v>
      </c>
      <c r="H51" s="563" t="s">
        <v>102</v>
      </c>
      <c r="I51" s="563" t="s">
        <v>103</v>
      </c>
      <c r="J51" s="564">
        <v>1</v>
      </c>
      <c r="K51" s="554">
        <v>17697</v>
      </c>
      <c r="L51" s="565">
        <v>26</v>
      </c>
      <c r="M51" s="554">
        <f t="shared" si="7"/>
        <v>1.4444444444444444</v>
      </c>
      <c r="N51" s="997" t="s">
        <v>152</v>
      </c>
      <c r="O51" s="1014">
        <v>4.75</v>
      </c>
      <c r="P51" s="567">
        <f t="shared" si="6"/>
        <v>121421.08333333334</v>
      </c>
      <c r="Q51" s="556"/>
      <c r="R51" s="568"/>
      <c r="S51" s="554"/>
      <c r="T51" s="554">
        <v>0.1</v>
      </c>
      <c r="U51" s="556">
        <f t="shared" si="8"/>
        <v>12142.108333333335</v>
      </c>
      <c r="V51" s="569"/>
      <c r="W51" s="554"/>
      <c r="X51" s="559">
        <f t="shared" si="9"/>
        <v>133563.19166666668</v>
      </c>
      <c r="Y51" s="7">
        <f t="shared" si="10"/>
        <v>0</v>
      </c>
      <c r="Z51" s="7">
        <f t="shared" si="10"/>
        <v>0</v>
      </c>
      <c r="AA51" s="23">
        <f t="shared" si="3"/>
        <v>1602758.3000000003</v>
      </c>
      <c r="AB51" s="24">
        <f t="shared" si="11"/>
        <v>255013.25377883855</v>
      </c>
      <c r="AC51" s="24">
        <f t="shared" si="12"/>
        <v>2003447.8750000005</v>
      </c>
      <c r="AD51" s="24">
        <f t="shared" si="13"/>
        <v>318766.56722354819</v>
      </c>
      <c r="AK51" s="23"/>
      <c r="AL51" s="23"/>
      <c r="AM51" s="23"/>
      <c r="AN51" s="23"/>
      <c r="AO51" s="23"/>
      <c r="AP51" s="23"/>
      <c r="AQ51" s="23"/>
    </row>
    <row r="52" spans="1:43" s="24" customFormat="1" ht="17.25" customHeight="1">
      <c r="A52" s="560">
        <v>26</v>
      </c>
      <c r="B52" s="998" t="s">
        <v>153</v>
      </c>
      <c r="C52" s="549" t="s">
        <v>99</v>
      </c>
      <c r="D52" s="874" t="s">
        <v>25</v>
      </c>
      <c r="E52" s="874" t="s">
        <v>818</v>
      </c>
      <c r="F52" s="562" t="s">
        <v>819</v>
      </c>
      <c r="G52" s="874">
        <v>1</v>
      </c>
      <c r="H52" s="874" t="s">
        <v>102</v>
      </c>
      <c r="I52" s="874" t="s">
        <v>103</v>
      </c>
      <c r="J52" s="1647">
        <v>1</v>
      </c>
      <c r="K52" s="554">
        <v>17697</v>
      </c>
      <c r="L52" s="1540">
        <v>10</v>
      </c>
      <c r="M52" s="554">
        <f t="shared" si="7"/>
        <v>0.55555555555555558</v>
      </c>
      <c r="N52" s="1004" t="s">
        <v>152</v>
      </c>
      <c r="O52" s="1157">
        <v>4.75</v>
      </c>
      <c r="P52" s="697">
        <f t="shared" si="6"/>
        <v>46700.416666666672</v>
      </c>
      <c r="Q52" s="556"/>
      <c r="R52" s="1538"/>
      <c r="S52" s="700"/>
      <c r="T52" s="554">
        <v>0.1</v>
      </c>
      <c r="U52" s="556">
        <f t="shared" si="8"/>
        <v>4670.041666666667</v>
      </c>
      <c r="V52" s="699"/>
      <c r="W52" s="700"/>
      <c r="X52" s="559">
        <f t="shared" si="9"/>
        <v>51370.458333333336</v>
      </c>
      <c r="Y52" s="882"/>
      <c r="Z52" s="882"/>
      <c r="AA52" s="23"/>
      <c r="AK52" s="23"/>
      <c r="AL52" s="23"/>
      <c r="AM52" s="23"/>
      <c r="AN52" s="23"/>
      <c r="AO52" s="23"/>
      <c r="AP52" s="23"/>
      <c r="AQ52" s="23"/>
    </row>
    <row r="53" spans="1:43" s="24" customFormat="1" ht="17.25" customHeight="1">
      <c r="A53" s="547">
        <v>27</v>
      </c>
      <c r="B53" s="153" t="s">
        <v>157</v>
      </c>
      <c r="C53" s="561" t="s">
        <v>99</v>
      </c>
      <c r="D53" s="563" t="s">
        <v>75</v>
      </c>
      <c r="E53" s="562" t="s">
        <v>681</v>
      </c>
      <c r="F53" s="562" t="s">
        <v>108</v>
      </c>
      <c r="G53" s="547">
        <v>1</v>
      </c>
      <c r="H53" s="563" t="s">
        <v>102</v>
      </c>
      <c r="I53" s="563" t="s">
        <v>118</v>
      </c>
      <c r="J53" s="564">
        <v>4</v>
      </c>
      <c r="K53" s="554">
        <v>17697</v>
      </c>
      <c r="L53" s="565">
        <v>26</v>
      </c>
      <c r="M53" s="554">
        <f t="shared" si="7"/>
        <v>1.4444444444444444</v>
      </c>
      <c r="N53" s="997" t="s">
        <v>112</v>
      </c>
      <c r="O53" s="1014">
        <v>3.41</v>
      </c>
      <c r="P53" s="567">
        <f t="shared" si="6"/>
        <v>87167.556666666671</v>
      </c>
      <c r="Q53" s="556"/>
      <c r="R53" s="568"/>
      <c r="S53" s="554"/>
      <c r="T53" s="554">
        <v>0.1</v>
      </c>
      <c r="U53" s="556">
        <f t="shared" si="8"/>
        <v>8716.7556666666678</v>
      </c>
      <c r="V53" s="569"/>
      <c r="W53" s="554"/>
      <c r="X53" s="559">
        <f t="shared" si="9"/>
        <v>95884.312333333335</v>
      </c>
      <c r="Y53" s="10">
        <f t="shared" si="10"/>
        <v>0</v>
      </c>
      <c r="Z53" s="10">
        <f t="shared" si="10"/>
        <v>0</v>
      </c>
      <c r="AA53" s="23">
        <f t="shared" si="3"/>
        <v>1150611.7480000001</v>
      </c>
      <c r="AB53" s="24">
        <f t="shared" si="11"/>
        <v>183072.6727128083</v>
      </c>
      <c r="AC53" s="24">
        <f t="shared" si="12"/>
        <v>1438264.6850000001</v>
      </c>
      <c r="AD53" s="24">
        <f t="shared" si="13"/>
        <v>228840.84089101036</v>
      </c>
      <c r="AK53" s="23"/>
      <c r="AL53" s="23"/>
      <c r="AM53" s="23"/>
      <c r="AN53" s="23"/>
      <c r="AO53" s="23"/>
      <c r="AP53" s="23"/>
      <c r="AQ53" s="23"/>
    </row>
    <row r="54" spans="1:43" s="24" customFormat="1" ht="17.25" customHeight="1">
      <c r="A54" s="560">
        <v>28</v>
      </c>
      <c r="B54" s="153" t="s">
        <v>160</v>
      </c>
      <c r="C54" s="561" t="s">
        <v>148</v>
      </c>
      <c r="D54" s="563" t="s">
        <v>25</v>
      </c>
      <c r="E54" s="562" t="s">
        <v>682</v>
      </c>
      <c r="F54" s="562" t="s">
        <v>34</v>
      </c>
      <c r="G54" s="547">
        <v>1</v>
      </c>
      <c r="H54" s="563" t="s">
        <v>102</v>
      </c>
      <c r="I54" s="563" t="s">
        <v>103</v>
      </c>
      <c r="J54" s="564">
        <v>2</v>
      </c>
      <c r="K54" s="554">
        <v>17697</v>
      </c>
      <c r="L54" s="565">
        <v>29</v>
      </c>
      <c r="M54" s="554">
        <f t="shared" si="7"/>
        <v>1.6111111111111112</v>
      </c>
      <c r="N54" s="566" t="s">
        <v>104</v>
      </c>
      <c r="O54" s="1014">
        <v>4.51</v>
      </c>
      <c r="P54" s="567">
        <f t="shared" si="6"/>
        <v>128588.36833333335</v>
      </c>
      <c r="Q54" s="556"/>
      <c r="R54" s="568"/>
      <c r="S54" s="554"/>
      <c r="T54" s="554">
        <v>0.1</v>
      </c>
      <c r="U54" s="556">
        <f t="shared" si="8"/>
        <v>12858.836833333335</v>
      </c>
      <c r="V54" s="569"/>
      <c r="W54" s="554"/>
      <c r="X54" s="559">
        <f t="shared" si="9"/>
        <v>141447.20516666668</v>
      </c>
      <c r="Y54" s="10">
        <f>V54+R54</f>
        <v>0</v>
      </c>
      <c r="Z54" s="10">
        <f>W54+S54</f>
        <v>0</v>
      </c>
      <c r="AA54" s="23">
        <f t="shared" si="3"/>
        <v>1697366.4620000003</v>
      </c>
      <c r="AB54" s="24">
        <f t="shared" si="11"/>
        <v>270066.26284805097</v>
      </c>
      <c r="AC54" s="24">
        <f t="shared" si="12"/>
        <v>2121708.0775000006</v>
      </c>
      <c r="AD54" s="24">
        <f t="shared" si="13"/>
        <v>337582.82856006373</v>
      </c>
      <c r="AK54" s="23"/>
      <c r="AL54" s="23"/>
      <c r="AM54" s="23"/>
      <c r="AN54" s="23"/>
      <c r="AO54" s="23"/>
      <c r="AP54" s="23"/>
      <c r="AQ54" s="23"/>
    </row>
    <row r="55" spans="1:43" s="24" customFormat="1" ht="17.25" customHeight="1">
      <c r="A55" s="547">
        <v>29</v>
      </c>
      <c r="B55" s="153" t="s">
        <v>162</v>
      </c>
      <c r="C55" s="561" t="s">
        <v>99</v>
      </c>
      <c r="D55" s="563" t="s">
        <v>25</v>
      </c>
      <c r="E55" s="582" t="s">
        <v>503</v>
      </c>
      <c r="F55" s="562" t="s">
        <v>77</v>
      </c>
      <c r="G55" s="547">
        <v>1</v>
      </c>
      <c r="H55" s="563" t="s">
        <v>102</v>
      </c>
      <c r="I55" s="563" t="s">
        <v>103</v>
      </c>
      <c r="J55" s="581">
        <v>4</v>
      </c>
      <c r="K55" s="554">
        <v>17697</v>
      </c>
      <c r="L55" s="565">
        <v>30</v>
      </c>
      <c r="M55" s="554">
        <f t="shared" si="7"/>
        <v>1.6666666666666667</v>
      </c>
      <c r="N55" s="574" t="s">
        <v>112</v>
      </c>
      <c r="O55" s="1014">
        <v>3.71</v>
      </c>
      <c r="P55" s="567">
        <f t="shared" si="6"/>
        <v>109426.45</v>
      </c>
      <c r="Q55" s="556"/>
      <c r="R55" s="568"/>
      <c r="S55" s="554"/>
      <c r="T55" s="554">
        <v>0.1</v>
      </c>
      <c r="U55" s="556">
        <f t="shared" si="8"/>
        <v>10942.645</v>
      </c>
      <c r="V55" s="569"/>
      <c r="W55" s="554"/>
      <c r="X55" s="559">
        <f t="shared" si="9"/>
        <v>120369.095</v>
      </c>
      <c r="Y55" s="10">
        <f t="shared" si="10"/>
        <v>0</v>
      </c>
      <c r="Z55" s="10">
        <f t="shared" si="10"/>
        <v>0</v>
      </c>
      <c r="AA55" s="23">
        <f t="shared" si="3"/>
        <v>1444429.1400000001</v>
      </c>
      <c r="AB55" s="24">
        <f t="shared" si="11"/>
        <v>229821.66109785208</v>
      </c>
      <c r="AC55" s="24">
        <f t="shared" si="12"/>
        <v>1805536.4250000003</v>
      </c>
      <c r="AD55" s="24">
        <f t="shared" si="13"/>
        <v>287277.07637231506</v>
      </c>
      <c r="AK55" s="23"/>
      <c r="AL55" s="23"/>
      <c r="AM55" s="23"/>
      <c r="AN55" s="23"/>
      <c r="AO55" s="23"/>
      <c r="AP55" s="23"/>
      <c r="AQ55" s="23"/>
    </row>
    <row r="56" spans="1:43" s="24" customFormat="1" ht="17.25" customHeight="1">
      <c r="A56" s="560">
        <v>30</v>
      </c>
      <c r="B56" s="153" t="s">
        <v>166</v>
      </c>
      <c r="C56" s="561" t="s">
        <v>99</v>
      </c>
      <c r="D56" s="563" t="s">
        <v>25</v>
      </c>
      <c r="E56" s="562" t="s">
        <v>684</v>
      </c>
      <c r="F56" s="562" t="s">
        <v>239</v>
      </c>
      <c r="G56" s="547">
        <v>1</v>
      </c>
      <c r="H56" s="563" t="s">
        <v>102</v>
      </c>
      <c r="I56" s="563" t="s">
        <v>103</v>
      </c>
      <c r="J56" s="581">
        <v>1</v>
      </c>
      <c r="K56" s="554">
        <v>17697</v>
      </c>
      <c r="L56" s="565">
        <v>36</v>
      </c>
      <c r="M56" s="554">
        <f t="shared" si="7"/>
        <v>2</v>
      </c>
      <c r="N56" s="574" t="s">
        <v>152</v>
      </c>
      <c r="O56" s="1582">
        <v>4.49</v>
      </c>
      <c r="P56" s="567">
        <f t="shared" si="6"/>
        <v>158919.06</v>
      </c>
      <c r="Q56" s="556"/>
      <c r="R56" s="568"/>
      <c r="S56" s="554"/>
      <c r="T56" s="554">
        <v>0.1</v>
      </c>
      <c r="U56" s="556">
        <f t="shared" si="8"/>
        <v>15891.906000000001</v>
      </c>
      <c r="V56" s="569"/>
      <c r="W56" s="554"/>
      <c r="X56" s="559">
        <f t="shared" si="9"/>
        <v>174810.96599999999</v>
      </c>
      <c r="Y56" s="10">
        <f t="shared" si="10"/>
        <v>0</v>
      </c>
      <c r="Z56" s="10">
        <f t="shared" si="10"/>
        <v>0</v>
      </c>
      <c r="AA56" s="23">
        <f t="shared" si="3"/>
        <v>2097731.5919999997</v>
      </c>
      <c r="AB56" s="24">
        <f t="shared" si="11"/>
        <v>333767.95417661092</v>
      </c>
      <c r="AC56" s="24">
        <f t="shared" si="12"/>
        <v>2622164.4899999998</v>
      </c>
      <c r="AD56" s="24">
        <f t="shared" si="13"/>
        <v>417209.94272076373</v>
      </c>
      <c r="AK56" s="23"/>
      <c r="AL56" s="23"/>
      <c r="AM56" s="23"/>
      <c r="AN56" s="23"/>
      <c r="AO56" s="23"/>
      <c r="AP56" s="23"/>
      <c r="AQ56" s="23"/>
    </row>
    <row r="57" spans="1:43" s="24" customFormat="1" ht="17.25" customHeight="1">
      <c r="A57" s="547">
        <v>31</v>
      </c>
      <c r="B57" s="998" t="s">
        <v>739</v>
      </c>
      <c r="C57" s="873" t="s">
        <v>99</v>
      </c>
      <c r="D57" s="1002" t="s">
        <v>25</v>
      </c>
      <c r="E57" s="1539" t="s">
        <v>707</v>
      </c>
      <c r="F57" s="1539" t="s">
        <v>159</v>
      </c>
      <c r="G57" s="547">
        <v>1</v>
      </c>
      <c r="H57" s="563" t="s">
        <v>102</v>
      </c>
      <c r="I57" s="563" t="s">
        <v>103</v>
      </c>
      <c r="J57" s="581">
        <v>4</v>
      </c>
      <c r="K57" s="554">
        <v>17697</v>
      </c>
      <c r="L57" s="1540">
        <v>4</v>
      </c>
      <c r="M57" s="554">
        <f t="shared" si="7"/>
        <v>0.22222222222222221</v>
      </c>
      <c r="N57" s="698" t="s">
        <v>112</v>
      </c>
      <c r="O57" s="1582">
        <v>3.71</v>
      </c>
      <c r="P57" s="697">
        <f t="shared" si="6"/>
        <v>14590.193333333333</v>
      </c>
      <c r="Q57" s="556"/>
      <c r="R57" s="1538"/>
      <c r="S57" s="700"/>
      <c r="T57" s="554">
        <v>0.1</v>
      </c>
      <c r="U57" s="556">
        <f t="shared" si="8"/>
        <v>1459.0193333333334</v>
      </c>
      <c r="V57" s="699"/>
      <c r="W57" s="700"/>
      <c r="X57" s="559">
        <f t="shared" si="9"/>
        <v>16049.212666666666</v>
      </c>
      <c r="Y57" s="1547"/>
      <c r="Z57" s="1547"/>
      <c r="AA57" s="23"/>
      <c r="AK57" s="23"/>
      <c r="AL57" s="23"/>
      <c r="AM57" s="23"/>
      <c r="AN57" s="23"/>
      <c r="AO57" s="23"/>
      <c r="AP57" s="23"/>
      <c r="AQ57" s="23"/>
    </row>
    <row r="58" spans="1:43" s="24" customFormat="1" ht="17.25" customHeight="1">
      <c r="A58" s="560">
        <v>32</v>
      </c>
      <c r="B58" s="998" t="s">
        <v>804</v>
      </c>
      <c r="C58" s="873" t="s">
        <v>99</v>
      </c>
      <c r="D58" s="1002" t="s">
        <v>75</v>
      </c>
      <c r="E58" s="1539" t="s">
        <v>738</v>
      </c>
      <c r="F58" s="1539" t="s">
        <v>108</v>
      </c>
      <c r="G58" s="547">
        <v>1</v>
      </c>
      <c r="H58" s="563" t="s">
        <v>102</v>
      </c>
      <c r="I58" s="563" t="s">
        <v>118</v>
      </c>
      <c r="J58" s="581">
        <v>4</v>
      </c>
      <c r="K58" s="554">
        <v>17697</v>
      </c>
      <c r="L58" s="1540">
        <v>18</v>
      </c>
      <c r="M58" s="554">
        <f t="shared" si="7"/>
        <v>1</v>
      </c>
      <c r="N58" s="698" t="s">
        <v>112</v>
      </c>
      <c r="O58" s="1582">
        <v>3.36</v>
      </c>
      <c r="P58" s="697">
        <f t="shared" si="6"/>
        <v>59461.919999999998</v>
      </c>
      <c r="Q58" s="556"/>
      <c r="R58" s="1538"/>
      <c r="S58" s="700"/>
      <c r="T58" s="554">
        <v>0.1</v>
      </c>
      <c r="U58" s="556">
        <f t="shared" si="8"/>
        <v>5946.192</v>
      </c>
      <c r="V58" s="699"/>
      <c r="W58" s="700"/>
      <c r="X58" s="559">
        <f t="shared" si="9"/>
        <v>65408.112000000001</v>
      </c>
      <c r="Y58" s="1547"/>
      <c r="Z58" s="1547"/>
      <c r="AA58" s="23"/>
      <c r="AK58" s="23"/>
      <c r="AL58" s="23"/>
      <c r="AM58" s="23"/>
      <c r="AN58" s="23"/>
      <c r="AO58" s="23"/>
      <c r="AP58" s="23"/>
      <c r="AQ58" s="23"/>
    </row>
    <row r="59" spans="1:43" s="24" customFormat="1" ht="17.25" customHeight="1">
      <c r="A59" s="547">
        <v>33</v>
      </c>
      <c r="B59" s="153" t="s">
        <v>168</v>
      </c>
      <c r="C59" s="561" t="s">
        <v>99</v>
      </c>
      <c r="D59" s="563" t="s">
        <v>25</v>
      </c>
      <c r="E59" s="562" t="s">
        <v>690</v>
      </c>
      <c r="F59" s="562" t="s">
        <v>73</v>
      </c>
      <c r="G59" s="547">
        <v>1</v>
      </c>
      <c r="H59" s="563" t="s">
        <v>102</v>
      </c>
      <c r="I59" s="563" t="s">
        <v>103</v>
      </c>
      <c r="J59" s="1584">
        <v>2</v>
      </c>
      <c r="K59" s="554">
        <v>17697</v>
      </c>
      <c r="L59" s="565">
        <v>32</v>
      </c>
      <c r="M59" s="554">
        <f t="shared" si="7"/>
        <v>1.7777777777777777</v>
      </c>
      <c r="N59" s="566" t="s">
        <v>104</v>
      </c>
      <c r="O59" s="1014">
        <v>4.16</v>
      </c>
      <c r="P59" s="567">
        <f t="shared" si="6"/>
        <v>130879.14666666667</v>
      </c>
      <c r="Q59" s="556"/>
      <c r="R59" s="568"/>
      <c r="S59" s="554"/>
      <c r="T59" s="554">
        <v>0.1</v>
      </c>
      <c r="U59" s="556">
        <f t="shared" si="8"/>
        <v>13087.914666666667</v>
      </c>
      <c r="V59" s="569"/>
      <c r="W59" s="554"/>
      <c r="X59" s="559">
        <f t="shared" si="9"/>
        <v>143967.06133333335</v>
      </c>
      <c r="Y59" s="7">
        <f t="shared" si="10"/>
        <v>0</v>
      </c>
      <c r="Z59" s="7">
        <f t="shared" si="10"/>
        <v>0</v>
      </c>
      <c r="AA59" s="23">
        <f t="shared" si="3"/>
        <v>1727604.736</v>
      </c>
      <c r="AB59" s="24">
        <f t="shared" si="11"/>
        <v>274877.44407319021</v>
      </c>
      <c r="AC59" s="24">
        <f t="shared" si="12"/>
        <v>2159505.92</v>
      </c>
      <c r="AD59" s="24">
        <f t="shared" si="13"/>
        <v>343596.80509148765</v>
      </c>
      <c r="AK59" s="23"/>
      <c r="AL59" s="23"/>
      <c r="AM59" s="23"/>
      <c r="AN59" s="23"/>
      <c r="AO59" s="23"/>
      <c r="AP59" s="23"/>
      <c r="AQ59" s="23"/>
    </row>
    <row r="60" spans="1:43" s="24" customFormat="1" ht="17.25" customHeight="1">
      <c r="A60" s="560">
        <v>34</v>
      </c>
      <c r="B60" s="153" t="s">
        <v>89</v>
      </c>
      <c r="C60" s="561" t="s">
        <v>170</v>
      </c>
      <c r="D60" s="563" t="s">
        <v>25</v>
      </c>
      <c r="E60" s="562" t="s">
        <v>697</v>
      </c>
      <c r="F60" s="562" t="s">
        <v>73</v>
      </c>
      <c r="G60" s="547">
        <v>1</v>
      </c>
      <c r="H60" s="563" t="s">
        <v>102</v>
      </c>
      <c r="I60" s="563" t="s">
        <v>103</v>
      </c>
      <c r="J60" s="564">
        <v>3</v>
      </c>
      <c r="K60" s="554">
        <v>17697</v>
      </c>
      <c r="L60" s="565">
        <v>15</v>
      </c>
      <c r="M60" s="554">
        <f t="shared" si="7"/>
        <v>0.83333333333333337</v>
      </c>
      <c r="N60" s="566" t="s">
        <v>109</v>
      </c>
      <c r="O60" s="1014">
        <v>4.21</v>
      </c>
      <c r="P60" s="567">
        <f t="shared" si="6"/>
        <v>62086.974999999991</v>
      </c>
      <c r="Q60" s="556"/>
      <c r="R60" s="568"/>
      <c r="S60" s="554"/>
      <c r="T60" s="554">
        <v>0.1</v>
      </c>
      <c r="U60" s="556">
        <f t="shared" si="8"/>
        <v>6208.6974999999993</v>
      </c>
      <c r="V60" s="569"/>
      <c r="W60" s="554"/>
      <c r="X60" s="559">
        <f t="shared" si="9"/>
        <v>68295.672499999986</v>
      </c>
      <c r="Y60" s="10">
        <f t="shared" si="10"/>
        <v>0</v>
      </c>
      <c r="Z60" s="10">
        <f t="shared" si="10"/>
        <v>0</v>
      </c>
      <c r="AA60" s="23">
        <f t="shared" si="3"/>
        <v>819548.06999999983</v>
      </c>
      <c r="AB60" s="24">
        <f t="shared" si="11"/>
        <v>130397.46539379473</v>
      </c>
      <c r="AC60" s="24">
        <f t="shared" si="12"/>
        <v>1024435.0874999998</v>
      </c>
      <c r="AD60" s="24">
        <f t="shared" si="13"/>
        <v>162996.83174224343</v>
      </c>
      <c r="AK60" s="23"/>
      <c r="AL60" s="23"/>
      <c r="AM60" s="23"/>
      <c r="AN60" s="23"/>
      <c r="AO60" s="23"/>
      <c r="AP60" s="23"/>
      <c r="AQ60" s="23"/>
    </row>
    <row r="61" spans="1:43" s="24" customFormat="1" ht="15.75">
      <c r="A61" s="547">
        <v>35</v>
      </c>
      <c r="B61" s="153" t="s">
        <v>171</v>
      </c>
      <c r="C61" s="561" t="s">
        <v>99</v>
      </c>
      <c r="D61" s="563" t="s">
        <v>25</v>
      </c>
      <c r="E61" s="562" t="s">
        <v>691</v>
      </c>
      <c r="F61" s="562" t="s">
        <v>34</v>
      </c>
      <c r="G61" s="547">
        <v>1</v>
      </c>
      <c r="H61" s="563" t="s">
        <v>102</v>
      </c>
      <c r="I61" s="563" t="s">
        <v>103</v>
      </c>
      <c r="J61" s="581">
        <v>1</v>
      </c>
      <c r="K61" s="554">
        <v>17697</v>
      </c>
      <c r="L61" s="565">
        <v>34</v>
      </c>
      <c r="M61" s="554">
        <f t="shared" si="7"/>
        <v>1.8888888888888888</v>
      </c>
      <c r="N61" s="574" t="s">
        <v>152</v>
      </c>
      <c r="O61" s="1014">
        <v>4.75</v>
      </c>
      <c r="P61" s="567">
        <f t="shared" si="6"/>
        <v>158781.41666666669</v>
      </c>
      <c r="Q61" s="556"/>
      <c r="R61" s="568"/>
      <c r="S61" s="554"/>
      <c r="T61" s="554">
        <v>0.1</v>
      </c>
      <c r="U61" s="556">
        <f t="shared" si="8"/>
        <v>15878.14166666667</v>
      </c>
      <c r="V61" s="569"/>
      <c r="W61" s="554"/>
      <c r="X61" s="559">
        <f t="shared" si="9"/>
        <v>174659.55833333335</v>
      </c>
      <c r="Y61" s="10"/>
      <c r="Z61" s="10"/>
      <c r="AA61" s="23">
        <f t="shared" si="3"/>
        <v>2095914.7000000002</v>
      </c>
      <c r="AB61" s="24">
        <f t="shared" si="11"/>
        <v>333478.87032617349</v>
      </c>
      <c r="AC61" s="24">
        <f t="shared" si="12"/>
        <v>2619893.375</v>
      </c>
      <c r="AD61" s="24">
        <f t="shared" si="13"/>
        <v>416848.58790771681</v>
      </c>
      <c r="AK61" s="23"/>
      <c r="AL61" s="23"/>
      <c r="AM61" s="23"/>
      <c r="AN61" s="23"/>
      <c r="AO61" s="23"/>
      <c r="AP61" s="23"/>
      <c r="AQ61" s="23"/>
    </row>
    <row r="62" spans="1:43" s="24" customFormat="1" ht="16.5" customHeight="1">
      <c r="A62" s="560">
        <v>36</v>
      </c>
      <c r="B62" s="153" t="s">
        <v>173</v>
      </c>
      <c r="C62" s="561" t="s">
        <v>99</v>
      </c>
      <c r="D62" s="563" t="s">
        <v>25</v>
      </c>
      <c r="E62" s="562" t="s">
        <v>693</v>
      </c>
      <c r="F62" s="562" t="s">
        <v>66</v>
      </c>
      <c r="G62" s="547">
        <v>1</v>
      </c>
      <c r="H62" s="563" t="s">
        <v>102</v>
      </c>
      <c r="I62" s="563" t="s">
        <v>103</v>
      </c>
      <c r="J62" s="581">
        <v>1</v>
      </c>
      <c r="K62" s="554">
        <v>17697</v>
      </c>
      <c r="L62" s="565">
        <v>32</v>
      </c>
      <c r="M62" s="554">
        <f t="shared" si="7"/>
        <v>1.7777777777777777</v>
      </c>
      <c r="N62" s="574" t="s">
        <v>152</v>
      </c>
      <c r="O62" s="1587">
        <v>4.55</v>
      </c>
      <c r="P62" s="567">
        <f t="shared" si="6"/>
        <v>143149.06666666665</v>
      </c>
      <c r="Q62" s="556"/>
      <c r="R62" s="568"/>
      <c r="S62" s="554"/>
      <c r="T62" s="554">
        <v>0.1</v>
      </c>
      <c r="U62" s="556">
        <f t="shared" si="8"/>
        <v>14314.906666666666</v>
      </c>
      <c r="V62" s="569"/>
      <c r="W62" s="554"/>
      <c r="X62" s="559">
        <f t="shared" si="9"/>
        <v>157463.97333333333</v>
      </c>
      <c r="Y62" s="10">
        <f t="shared" si="10"/>
        <v>0</v>
      </c>
      <c r="Z62" s="10">
        <f t="shared" si="10"/>
        <v>0</v>
      </c>
      <c r="AA62" s="23">
        <f t="shared" si="3"/>
        <v>1889567.68</v>
      </c>
      <c r="AB62" s="24">
        <f t="shared" si="11"/>
        <v>300647.20445505169</v>
      </c>
      <c r="AC62" s="24">
        <f t="shared" si="12"/>
        <v>2361959.6</v>
      </c>
      <c r="AD62" s="24">
        <f t="shared" si="13"/>
        <v>375809.0055688147</v>
      </c>
      <c r="AK62" s="23"/>
      <c r="AL62" s="23"/>
      <c r="AM62" s="23"/>
      <c r="AN62" s="23"/>
      <c r="AO62" s="23"/>
      <c r="AP62" s="23"/>
      <c r="AQ62" s="23"/>
    </row>
    <row r="63" spans="1:43" s="24" customFormat="1" ht="17.25" customHeight="1">
      <c r="A63" s="547">
        <v>37</v>
      </c>
      <c r="B63" s="153" t="s">
        <v>175</v>
      </c>
      <c r="C63" s="561" t="s">
        <v>99</v>
      </c>
      <c r="D63" s="563" t="s">
        <v>25</v>
      </c>
      <c r="E63" s="562" t="s">
        <v>610</v>
      </c>
      <c r="F63" s="562" t="s">
        <v>114</v>
      </c>
      <c r="G63" s="547">
        <v>1</v>
      </c>
      <c r="H63" s="563" t="s">
        <v>102</v>
      </c>
      <c r="I63" s="563" t="s">
        <v>103</v>
      </c>
      <c r="J63" s="564">
        <v>1</v>
      </c>
      <c r="K63" s="554">
        <v>17697</v>
      </c>
      <c r="L63" s="565">
        <v>4</v>
      </c>
      <c r="M63" s="554">
        <f t="shared" si="7"/>
        <v>0.22222222222222221</v>
      </c>
      <c r="N63" s="997" t="s">
        <v>152</v>
      </c>
      <c r="O63" s="1014">
        <v>4.75</v>
      </c>
      <c r="P63" s="567">
        <f t="shared" si="6"/>
        <v>18680.166666666668</v>
      </c>
      <c r="Q63" s="556"/>
      <c r="R63" s="568"/>
      <c r="S63" s="554"/>
      <c r="T63" s="554">
        <v>0.1</v>
      </c>
      <c r="U63" s="556">
        <f t="shared" si="8"/>
        <v>1868.0166666666669</v>
      </c>
      <c r="V63" s="569"/>
      <c r="W63" s="554"/>
      <c r="X63" s="559">
        <f t="shared" si="9"/>
        <v>20548.183333333334</v>
      </c>
      <c r="Y63" s="7">
        <f t="shared" si="10"/>
        <v>0</v>
      </c>
      <c r="Z63" s="7">
        <f t="shared" si="10"/>
        <v>0</v>
      </c>
      <c r="AA63" s="23">
        <f t="shared" si="3"/>
        <v>246578.2</v>
      </c>
      <c r="AB63" s="24">
        <f t="shared" si="11"/>
        <v>39232.80827366747</v>
      </c>
      <c r="AC63" s="24">
        <f t="shared" si="12"/>
        <v>308222.75</v>
      </c>
      <c r="AD63" s="24">
        <f t="shared" si="13"/>
        <v>49041.010342084337</v>
      </c>
      <c r="AK63" s="23"/>
      <c r="AL63" s="23"/>
      <c r="AM63" s="23"/>
      <c r="AN63" s="23"/>
      <c r="AO63" s="23"/>
      <c r="AP63" s="23"/>
      <c r="AQ63" s="23"/>
    </row>
    <row r="64" spans="1:43" s="916" customFormat="1" ht="17.25" customHeight="1">
      <c r="A64" s="560">
        <v>38</v>
      </c>
      <c r="B64" s="153" t="s">
        <v>177</v>
      </c>
      <c r="C64" s="561" t="s">
        <v>99</v>
      </c>
      <c r="D64" s="563" t="s">
        <v>178</v>
      </c>
      <c r="E64" s="562" t="s">
        <v>695</v>
      </c>
      <c r="F64" s="562" t="s">
        <v>366</v>
      </c>
      <c r="G64" s="547">
        <v>1</v>
      </c>
      <c r="H64" s="563" t="s">
        <v>102</v>
      </c>
      <c r="I64" s="563" t="s">
        <v>103</v>
      </c>
      <c r="J64" s="581">
        <v>2</v>
      </c>
      <c r="K64" s="554">
        <v>17697</v>
      </c>
      <c r="L64" s="565">
        <v>28</v>
      </c>
      <c r="M64" s="554">
        <f t="shared" si="7"/>
        <v>1.5555555555555556</v>
      </c>
      <c r="N64" s="1583" t="s">
        <v>104</v>
      </c>
      <c r="O64" s="1157">
        <v>4.4400000000000004</v>
      </c>
      <c r="P64" s="697">
        <f t="shared" si="6"/>
        <v>122227.28</v>
      </c>
      <c r="Q64" s="556"/>
      <c r="R64" s="1538"/>
      <c r="S64" s="700"/>
      <c r="T64" s="554">
        <v>0.1</v>
      </c>
      <c r="U64" s="556">
        <f t="shared" si="8"/>
        <v>12222.728000000001</v>
      </c>
      <c r="V64" s="699"/>
      <c r="W64" s="700"/>
      <c r="X64" s="559">
        <f t="shared" si="9"/>
        <v>134450.008</v>
      </c>
      <c r="Y64" s="1693"/>
      <c r="Z64" s="1693"/>
      <c r="AA64" s="23">
        <f t="shared" si="3"/>
        <v>1613400.0959999999</v>
      </c>
      <c r="AB64" s="24">
        <f t="shared" si="11"/>
        <v>256706.45918854416</v>
      </c>
      <c r="AC64" s="24">
        <f t="shared" si="12"/>
        <v>2016750.1199999999</v>
      </c>
      <c r="AD64" s="24">
        <f t="shared" si="13"/>
        <v>320883.07398568018</v>
      </c>
      <c r="AK64" s="1783"/>
      <c r="AL64" s="1783"/>
      <c r="AM64" s="1783"/>
      <c r="AN64" s="1783"/>
      <c r="AO64" s="1783"/>
      <c r="AP64" s="1783"/>
      <c r="AQ64" s="1783"/>
    </row>
    <row r="65" spans="1:43" s="916" customFormat="1" ht="17.25" customHeight="1">
      <c r="A65" s="547">
        <v>39</v>
      </c>
      <c r="B65" s="998" t="s">
        <v>808</v>
      </c>
      <c r="C65" s="873" t="s">
        <v>99</v>
      </c>
      <c r="D65" s="1002" t="s">
        <v>152</v>
      </c>
      <c r="E65" s="1539" t="s">
        <v>809</v>
      </c>
      <c r="F65" s="1539" t="s">
        <v>34</v>
      </c>
      <c r="G65" s="547">
        <v>1</v>
      </c>
      <c r="H65" s="563" t="s">
        <v>102</v>
      </c>
      <c r="I65" s="563" t="s">
        <v>103</v>
      </c>
      <c r="J65" s="581">
        <v>3</v>
      </c>
      <c r="K65" s="554">
        <v>17697</v>
      </c>
      <c r="L65" s="1540">
        <v>28</v>
      </c>
      <c r="M65" s="554">
        <f t="shared" si="7"/>
        <v>1.5555555555555556</v>
      </c>
      <c r="N65" s="1583" t="s">
        <v>109</v>
      </c>
      <c r="O65" s="1157">
        <v>4.5</v>
      </c>
      <c r="P65" s="697">
        <f t="shared" si="6"/>
        <v>123879</v>
      </c>
      <c r="Q65" s="556"/>
      <c r="R65" s="1538"/>
      <c r="S65" s="700"/>
      <c r="T65" s="554">
        <v>0.1</v>
      </c>
      <c r="U65" s="556">
        <f t="shared" si="8"/>
        <v>12387.900000000001</v>
      </c>
      <c r="V65" s="699"/>
      <c r="W65" s="700"/>
      <c r="X65" s="559">
        <f t="shared" si="9"/>
        <v>136266.9</v>
      </c>
      <c r="Y65" s="1693"/>
      <c r="Z65" s="1693"/>
      <c r="AA65" s="23"/>
      <c r="AB65" s="24"/>
      <c r="AC65" s="24"/>
      <c r="AD65" s="24"/>
      <c r="AK65" s="1783"/>
      <c r="AL65" s="1783"/>
      <c r="AM65" s="1783"/>
      <c r="AN65" s="1783"/>
      <c r="AO65" s="1783"/>
      <c r="AP65" s="1783"/>
      <c r="AQ65" s="1783"/>
    </row>
    <row r="66" spans="1:43" s="916" customFormat="1" ht="17.25" customHeight="1">
      <c r="A66" s="560">
        <v>40</v>
      </c>
      <c r="B66" s="153" t="s">
        <v>182</v>
      </c>
      <c r="C66" s="561" t="s">
        <v>99</v>
      </c>
      <c r="D66" s="563" t="s">
        <v>25</v>
      </c>
      <c r="E66" s="562" t="s">
        <v>701</v>
      </c>
      <c r="F66" s="562" t="s">
        <v>51</v>
      </c>
      <c r="G66" s="547">
        <v>1</v>
      </c>
      <c r="H66" s="563" t="s">
        <v>102</v>
      </c>
      <c r="I66" s="563" t="s">
        <v>103</v>
      </c>
      <c r="J66" s="581">
        <v>1</v>
      </c>
      <c r="K66" s="554">
        <v>17697</v>
      </c>
      <c r="L66" s="1540">
        <v>32</v>
      </c>
      <c r="M66" s="554">
        <f t="shared" si="7"/>
        <v>1.7777777777777777</v>
      </c>
      <c r="N66" s="1583" t="s">
        <v>104</v>
      </c>
      <c r="O66" s="1157">
        <v>4.6900000000000004</v>
      </c>
      <c r="P66" s="697">
        <f t="shared" si="6"/>
        <v>147553.65333333335</v>
      </c>
      <c r="Q66" s="556"/>
      <c r="R66" s="1538"/>
      <c r="S66" s="700"/>
      <c r="T66" s="554">
        <v>0.1</v>
      </c>
      <c r="U66" s="556">
        <f t="shared" si="8"/>
        <v>14755.365333333335</v>
      </c>
      <c r="V66" s="699"/>
      <c r="W66" s="700"/>
      <c r="X66" s="559">
        <f t="shared" si="9"/>
        <v>162309.0186666667</v>
      </c>
      <c r="Y66" s="1693"/>
      <c r="Z66" s="1693"/>
      <c r="AA66" s="23"/>
      <c r="AB66" s="24"/>
      <c r="AC66" s="24"/>
      <c r="AD66" s="24"/>
      <c r="AK66" s="1783"/>
      <c r="AL66" s="1783"/>
      <c r="AM66" s="1783"/>
      <c r="AN66" s="1783"/>
      <c r="AO66" s="1783"/>
      <c r="AP66" s="1783"/>
      <c r="AQ66" s="1783"/>
    </row>
    <row r="67" spans="1:43" s="916" customFormat="1" ht="17.25" customHeight="1">
      <c r="A67" s="547">
        <v>41</v>
      </c>
      <c r="B67" s="153" t="s">
        <v>184</v>
      </c>
      <c r="C67" s="561" t="s">
        <v>99</v>
      </c>
      <c r="D67" s="563" t="s">
        <v>25</v>
      </c>
      <c r="E67" s="586" t="s">
        <v>702</v>
      </c>
      <c r="F67" s="562" t="s">
        <v>27</v>
      </c>
      <c r="G67" s="547">
        <v>1</v>
      </c>
      <c r="H67" s="563" t="s">
        <v>102</v>
      </c>
      <c r="I67" s="563" t="s">
        <v>103</v>
      </c>
      <c r="J67" s="581">
        <v>1</v>
      </c>
      <c r="K67" s="554">
        <v>17697</v>
      </c>
      <c r="L67" s="565">
        <v>32</v>
      </c>
      <c r="M67" s="554">
        <f t="shared" si="7"/>
        <v>1.7777777777777777</v>
      </c>
      <c r="N67" s="574" t="s">
        <v>152</v>
      </c>
      <c r="O67" s="1014">
        <v>4.75</v>
      </c>
      <c r="P67" s="567">
        <f t="shared" si="6"/>
        <v>149441.33333333334</v>
      </c>
      <c r="Q67" s="556"/>
      <c r="R67" s="568"/>
      <c r="S67" s="554"/>
      <c r="T67" s="554">
        <v>0.1</v>
      </c>
      <c r="U67" s="556">
        <f t="shared" si="8"/>
        <v>14944.133333333335</v>
      </c>
      <c r="V67" s="569"/>
      <c r="W67" s="554"/>
      <c r="X67" s="559">
        <f t="shared" si="9"/>
        <v>164385.46666666667</v>
      </c>
      <c r="Y67" s="152"/>
      <c r="Z67" s="152"/>
      <c r="AA67" s="23">
        <f t="shared" si="3"/>
        <v>1972625.6</v>
      </c>
      <c r="AB67" s="24">
        <f t="shared" si="11"/>
        <v>313862.46618933976</v>
      </c>
      <c r="AC67" s="24">
        <f t="shared" si="12"/>
        <v>2465782</v>
      </c>
      <c r="AD67" s="24">
        <f t="shared" si="13"/>
        <v>392328.0827366747</v>
      </c>
      <c r="AK67" s="1783"/>
      <c r="AL67" s="1783"/>
      <c r="AM67" s="1783"/>
      <c r="AN67" s="1783"/>
      <c r="AO67" s="1783"/>
      <c r="AP67" s="1783"/>
      <c r="AQ67" s="1783"/>
    </row>
    <row r="68" spans="1:43" s="24" customFormat="1" ht="17.25" customHeight="1">
      <c r="A68" s="560">
        <v>42</v>
      </c>
      <c r="B68" s="153" t="s">
        <v>186</v>
      </c>
      <c r="C68" s="561" t="s">
        <v>99</v>
      </c>
      <c r="D68" s="563" t="s">
        <v>25</v>
      </c>
      <c r="E68" s="562" t="s">
        <v>703</v>
      </c>
      <c r="F68" s="562" t="s">
        <v>27</v>
      </c>
      <c r="G68" s="547">
        <v>1</v>
      </c>
      <c r="H68" s="563" t="s">
        <v>102</v>
      </c>
      <c r="I68" s="563" t="s">
        <v>103</v>
      </c>
      <c r="J68" s="581">
        <v>1</v>
      </c>
      <c r="K68" s="554">
        <v>17697</v>
      </c>
      <c r="L68" s="565">
        <v>26</v>
      </c>
      <c r="M68" s="554">
        <f t="shared" si="7"/>
        <v>1.4444444444444444</v>
      </c>
      <c r="N68" s="574" t="s">
        <v>152</v>
      </c>
      <c r="O68" s="1014">
        <v>4.75</v>
      </c>
      <c r="P68" s="567">
        <f t="shared" si="6"/>
        <v>121421.08333333334</v>
      </c>
      <c r="Q68" s="556"/>
      <c r="R68" s="568"/>
      <c r="S68" s="554"/>
      <c r="T68" s="554">
        <v>0.1</v>
      </c>
      <c r="U68" s="556">
        <f t="shared" si="8"/>
        <v>12142.108333333335</v>
      </c>
      <c r="V68" s="569"/>
      <c r="W68" s="554"/>
      <c r="X68" s="559">
        <f t="shared" si="9"/>
        <v>133563.19166666668</v>
      </c>
      <c r="Y68" s="10">
        <f t="shared" si="10"/>
        <v>0</v>
      </c>
      <c r="Z68" s="10">
        <f t="shared" si="10"/>
        <v>0</v>
      </c>
      <c r="AA68" s="23">
        <f t="shared" si="3"/>
        <v>1602758.3000000003</v>
      </c>
      <c r="AB68" s="24">
        <f t="shared" si="11"/>
        <v>255013.25377883855</v>
      </c>
      <c r="AC68" s="24">
        <f t="shared" si="12"/>
        <v>2003447.8750000005</v>
      </c>
      <c r="AD68" s="24">
        <f t="shared" si="13"/>
        <v>318766.56722354819</v>
      </c>
      <c r="AK68" s="23"/>
      <c r="AL68" s="23"/>
      <c r="AM68" s="23"/>
      <c r="AN68" s="23"/>
      <c r="AO68" s="23"/>
      <c r="AP68" s="23"/>
      <c r="AQ68" s="23"/>
    </row>
    <row r="69" spans="1:43" s="24" customFormat="1" ht="17.25" customHeight="1">
      <c r="A69" s="547">
        <v>43</v>
      </c>
      <c r="B69" s="998" t="s">
        <v>810</v>
      </c>
      <c r="C69" s="873" t="s">
        <v>99</v>
      </c>
      <c r="D69" s="1002" t="s">
        <v>25</v>
      </c>
      <c r="E69" s="1539" t="s">
        <v>811</v>
      </c>
      <c r="F69" s="1539" t="s">
        <v>34</v>
      </c>
      <c r="G69" s="547">
        <v>1</v>
      </c>
      <c r="H69" s="563" t="s">
        <v>102</v>
      </c>
      <c r="I69" s="563" t="s">
        <v>103</v>
      </c>
      <c r="J69" s="581">
        <v>1</v>
      </c>
      <c r="K69" s="554">
        <v>17697</v>
      </c>
      <c r="L69" s="565">
        <v>22</v>
      </c>
      <c r="M69" s="554">
        <f t="shared" si="7"/>
        <v>1.2222222222222223</v>
      </c>
      <c r="N69" s="574" t="s">
        <v>152</v>
      </c>
      <c r="O69" s="1014">
        <v>4.75</v>
      </c>
      <c r="P69" s="567">
        <f t="shared" si="6"/>
        <v>102740.91666666667</v>
      </c>
      <c r="Q69" s="556"/>
      <c r="R69" s="568"/>
      <c r="S69" s="554"/>
      <c r="T69" s="554">
        <v>0.1</v>
      </c>
      <c r="U69" s="556">
        <f t="shared" si="8"/>
        <v>10274.091666666667</v>
      </c>
      <c r="V69" s="569"/>
      <c r="W69" s="554"/>
      <c r="X69" s="559">
        <f t="shared" si="9"/>
        <v>113015.00833333333</v>
      </c>
      <c r="Y69" s="10">
        <f t="shared" si="10"/>
        <v>0</v>
      </c>
      <c r="Z69" s="10">
        <f t="shared" si="10"/>
        <v>0</v>
      </c>
      <c r="AA69" s="23">
        <f t="shared" si="3"/>
        <v>1356180.1</v>
      </c>
      <c r="AB69" s="24">
        <f t="shared" si="11"/>
        <v>215780.44550517108</v>
      </c>
      <c r="AC69" s="24">
        <f t="shared" si="12"/>
        <v>1695225.125</v>
      </c>
      <c r="AD69" s="24">
        <f t="shared" si="13"/>
        <v>269725.55688146385</v>
      </c>
      <c r="AK69" s="23"/>
      <c r="AL69" s="23"/>
      <c r="AM69" s="23"/>
      <c r="AN69" s="23"/>
      <c r="AO69" s="23"/>
      <c r="AP69" s="23"/>
      <c r="AQ69" s="23"/>
    </row>
    <row r="70" spans="1:43" s="24" customFormat="1" ht="17.25" customHeight="1">
      <c r="A70" s="560">
        <v>44</v>
      </c>
      <c r="B70" s="587" t="s">
        <v>188</v>
      </c>
      <c r="C70" s="588" t="s">
        <v>99</v>
      </c>
      <c r="D70" s="589" t="s">
        <v>25</v>
      </c>
      <c r="E70" s="590" t="s">
        <v>708</v>
      </c>
      <c r="F70" s="591" t="s">
        <v>51</v>
      </c>
      <c r="G70" s="547">
        <v>1</v>
      </c>
      <c r="H70" s="589" t="s">
        <v>102</v>
      </c>
      <c r="I70" s="589" t="s">
        <v>103</v>
      </c>
      <c r="J70" s="581">
        <v>1</v>
      </c>
      <c r="K70" s="554">
        <v>17697</v>
      </c>
      <c r="L70" s="1540">
        <v>34</v>
      </c>
      <c r="M70" s="554">
        <f t="shared" si="7"/>
        <v>1.8888888888888888</v>
      </c>
      <c r="N70" s="698" t="s">
        <v>152</v>
      </c>
      <c r="O70" s="1157">
        <v>4.75</v>
      </c>
      <c r="P70" s="697">
        <f t="shared" si="6"/>
        <v>158781.41666666669</v>
      </c>
      <c r="Q70" s="556"/>
      <c r="R70" s="1538"/>
      <c r="S70" s="700"/>
      <c r="T70" s="554">
        <v>0.1</v>
      </c>
      <c r="U70" s="556">
        <f t="shared" si="8"/>
        <v>15878.14166666667</v>
      </c>
      <c r="V70" s="699"/>
      <c r="W70" s="700"/>
      <c r="X70" s="559">
        <f t="shared" si="9"/>
        <v>174659.55833333335</v>
      </c>
      <c r="Y70" s="1547"/>
      <c r="Z70" s="1547"/>
      <c r="AA70" s="23"/>
      <c r="AK70" s="23"/>
      <c r="AL70" s="23"/>
      <c r="AM70" s="23"/>
      <c r="AN70" s="23"/>
      <c r="AO70" s="23"/>
      <c r="AP70" s="23"/>
      <c r="AQ70" s="23"/>
    </row>
    <row r="71" spans="1:43" s="24" customFormat="1" ht="17.25" customHeight="1">
      <c r="A71" s="547">
        <v>45</v>
      </c>
      <c r="B71" s="587" t="s">
        <v>450</v>
      </c>
      <c r="C71" s="588" t="s">
        <v>99</v>
      </c>
      <c r="D71" s="589" t="s">
        <v>25</v>
      </c>
      <c r="E71" s="590" t="s">
        <v>802</v>
      </c>
      <c r="F71" s="591" t="s">
        <v>34</v>
      </c>
      <c r="G71" s="547">
        <v>1</v>
      </c>
      <c r="H71" s="589" t="s">
        <v>102</v>
      </c>
      <c r="I71" s="589" t="s">
        <v>103</v>
      </c>
      <c r="J71" s="564">
        <v>1</v>
      </c>
      <c r="K71" s="593">
        <v>17697</v>
      </c>
      <c r="L71" s="594">
        <v>24</v>
      </c>
      <c r="M71" s="554">
        <f t="shared" si="7"/>
        <v>1.3333333333333333</v>
      </c>
      <c r="N71" s="574" t="s">
        <v>152</v>
      </c>
      <c r="O71" s="1588">
        <v>4.75</v>
      </c>
      <c r="P71" s="596">
        <f t="shared" si="6"/>
        <v>112081</v>
      </c>
      <c r="Q71" s="556"/>
      <c r="R71" s="597"/>
      <c r="S71" s="593"/>
      <c r="T71" s="593">
        <v>0.1</v>
      </c>
      <c r="U71" s="556">
        <f t="shared" si="8"/>
        <v>11208.1</v>
      </c>
      <c r="V71" s="598"/>
      <c r="W71" s="593"/>
      <c r="X71" s="559">
        <f t="shared" si="9"/>
        <v>123289.1</v>
      </c>
      <c r="Y71" s="10">
        <f t="shared" si="10"/>
        <v>0</v>
      </c>
      <c r="Z71" s="10">
        <f t="shared" si="10"/>
        <v>0</v>
      </c>
      <c r="AA71" s="23">
        <f t="shared" si="3"/>
        <v>1479469.2000000002</v>
      </c>
      <c r="AB71" s="24">
        <f t="shared" si="11"/>
        <v>235396.84964200485</v>
      </c>
      <c r="AC71" s="24">
        <f t="shared" si="12"/>
        <v>1849336.5000000002</v>
      </c>
      <c r="AD71" s="24">
        <f t="shared" si="13"/>
        <v>294246.06205250602</v>
      </c>
      <c r="AK71" s="23"/>
      <c r="AL71" s="23"/>
      <c r="AM71" s="23"/>
      <c r="AN71" s="23"/>
      <c r="AO71" s="23"/>
      <c r="AP71" s="23"/>
      <c r="AQ71" s="23"/>
    </row>
    <row r="72" spans="1:43" s="24" customFormat="1" ht="17.25" customHeight="1">
      <c r="A72" s="560">
        <v>46</v>
      </c>
      <c r="B72" s="153" t="s">
        <v>193</v>
      </c>
      <c r="C72" s="561" t="s">
        <v>99</v>
      </c>
      <c r="D72" s="563" t="s">
        <v>64</v>
      </c>
      <c r="E72" s="210" t="s">
        <v>716</v>
      </c>
      <c r="F72" s="562" t="s">
        <v>403</v>
      </c>
      <c r="G72" s="547">
        <v>1</v>
      </c>
      <c r="H72" s="563" t="s">
        <v>102</v>
      </c>
      <c r="I72" s="563" t="s">
        <v>118</v>
      </c>
      <c r="J72" s="581">
        <v>3</v>
      </c>
      <c r="K72" s="593">
        <v>17697</v>
      </c>
      <c r="L72" s="594">
        <v>34</v>
      </c>
      <c r="M72" s="554">
        <f t="shared" si="7"/>
        <v>1.8888888888888888</v>
      </c>
      <c r="N72" s="1004" t="s">
        <v>152</v>
      </c>
      <c r="O72" s="1020">
        <v>3.97</v>
      </c>
      <c r="P72" s="1005">
        <f t="shared" si="6"/>
        <v>132707.83666666667</v>
      </c>
      <c r="Q72" s="556"/>
      <c r="R72" s="1006"/>
      <c r="S72" s="887"/>
      <c r="T72" s="887">
        <v>0.1</v>
      </c>
      <c r="U72" s="556">
        <f t="shared" si="8"/>
        <v>13270.783666666668</v>
      </c>
      <c r="V72" s="1007"/>
      <c r="W72" s="887"/>
      <c r="X72" s="559">
        <f t="shared" si="9"/>
        <v>145978.62033333333</v>
      </c>
      <c r="Y72" s="7">
        <f t="shared" si="10"/>
        <v>0</v>
      </c>
      <c r="Z72" s="7">
        <f t="shared" si="10"/>
        <v>0</v>
      </c>
      <c r="AA72" s="23">
        <f t="shared" si="3"/>
        <v>1751743.4439999999</v>
      </c>
      <c r="AB72" s="24">
        <f t="shared" si="11"/>
        <v>278718.12951471761</v>
      </c>
      <c r="AC72" s="24">
        <f t="shared" si="12"/>
        <v>2189679.3049999997</v>
      </c>
      <c r="AD72" s="24">
        <f t="shared" si="13"/>
        <v>348397.66189339693</v>
      </c>
      <c r="AK72" s="23"/>
      <c r="AL72" s="23"/>
      <c r="AM72" s="23"/>
      <c r="AN72" s="23"/>
      <c r="AO72" s="23"/>
      <c r="AP72" s="23"/>
      <c r="AQ72" s="23"/>
    </row>
    <row r="73" spans="1:43" s="24" customFormat="1" ht="15.75">
      <c r="A73" s="547">
        <v>47</v>
      </c>
      <c r="B73" s="153" t="s">
        <v>197</v>
      </c>
      <c r="C73" s="561" t="s">
        <v>99</v>
      </c>
      <c r="D73" s="563" t="s">
        <v>25</v>
      </c>
      <c r="E73" s="210" t="s">
        <v>717</v>
      </c>
      <c r="F73" s="562" t="s">
        <v>34</v>
      </c>
      <c r="G73" s="547">
        <v>1</v>
      </c>
      <c r="H73" s="563" t="s">
        <v>102</v>
      </c>
      <c r="I73" s="563" t="s">
        <v>103</v>
      </c>
      <c r="J73" s="564">
        <v>1</v>
      </c>
      <c r="K73" s="554">
        <v>17697</v>
      </c>
      <c r="L73" s="565">
        <v>32</v>
      </c>
      <c r="M73" s="554">
        <f t="shared" si="7"/>
        <v>1.7777777777777777</v>
      </c>
      <c r="N73" s="1583" t="s">
        <v>109</v>
      </c>
      <c r="O73" s="1157">
        <v>4.75</v>
      </c>
      <c r="P73" s="697">
        <f t="shared" si="6"/>
        <v>149441.33333333334</v>
      </c>
      <c r="Q73" s="556"/>
      <c r="R73" s="1538"/>
      <c r="S73" s="700"/>
      <c r="T73" s="700">
        <v>0.1</v>
      </c>
      <c r="U73" s="556">
        <f t="shared" si="8"/>
        <v>14944.133333333335</v>
      </c>
      <c r="V73" s="699"/>
      <c r="W73" s="700"/>
      <c r="X73" s="559">
        <f t="shared" si="9"/>
        <v>164385.46666666667</v>
      </c>
      <c r="Y73" s="35"/>
      <c r="Z73" s="35"/>
      <c r="AA73" s="23">
        <f t="shared" ref="AA73:AA75" si="14">X73*12</f>
        <v>1972625.6</v>
      </c>
      <c r="AB73" s="24">
        <f t="shared" si="11"/>
        <v>313862.46618933976</v>
      </c>
      <c r="AC73" s="24">
        <f t="shared" si="12"/>
        <v>2465782</v>
      </c>
      <c r="AD73" s="24">
        <f t="shared" si="13"/>
        <v>392328.0827366747</v>
      </c>
      <c r="AK73" s="23"/>
      <c r="AL73" s="23"/>
      <c r="AM73" s="23"/>
      <c r="AN73" s="23"/>
      <c r="AO73" s="23"/>
      <c r="AP73" s="23"/>
      <c r="AQ73" s="23"/>
    </row>
    <row r="74" spans="1:43" s="24" customFormat="1" ht="15.75">
      <c r="A74" s="560">
        <v>48</v>
      </c>
      <c r="B74" s="1008" t="s">
        <v>199</v>
      </c>
      <c r="C74" s="1009" t="s">
        <v>99</v>
      </c>
      <c r="D74" s="563" t="s">
        <v>64</v>
      </c>
      <c r="E74" s="210" t="s">
        <v>721</v>
      </c>
      <c r="F74" s="562" t="s">
        <v>722</v>
      </c>
      <c r="G74" s="547">
        <v>1</v>
      </c>
      <c r="H74" s="563" t="s">
        <v>102</v>
      </c>
      <c r="I74" s="563" t="s">
        <v>118</v>
      </c>
      <c r="J74" s="581">
        <v>4</v>
      </c>
      <c r="K74" s="554">
        <v>17697</v>
      </c>
      <c r="L74" s="565">
        <v>21</v>
      </c>
      <c r="M74" s="554">
        <f t="shared" si="7"/>
        <v>1.1666666666666667</v>
      </c>
      <c r="N74" s="1004" t="s">
        <v>152</v>
      </c>
      <c r="O74" s="1157">
        <v>3.41</v>
      </c>
      <c r="P74" s="697">
        <f t="shared" si="6"/>
        <v>70404.565000000002</v>
      </c>
      <c r="Q74" s="556"/>
      <c r="R74" s="1538"/>
      <c r="S74" s="700"/>
      <c r="T74" s="700">
        <v>0.1</v>
      </c>
      <c r="U74" s="556">
        <f t="shared" si="8"/>
        <v>7040.4565000000002</v>
      </c>
      <c r="V74" s="699"/>
      <c r="W74" s="700"/>
      <c r="X74" s="559">
        <f t="shared" si="9"/>
        <v>77445.021500000003</v>
      </c>
      <c r="Y74" s="34">
        <f t="shared" ref="Y74:Z74" si="15">V74+R74</f>
        <v>0</v>
      </c>
      <c r="Z74" s="34">
        <f t="shared" si="15"/>
        <v>0</v>
      </c>
      <c r="AA74" s="23">
        <f t="shared" si="14"/>
        <v>929340.25800000003</v>
      </c>
      <c r="AB74" s="24">
        <f t="shared" si="11"/>
        <v>147866.3894988067</v>
      </c>
      <c r="AC74" s="24">
        <f t="shared" si="12"/>
        <v>1161675.3225</v>
      </c>
      <c r="AD74" s="24">
        <f t="shared" si="13"/>
        <v>184832.98687350834</v>
      </c>
      <c r="AK74" s="23"/>
      <c r="AL74" s="23"/>
      <c r="AM74" s="23"/>
      <c r="AN74" s="23"/>
      <c r="AO74" s="23"/>
      <c r="AP74" s="23"/>
      <c r="AQ74" s="23"/>
    </row>
    <row r="75" spans="1:43" s="24" customFormat="1" ht="17.25" customHeight="1">
      <c r="A75" s="547">
        <v>49</v>
      </c>
      <c r="B75" s="1008" t="s">
        <v>812</v>
      </c>
      <c r="C75" s="1009" t="s">
        <v>99</v>
      </c>
      <c r="D75" s="1002" t="s">
        <v>25</v>
      </c>
      <c r="E75" s="1589" t="s">
        <v>813</v>
      </c>
      <c r="F75" s="1539" t="s">
        <v>34</v>
      </c>
      <c r="G75" s="874">
        <v>1</v>
      </c>
      <c r="H75" s="1002" t="s">
        <v>102</v>
      </c>
      <c r="I75" s="1002" t="s">
        <v>103</v>
      </c>
      <c r="J75" s="1590">
        <v>2</v>
      </c>
      <c r="K75" s="888">
        <v>17697</v>
      </c>
      <c r="L75" s="1010">
        <v>14</v>
      </c>
      <c r="M75" s="554">
        <f t="shared" si="7"/>
        <v>0.77777777777777779</v>
      </c>
      <c r="N75" s="698" t="s">
        <v>104</v>
      </c>
      <c r="O75" s="1021">
        <v>4.51</v>
      </c>
      <c r="P75" s="607">
        <f t="shared" si="6"/>
        <v>62077.143333333341</v>
      </c>
      <c r="Q75" s="556"/>
      <c r="R75" s="1011"/>
      <c r="S75" s="888"/>
      <c r="T75" s="605">
        <v>0.1</v>
      </c>
      <c r="U75" s="556">
        <f t="shared" si="8"/>
        <v>6207.7143333333343</v>
      </c>
      <c r="V75" s="1012"/>
      <c r="W75" s="888"/>
      <c r="X75" s="559">
        <f>P75+Q75+U75</f>
        <v>68284.857666666678</v>
      </c>
      <c r="Y75" s="885"/>
      <c r="Z75" s="885"/>
      <c r="AA75" s="23">
        <f t="shared" si="14"/>
        <v>819418.29200000013</v>
      </c>
      <c r="AB75" s="24">
        <f t="shared" si="11"/>
        <v>130376.81654733495</v>
      </c>
      <c r="AC75" s="24">
        <f t="shared" si="12"/>
        <v>1024272.8650000002</v>
      </c>
      <c r="AD75" s="24">
        <f t="shared" si="13"/>
        <v>162971.02068416867</v>
      </c>
      <c r="AK75" s="23"/>
      <c r="AL75" s="23"/>
      <c r="AM75" s="23"/>
      <c r="AN75" s="23"/>
      <c r="AO75" s="23"/>
      <c r="AP75" s="23"/>
      <c r="AQ75" s="23"/>
    </row>
    <row r="76" spans="1:43" s="24" customFormat="1" ht="17.25" customHeight="1" thickBot="1">
      <c r="A76" s="560">
        <v>50</v>
      </c>
      <c r="B76" s="1008" t="s">
        <v>202</v>
      </c>
      <c r="C76" s="1009" t="s">
        <v>99</v>
      </c>
      <c r="D76" s="1592" t="s">
        <v>75</v>
      </c>
      <c r="E76" s="1694" t="s">
        <v>720</v>
      </c>
      <c r="F76" s="1586" t="s">
        <v>66</v>
      </c>
      <c r="G76" s="1695">
        <v>1</v>
      </c>
      <c r="H76" s="1592" t="s">
        <v>102</v>
      </c>
      <c r="I76" s="1592" t="s">
        <v>103</v>
      </c>
      <c r="J76" s="1696">
        <v>2</v>
      </c>
      <c r="K76" s="888">
        <v>17697</v>
      </c>
      <c r="L76" s="1010">
        <v>31</v>
      </c>
      <c r="M76" s="554">
        <f t="shared" si="7"/>
        <v>1.7222222222222223</v>
      </c>
      <c r="N76" s="1594" t="s">
        <v>104</v>
      </c>
      <c r="O76" s="1021">
        <v>4.37</v>
      </c>
      <c r="P76" s="1013">
        <f t="shared" si="6"/>
        <v>133189.58833333335</v>
      </c>
      <c r="Q76" s="1013"/>
      <c r="R76" s="1011"/>
      <c r="S76" s="888"/>
      <c r="T76" s="888">
        <v>0.1</v>
      </c>
      <c r="U76" s="1013">
        <f t="shared" si="8"/>
        <v>13318.958833333336</v>
      </c>
      <c r="V76" s="1012"/>
      <c r="W76" s="888"/>
      <c r="X76" s="1697">
        <f>P76+Q76+U76</f>
        <v>146508.54716666669</v>
      </c>
      <c r="Y76" s="885"/>
      <c r="Z76" s="885"/>
      <c r="AA76" s="23"/>
      <c r="AK76" s="23"/>
      <c r="AL76" s="23"/>
      <c r="AM76" s="23"/>
      <c r="AN76" s="23"/>
      <c r="AO76" s="23"/>
      <c r="AP76" s="23"/>
      <c r="AQ76" s="23"/>
    </row>
    <row r="77" spans="1:43" s="377" customFormat="1" ht="17.25" customHeight="1" thickBot="1">
      <c r="A77" s="1653"/>
      <c r="B77" s="1654"/>
      <c r="C77" s="1655"/>
      <c r="D77" s="1656"/>
      <c r="E77" s="1657"/>
      <c r="F77" s="1658"/>
      <c r="G77" s="1659"/>
      <c r="H77" s="1656"/>
      <c r="I77" s="1656"/>
      <c r="J77" s="1660"/>
      <c r="K77" s="1661"/>
      <c r="L77" s="1662">
        <f>SUM(L27:L76)</f>
        <v>1099</v>
      </c>
      <c r="M77" s="1661"/>
      <c r="N77" s="1663"/>
      <c r="O77" s="1663"/>
      <c r="P77" s="1664"/>
      <c r="Q77" s="1664"/>
      <c r="R77" s="1665"/>
      <c r="S77" s="1661"/>
      <c r="T77" s="1661"/>
      <c r="U77" s="1664"/>
      <c r="V77" s="1666"/>
      <c r="W77" s="1661"/>
      <c r="X77" s="1667"/>
      <c r="Y77" s="1576"/>
      <c r="Z77" s="437"/>
      <c r="AA77" s="375">
        <f>X77*12</f>
        <v>0</v>
      </c>
      <c r="AB77" s="377">
        <f>AA77/12/29.33*56</f>
        <v>0</v>
      </c>
      <c r="AC77" s="377">
        <f>AA77*1.25</f>
        <v>0</v>
      </c>
      <c r="AD77" s="377">
        <f>AC77/12/29.33*56</f>
        <v>0</v>
      </c>
      <c r="AK77" s="23"/>
      <c r="AL77" s="23"/>
      <c r="AM77" s="23"/>
      <c r="AN77" s="23"/>
      <c r="AO77" s="23"/>
      <c r="AP77" s="23"/>
      <c r="AQ77" s="23"/>
    </row>
    <row r="78" spans="1:43" s="377" customFormat="1" ht="17.25" customHeight="1">
      <c r="A78" s="1674"/>
      <c r="B78" s="1675" t="s">
        <v>789</v>
      </c>
      <c r="C78" s="1676"/>
      <c r="D78" s="1677"/>
      <c r="E78" s="1678"/>
      <c r="F78" s="1678"/>
      <c r="G78" s="1679"/>
      <c r="H78" s="1677"/>
      <c r="I78" s="1677"/>
      <c r="J78" s="1680"/>
      <c r="K78" s="1681"/>
      <c r="L78" s="1682"/>
      <c r="M78" s="1681"/>
      <c r="N78" s="1683"/>
      <c r="O78" s="1683"/>
      <c r="P78" s="1684"/>
      <c r="Q78" s="1684"/>
      <c r="R78" s="1685"/>
      <c r="S78" s="1681"/>
      <c r="T78" s="1681"/>
      <c r="U78" s="1684"/>
      <c r="V78" s="1686"/>
      <c r="W78" s="1681"/>
      <c r="X78" s="1687"/>
      <c r="Y78" s="1576"/>
      <c r="Z78" s="1544"/>
      <c r="AA78" s="375"/>
      <c r="AK78" s="23"/>
      <c r="AL78" s="23"/>
      <c r="AM78" s="23"/>
      <c r="AN78" s="23"/>
      <c r="AO78" s="23"/>
      <c r="AP78" s="23"/>
      <c r="AQ78" s="23"/>
    </row>
    <row r="79" spans="1:43" s="24" customFormat="1" ht="17.25" customHeight="1">
      <c r="A79" s="547">
        <v>1</v>
      </c>
      <c r="B79" s="548" t="s">
        <v>215</v>
      </c>
      <c r="C79" s="549" t="s">
        <v>99</v>
      </c>
      <c r="D79" s="577" t="s">
        <v>25</v>
      </c>
      <c r="E79" s="583" t="s">
        <v>653</v>
      </c>
      <c r="F79" s="583" t="s">
        <v>217</v>
      </c>
      <c r="G79" s="1668">
        <v>1</v>
      </c>
      <c r="H79" s="1669" t="s">
        <v>102</v>
      </c>
      <c r="I79" s="1669" t="s">
        <v>103</v>
      </c>
      <c r="J79" s="1670">
        <v>1</v>
      </c>
      <c r="K79" s="552">
        <v>17697</v>
      </c>
      <c r="L79" s="1671">
        <v>20</v>
      </c>
      <c r="M79" s="552">
        <f>L79/18</f>
        <v>1.1111111111111112</v>
      </c>
      <c r="N79" s="1670" t="s">
        <v>152</v>
      </c>
      <c r="O79" s="1672">
        <v>4.6900000000000004</v>
      </c>
      <c r="P79" s="556">
        <f t="shared" ref="P79:P99" si="16">O79*K79/18*L79</f>
        <v>92221.03333333334</v>
      </c>
      <c r="Q79" s="556"/>
      <c r="R79" s="557"/>
      <c r="S79" s="552"/>
      <c r="T79" s="552">
        <v>0.1</v>
      </c>
      <c r="U79" s="556">
        <f>(P79+Q79)*T79</f>
        <v>9222.1033333333344</v>
      </c>
      <c r="V79" s="1673"/>
      <c r="W79" s="552"/>
      <c r="X79" s="559">
        <f>P79+Q79+U79</f>
        <v>101443.13666666667</v>
      </c>
      <c r="Y79" s="10"/>
      <c r="Z79" s="10"/>
      <c r="AA79" s="23" t="e">
        <f>#REF!*12</f>
        <v>#REF!</v>
      </c>
      <c r="AB79" s="24" t="e">
        <f t="shared" si="11"/>
        <v>#REF!</v>
      </c>
      <c r="AC79" s="24" t="e">
        <f t="shared" si="12"/>
        <v>#REF!</v>
      </c>
      <c r="AD79" s="24" t="e">
        <f t="shared" si="13"/>
        <v>#REF!</v>
      </c>
      <c r="AK79" s="906"/>
      <c r="AL79" s="23"/>
      <c r="AM79" s="23"/>
      <c r="AN79" s="23"/>
      <c r="AO79" s="23"/>
      <c r="AP79" s="23"/>
      <c r="AQ79" s="23"/>
    </row>
    <row r="80" spans="1:43" s="24" customFormat="1" ht="18" customHeight="1">
      <c r="A80" s="560">
        <v>2</v>
      </c>
      <c r="B80" s="153" t="s">
        <v>222</v>
      </c>
      <c r="C80" s="561" t="s">
        <v>148</v>
      </c>
      <c r="D80" s="563" t="s">
        <v>25</v>
      </c>
      <c r="E80" s="562" t="s">
        <v>654</v>
      </c>
      <c r="F80" s="562" t="s">
        <v>224</v>
      </c>
      <c r="G80" s="571">
        <v>1</v>
      </c>
      <c r="H80" s="580" t="s">
        <v>102</v>
      </c>
      <c r="I80" s="580" t="s">
        <v>103</v>
      </c>
      <c r="J80" s="574">
        <v>2</v>
      </c>
      <c r="K80" s="554">
        <v>17697</v>
      </c>
      <c r="L80" s="1643">
        <v>31</v>
      </c>
      <c r="M80" s="552">
        <f t="shared" ref="M80:M99" si="17">L80/18</f>
        <v>1.7222222222222223</v>
      </c>
      <c r="N80" s="566" t="s">
        <v>104</v>
      </c>
      <c r="O80" s="1015">
        <v>4.16</v>
      </c>
      <c r="P80" s="567">
        <f t="shared" si="16"/>
        <v>126789.17333333334</v>
      </c>
      <c r="Q80" s="697"/>
      <c r="R80" s="568"/>
      <c r="S80" s="554"/>
      <c r="T80" s="552">
        <v>0.1</v>
      </c>
      <c r="U80" s="567">
        <f t="shared" ref="U80:U99" si="18">(P80+Q80)*T80</f>
        <v>12678.917333333335</v>
      </c>
      <c r="V80" s="19"/>
      <c r="W80" s="554"/>
      <c r="X80" s="570">
        <f t="shared" ref="X80:X99" si="19">P80+Q80+U80</f>
        <v>139468.09066666669</v>
      </c>
      <c r="Y80" s="10">
        <f t="shared" ref="Y80:Z82" si="20">V79+R79</f>
        <v>0</v>
      </c>
      <c r="Z80" s="10">
        <f t="shared" si="20"/>
        <v>0</v>
      </c>
      <c r="AA80" s="23">
        <f>X79*12</f>
        <v>1217317.6400000001</v>
      </c>
      <c r="AB80" s="24">
        <f t="shared" si="11"/>
        <v>193686.17979315834</v>
      </c>
      <c r="AC80" s="24">
        <f t="shared" si="12"/>
        <v>1521647.0500000003</v>
      </c>
      <c r="AD80" s="24">
        <f t="shared" si="13"/>
        <v>242107.72474144795</v>
      </c>
      <c r="AK80" s="23"/>
      <c r="AL80" s="23"/>
      <c r="AM80" s="23"/>
      <c r="AN80" s="23"/>
      <c r="AO80" s="23"/>
      <c r="AP80" s="23"/>
      <c r="AQ80" s="23"/>
    </row>
    <row r="81" spans="1:43" s="24" customFormat="1" ht="16.5" customHeight="1">
      <c r="A81" s="547">
        <v>3</v>
      </c>
      <c r="B81" s="153" t="s">
        <v>124</v>
      </c>
      <c r="C81" s="561" t="s">
        <v>125</v>
      </c>
      <c r="D81" s="560" t="s">
        <v>75</v>
      </c>
      <c r="E81" s="582" t="s">
        <v>590</v>
      </c>
      <c r="F81" s="562" t="s">
        <v>108</v>
      </c>
      <c r="G81" s="571">
        <v>1</v>
      </c>
      <c r="H81" s="563" t="s">
        <v>102</v>
      </c>
      <c r="I81" s="563" t="s">
        <v>118</v>
      </c>
      <c r="J81" s="581">
        <v>3</v>
      </c>
      <c r="K81" s="554">
        <v>17697</v>
      </c>
      <c r="L81" s="1014">
        <v>11</v>
      </c>
      <c r="M81" s="552">
        <f t="shared" si="17"/>
        <v>0.61111111111111116</v>
      </c>
      <c r="N81" s="574" t="s">
        <v>109</v>
      </c>
      <c r="O81" s="1014">
        <v>3.85</v>
      </c>
      <c r="P81" s="567">
        <f t="shared" si="16"/>
        <v>41637.10833333333</v>
      </c>
      <c r="Q81" s="697"/>
      <c r="R81" s="568"/>
      <c r="S81" s="554"/>
      <c r="T81" s="552">
        <v>0.1</v>
      </c>
      <c r="U81" s="567">
        <f t="shared" si="18"/>
        <v>4163.7108333333335</v>
      </c>
      <c r="V81" s="19"/>
      <c r="W81" s="554"/>
      <c r="X81" s="570">
        <f t="shared" si="19"/>
        <v>45800.819166666661</v>
      </c>
      <c r="Y81" s="10">
        <f t="shared" si="20"/>
        <v>0</v>
      </c>
      <c r="Z81" s="10">
        <f t="shared" si="20"/>
        <v>0</v>
      </c>
      <c r="AA81" s="23">
        <f>X80*12</f>
        <v>1673617.0880000002</v>
      </c>
      <c r="AB81" s="24">
        <f t="shared" si="11"/>
        <v>266287.523945903</v>
      </c>
      <c r="AC81" s="24">
        <f t="shared" si="12"/>
        <v>2092021.3600000003</v>
      </c>
      <c r="AD81" s="24">
        <f t="shared" si="13"/>
        <v>332859.40493237873</v>
      </c>
      <c r="AK81" s="23"/>
      <c r="AL81" s="23"/>
      <c r="AM81" s="23"/>
      <c r="AN81" s="23"/>
      <c r="AO81" s="23"/>
      <c r="AP81" s="23"/>
      <c r="AQ81" s="23"/>
    </row>
    <row r="82" spans="1:43" s="24" customFormat="1" ht="17.25" customHeight="1">
      <c r="A82" s="560">
        <v>4</v>
      </c>
      <c r="B82" s="153" t="s">
        <v>618</v>
      </c>
      <c r="C82" s="561" t="s">
        <v>99</v>
      </c>
      <c r="D82" s="560" t="s">
        <v>25</v>
      </c>
      <c r="E82" s="550" t="s">
        <v>794</v>
      </c>
      <c r="F82" s="562" t="s">
        <v>795</v>
      </c>
      <c r="G82" s="571">
        <v>1</v>
      </c>
      <c r="H82" s="580" t="s">
        <v>102</v>
      </c>
      <c r="I82" s="580" t="s">
        <v>103</v>
      </c>
      <c r="J82" s="574">
        <v>3</v>
      </c>
      <c r="K82" s="554">
        <v>17697</v>
      </c>
      <c r="L82" s="1014">
        <v>27</v>
      </c>
      <c r="M82" s="552">
        <f t="shared" si="17"/>
        <v>1.5</v>
      </c>
      <c r="N82" s="698" t="s">
        <v>109</v>
      </c>
      <c r="O82" s="1157">
        <v>4.3600000000000003</v>
      </c>
      <c r="P82" s="567">
        <f t="shared" si="16"/>
        <v>115738.38000000002</v>
      </c>
      <c r="Q82" s="697"/>
      <c r="R82" s="1538"/>
      <c r="S82" s="700"/>
      <c r="T82" s="552">
        <v>0.1</v>
      </c>
      <c r="U82" s="567">
        <f t="shared" si="18"/>
        <v>11573.838000000003</v>
      </c>
      <c r="V82" s="19"/>
      <c r="W82" s="554"/>
      <c r="X82" s="570">
        <f t="shared" si="19"/>
        <v>127312.21800000002</v>
      </c>
      <c r="Y82" s="10">
        <f t="shared" si="20"/>
        <v>0</v>
      </c>
      <c r="Z82" s="10">
        <f t="shared" si="20"/>
        <v>0</v>
      </c>
      <c r="AA82" s="23">
        <f>X81*12</f>
        <v>549609.82999999996</v>
      </c>
      <c r="AB82" s="24">
        <f t="shared" si="11"/>
        <v>87447.86475735878</v>
      </c>
      <c r="AC82" s="24">
        <f t="shared" si="12"/>
        <v>687012.28749999998</v>
      </c>
      <c r="AD82" s="24">
        <f t="shared" si="13"/>
        <v>109309.83094669849</v>
      </c>
      <c r="AK82" s="23"/>
      <c r="AL82" s="23"/>
      <c r="AM82" s="23"/>
      <c r="AN82" s="23"/>
      <c r="AO82" s="23"/>
      <c r="AP82" s="23"/>
      <c r="AQ82" s="23"/>
    </row>
    <row r="83" spans="1:43" s="24" customFormat="1" ht="17.25" customHeight="1">
      <c r="A83" s="547">
        <v>5</v>
      </c>
      <c r="B83" s="153" t="s">
        <v>127</v>
      </c>
      <c r="C83" s="561" t="s">
        <v>99</v>
      </c>
      <c r="D83" s="560" t="s">
        <v>25</v>
      </c>
      <c r="E83" s="562" t="s">
        <v>661</v>
      </c>
      <c r="F83" s="562" t="s">
        <v>34</v>
      </c>
      <c r="G83" s="571">
        <v>1</v>
      </c>
      <c r="H83" s="563" t="s">
        <v>102</v>
      </c>
      <c r="I83" s="563" t="s">
        <v>103</v>
      </c>
      <c r="J83" s="564">
        <v>1</v>
      </c>
      <c r="K83" s="554">
        <v>17697</v>
      </c>
      <c r="L83" s="1014">
        <v>4</v>
      </c>
      <c r="M83" s="552">
        <f t="shared" si="17"/>
        <v>0.22222222222222221</v>
      </c>
      <c r="N83" s="574" t="s">
        <v>152</v>
      </c>
      <c r="O83" s="1014">
        <v>4.75</v>
      </c>
      <c r="P83" s="567">
        <f t="shared" si="16"/>
        <v>18680.166666666668</v>
      </c>
      <c r="Q83" s="697"/>
      <c r="R83" s="568"/>
      <c r="S83" s="554"/>
      <c r="T83" s="552">
        <v>0.1</v>
      </c>
      <c r="U83" s="567">
        <f t="shared" si="18"/>
        <v>1868.0166666666669</v>
      </c>
      <c r="V83" s="19"/>
      <c r="W83" s="554"/>
      <c r="X83" s="570">
        <f t="shared" si="19"/>
        <v>20548.183333333334</v>
      </c>
      <c r="Y83" s="1547"/>
      <c r="Z83" s="1547"/>
      <c r="AA83" s="23"/>
      <c r="AK83" s="23"/>
      <c r="AL83" s="23"/>
      <c r="AM83" s="23"/>
      <c r="AN83" s="23"/>
      <c r="AO83" s="23"/>
      <c r="AP83" s="23"/>
      <c r="AQ83" s="23"/>
    </row>
    <row r="84" spans="1:43" s="24" customFormat="1" ht="17.25" customHeight="1">
      <c r="A84" s="560">
        <v>6</v>
      </c>
      <c r="B84" s="998" t="s">
        <v>791</v>
      </c>
      <c r="C84" s="873" t="s">
        <v>99</v>
      </c>
      <c r="D84" s="874" t="s">
        <v>75</v>
      </c>
      <c r="E84" s="583" t="s">
        <v>796</v>
      </c>
      <c r="F84" s="1539" t="s">
        <v>797</v>
      </c>
      <c r="G84" s="571">
        <v>1</v>
      </c>
      <c r="H84" s="580" t="s">
        <v>102</v>
      </c>
      <c r="I84" s="580" t="s">
        <v>118</v>
      </c>
      <c r="J84" s="574">
        <v>3</v>
      </c>
      <c r="K84" s="554">
        <v>17697</v>
      </c>
      <c r="L84" s="1157">
        <v>21</v>
      </c>
      <c r="M84" s="552">
        <f t="shared" si="17"/>
        <v>1.1666666666666667</v>
      </c>
      <c r="N84" s="698" t="s">
        <v>109</v>
      </c>
      <c r="O84" s="1157">
        <v>3.97</v>
      </c>
      <c r="P84" s="567">
        <f t="shared" si="16"/>
        <v>81966.604999999996</v>
      </c>
      <c r="Q84" s="697"/>
      <c r="R84" s="1538"/>
      <c r="S84" s="700"/>
      <c r="T84" s="552">
        <v>0.1</v>
      </c>
      <c r="U84" s="567">
        <f t="shared" si="18"/>
        <v>8196.6605</v>
      </c>
      <c r="V84" s="1541"/>
      <c r="W84" s="700"/>
      <c r="X84" s="570">
        <f t="shared" si="19"/>
        <v>90163.265499999994</v>
      </c>
      <c r="Y84" s="10">
        <f>V83+R83</f>
        <v>0</v>
      </c>
      <c r="Z84" s="10">
        <f>W83+S83</f>
        <v>0</v>
      </c>
      <c r="AA84" s="23">
        <f>X83*12</f>
        <v>246578.2</v>
      </c>
      <c r="AB84" s="24">
        <f>AA84/12/29.33*56</f>
        <v>39232.80827366747</v>
      </c>
      <c r="AC84" s="24">
        <f>AA84*1.25</f>
        <v>308222.75</v>
      </c>
      <c r="AD84" s="24">
        <f>AC84/12/29.33*56</f>
        <v>49041.010342084337</v>
      </c>
      <c r="AK84" s="23"/>
      <c r="AL84" s="23"/>
      <c r="AM84" s="23"/>
      <c r="AN84" s="23"/>
      <c r="AO84" s="23"/>
      <c r="AP84" s="23"/>
      <c r="AQ84" s="23"/>
    </row>
    <row r="85" spans="1:43" s="24" customFormat="1" ht="17.25" customHeight="1">
      <c r="A85" s="547">
        <v>7</v>
      </c>
      <c r="B85" s="153" t="s">
        <v>227</v>
      </c>
      <c r="C85" s="561" t="s">
        <v>99</v>
      </c>
      <c r="D85" s="560" t="s">
        <v>25</v>
      </c>
      <c r="E85" s="562" t="s">
        <v>741</v>
      </c>
      <c r="F85" s="562" t="s">
        <v>669</v>
      </c>
      <c r="G85" s="571">
        <v>1</v>
      </c>
      <c r="H85" s="580" t="s">
        <v>102</v>
      </c>
      <c r="I85" s="580" t="s">
        <v>103</v>
      </c>
      <c r="J85" s="574">
        <v>2</v>
      </c>
      <c r="K85" s="554">
        <v>17697</v>
      </c>
      <c r="L85" s="1643">
        <v>20</v>
      </c>
      <c r="M85" s="552">
        <f t="shared" si="17"/>
        <v>1.1111111111111112</v>
      </c>
      <c r="N85" s="566" t="s">
        <v>104</v>
      </c>
      <c r="O85" s="1015">
        <v>4.09</v>
      </c>
      <c r="P85" s="567">
        <f t="shared" si="16"/>
        <v>80423.033333333326</v>
      </c>
      <c r="Q85" s="697"/>
      <c r="R85" s="568"/>
      <c r="S85" s="554"/>
      <c r="T85" s="552">
        <v>0.1</v>
      </c>
      <c r="U85" s="567">
        <f t="shared" si="18"/>
        <v>8042.3033333333333</v>
      </c>
      <c r="V85" s="19"/>
      <c r="W85" s="554"/>
      <c r="X85" s="570">
        <f t="shared" si="19"/>
        <v>88465.336666666655</v>
      </c>
      <c r="Y85" s="1547"/>
      <c r="Z85" s="1547"/>
      <c r="AA85" s="23"/>
      <c r="AK85" s="23"/>
      <c r="AL85" s="23"/>
      <c r="AM85" s="23"/>
      <c r="AN85" s="23"/>
      <c r="AO85" s="23"/>
      <c r="AP85" s="23"/>
      <c r="AQ85" s="23"/>
    </row>
    <row r="86" spans="1:43" s="24" customFormat="1" ht="17.25" customHeight="1">
      <c r="A86" s="560">
        <v>8</v>
      </c>
      <c r="B86" s="153" t="s">
        <v>230</v>
      </c>
      <c r="C86" s="561" t="s">
        <v>99</v>
      </c>
      <c r="D86" s="560" t="s">
        <v>25</v>
      </c>
      <c r="E86" s="582" t="s">
        <v>736</v>
      </c>
      <c r="F86" s="562" t="s">
        <v>217</v>
      </c>
      <c r="G86" s="571">
        <v>1</v>
      </c>
      <c r="H86" s="580" t="s">
        <v>232</v>
      </c>
      <c r="I86" s="580" t="s">
        <v>233</v>
      </c>
      <c r="J86" s="574">
        <v>1</v>
      </c>
      <c r="K86" s="554">
        <v>17697</v>
      </c>
      <c r="L86" s="1643">
        <v>36</v>
      </c>
      <c r="M86" s="552">
        <f t="shared" si="17"/>
        <v>2</v>
      </c>
      <c r="N86" s="574" t="s">
        <v>152</v>
      </c>
      <c r="O86" s="1014">
        <v>4.75</v>
      </c>
      <c r="P86" s="567">
        <f t="shared" si="16"/>
        <v>168121.5</v>
      </c>
      <c r="Q86" s="697"/>
      <c r="R86" s="568"/>
      <c r="S86" s="554"/>
      <c r="T86" s="552">
        <v>0.1</v>
      </c>
      <c r="U86" s="567">
        <f t="shared" si="18"/>
        <v>16812.150000000001</v>
      </c>
      <c r="V86" s="19"/>
      <c r="W86" s="554"/>
      <c r="X86" s="570">
        <f t="shared" si="19"/>
        <v>184933.65</v>
      </c>
      <c r="Y86" s="10">
        <f>V85+R85</f>
        <v>0</v>
      </c>
      <c r="Z86" s="10">
        <f>W85+S85</f>
        <v>0</v>
      </c>
      <c r="AA86" s="23">
        <f>X85*12</f>
        <v>1061584.0399999998</v>
      </c>
      <c r="AB86" s="24">
        <f>AA86/12/29.33*56</f>
        <v>168907.56404136831</v>
      </c>
      <c r="AC86" s="24">
        <f>AA86*1.25</f>
        <v>1326980.0499999998</v>
      </c>
      <c r="AD86" s="24">
        <f>AC86/12/29.33*56</f>
        <v>211134.45505171042</v>
      </c>
      <c r="AK86" s="23"/>
      <c r="AL86" s="23"/>
      <c r="AM86" s="23"/>
      <c r="AN86" s="23"/>
      <c r="AO86" s="23"/>
      <c r="AP86" s="23"/>
      <c r="AQ86" s="23"/>
    </row>
    <row r="87" spans="1:43" s="24" customFormat="1" ht="17.25" customHeight="1">
      <c r="A87" s="547">
        <v>9</v>
      </c>
      <c r="B87" s="153" t="s">
        <v>360</v>
      </c>
      <c r="C87" s="561" t="s">
        <v>99</v>
      </c>
      <c r="D87" s="563" t="s">
        <v>25</v>
      </c>
      <c r="E87" s="562" t="s">
        <v>683</v>
      </c>
      <c r="F87" s="562" t="s">
        <v>362</v>
      </c>
      <c r="G87" s="571">
        <v>1</v>
      </c>
      <c r="H87" s="580" t="s">
        <v>102</v>
      </c>
      <c r="I87" s="580" t="s">
        <v>103</v>
      </c>
      <c r="J87" s="574">
        <v>1</v>
      </c>
      <c r="K87" s="554">
        <v>17697</v>
      </c>
      <c r="L87" s="1643">
        <v>24</v>
      </c>
      <c r="M87" s="552">
        <f t="shared" si="17"/>
        <v>1.3333333333333333</v>
      </c>
      <c r="N87" s="566" t="s">
        <v>152</v>
      </c>
      <c r="O87" s="1015">
        <v>4.55</v>
      </c>
      <c r="P87" s="567">
        <f t="shared" si="16"/>
        <v>107361.79999999999</v>
      </c>
      <c r="Q87" s="697"/>
      <c r="R87" s="568"/>
      <c r="S87" s="554"/>
      <c r="T87" s="552">
        <v>0.1</v>
      </c>
      <c r="U87" s="567">
        <f t="shared" si="18"/>
        <v>10736.18</v>
      </c>
      <c r="V87" s="19"/>
      <c r="W87" s="554"/>
      <c r="X87" s="570">
        <f t="shared" si="19"/>
        <v>118097.97999999998</v>
      </c>
      <c r="Y87" s="10">
        <f>V86+R86</f>
        <v>0</v>
      </c>
      <c r="Z87" s="10">
        <f>W86+S86</f>
        <v>0</v>
      </c>
      <c r="AA87" s="23">
        <f>X86*12</f>
        <v>2219203.7999999998</v>
      </c>
      <c r="AB87" s="24">
        <f>AA87/12/29.33*56</f>
        <v>353095.27446300717</v>
      </c>
      <c r="AC87" s="24">
        <f>AA87*1.25</f>
        <v>2774004.75</v>
      </c>
      <c r="AD87" s="24">
        <f>AC87/12/29.33*56</f>
        <v>441369.09307875898</v>
      </c>
      <c r="AK87" s="23"/>
      <c r="AL87" s="23"/>
      <c r="AM87" s="23"/>
      <c r="AN87" s="23"/>
      <c r="AO87" s="23"/>
      <c r="AP87" s="23"/>
      <c r="AQ87" s="23"/>
    </row>
    <row r="88" spans="1:43" s="24" customFormat="1" ht="15.75">
      <c r="A88" s="560">
        <v>10</v>
      </c>
      <c r="B88" s="153" t="s">
        <v>743</v>
      </c>
      <c r="C88" s="561" t="s">
        <v>744</v>
      </c>
      <c r="D88" s="628" t="s">
        <v>25</v>
      </c>
      <c r="E88" s="586" t="s">
        <v>745</v>
      </c>
      <c r="F88" s="562" t="s">
        <v>403</v>
      </c>
      <c r="G88" s="571">
        <v>1</v>
      </c>
      <c r="H88" s="563" t="s">
        <v>102</v>
      </c>
      <c r="I88" s="563" t="s">
        <v>103</v>
      </c>
      <c r="J88" s="629">
        <v>3</v>
      </c>
      <c r="K88" s="554">
        <v>17697</v>
      </c>
      <c r="L88" s="1643">
        <v>24</v>
      </c>
      <c r="M88" s="552">
        <f t="shared" si="17"/>
        <v>1.3333333333333333</v>
      </c>
      <c r="N88" s="574" t="s">
        <v>109</v>
      </c>
      <c r="O88" s="1015">
        <v>4.1399999999999997</v>
      </c>
      <c r="P88" s="567">
        <f t="shared" si="16"/>
        <v>97687.439999999988</v>
      </c>
      <c r="Q88" s="697"/>
      <c r="R88" s="568"/>
      <c r="S88" s="554"/>
      <c r="T88" s="552">
        <v>0.1</v>
      </c>
      <c r="U88" s="567">
        <f t="shared" si="18"/>
        <v>9768.7439999999988</v>
      </c>
      <c r="V88" s="19"/>
      <c r="W88" s="554"/>
      <c r="X88" s="570">
        <f t="shared" si="19"/>
        <v>107456.18399999998</v>
      </c>
      <c r="Y88" s="10"/>
      <c r="Z88" s="10"/>
      <c r="AA88" s="23">
        <f>X87*12</f>
        <v>1417175.7599999998</v>
      </c>
      <c r="AB88" s="24">
        <f>AA88/12/29.33*56</f>
        <v>225485.40334128877</v>
      </c>
      <c r="AC88" s="24">
        <f>AA88*1.25</f>
        <v>1771469.6999999997</v>
      </c>
      <c r="AD88" s="24">
        <f>AC88/12/29.33*56</f>
        <v>281856.75417661096</v>
      </c>
      <c r="AK88" s="23"/>
      <c r="AL88" s="23"/>
      <c r="AM88" s="23"/>
      <c r="AN88" s="23"/>
      <c r="AO88" s="23"/>
      <c r="AP88" s="23"/>
      <c r="AQ88" s="23"/>
    </row>
    <row r="89" spans="1:43" s="24" customFormat="1" ht="17.25" customHeight="1">
      <c r="A89" s="547">
        <v>11</v>
      </c>
      <c r="B89" s="998" t="s">
        <v>678</v>
      </c>
      <c r="C89" s="873" t="s">
        <v>99</v>
      </c>
      <c r="D89" s="1002" t="s">
        <v>75</v>
      </c>
      <c r="E89" s="583" t="s">
        <v>738</v>
      </c>
      <c r="F89" s="1539" t="s">
        <v>602</v>
      </c>
      <c r="G89" s="571">
        <v>1</v>
      </c>
      <c r="H89" s="580" t="s">
        <v>102</v>
      </c>
      <c r="I89" s="580" t="s">
        <v>118</v>
      </c>
      <c r="J89" s="574">
        <v>4</v>
      </c>
      <c r="K89" s="554">
        <v>17697</v>
      </c>
      <c r="L89" s="1648">
        <v>11</v>
      </c>
      <c r="M89" s="552">
        <f t="shared" si="17"/>
        <v>0.61111111111111116</v>
      </c>
      <c r="N89" s="1583" t="s">
        <v>112</v>
      </c>
      <c r="O89" s="1591">
        <v>3.36</v>
      </c>
      <c r="P89" s="567">
        <f t="shared" si="16"/>
        <v>36337.840000000004</v>
      </c>
      <c r="Q89" s="697"/>
      <c r="R89" s="1538"/>
      <c r="S89" s="700"/>
      <c r="T89" s="552">
        <v>0.1</v>
      </c>
      <c r="U89" s="567">
        <f t="shared" si="18"/>
        <v>3633.7840000000006</v>
      </c>
      <c r="V89" s="1541"/>
      <c r="W89" s="700"/>
      <c r="X89" s="570">
        <f t="shared" si="19"/>
        <v>39971.624000000003</v>
      </c>
      <c r="Y89" s="10"/>
      <c r="Z89" s="10"/>
      <c r="AA89" s="23"/>
      <c r="AK89" s="23"/>
      <c r="AL89" s="23"/>
      <c r="AM89" s="23"/>
      <c r="AN89" s="23"/>
      <c r="AO89" s="23"/>
      <c r="AP89" s="23"/>
      <c r="AQ89" s="23"/>
    </row>
    <row r="90" spans="1:43" s="24" customFormat="1" ht="15.75">
      <c r="A90" s="560">
        <v>12</v>
      </c>
      <c r="B90" s="998" t="s">
        <v>207</v>
      </c>
      <c r="C90" s="873" t="s">
        <v>817</v>
      </c>
      <c r="D90" s="1002" t="s">
        <v>25</v>
      </c>
      <c r="E90" s="1539" t="s">
        <v>588</v>
      </c>
      <c r="F90" s="1539" t="s">
        <v>362</v>
      </c>
      <c r="G90" s="1689">
        <v>1</v>
      </c>
      <c r="H90" s="874" t="s">
        <v>102</v>
      </c>
      <c r="I90" s="874" t="s">
        <v>103</v>
      </c>
      <c r="J90" s="1647">
        <v>1</v>
      </c>
      <c r="K90" s="700">
        <v>17697</v>
      </c>
      <c r="L90" s="1157">
        <v>26</v>
      </c>
      <c r="M90" s="552">
        <f t="shared" si="17"/>
        <v>1.4444444444444444</v>
      </c>
      <c r="N90" s="1583" t="s">
        <v>152</v>
      </c>
      <c r="O90" s="1591">
        <v>4.55</v>
      </c>
      <c r="P90" s="697">
        <f t="shared" si="16"/>
        <v>116308.61666666665</v>
      </c>
      <c r="Q90" s="697"/>
      <c r="R90" s="1538"/>
      <c r="S90" s="700"/>
      <c r="T90" s="552">
        <v>0.1</v>
      </c>
      <c r="U90" s="567">
        <f t="shared" si="18"/>
        <v>11630.861666666666</v>
      </c>
      <c r="V90" s="1541"/>
      <c r="W90" s="700"/>
      <c r="X90" s="570">
        <f t="shared" si="19"/>
        <v>127939.47833333332</v>
      </c>
      <c r="Y90" s="1547"/>
      <c r="Z90" s="1547"/>
      <c r="AA90" s="23"/>
      <c r="AK90" s="23"/>
      <c r="AL90" s="23"/>
      <c r="AM90" s="23"/>
      <c r="AN90" s="23"/>
      <c r="AO90" s="23"/>
      <c r="AP90" s="23"/>
      <c r="AQ90" s="23"/>
    </row>
    <row r="91" spans="1:43" s="24" customFormat="1" ht="15.75">
      <c r="A91" s="547">
        <v>13</v>
      </c>
      <c r="B91" s="153" t="s">
        <v>281</v>
      </c>
      <c r="C91" s="561" t="s">
        <v>99</v>
      </c>
      <c r="D91" s="628" t="s">
        <v>25</v>
      </c>
      <c r="E91" s="586" t="s">
        <v>698</v>
      </c>
      <c r="F91" s="562" t="s">
        <v>40</v>
      </c>
      <c r="G91" s="571">
        <v>1</v>
      </c>
      <c r="H91" s="563" t="s">
        <v>102</v>
      </c>
      <c r="I91" s="563" t="s">
        <v>103</v>
      </c>
      <c r="J91" s="629">
        <v>1</v>
      </c>
      <c r="K91" s="554">
        <v>17697</v>
      </c>
      <c r="L91" s="1643">
        <v>6</v>
      </c>
      <c r="M91" s="552">
        <f t="shared" si="17"/>
        <v>0.33333333333333331</v>
      </c>
      <c r="N91" s="574" t="s">
        <v>152</v>
      </c>
      <c r="O91" s="1015">
        <v>4.75</v>
      </c>
      <c r="P91" s="567">
        <f t="shared" si="16"/>
        <v>28020.25</v>
      </c>
      <c r="Q91" s="697"/>
      <c r="R91" s="568"/>
      <c r="S91" s="554"/>
      <c r="T91" s="552">
        <v>0.1</v>
      </c>
      <c r="U91" s="567">
        <f t="shared" si="18"/>
        <v>2802.0250000000001</v>
      </c>
      <c r="V91" s="19"/>
      <c r="W91" s="554"/>
      <c r="X91" s="570">
        <f t="shared" si="19"/>
        <v>30822.275000000001</v>
      </c>
      <c r="Y91" s="1547"/>
      <c r="Z91" s="1547"/>
      <c r="AA91" s="23"/>
      <c r="AK91" s="23"/>
      <c r="AL91" s="23"/>
      <c r="AM91" s="23"/>
      <c r="AN91" s="23"/>
      <c r="AO91" s="23"/>
      <c r="AP91" s="23"/>
      <c r="AQ91" s="23"/>
    </row>
    <row r="92" spans="1:43" s="24" customFormat="1" ht="17.25" customHeight="1">
      <c r="A92" s="560">
        <v>14</v>
      </c>
      <c r="B92" s="153" t="s">
        <v>243</v>
      </c>
      <c r="C92" s="561" t="s">
        <v>99</v>
      </c>
      <c r="D92" s="563" t="s">
        <v>25</v>
      </c>
      <c r="E92" s="562" t="s">
        <v>705</v>
      </c>
      <c r="F92" s="562" t="s">
        <v>239</v>
      </c>
      <c r="G92" s="571">
        <v>1</v>
      </c>
      <c r="H92" s="580" t="s">
        <v>102</v>
      </c>
      <c r="I92" s="580" t="s">
        <v>103</v>
      </c>
      <c r="J92" s="574">
        <v>2</v>
      </c>
      <c r="K92" s="554">
        <v>17697</v>
      </c>
      <c r="L92" s="1643">
        <v>32</v>
      </c>
      <c r="M92" s="552">
        <f t="shared" si="17"/>
        <v>1.7777777777777777</v>
      </c>
      <c r="N92" s="566" t="s">
        <v>596</v>
      </c>
      <c r="O92" s="1015">
        <v>4.2300000000000004</v>
      </c>
      <c r="P92" s="567">
        <f t="shared" si="16"/>
        <v>133081.44000000003</v>
      </c>
      <c r="Q92" s="697"/>
      <c r="R92" s="568"/>
      <c r="S92" s="554"/>
      <c r="T92" s="552">
        <v>0.1</v>
      </c>
      <c r="U92" s="567">
        <f t="shared" si="18"/>
        <v>13308.144000000004</v>
      </c>
      <c r="V92" s="19"/>
      <c r="W92" s="554"/>
      <c r="X92" s="570">
        <f t="shared" si="19"/>
        <v>146389.58400000003</v>
      </c>
      <c r="Y92" s="10">
        <f>V91+R91</f>
        <v>0</v>
      </c>
      <c r="Z92" s="10">
        <f>W91+S91</f>
        <v>0</v>
      </c>
      <c r="AA92" s="23">
        <f>X91*12</f>
        <v>369867.30000000005</v>
      </c>
      <c r="AB92" s="24">
        <f t="shared" ref="AB92:AB94" si="21">AA92/12/29.33*56</f>
        <v>58849.212410501212</v>
      </c>
      <c r="AC92" s="24">
        <f t="shared" ref="AC92:AC94" si="22">AA92*1.25</f>
        <v>462334.12500000006</v>
      </c>
      <c r="AD92" s="24">
        <f t="shared" ref="AD92:AD94" si="23">AC92/12/29.33*56</f>
        <v>73561.515513126506</v>
      </c>
      <c r="AK92" s="23"/>
      <c r="AL92" s="23"/>
      <c r="AM92" s="23"/>
      <c r="AN92" s="23"/>
      <c r="AO92" s="23"/>
      <c r="AP92" s="23"/>
      <c r="AQ92" s="23"/>
    </row>
    <row r="93" spans="1:43" s="24" customFormat="1" ht="17.25" customHeight="1">
      <c r="A93" s="547">
        <v>15</v>
      </c>
      <c r="B93" s="153" t="s">
        <v>245</v>
      </c>
      <c r="C93" s="561" t="s">
        <v>99</v>
      </c>
      <c r="D93" s="563" t="s">
        <v>25</v>
      </c>
      <c r="E93" s="562" t="s">
        <v>461</v>
      </c>
      <c r="F93" s="1586" t="s">
        <v>40</v>
      </c>
      <c r="G93" s="571">
        <v>1</v>
      </c>
      <c r="H93" s="580" t="s">
        <v>102</v>
      </c>
      <c r="I93" s="580" t="s">
        <v>103</v>
      </c>
      <c r="J93" s="574">
        <v>1</v>
      </c>
      <c r="K93" s="554">
        <v>17697</v>
      </c>
      <c r="L93" s="1643">
        <v>36</v>
      </c>
      <c r="M93" s="552">
        <f t="shared" si="17"/>
        <v>2</v>
      </c>
      <c r="N93" s="574" t="s">
        <v>152</v>
      </c>
      <c r="O93" s="1591">
        <v>4.75</v>
      </c>
      <c r="P93" s="567">
        <f t="shared" si="16"/>
        <v>168121.5</v>
      </c>
      <c r="Q93" s="697"/>
      <c r="R93" s="1538"/>
      <c r="S93" s="700"/>
      <c r="T93" s="552">
        <v>0.1</v>
      </c>
      <c r="U93" s="567">
        <f t="shared" si="18"/>
        <v>16812.150000000001</v>
      </c>
      <c r="V93" s="19"/>
      <c r="W93" s="554"/>
      <c r="X93" s="570">
        <f t="shared" si="19"/>
        <v>184933.65</v>
      </c>
      <c r="Y93" s="10">
        <f>V92+R92</f>
        <v>0</v>
      </c>
      <c r="Z93" s="10">
        <f>W92+S92</f>
        <v>0</v>
      </c>
      <c r="AA93" s="23">
        <f>X92*12</f>
        <v>1756675.0080000004</v>
      </c>
      <c r="AB93" s="24">
        <f t="shared" si="21"/>
        <v>279502.78568019101</v>
      </c>
      <c r="AC93" s="24">
        <f t="shared" si="22"/>
        <v>2195843.7600000007</v>
      </c>
      <c r="AD93" s="24">
        <f t="shared" si="23"/>
        <v>349378.48210023879</v>
      </c>
      <c r="AK93" s="23"/>
      <c r="AL93" s="23"/>
      <c r="AM93" s="23"/>
      <c r="AN93" s="23"/>
      <c r="AO93" s="23"/>
      <c r="AP93" s="23"/>
      <c r="AQ93" s="23"/>
    </row>
    <row r="94" spans="1:43" s="24" customFormat="1" ht="17.25" customHeight="1">
      <c r="A94" s="560">
        <v>16</v>
      </c>
      <c r="B94" s="153" t="s">
        <v>586</v>
      </c>
      <c r="C94" s="561" t="s">
        <v>99</v>
      </c>
      <c r="D94" s="563" t="s">
        <v>25</v>
      </c>
      <c r="E94" s="712" t="s">
        <v>710</v>
      </c>
      <c r="F94" s="562" t="s">
        <v>259</v>
      </c>
      <c r="G94" s="571">
        <v>1</v>
      </c>
      <c r="H94" s="580" t="s">
        <v>102</v>
      </c>
      <c r="I94" s="580" t="s">
        <v>103</v>
      </c>
      <c r="J94" s="574">
        <v>3</v>
      </c>
      <c r="K94" s="554">
        <v>17697</v>
      </c>
      <c r="L94" s="1643">
        <v>32</v>
      </c>
      <c r="M94" s="552">
        <f t="shared" si="17"/>
        <v>1.7777777777777777</v>
      </c>
      <c r="N94" s="566" t="s">
        <v>109</v>
      </c>
      <c r="O94" s="1015">
        <v>4.1399999999999997</v>
      </c>
      <c r="P94" s="567">
        <f t="shared" si="16"/>
        <v>130249.91999999998</v>
      </c>
      <c r="Q94" s="697"/>
      <c r="R94" s="568"/>
      <c r="S94" s="554"/>
      <c r="T94" s="552">
        <v>0.1</v>
      </c>
      <c r="U94" s="567">
        <f t="shared" si="18"/>
        <v>13024.991999999998</v>
      </c>
      <c r="V94" s="19"/>
      <c r="W94" s="554"/>
      <c r="X94" s="570">
        <f t="shared" si="19"/>
        <v>143274.91199999998</v>
      </c>
      <c r="Y94" s="1547"/>
      <c r="Z94" s="1547"/>
      <c r="AA94" s="23">
        <f>X93*12</f>
        <v>2219203.7999999998</v>
      </c>
      <c r="AB94" s="24">
        <f t="shared" si="21"/>
        <v>353095.27446300717</v>
      </c>
      <c r="AC94" s="24">
        <f t="shared" si="22"/>
        <v>2774004.75</v>
      </c>
      <c r="AD94" s="24">
        <f t="shared" si="23"/>
        <v>441369.09307875898</v>
      </c>
      <c r="AK94" s="23"/>
      <c r="AL94" s="23"/>
      <c r="AM94" s="23"/>
      <c r="AN94" s="23"/>
      <c r="AO94" s="23"/>
      <c r="AP94" s="23"/>
      <c r="AQ94" s="23"/>
    </row>
    <row r="95" spans="1:43" s="24" customFormat="1" ht="17.25" customHeight="1">
      <c r="A95" s="547">
        <v>17</v>
      </c>
      <c r="B95" s="998" t="s">
        <v>253</v>
      </c>
      <c r="C95" s="873" t="s">
        <v>148</v>
      </c>
      <c r="D95" s="1002" t="s">
        <v>25</v>
      </c>
      <c r="E95" s="1539" t="s">
        <v>712</v>
      </c>
      <c r="F95" s="1539" t="s">
        <v>712</v>
      </c>
      <c r="G95" s="1689">
        <v>1</v>
      </c>
      <c r="H95" s="563" t="s">
        <v>102</v>
      </c>
      <c r="I95" s="563" t="s">
        <v>103</v>
      </c>
      <c r="J95" s="629">
        <v>1</v>
      </c>
      <c r="K95" s="554">
        <v>17697</v>
      </c>
      <c r="L95" s="1648">
        <v>28</v>
      </c>
      <c r="M95" s="552">
        <f t="shared" si="17"/>
        <v>1.5555555555555556</v>
      </c>
      <c r="N95" s="1583" t="s">
        <v>152</v>
      </c>
      <c r="O95" s="1591">
        <v>4.75</v>
      </c>
      <c r="P95" s="697">
        <f t="shared" si="16"/>
        <v>130761.16666666667</v>
      </c>
      <c r="Q95" s="697"/>
      <c r="R95" s="1538"/>
      <c r="S95" s="700"/>
      <c r="T95" s="552">
        <v>0.1</v>
      </c>
      <c r="U95" s="567">
        <f t="shared" si="18"/>
        <v>13076.116666666669</v>
      </c>
      <c r="V95" s="1541"/>
      <c r="W95" s="700"/>
      <c r="X95" s="570">
        <f t="shared" si="19"/>
        <v>143837.28333333333</v>
      </c>
      <c r="Y95" s="1547"/>
      <c r="Z95" s="1547"/>
      <c r="AA95" s="23"/>
      <c r="AK95" s="23"/>
      <c r="AL95" s="23"/>
      <c r="AM95" s="23"/>
      <c r="AN95" s="23"/>
      <c r="AO95" s="23"/>
      <c r="AP95" s="23"/>
      <c r="AQ95" s="23"/>
    </row>
    <row r="96" spans="1:43" s="24" customFormat="1" ht="17.25" customHeight="1">
      <c r="A96" s="560">
        <v>18</v>
      </c>
      <c r="B96" s="998" t="s">
        <v>792</v>
      </c>
      <c r="C96" s="873" t="s">
        <v>99</v>
      </c>
      <c r="D96" s="1002" t="s">
        <v>25</v>
      </c>
      <c r="E96" s="706" t="s">
        <v>793</v>
      </c>
      <c r="F96" s="1539" t="s">
        <v>463</v>
      </c>
      <c r="G96" s="571">
        <v>1</v>
      </c>
      <c r="H96" s="580" t="s">
        <v>102</v>
      </c>
      <c r="I96" s="580" t="s">
        <v>103</v>
      </c>
      <c r="J96" s="574">
        <v>3</v>
      </c>
      <c r="K96" s="554">
        <v>17697</v>
      </c>
      <c r="L96" s="1648">
        <v>18</v>
      </c>
      <c r="M96" s="552">
        <f t="shared" si="17"/>
        <v>1</v>
      </c>
      <c r="N96" s="1583" t="s">
        <v>109</v>
      </c>
      <c r="O96" s="1591">
        <v>4.28</v>
      </c>
      <c r="P96" s="697">
        <f t="shared" si="16"/>
        <v>75743.16</v>
      </c>
      <c r="Q96" s="697"/>
      <c r="R96" s="1538"/>
      <c r="S96" s="700"/>
      <c r="T96" s="552">
        <v>0.1</v>
      </c>
      <c r="U96" s="567">
        <f t="shared" si="18"/>
        <v>7574.3160000000007</v>
      </c>
      <c r="V96" s="1541"/>
      <c r="W96" s="700"/>
      <c r="X96" s="570">
        <f t="shared" si="19"/>
        <v>83317.47600000001</v>
      </c>
      <c r="Y96" s="1547"/>
      <c r="Z96" s="1547"/>
      <c r="AA96" s="23"/>
      <c r="AK96" s="23"/>
      <c r="AL96" s="23"/>
      <c r="AM96" s="23"/>
      <c r="AN96" s="23"/>
      <c r="AO96" s="23"/>
      <c r="AP96" s="23"/>
      <c r="AQ96" s="23"/>
    </row>
    <row r="97" spans="1:44" s="24" customFormat="1" ht="17.25" customHeight="1">
      <c r="A97" s="547">
        <v>19</v>
      </c>
      <c r="B97" s="1008" t="s">
        <v>255</v>
      </c>
      <c r="C97" s="1009" t="s">
        <v>99</v>
      </c>
      <c r="D97" s="1592" t="s">
        <v>25</v>
      </c>
      <c r="E97" s="1586" t="s">
        <v>714</v>
      </c>
      <c r="F97" s="1586" t="s">
        <v>40</v>
      </c>
      <c r="G97" s="571">
        <v>1</v>
      </c>
      <c r="H97" s="1593" t="s">
        <v>102</v>
      </c>
      <c r="I97" s="1593" t="s">
        <v>103</v>
      </c>
      <c r="J97" s="1594">
        <v>1</v>
      </c>
      <c r="K97" s="554">
        <v>17697</v>
      </c>
      <c r="L97" s="1649">
        <v>34</v>
      </c>
      <c r="M97" s="552">
        <f t="shared" si="17"/>
        <v>1.8888888888888888</v>
      </c>
      <c r="N97" s="574" t="s">
        <v>152</v>
      </c>
      <c r="O97" s="1016">
        <v>4.75</v>
      </c>
      <c r="P97" s="567">
        <f t="shared" si="16"/>
        <v>158781.41666666669</v>
      </c>
      <c r="Q97" s="697"/>
      <c r="R97" s="608"/>
      <c r="S97" s="605"/>
      <c r="T97" s="552">
        <v>0.1</v>
      </c>
      <c r="U97" s="567">
        <f t="shared" si="18"/>
        <v>15878.14166666667</v>
      </c>
      <c r="V97" s="19"/>
      <c r="W97" s="554"/>
      <c r="X97" s="570">
        <f t="shared" si="19"/>
        <v>174659.55833333335</v>
      </c>
      <c r="Y97" s="1547"/>
      <c r="Z97" s="1547"/>
      <c r="AA97" s="23"/>
      <c r="AK97" s="23"/>
      <c r="AL97" s="23"/>
      <c r="AM97" s="23"/>
      <c r="AN97" s="23"/>
      <c r="AO97" s="23"/>
      <c r="AP97" s="23"/>
      <c r="AQ97" s="23"/>
    </row>
    <row r="98" spans="1:44" s="24" customFormat="1" ht="16.5" customHeight="1">
      <c r="A98" s="560">
        <v>20</v>
      </c>
      <c r="B98" s="153" t="s">
        <v>257</v>
      </c>
      <c r="C98" s="561" t="s">
        <v>99</v>
      </c>
      <c r="D98" s="563" t="s">
        <v>25</v>
      </c>
      <c r="E98" s="562" t="s">
        <v>715</v>
      </c>
      <c r="F98" s="562" t="s">
        <v>239</v>
      </c>
      <c r="G98" s="571">
        <v>1</v>
      </c>
      <c r="H98" s="580" t="s">
        <v>102</v>
      </c>
      <c r="I98" s="580" t="s">
        <v>103</v>
      </c>
      <c r="J98" s="574">
        <v>2</v>
      </c>
      <c r="K98" s="888">
        <v>17697</v>
      </c>
      <c r="L98" s="1649">
        <v>27</v>
      </c>
      <c r="M98" s="552">
        <f t="shared" si="17"/>
        <v>1.5</v>
      </c>
      <c r="N98" s="1583" t="s">
        <v>104</v>
      </c>
      <c r="O98" s="1595">
        <v>4.2300000000000004</v>
      </c>
      <c r="P98" s="567">
        <f t="shared" si="16"/>
        <v>112287.46500000003</v>
      </c>
      <c r="Q98" s="697"/>
      <c r="R98" s="1011"/>
      <c r="S98" s="888"/>
      <c r="T98" s="552">
        <v>0.1</v>
      </c>
      <c r="U98" s="567">
        <f t="shared" si="18"/>
        <v>11228.746500000003</v>
      </c>
      <c r="V98" s="19"/>
      <c r="W98" s="554"/>
      <c r="X98" s="570">
        <f t="shared" si="19"/>
        <v>123516.21150000003</v>
      </c>
      <c r="Y98" s="35">
        <f>V97+R97</f>
        <v>0</v>
      </c>
      <c r="Z98" s="35">
        <f>W97+S97</f>
        <v>0</v>
      </c>
      <c r="AA98" s="23">
        <f>X97*12</f>
        <v>2095914.7000000002</v>
      </c>
      <c r="AB98" s="24">
        <f>AA98/12/29.33*56</f>
        <v>333478.87032617349</v>
      </c>
      <c r="AC98" s="24">
        <f>AA98*1.25</f>
        <v>2619893.375</v>
      </c>
      <c r="AD98" s="24">
        <f>AC98/12/29.33*56</f>
        <v>416848.58790771681</v>
      </c>
      <c r="AK98" s="23"/>
      <c r="AL98" s="23"/>
      <c r="AM98" s="23"/>
      <c r="AN98" s="23"/>
      <c r="AO98" s="23"/>
      <c r="AP98" s="23"/>
      <c r="AQ98" s="23"/>
    </row>
    <row r="99" spans="1:44" s="24" customFormat="1" ht="16.5" customHeight="1">
      <c r="A99" s="547">
        <v>21</v>
      </c>
      <c r="B99" s="153" t="s">
        <v>388</v>
      </c>
      <c r="C99" s="561" t="s">
        <v>99</v>
      </c>
      <c r="D99" s="563" t="s">
        <v>189</v>
      </c>
      <c r="E99" s="562" t="s">
        <v>718</v>
      </c>
      <c r="F99" s="562" t="s">
        <v>34</v>
      </c>
      <c r="G99" s="571">
        <v>1</v>
      </c>
      <c r="H99" s="580" t="s">
        <v>102</v>
      </c>
      <c r="I99" s="580" t="s">
        <v>103</v>
      </c>
      <c r="J99" s="574">
        <v>1</v>
      </c>
      <c r="K99" s="554">
        <v>17697</v>
      </c>
      <c r="L99" s="1643">
        <v>9</v>
      </c>
      <c r="M99" s="552">
        <f t="shared" si="17"/>
        <v>0.5</v>
      </c>
      <c r="N99" s="574" t="s">
        <v>152</v>
      </c>
      <c r="O99" s="1015">
        <v>4.75</v>
      </c>
      <c r="P99" s="567">
        <f t="shared" si="16"/>
        <v>42030.375</v>
      </c>
      <c r="Q99" s="697"/>
      <c r="R99" s="568"/>
      <c r="S99" s="554"/>
      <c r="T99" s="552">
        <v>0.1</v>
      </c>
      <c r="U99" s="567">
        <f t="shared" si="18"/>
        <v>4203.0375000000004</v>
      </c>
      <c r="V99" s="19"/>
      <c r="W99" s="554"/>
      <c r="X99" s="570">
        <f t="shared" si="19"/>
        <v>46233.412499999999</v>
      </c>
      <c r="Y99" s="1690"/>
      <c r="Z99" s="1690"/>
      <c r="AA99" s="23">
        <f>X98*12</f>
        <v>1482194.5380000004</v>
      </c>
      <c r="AB99" s="24">
        <f>AA99/12/29.33*56</f>
        <v>235830.47541766116</v>
      </c>
      <c r="AC99" s="24">
        <f>AA99*1.25</f>
        <v>1852743.1725000006</v>
      </c>
      <c r="AD99" s="24">
        <f>AC99/12/29.33*56</f>
        <v>294788.0942720765</v>
      </c>
      <c r="AK99" s="23"/>
      <c r="AL99" s="23"/>
      <c r="AM99" s="23"/>
      <c r="AN99" s="23"/>
      <c r="AO99" s="23"/>
      <c r="AP99" s="23"/>
      <c r="AQ99" s="23"/>
    </row>
    <row r="100" spans="1:44" s="486" customFormat="1" ht="17.25" customHeight="1">
      <c r="A100" s="1614"/>
      <c r="B100" s="1615" t="s">
        <v>798</v>
      </c>
      <c r="C100" s="1616"/>
      <c r="D100" s="1614"/>
      <c r="E100" s="1617"/>
      <c r="F100" s="1618"/>
      <c r="G100" s="1614"/>
      <c r="H100" s="1619"/>
      <c r="I100" s="1619"/>
      <c r="J100" s="1620"/>
      <c r="K100" s="1621"/>
      <c r="L100" s="1622">
        <f>SUM(L79:L99)</f>
        <v>477</v>
      </c>
      <c r="M100" s="1621"/>
      <c r="N100" s="1620"/>
      <c r="O100" s="1622"/>
      <c r="P100" s="1596"/>
      <c r="Q100" s="1596"/>
      <c r="R100" s="1623"/>
      <c r="S100" s="1621"/>
      <c r="T100" s="1621"/>
      <c r="U100" s="1596"/>
      <c r="V100" s="1624"/>
      <c r="W100" s="1621"/>
      <c r="X100" s="1625"/>
      <c r="Y100" s="406">
        <f>V99+R99</f>
        <v>0</v>
      </c>
      <c r="Z100" s="1545">
        <f>W99+S99</f>
        <v>0</v>
      </c>
      <c r="AA100" s="375">
        <f>X99*12</f>
        <v>554800.94999999995</v>
      </c>
      <c r="AB100" s="377">
        <f>AA100/12/29.33*56</f>
        <v>88273.818615751792</v>
      </c>
      <c r="AC100" s="377">
        <f>AA100*1.25</f>
        <v>693501.1875</v>
      </c>
      <c r="AD100" s="377">
        <f>AC100/12/29.33*56</f>
        <v>110342.27326968974</v>
      </c>
      <c r="AE100" s="375"/>
      <c r="AF100" s="375"/>
      <c r="AG100" s="375"/>
      <c r="AH100" s="375"/>
      <c r="AI100" s="375"/>
      <c r="AJ100" s="375"/>
      <c r="AK100" s="23"/>
      <c r="AL100" s="23"/>
      <c r="AM100" s="23"/>
      <c r="AN100" s="23"/>
      <c r="AO100" s="23"/>
      <c r="AP100" s="23"/>
      <c r="AQ100" s="23"/>
      <c r="AR100" s="1546"/>
    </row>
    <row r="101" spans="1:44" s="24" customFormat="1" ht="17.25" customHeight="1">
      <c r="A101" s="966"/>
      <c r="B101" s="1516" t="s">
        <v>788</v>
      </c>
      <c r="C101" s="968"/>
      <c r="D101" s="969"/>
      <c r="E101" s="970"/>
      <c r="F101" s="970"/>
      <c r="G101" s="971"/>
      <c r="H101" s="972"/>
      <c r="I101" s="972"/>
      <c r="J101" s="973"/>
      <c r="K101" s="974"/>
      <c r="L101" s="975"/>
      <c r="M101" s="974"/>
      <c r="N101" s="973"/>
      <c r="O101" s="976"/>
      <c r="P101" s="977"/>
      <c r="Q101" s="1031"/>
      <c r="R101" s="977"/>
      <c r="S101" s="977"/>
      <c r="T101" s="977"/>
      <c r="U101" s="977"/>
      <c r="V101" s="977"/>
      <c r="W101" s="977"/>
      <c r="X101" s="977"/>
      <c r="Y101" s="1547"/>
      <c r="Z101" s="1547"/>
      <c r="AA101" s="23"/>
      <c r="AK101" s="23"/>
      <c r="AL101" s="23"/>
      <c r="AM101" s="23"/>
      <c r="AN101" s="23"/>
      <c r="AO101" s="23"/>
      <c r="AP101" s="23"/>
      <c r="AQ101" s="23"/>
    </row>
    <row r="102" spans="1:44" s="24" customFormat="1" ht="17.25" customHeight="1">
      <c r="A102" s="547">
        <v>1</v>
      </c>
      <c r="B102" s="640" t="s">
        <v>36</v>
      </c>
      <c r="C102" s="641" t="s">
        <v>99</v>
      </c>
      <c r="D102" s="642" t="s">
        <v>25</v>
      </c>
      <c r="E102" s="643" t="s">
        <v>649</v>
      </c>
      <c r="F102" s="583" t="s">
        <v>40</v>
      </c>
      <c r="G102" s="547">
        <v>1</v>
      </c>
      <c r="H102" s="577" t="s">
        <v>102</v>
      </c>
      <c r="I102" s="577" t="s">
        <v>103</v>
      </c>
      <c r="J102" s="644">
        <v>1</v>
      </c>
      <c r="K102" s="552">
        <v>17697</v>
      </c>
      <c r="L102" s="645">
        <v>9</v>
      </c>
      <c r="M102" s="552">
        <f>L102/18</f>
        <v>0.5</v>
      </c>
      <c r="N102" s="574" t="s">
        <v>152</v>
      </c>
      <c r="O102" s="1597">
        <v>4.75</v>
      </c>
      <c r="P102" s="556">
        <f t="shared" ref="P102:P122" si="24">O102*K102/18*L102</f>
        <v>42030.375</v>
      </c>
      <c r="Q102" s="556"/>
      <c r="R102" s="557"/>
      <c r="S102" s="552"/>
      <c r="T102" s="552">
        <v>0.1</v>
      </c>
      <c r="U102" s="556">
        <f>(P102+Q102)*T102</f>
        <v>4203.0375000000004</v>
      </c>
      <c r="V102" s="19"/>
      <c r="W102" s="552"/>
      <c r="X102" s="559">
        <f>P102+Q102+U102</f>
        <v>46233.412499999999</v>
      </c>
      <c r="Y102" s="10"/>
      <c r="Z102" s="10"/>
      <c r="AA102" s="23">
        <f>X101*12</f>
        <v>0</v>
      </c>
      <c r="AB102" s="24">
        <f t="shared" ref="AB102:AB122" si="25">AA102/12/29.33*56</f>
        <v>0</v>
      </c>
      <c r="AC102" s="24">
        <f t="shared" ref="AC102:AC122" si="26">AA102*1.25</f>
        <v>0</v>
      </c>
      <c r="AD102" s="24">
        <f t="shared" ref="AD102:AD122" si="27">AC102/12/29.33*56</f>
        <v>0</v>
      </c>
      <c r="AK102" s="23"/>
      <c r="AL102" s="23"/>
      <c r="AM102" s="23"/>
      <c r="AN102" s="23"/>
      <c r="AO102" s="23"/>
      <c r="AP102" s="23"/>
      <c r="AQ102" s="23"/>
    </row>
    <row r="103" spans="1:44" s="24" customFormat="1" ht="17.25" customHeight="1">
      <c r="A103" s="547">
        <v>2</v>
      </c>
      <c r="B103" s="646" t="s">
        <v>261</v>
      </c>
      <c r="C103" s="647" t="s">
        <v>99</v>
      </c>
      <c r="D103" s="628" t="s">
        <v>25</v>
      </c>
      <c r="E103" s="586" t="s">
        <v>652</v>
      </c>
      <c r="F103" s="562" t="s">
        <v>614</v>
      </c>
      <c r="G103" s="560">
        <v>1</v>
      </c>
      <c r="H103" s="563" t="s">
        <v>102</v>
      </c>
      <c r="I103" s="563" t="s">
        <v>103</v>
      </c>
      <c r="J103" s="629">
        <v>1</v>
      </c>
      <c r="K103" s="554">
        <v>17697</v>
      </c>
      <c r="L103" s="645">
        <v>31</v>
      </c>
      <c r="M103" s="552">
        <f t="shared" ref="M103:M122" si="28">L103/18</f>
        <v>1.7222222222222223</v>
      </c>
      <c r="N103" s="574" t="s">
        <v>152</v>
      </c>
      <c r="O103" s="1598">
        <v>4.55</v>
      </c>
      <c r="P103" s="556">
        <f t="shared" si="24"/>
        <v>138675.65833333333</v>
      </c>
      <c r="Q103" s="556"/>
      <c r="R103" s="568"/>
      <c r="S103" s="554"/>
      <c r="T103" s="554">
        <v>0.1</v>
      </c>
      <c r="U103" s="556">
        <f t="shared" ref="U103:U122" si="29">(P103+Q103)*T103</f>
        <v>13867.565833333334</v>
      </c>
      <c r="V103" s="19"/>
      <c r="W103" s="552"/>
      <c r="X103" s="559">
        <f t="shared" ref="X103:X121" si="30">P103+Q103+U103</f>
        <v>152543.22416666665</v>
      </c>
      <c r="Y103" s="70">
        <f>V102+R102</f>
        <v>0</v>
      </c>
      <c r="Z103" s="70">
        <f>W102+S102</f>
        <v>0</v>
      </c>
      <c r="AA103" s="23">
        <f>X102*12</f>
        <v>554800.94999999995</v>
      </c>
      <c r="AB103" s="24">
        <f t="shared" si="25"/>
        <v>88273.818615751792</v>
      </c>
      <c r="AC103" s="24">
        <f t="shared" si="26"/>
        <v>693501.1875</v>
      </c>
      <c r="AD103" s="24">
        <f t="shared" si="27"/>
        <v>110342.27326968974</v>
      </c>
      <c r="AK103" s="23"/>
      <c r="AL103" s="23"/>
      <c r="AM103" s="23"/>
      <c r="AN103" s="23"/>
      <c r="AO103" s="23"/>
      <c r="AP103" s="23"/>
      <c r="AQ103" s="23"/>
    </row>
    <row r="104" spans="1:44" s="24" customFormat="1" ht="17.25" customHeight="1">
      <c r="A104" s="547">
        <v>3</v>
      </c>
      <c r="B104" s="872" t="s">
        <v>760</v>
      </c>
      <c r="C104" s="692" t="s">
        <v>99</v>
      </c>
      <c r="D104" s="875" t="s">
        <v>25</v>
      </c>
      <c r="E104" s="1599" t="s">
        <v>761</v>
      </c>
      <c r="F104" s="1539" t="s">
        <v>403</v>
      </c>
      <c r="G104" s="560">
        <v>1</v>
      </c>
      <c r="H104" s="563" t="s">
        <v>102</v>
      </c>
      <c r="I104" s="563" t="s">
        <v>103</v>
      </c>
      <c r="J104" s="629">
        <v>3</v>
      </c>
      <c r="K104" s="554">
        <v>17697</v>
      </c>
      <c r="L104" s="645">
        <v>26</v>
      </c>
      <c r="M104" s="552">
        <f t="shared" si="28"/>
        <v>1.4444444444444444</v>
      </c>
      <c r="N104" s="698" t="s">
        <v>109</v>
      </c>
      <c r="O104" s="1600">
        <v>4.1399999999999997</v>
      </c>
      <c r="P104" s="556">
        <f t="shared" si="24"/>
        <v>105828.05999999998</v>
      </c>
      <c r="Q104" s="556"/>
      <c r="R104" s="1538"/>
      <c r="S104" s="700"/>
      <c r="T104" s="554">
        <v>0.1</v>
      </c>
      <c r="U104" s="556">
        <f t="shared" si="29"/>
        <v>10582.805999999999</v>
      </c>
      <c r="V104" s="1541"/>
      <c r="W104" s="552"/>
      <c r="X104" s="559">
        <f t="shared" si="30"/>
        <v>116410.86599999998</v>
      </c>
      <c r="Y104" s="10">
        <f>V103+R103</f>
        <v>0</v>
      </c>
      <c r="Z104" s="10">
        <f>W103+S103</f>
        <v>0</v>
      </c>
      <c r="AA104" s="23">
        <f>X103*12</f>
        <v>1830518.69</v>
      </c>
      <c r="AB104" s="24">
        <f t="shared" si="25"/>
        <v>291251.97931583133</v>
      </c>
      <c r="AC104" s="24">
        <f t="shared" si="26"/>
        <v>2288148.3624999998</v>
      </c>
      <c r="AD104" s="24">
        <f t="shared" si="27"/>
        <v>364064.97414478916</v>
      </c>
      <c r="AK104" s="23"/>
      <c r="AL104" s="23"/>
      <c r="AM104" s="23"/>
      <c r="AN104" s="23"/>
      <c r="AO104" s="23"/>
      <c r="AP104" s="23"/>
      <c r="AQ104" s="23"/>
    </row>
    <row r="105" spans="1:44" s="24" customFormat="1" ht="17.25" customHeight="1">
      <c r="A105" s="547">
        <v>4</v>
      </c>
      <c r="B105" s="872" t="s">
        <v>263</v>
      </c>
      <c r="C105" s="692" t="s">
        <v>99</v>
      </c>
      <c r="D105" s="875" t="s">
        <v>25</v>
      </c>
      <c r="E105" s="1599" t="s">
        <v>655</v>
      </c>
      <c r="F105" s="582" t="s">
        <v>271</v>
      </c>
      <c r="G105" s="874">
        <v>1</v>
      </c>
      <c r="H105" s="563" t="s">
        <v>102</v>
      </c>
      <c r="I105" s="563" t="s">
        <v>103</v>
      </c>
      <c r="J105" s="629">
        <v>2</v>
      </c>
      <c r="K105" s="554">
        <v>17697</v>
      </c>
      <c r="L105" s="645">
        <v>18</v>
      </c>
      <c r="M105" s="552">
        <f t="shared" si="28"/>
        <v>1</v>
      </c>
      <c r="N105" s="698" t="s">
        <v>104</v>
      </c>
      <c r="O105" s="1600">
        <v>4.37</v>
      </c>
      <c r="P105" s="556">
        <f>O105*K105/18*L105</f>
        <v>77335.89</v>
      </c>
      <c r="Q105" s="556"/>
      <c r="R105" s="1538"/>
      <c r="S105" s="700"/>
      <c r="T105" s="554">
        <v>0.1</v>
      </c>
      <c r="U105" s="556">
        <f>(P105+Q105)*T105</f>
        <v>7733.5889999999999</v>
      </c>
      <c r="V105" s="1541"/>
      <c r="W105" s="552"/>
      <c r="X105" s="559">
        <f t="shared" si="30"/>
        <v>85069.478999999992</v>
      </c>
      <c r="Y105" s="1547"/>
      <c r="Z105" s="1547"/>
      <c r="AA105" s="23"/>
      <c r="AK105" s="23"/>
      <c r="AL105" s="23"/>
      <c r="AM105" s="23"/>
      <c r="AN105" s="23"/>
      <c r="AO105" s="23"/>
      <c r="AP105" s="23"/>
      <c r="AQ105" s="23"/>
    </row>
    <row r="106" spans="1:44" s="24" customFormat="1" ht="17.25" customHeight="1">
      <c r="A106" s="547">
        <v>5</v>
      </c>
      <c r="B106" s="647" t="s">
        <v>264</v>
      </c>
      <c r="C106" s="647" t="s">
        <v>99</v>
      </c>
      <c r="D106" s="628" t="s">
        <v>25</v>
      </c>
      <c r="E106" s="586" t="s">
        <v>658</v>
      </c>
      <c r="F106" s="562" t="s">
        <v>40</v>
      </c>
      <c r="G106" s="560">
        <v>1</v>
      </c>
      <c r="H106" s="563" t="s">
        <v>102</v>
      </c>
      <c r="I106" s="563" t="s">
        <v>103</v>
      </c>
      <c r="J106" s="629">
        <v>1</v>
      </c>
      <c r="K106" s="554">
        <v>17697</v>
      </c>
      <c r="L106" s="645">
        <v>32</v>
      </c>
      <c r="M106" s="552">
        <f t="shared" si="28"/>
        <v>1.7777777777777777</v>
      </c>
      <c r="N106" s="574" t="s">
        <v>152</v>
      </c>
      <c r="O106" s="1598">
        <v>4.75</v>
      </c>
      <c r="P106" s="556">
        <f t="shared" si="24"/>
        <v>149441.33333333334</v>
      </c>
      <c r="Q106" s="556"/>
      <c r="R106" s="568"/>
      <c r="S106" s="554"/>
      <c r="T106" s="554">
        <v>0.1</v>
      </c>
      <c r="U106" s="556">
        <f t="shared" si="29"/>
        <v>14944.133333333335</v>
      </c>
      <c r="V106" s="19"/>
      <c r="W106" s="552"/>
      <c r="X106" s="559">
        <f t="shared" si="30"/>
        <v>164385.46666666667</v>
      </c>
      <c r="Y106" s="1547"/>
      <c r="Z106" s="1547"/>
      <c r="AA106" s="23"/>
      <c r="AK106" s="23"/>
      <c r="AL106" s="23"/>
      <c r="AM106" s="23"/>
      <c r="AN106" s="23"/>
      <c r="AO106" s="23"/>
      <c r="AP106" s="23"/>
      <c r="AQ106" s="23"/>
    </row>
    <row r="107" spans="1:44" s="24" customFormat="1" ht="16.5" customHeight="1">
      <c r="A107" s="547">
        <v>7</v>
      </c>
      <c r="B107" s="647" t="s">
        <v>268</v>
      </c>
      <c r="C107" s="647" t="s">
        <v>99</v>
      </c>
      <c r="D107" s="628" t="s">
        <v>25</v>
      </c>
      <c r="E107" s="586" t="s">
        <v>664</v>
      </c>
      <c r="F107" s="562" t="s">
        <v>40</v>
      </c>
      <c r="G107" s="560">
        <v>1</v>
      </c>
      <c r="H107" s="563" t="s">
        <v>102</v>
      </c>
      <c r="I107" s="563" t="s">
        <v>103</v>
      </c>
      <c r="J107" s="629">
        <v>1</v>
      </c>
      <c r="K107" s="554">
        <v>17697</v>
      </c>
      <c r="L107" s="645">
        <v>32</v>
      </c>
      <c r="M107" s="552">
        <f t="shared" si="28"/>
        <v>1.7777777777777777</v>
      </c>
      <c r="N107" s="574" t="s">
        <v>152</v>
      </c>
      <c r="O107" s="1598">
        <v>4.75</v>
      </c>
      <c r="P107" s="556">
        <f t="shared" si="24"/>
        <v>149441.33333333334</v>
      </c>
      <c r="Q107" s="556"/>
      <c r="R107" s="568"/>
      <c r="S107" s="554"/>
      <c r="T107" s="554">
        <v>0.1</v>
      </c>
      <c r="U107" s="556">
        <f t="shared" si="29"/>
        <v>14944.133333333335</v>
      </c>
      <c r="V107" s="19"/>
      <c r="W107" s="552"/>
      <c r="X107" s="559">
        <f t="shared" si="30"/>
        <v>164385.46666666667</v>
      </c>
      <c r="Y107" s="1547"/>
      <c r="Z107" s="1547"/>
      <c r="AA107" s="23"/>
      <c r="AK107" s="23"/>
      <c r="AL107" s="23"/>
      <c r="AM107" s="23"/>
      <c r="AN107" s="23"/>
      <c r="AO107" s="23"/>
      <c r="AP107" s="23"/>
      <c r="AQ107" s="23"/>
    </row>
    <row r="108" spans="1:44" s="24" customFormat="1" ht="17.25" customHeight="1">
      <c r="A108" s="547">
        <v>8</v>
      </c>
      <c r="B108" s="647" t="s">
        <v>269</v>
      </c>
      <c r="C108" s="647" t="s">
        <v>99</v>
      </c>
      <c r="D108" s="628" t="s">
        <v>25</v>
      </c>
      <c r="E108" s="586" t="s">
        <v>670</v>
      </c>
      <c r="F108" s="582" t="s">
        <v>271</v>
      </c>
      <c r="G108" s="560">
        <v>1</v>
      </c>
      <c r="H108" s="563" t="s">
        <v>102</v>
      </c>
      <c r="I108" s="563" t="s">
        <v>103</v>
      </c>
      <c r="J108" s="629">
        <v>1</v>
      </c>
      <c r="K108" s="554">
        <v>17697</v>
      </c>
      <c r="L108" s="645">
        <v>34</v>
      </c>
      <c r="M108" s="552">
        <f t="shared" si="28"/>
        <v>1.8888888888888888</v>
      </c>
      <c r="N108" s="574" t="s">
        <v>152</v>
      </c>
      <c r="O108" s="1598">
        <v>4.62</v>
      </c>
      <c r="P108" s="556">
        <f t="shared" si="24"/>
        <v>154435.81999999998</v>
      </c>
      <c r="Q108" s="556"/>
      <c r="R108" s="568"/>
      <c r="S108" s="554"/>
      <c r="T108" s="554">
        <v>0.1</v>
      </c>
      <c r="U108" s="556">
        <f t="shared" si="29"/>
        <v>15443.581999999999</v>
      </c>
      <c r="V108" s="19"/>
      <c r="W108" s="552"/>
      <c r="X108" s="559">
        <f t="shared" si="30"/>
        <v>169879.40199999997</v>
      </c>
      <c r="Y108" s="10">
        <f>V107+R107</f>
        <v>0</v>
      </c>
      <c r="Z108" s="10">
        <f>W107+S107</f>
        <v>0</v>
      </c>
      <c r="AA108" s="23">
        <f>X107*12</f>
        <v>1972625.6</v>
      </c>
      <c r="AB108" s="24">
        <f t="shared" si="25"/>
        <v>313862.46618933976</v>
      </c>
      <c r="AC108" s="24">
        <f t="shared" si="26"/>
        <v>2465782</v>
      </c>
      <c r="AD108" s="24">
        <f t="shared" si="27"/>
        <v>392328.0827366747</v>
      </c>
      <c r="AK108" s="23"/>
      <c r="AL108" s="23"/>
      <c r="AM108" s="23"/>
      <c r="AN108" s="23"/>
      <c r="AO108" s="23"/>
      <c r="AP108" s="23"/>
      <c r="AQ108" s="23"/>
    </row>
    <row r="109" spans="1:44" s="24" customFormat="1" ht="16.5" customHeight="1">
      <c r="A109" s="547">
        <v>9</v>
      </c>
      <c r="B109" s="647" t="s">
        <v>391</v>
      </c>
      <c r="C109" s="647" t="s">
        <v>99</v>
      </c>
      <c r="D109" s="563" t="s">
        <v>25</v>
      </c>
      <c r="E109" s="586" t="s">
        <v>673</v>
      </c>
      <c r="F109" s="582" t="s">
        <v>77</v>
      </c>
      <c r="G109" s="560">
        <v>1</v>
      </c>
      <c r="H109" s="563" t="s">
        <v>102</v>
      </c>
      <c r="I109" s="563" t="s">
        <v>103</v>
      </c>
      <c r="J109" s="629">
        <v>4</v>
      </c>
      <c r="K109" s="554">
        <v>17697</v>
      </c>
      <c r="L109" s="645">
        <v>24</v>
      </c>
      <c r="M109" s="552">
        <f t="shared" si="28"/>
        <v>1.3333333333333333</v>
      </c>
      <c r="N109" s="1601" t="s">
        <v>112</v>
      </c>
      <c r="O109" s="1602">
        <v>3.71</v>
      </c>
      <c r="P109" s="556">
        <f t="shared" si="24"/>
        <v>87541.16</v>
      </c>
      <c r="Q109" s="556"/>
      <c r="R109" s="568"/>
      <c r="S109" s="554"/>
      <c r="T109" s="554">
        <v>0.1</v>
      </c>
      <c r="U109" s="556">
        <f t="shared" si="29"/>
        <v>8754.116</v>
      </c>
      <c r="V109" s="19"/>
      <c r="W109" s="552"/>
      <c r="X109" s="559">
        <f t="shared" si="30"/>
        <v>96295.275999999998</v>
      </c>
      <c r="Y109" s="10">
        <f>V108+R108</f>
        <v>0</v>
      </c>
      <c r="Z109" s="10">
        <f>W108+S108</f>
        <v>0</v>
      </c>
      <c r="AA109" s="23">
        <f>X108*12</f>
        <v>2038552.8239999996</v>
      </c>
      <c r="AB109" s="24">
        <f t="shared" si="25"/>
        <v>324352.08019093075</v>
      </c>
      <c r="AC109" s="24">
        <f t="shared" si="26"/>
        <v>2548191.0299999993</v>
      </c>
      <c r="AD109" s="24">
        <f t="shared" si="27"/>
        <v>405440.10023866344</v>
      </c>
      <c r="AK109" s="23"/>
      <c r="AL109" s="23"/>
      <c r="AM109" s="23"/>
      <c r="AN109" s="23"/>
      <c r="AO109" s="23"/>
      <c r="AP109" s="23"/>
      <c r="AQ109" s="23"/>
    </row>
    <row r="110" spans="1:44" s="24" customFormat="1" ht="16.5" customHeight="1">
      <c r="A110" s="547">
        <v>10</v>
      </c>
      <c r="B110" s="998" t="s">
        <v>803</v>
      </c>
      <c r="C110" s="873" t="s">
        <v>99</v>
      </c>
      <c r="D110" s="1002" t="s">
        <v>25</v>
      </c>
      <c r="E110" s="1586" t="s">
        <v>807</v>
      </c>
      <c r="F110" s="1586" t="s">
        <v>34</v>
      </c>
      <c r="G110" s="547">
        <v>1</v>
      </c>
      <c r="H110" s="563" t="s">
        <v>102</v>
      </c>
      <c r="I110" s="563" t="s">
        <v>103</v>
      </c>
      <c r="J110" s="581">
        <v>1</v>
      </c>
      <c r="K110" s="554">
        <v>17697</v>
      </c>
      <c r="L110" s="1540">
        <v>6</v>
      </c>
      <c r="M110" s="552">
        <f t="shared" si="28"/>
        <v>0.33333333333333331</v>
      </c>
      <c r="N110" s="698" t="s">
        <v>152</v>
      </c>
      <c r="O110" s="1157">
        <v>4.75</v>
      </c>
      <c r="P110" s="556">
        <f t="shared" si="24"/>
        <v>28020.25</v>
      </c>
      <c r="Q110" s="556"/>
      <c r="R110" s="1538"/>
      <c r="S110" s="700"/>
      <c r="T110" s="554">
        <v>0.1</v>
      </c>
      <c r="U110" s="556">
        <f t="shared" si="29"/>
        <v>2802.0250000000001</v>
      </c>
      <c r="V110" s="1541"/>
      <c r="W110" s="552"/>
      <c r="X110" s="559">
        <f t="shared" si="30"/>
        <v>30822.275000000001</v>
      </c>
      <c r="Y110" s="1547"/>
      <c r="Z110" s="1547"/>
      <c r="AA110" s="23"/>
      <c r="AK110" s="23"/>
      <c r="AL110" s="23"/>
      <c r="AM110" s="23"/>
      <c r="AN110" s="23"/>
      <c r="AO110" s="23"/>
      <c r="AP110" s="23"/>
      <c r="AQ110" s="23"/>
    </row>
    <row r="111" spans="1:44" s="24" customFormat="1" ht="17.25" customHeight="1">
      <c r="A111" s="547">
        <v>11</v>
      </c>
      <c r="B111" s="647" t="s">
        <v>272</v>
      </c>
      <c r="C111" s="647" t="s">
        <v>617</v>
      </c>
      <c r="D111" s="628" t="s">
        <v>25</v>
      </c>
      <c r="E111" s="586" t="s">
        <v>685</v>
      </c>
      <c r="F111" s="582" t="s">
        <v>434</v>
      </c>
      <c r="G111" s="560">
        <v>1</v>
      </c>
      <c r="H111" s="563" t="s">
        <v>102</v>
      </c>
      <c r="I111" s="563" t="s">
        <v>103</v>
      </c>
      <c r="J111" s="629">
        <v>1</v>
      </c>
      <c r="K111" s="554">
        <v>17697</v>
      </c>
      <c r="L111" s="645">
        <v>32</v>
      </c>
      <c r="M111" s="552">
        <f t="shared" si="28"/>
        <v>1.7777777777777777</v>
      </c>
      <c r="N111" s="574" t="s">
        <v>152</v>
      </c>
      <c r="O111" s="1598">
        <v>4.6900000000000004</v>
      </c>
      <c r="P111" s="556">
        <f t="shared" si="24"/>
        <v>147553.65333333335</v>
      </c>
      <c r="Q111" s="556"/>
      <c r="R111" s="568"/>
      <c r="S111" s="554"/>
      <c r="T111" s="554">
        <v>0.1</v>
      </c>
      <c r="U111" s="556">
        <f t="shared" si="29"/>
        <v>14755.365333333335</v>
      </c>
      <c r="V111" s="19"/>
      <c r="W111" s="552"/>
      <c r="X111" s="559">
        <f t="shared" si="30"/>
        <v>162309.0186666667</v>
      </c>
      <c r="Y111" s="10">
        <f>V109+R109</f>
        <v>0</v>
      </c>
      <c r="Z111" s="10">
        <f>W109+S109</f>
        <v>0</v>
      </c>
      <c r="AA111" s="23">
        <f>X109*12</f>
        <v>1155543.3119999999</v>
      </c>
      <c r="AB111" s="24">
        <f>AA111/12/29.33*56</f>
        <v>183857.32887828161</v>
      </c>
      <c r="AC111" s="24">
        <f>AA111*1.25</f>
        <v>1444429.14</v>
      </c>
      <c r="AD111" s="24">
        <f>AC111/12/29.33*56</f>
        <v>229821.66109785202</v>
      </c>
      <c r="AK111" s="23"/>
      <c r="AL111" s="23"/>
      <c r="AM111" s="23"/>
      <c r="AN111" s="23"/>
      <c r="AO111" s="23"/>
      <c r="AP111" s="23"/>
      <c r="AQ111" s="23"/>
    </row>
    <row r="112" spans="1:44" s="24" customFormat="1" ht="17.25" customHeight="1">
      <c r="A112" s="547">
        <v>12</v>
      </c>
      <c r="B112" s="646" t="s">
        <v>274</v>
      </c>
      <c r="C112" s="647" t="s">
        <v>99</v>
      </c>
      <c r="D112" s="628" t="s">
        <v>25</v>
      </c>
      <c r="E112" s="586" t="s">
        <v>686</v>
      </c>
      <c r="F112" s="562" t="s">
        <v>239</v>
      </c>
      <c r="G112" s="560">
        <v>1</v>
      </c>
      <c r="H112" s="563" t="s">
        <v>102</v>
      </c>
      <c r="I112" s="563" t="s">
        <v>103</v>
      </c>
      <c r="J112" s="629">
        <v>2</v>
      </c>
      <c r="K112" s="554">
        <v>17697</v>
      </c>
      <c r="L112" s="645">
        <v>23</v>
      </c>
      <c r="M112" s="552">
        <f t="shared" si="28"/>
        <v>1.2777777777777777</v>
      </c>
      <c r="N112" s="698" t="s">
        <v>104</v>
      </c>
      <c r="O112" s="1598">
        <v>4.2300000000000004</v>
      </c>
      <c r="P112" s="556">
        <f t="shared" si="24"/>
        <v>95652.285000000018</v>
      </c>
      <c r="Q112" s="556"/>
      <c r="R112" s="568"/>
      <c r="S112" s="554"/>
      <c r="T112" s="554">
        <v>0.1</v>
      </c>
      <c r="U112" s="556">
        <f t="shared" si="29"/>
        <v>9565.2285000000029</v>
      </c>
      <c r="V112" s="19"/>
      <c r="W112" s="552"/>
      <c r="X112" s="559">
        <f t="shared" si="30"/>
        <v>105217.51350000002</v>
      </c>
      <c r="Y112" s="10"/>
      <c r="Z112" s="10"/>
      <c r="AA112" s="23">
        <f>X111*12</f>
        <v>1947708.2240000004</v>
      </c>
      <c r="AB112" s="24">
        <f t="shared" si="25"/>
        <v>309897.88766905339</v>
      </c>
      <c r="AC112" s="24">
        <f t="shared" si="26"/>
        <v>2434635.2800000003</v>
      </c>
      <c r="AD112" s="24">
        <f t="shared" si="27"/>
        <v>387372.35958631668</v>
      </c>
      <c r="AK112" s="23"/>
      <c r="AL112" s="23"/>
      <c r="AM112" s="23"/>
      <c r="AN112" s="23"/>
      <c r="AO112" s="23"/>
      <c r="AP112" s="23"/>
      <c r="AQ112" s="23"/>
    </row>
    <row r="113" spans="1:43" s="24" customFormat="1" ht="17.25" customHeight="1">
      <c r="A113" s="547">
        <v>13</v>
      </c>
      <c r="B113" s="646" t="s">
        <v>420</v>
      </c>
      <c r="C113" s="647" t="s">
        <v>99</v>
      </c>
      <c r="D113" s="628" t="s">
        <v>25</v>
      </c>
      <c r="E113" s="586" t="s">
        <v>687</v>
      </c>
      <c r="F113" s="562" t="s">
        <v>239</v>
      </c>
      <c r="G113" s="560">
        <v>1</v>
      </c>
      <c r="H113" s="563" t="s">
        <v>102</v>
      </c>
      <c r="I113" s="563" t="s">
        <v>103</v>
      </c>
      <c r="J113" s="629">
        <v>3</v>
      </c>
      <c r="K113" s="554">
        <v>17697</v>
      </c>
      <c r="L113" s="645">
        <v>20</v>
      </c>
      <c r="M113" s="552">
        <f t="shared" si="28"/>
        <v>1.1111111111111112</v>
      </c>
      <c r="N113" s="1601" t="s">
        <v>109</v>
      </c>
      <c r="O113" s="1598">
        <v>4.21</v>
      </c>
      <c r="P113" s="556">
        <f t="shared" si="24"/>
        <v>82782.633333333331</v>
      </c>
      <c r="Q113" s="556"/>
      <c r="R113" s="568"/>
      <c r="S113" s="554"/>
      <c r="T113" s="554">
        <v>0.1</v>
      </c>
      <c r="U113" s="556">
        <f t="shared" si="29"/>
        <v>8278.2633333333342</v>
      </c>
      <c r="V113" s="19"/>
      <c r="W113" s="552"/>
      <c r="X113" s="559">
        <f t="shared" si="30"/>
        <v>91060.896666666667</v>
      </c>
      <c r="Y113" s="10">
        <f t="shared" ref="Y113:Z115" si="31">V112+R112</f>
        <v>0</v>
      </c>
      <c r="Z113" s="10">
        <f t="shared" si="31"/>
        <v>0</v>
      </c>
      <c r="AA113" s="23">
        <f>X112*12</f>
        <v>1262610.1620000002</v>
      </c>
      <c r="AB113" s="24">
        <f>AA113/12/29.33*56</f>
        <v>200892.62720763727</v>
      </c>
      <c r="AC113" s="24">
        <f>AA113*1.25</f>
        <v>1578262.7025000004</v>
      </c>
      <c r="AD113" s="24">
        <f>AC113/12/29.33*56</f>
        <v>251115.78400954659</v>
      </c>
      <c r="AK113" s="23"/>
      <c r="AL113" s="23"/>
      <c r="AM113" s="23"/>
      <c r="AN113" s="23"/>
      <c r="AO113" s="23"/>
      <c r="AP113" s="23"/>
      <c r="AQ113" s="23"/>
    </row>
    <row r="114" spans="1:43" s="24" customFormat="1" ht="17.25" customHeight="1">
      <c r="A114" s="547">
        <v>14</v>
      </c>
      <c r="B114" s="153" t="s">
        <v>175</v>
      </c>
      <c r="C114" s="647" t="s">
        <v>617</v>
      </c>
      <c r="D114" s="563" t="s">
        <v>25</v>
      </c>
      <c r="E114" s="562" t="s">
        <v>737</v>
      </c>
      <c r="F114" s="562" t="s">
        <v>114</v>
      </c>
      <c r="G114" s="560">
        <v>1</v>
      </c>
      <c r="H114" s="563" t="s">
        <v>102</v>
      </c>
      <c r="I114" s="563" t="s">
        <v>103</v>
      </c>
      <c r="J114" s="564">
        <v>1</v>
      </c>
      <c r="K114" s="554">
        <v>17697</v>
      </c>
      <c r="L114" s="645">
        <v>16</v>
      </c>
      <c r="M114" s="552">
        <f t="shared" si="28"/>
        <v>0.88888888888888884</v>
      </c>
      <c r="N114" s="574" t="s">
        <v>152</v>
      </c>
      <c r="O114" s="1014">
        <v>4.75</v>
      </c>
      <c r="P114" s="556">
        <f t="shared" si="24"/>
        <v>74720.666666666672</v>
      </c>
      <c r="Q114" s="556"/>
      <c r="R114" s="568"/>
      <c r="S114" s="554"/>
      <c r="T114" s="554">
        <v>0.1</v>
      </c>
      <c r="U114" s="556">
        <f t="shared" si="29"/>
        <v>7472.0666666666675</v>
      </c>
      <c r="V114" s="19"/>
      <c r="W114" s="552"/>
      <c r="X114" s="559">
        <f t="shared" si="30"/>
        <v>82192.733333333337</v>
      </c>
      <c r="Y114" s="10">
        <f t="shared" si="31"/>
        <v>0</v>
      </c>
      <c r="Z114" s="10">
        <f t="shared" si="31"/>
        <v>0</v>
      </c>
      <c r="AA114" s="23">
        <f>X113*12</f>
        <v>1092730.76</v>
      </c>
      <c r="AB114" s="24">
        <f>AA114/12/29.33*56</f>
        <v>173863.28719172633</v>
      </c>
      <c r="AC114" s="24">
        <f>AA114*1.25</f>
        <v>1365913.45</v>
      </c>
      <c r="AD114" s="24">
        <f>AC114/12/29.33*56</f>
        <v>217329.10898965795</v>
      </c>
      <c r="AK114" s="23"/>
      <c r="AL114" s="23"/>
      <c r="AM114" s="23"/>
      <c r="AN114" s="23"/>
      <c r="AO114" s="23"/>
      <c r="AP114" s="23"/>
      <c r="AQ114" s="23"/>
    </row>
    <row r="115" spans="1:43" s="24" customFormat="1" ht="17.25" customHeight="1">
      <c r="A115" s="547">
        <v>15</v>
      </c>
      <c r="B115" s="647" t="s">
        <v>281</v>
      </c>
      <c r="C115" s="647" t="s">
        <v>99</v>
      </c>
      <c r="D115" s="628" t="s">
        <v>25</v>
      </c>
      <c r="E115" s="586" t="s">
        <v>694</v>
      </c>
      <c r="F115" s="562" t="s">
        <v>40</v>
      </c>
      <c r="G115" s="560">
        <v>1</v>
      </c>
      <c r="H115" s="563" t="s">
        <v>102</v>
      </c>
      <c r="I115" s="563" t="s">
        <v>103</v>
      </c>
      <c r="J115" s="1603">
        <v>1</v>
      </c>
      <c r="K115" s="554">
        <v>17697</v>
      </c>
      <c r="L115" s="645">
        <v>12</v>
      </c>
      <c r="M115" s="552">
        <f t="shared" si="28"/>
        <v>0.66666666666666663</v>
      </c>
      <c r="N115" s="574" t="s">
        <v>152</v>
      </c>
      <c r="O115" s="1598">
        <v>4.75</v>
      </c>
      <c r="P115" s="556">
        <f t="shared" si="24"/>
        <v>56040.5</v>
      </c>
      <c r="Q115" s="556"/>
      <c r="R115" s="568"/>
      <c r="S115" s="554"/>
      <c r="T115" s="554">
        <v>0.1</v>
      </c>
      <c r="U115" s="556">
        <f t="shared" si="29"/>
        <v>5604.05</v>
      </c>
      <c r="V115" s="19"/>
      <c r="W115" s="552"/>
      <c r="X115" s="559">
        <f t="shared" si="30"/>
        <v>61644.55</v>
      </c>
      <c r="Y115" s="7">
        <f t="shared" si="31"/>
        <v>0</v>
      </c>
      <c r="Z115" s="7">
        <f t="shared" si="31"/>
        <v>0</v>
      </c>
      <c r="AA115" s="23">
        <f>X114*12</f>
        <v>986312.8</v>
      </c>
      <c r="AB115" s="24">
        <f t="shared" si="25"/>
        <v>156931.23309466988</v>
      </c>
      <c r="AC115" s="24">
        <f t="shared" si="26"/>
        <v>1232891</v>
      </c>
      <c r="AD115" s="24">
        <f t="shared" si="27"/>
        <v>196164.04136833735</v>
      </c>
      <c r="AK115" s="23"/>
      <c r="AL115" s="23"/>
      <c r="AM115" s="23"/>
      <c r="AN115" s="23"/>
      <c r="AO115" s="23"/>
      <c r="AP115" s="23"/>
      <c r="AQ115" s="23"/>
    </row>
    <row r="116" spans="1:43" s="24" customFormat="1" ht="17.25" customHeight="1">
      <c r="A116" s="547">
        <v>16</v>
      </c>
      <c r="B116" s="692" t="s">
        <v>762</v>
      </c>
      <c r="C116" s="692" t="s">
        <v>763</v>
      </c>
      <c r="D116" s="1002" t="s">
        <v>152</v>
      </c>
      <c r="E116" s="1599" t="s">
        <v>764</v>
      </c>
      <c r="F116" s="1539" t="s">
        <v>367</v>
      </c>
      <c r="G116" s="874"/>
      <c r="H116" s="563" t="s">
        <v>102</v>
      </c>
      <c r="I116" s="563" t="s">
        <v>103</v>
      </c>
      <c r="J116" s="1603">
        <v>3</v>
      </c>
      <c r="K116" s="554">
        <v>17697</v>
      </c>
      <c r="L116" s="645">
        <v>26</v>
      </c>
      <c r="M116" s="552">
        <f t="shared" si="28"/>
        <v>1.4444444444444444</v>
      </c>
      <c r="N116" s="1604" t="s">
        <v>109</v>
      </c>
      <c r="O116" s="1605">
        <v>4.3600000000000003</v>
      </c>
      <c r="P116" s="556">
        <f>O116*K116/18*L116</f>
        <v>111451.77333333336</v>
      </c>
      <c r="Q116" s="556"/>
      <c r="R116" s="1538"/>
      <c r="S116" s="700"/>
      <c r="T116" s="554">
        <v>0.1</v>
      </c>
      <c r="U116" s="556">
        <f>(P116+Q116)*T116</f>
        <v>11145.177333333337</v>
      </c>
      <c r="V116" s="1541"/>
      <c r="W116" s="552"/>
      <c r="X116" s="559">
        <f t="shared" si="30"/>
        <v>122596.9506666667</v>
      </c>
      <c r="Y116" s="7"/>
      <c r="Z116" s="7"/>
      <c r="AA116" s="23">
        <f>X115*12</f>
        <v>739734.60000000009</v>
      </c>
      <c r="AB116" s="24">
        <f t="shared" si="25"/>
        <v>117698.42482100242</v>
      </c>
      <c r="AC116" s="24">
        <f t="shared" si="26"/>
        <v>924668.25000000012</v>
      </c>
      <c r="AD116" s="24">
        <f t="shared" si="27"/>
        <v>147123.03102625301</v>
      </c>
      <c r="AK116" s="23"/>
      <c r="AL116" s="23"/>
      <c r="AM116" s="23"/>
      <c r="AN116" s="23"/>
      <c r="AO116" s="23"/>
      <c r="AP116" s="23"/>
      <c r="AQ116" s="23"/>
    </row>
    <row r="117" spans="1:43" s="24" customFormat="1" ht="17.25" customHeight="1">
      <c r="A117" s="547">
        <v>17</v>
      </c>
      <c r="B117" s="647" t="s">
        <v>282</v>
      </c>
      <c r="C117" s="647" t="s">
        <v>617</v>
      </c>
      <c r="D117" s="628" t="s">
        <v>25</v>
      </c>
      <c r="E117" s="586" t="s">
        <v>699</v>
      </c>
      <c r="F117" s="562" t="s">
        <v>40</v>
      </c>
      <c r="G117" s="560">
        <v>1</v>
      </c>
      <c r="H117" s="563" t="s">
        <v>102</v>
      </c>
      <c r="I117" s="563" t="s">
        <v>103</v>
      </c>
      <c r="J117" s="1603">
        <v>1</v>
      </c>
      <c r="K117" s="554">
        <v>17697</v>
      </c>
      <c r="L117" s="645">
        <v>34</v>
      </c>
      <c r="M117" s="552">
        <f t="shared" si="28"/>
        <v>1.8888888888888888</v>
      </c>
      <c r="N117" s="574" t="s">
        <v>152</v>
      </c>
      <c r="O117" s="1598">
        <v>4.75</v>
      </c>
      <c r="P117" s="556">
        <f t="shared" si="24"/>
        <v>158781.41666666669</v>
      </c>
      <c r="Q117" s="556"/>
      <c r="R117" s="568"/>
      <c r="S117" s="554"/>
      <c r="T117" s="554">
        <v>0.1</v>
      </c>
      <c r="U117" s="556">
        <f t="shared" si="29"/>
        <v>15878.14166666667</v>
      </c>
      <c r="V117" s="19"/>
      <c r="W117" s="552"/>
      <c r="X117" s="559">
        <f t="shared" si="30"/>
        <v>174659.55833333335</v>
      </c>
      <c r="Y117" s="1547"/>
      <c r="Z117" s="1547"/>
      <c r="AA117" s="23"/>
      <c r="AK117" s="23"/>
      <c r="AL117" s="23"/>
      <c r="AM117" s="23"/>
      <c r="AN117" s="23"/>
      <c r="AO117" s="23"/>
      <c r="AP117" s="23"/>
      <c r="AQ117" s="23"/>
    </row>
    <row r="118" spans="1:43" s="24" customFormat="1" ht="16.5" customHeight="1">
      <c r="A118" s="547">
        <v>18</v>
      </c>
      <c r="B118" s="647" t="s">
        <v>392</v>
      </c>
      <c r="C118" s="647" t="s">
        <v>99</v>
      </c>
      <c r="D118" s="628" t="s">
        <v>25</v>
      </c>
      <c r="E118" s="586" t="s">
        <v>700</v>
      </c>
      <c r="F118" s="582" t="s">
        <v>434</v>
      </c>
      <c r="G118" s="560">
        <v>1</v>
      </c>
      <c r="H118" s="563" t="s">
        <v>102</v>
      </c>
      <c r="I118" s="563" t="s">
        <v>103</v>
      </c>
      <c r="J118" s="1584">
        <v>2</v>
      </c>
      <c r="K118" s="554">
        <v>17697</v>
      </c>
      <c r="L118" s="645">
        <v>24</v>
      </c>
      <c r="M118" s="552">
        <f t="shared" si="28"/>
        <v>1.3333333333333333</v>
      </c>
      <c r="N118" s="698" t="s">
        <v>104</v>
      </c>
      <c r="O118" s="1602">
        <v>4.4400000000000004</v>
      </c>
      <c r="P118" s="556">
        <f t="shared" si="24"/>
        <v>104766.24</v>
      </c>
      <c r="Q118" s="556"/>
      <c r="R118" s="568"/>
      <c r="S118" s="554"/>
      <c r="T118" s="554">
        <v>0.1</v>
      </c>
      <c r="U118" s="556">
        <f t="shared" si="29"/>
        <v>10476.624000000002</v>
      </c>
      <c r="V118" s="19"/>
      <c r="W118" s="552"/>
      <c r="X118" s="559">
        <f t="shared" si="30"/>
        <v>115242.864</v>
      </c>
      <c r="Y118" s="7">
        <f>V117+R117</f>
        <v>0</v>
      </c>
      <c r="Z118" s="7">
        <f>W117+S117</f>
        <v>0</v>
      </c>
      <c r="AA118" s="23">
        <f>X117*12</f>
        <v>2095914.7000000002</v>
      </c>
      <c r="AB118" s="24">
        <f t="shared" si="25"/>
        <v>333478.87032617349</v>
      </c>
      <c r="AC118" s="24">
        <f t="shared" si="26"/>
        <v>2619893.375</v>
      </c>
      <c r="AD118" s="24">
        <f t="shared" si="27"/>
        <v>416848.58790771681</v>
      </c>
      <c r="AK118" s="23"/>
      <c r="AL118" s="23"/>
      <c r="AM118" s="23"/>
      <c r="AN118" s="23"/>
      <c r="AO118" s="23"/>
      <c r="AP118" s="23"/>
      <c r="AQ118" s="23"/>
    </row>
    <row r="119" spans="1:43" s="24" customFormat="1" ht="17.25" customHeight="1">
      <c r="A119" s="547">
        <v>19</v>
      </c>
      <c r="B119" s="647" t="s">
        <v>184</v>
      </c>
      <c r="C119" s="647" t="s">
        <v>99</v>
      </c>
      <c r="D119" s="628" t="s">
        <v>25</v>
      </c>
      <c r="E119" s="586" t="s">
        <v>265</v>
      </c>
      <c r="F119" s="562" t="s">
        <v>40</v>
      </c>
      <c r="G119" s="560">
        <v>1</v>
      </c>
      <c r="H119" s="563" t="s">
        <v>102</v>
      </c>
      <c r="I119" s="563" t="s">
        <v>103</v>
      </c>
      <c r="J119" s="629">
        <v>1</v>
      </c>
      <c r="K119" s="554">
        <v>17697</v>
      </c>
      <c r="L119" s="645">
        <v>4</v>
      </c>
      <c r="M119" s="552">
        <f t="shared" si="28"/>
        <v>0.22222222222222221</v>
      </c>
      <c r="N119" s="574" t="s">
        <v>152</v>
      </c>
      <c r="O119" s="1600">
        <v>4.75</v>
      </c>
      <c r="P119" s="556">
        <f t="shared" si="24"/>
        <v>18680.166666666668</v>
      </c>
      <c r="Q119" s="556"/>
      <c r="R119" s="1538"/>
      <c r="S119" s="700"/>
      <c r="T119" s="700">
        <v>0.1</v>
      </c>
      <c r="U119" s="556">
        <f t="shared" si="29"/>
        <v>1868.0166666666669</v>
      </c>
      <c r="V119" s="1541"/>
      <c r="W119" s="552"/>
      <c r="X119" s="559">
        <f t="shared" si="30"/>
        <v>20548.183333333334</v>
      </c>
      <c r="Y119" s="7">
        <f>V118+R118</f>
        <v>0</v>
      </c>
      <c r="Z119" s="7">
        <f>W118+S118</f>
        <v>0</v>
      </c>
      <c r="AA119" s="23">
        <f>X118*12</f>
        <v>1382914.368</v>
      </c>
      <c r="AB119" s="24">
        <f>AA119/12/29.33*56</f>
        <v>220034.10787589499</v>
      </c>
      <c r="AC119" s="24">
        <f>AA119*1.25</f>
        <v>1728642.96</v>
      </c>
      <c r="AD119" s="24">
        <f>AC119/12/29.33*56</f>
        <v>275042.63484486868</v>
      </c>
      <c r="AK119" s="23"/>
      <c r="AL119" s="23"/>
      <c r="AM119" s="23"/>
      <c r="AN119" s="23"/>
      <c r="AO119" s="23"/>
      <c r="AP119" s="23"/>
      <c r="AQ119" s="23"/>
    </row>
    <row r="120" spans="1:43" s="24" customFormat="1" ht="17.25" customHeight="1">
      <c r="A120" s="547">
        <v>20</v>
      </c>
      <c r="B120" s="692" t="s">
        <v>706</v>
      </c>
      <c r="C120" s="692" t="s">
        <v>99</v>
      </c>
      <c r="D120" s="1002" t="s">
        <v>75</v>
      </c>
      <c r="E120" s="1599" t="s">
        <v>707</v>
      </c>
      <c r="F120" s="1539" t="s">
        <v>159</v>
      </c>
      <c r="G120" s="874">
        <v>1</v>
      </c>
      <c r="H120" s="1002" t="s">
        <v>102</v>
      </c>
      <c r="I120" s="563" t="s">
        <v>118</v>
      </c>
      <c r="J120" s="1603">
        <v>4</v>
      </c>
      <c r="K120" s="554">
        <v>17697</v>
      </c>
      <c r="L120" s="645">
        <v>15</v>
      </c>
      <c r="M120" s="552">
        <f t="shared" si="28"/>
        <v>0.83333333333333337</v>
      </c>
      <c r="N120" s="1601" t="s">
        <v>112</v>
      </c>
      <c r="O120" s="1605">
        <v>3.32</v>
      </c>
      <c r="P120" s="556">
        <f>O120*K120/18*L120</f>
        <v>48961.69999999999</v>
      </c>
      <c r="Q120" s="556"/>
      <c r="R120" s="1538"/>
      <c r="S120" s="700"/>
      <c r="T120" s="554">
        <v>0.1</v>
      </c>
      <c r="U120" s="556">
        <f>(P120+Q120)*T120</f>
        <v>4896.1699999999992</v>
      </c>
      <c r="V120" s="1541"/>
      <c r="W120" s="552"/>
      <c r="X120" s="559">
        <f t="shared" si="30"/>
        <v>53857.869999999988</v>
      </c>
      <c r="Y120" s="882"/>
      <c r="Z120" s="882"/>
      <c r="AA120" s="23">
        <f>X119*12</f>
        <v>246578.2</v>
      </c>
      <c r="AB120" s="24">
        <f t="shared" si="25"/>
        <v>39232.80827366747</v>
      </c>
      <c r="AC120" s="24">
        <f t="shared" si="26"/>
        <v>308222.75</v>
      </c>
      <c r="AD120" s="24">
        <f t="shared" si="27"/>
        <v>49041.010342084337</v>
      </c>
      <c r="AK120" s="23"/>
      <c r="AL120" s="23"/>
      <c r="AM120" s="23"/>
      <c r="AN120" s="23"/>
      <c r="AO120" s="23"/>
      <c r="AP120" s="23"/>
      <c r="AQ120" s="23"/>
    </row>
    <row r="121" spans="1:43" s="24" customFormat="1" ht="17.25" customHeight="1">
      <c r="A121" s="547">
        <v>21</v>
      </c>
      <c r="B121" s="647" t="s">
        <v>287</v>
      </c>
      <c r="C121" s="647" t="s">
        <v>99</v>
      </c>
      <c r="D121" s="628" t="s">
        <v>25</v>
      </c>
      <c r="E121" s="586" t="s">
        <v>711</v>
      </c>
      <c r="F121" s="562" t="s">
        <v>40</v>
      </c>
      <c r="G121" s="560">
        <v>1</v>
      </c>
      <c r="H121" s="563" t="s">
        <v>102</v>
      </c>
      <c r="I121" s="563" t="s">
        <v>103</v>
      </c>
      <c r="J121" s="1603">
        <v>1</v>
      </c>
      <c r="K121" s="554">
        <v>17697</v>
      </c>
      <c r="L121" s="645">
        <v>24</v>
      </c>
      <c r="M121" s="552">
        <f t="shared" si="28"/>
        <v>1.3333333333333333</v>
      </c>
      <c r="N121" s="574" t="s">
        <v>152</v>
      </c>
      <c r="O121" s="1598">
        <v>4.75</v>
      </c>
      <c r="P121" s="556">
        <f t="shared" si="24"/>
        <v>112081</v>
      </c>
      <c r="Q121" s="556"/>
      <c r="R121" s="568"/>
      <c r="S121" s="554"/>
      <c r="T121" s="554">
        <v>0.1</v>
      </c>
      <c r="U121" s="556">
        <f t="shared" si="29"/>
        <v>11208.1</v>
      </c>
      <c r="V121" s="19"/>
      <c r="W121" s="552"/>
      <c r="X121" s="559">
        <f t="shared" si="30"/>
        <v>123289.1</v>
      </c>
      <c r="Y121" s="1547"/>
      <c r="Z121" s="1547"/>
      <c r="AA121" s="23"/>
      <c r="AK121" s="23"/>
      <c r="AL121" s="23"/>
      <c r="AM121" s="23"/>
      <c r="AN121" s="23"/>
      <c r="AO121" s="23"/>
      <c r="AP121" s="23"/>
      <c r="AQ121" s="23"/>
    </row>
    <row r="122" spans="1:43" s="24" customFormat="1" ht="17.25" customHeight="1">
      <c r="A122" s="547">
        <v>22</v>
      </c>
      <c r="B122" s="647" t="s">
        <v>289</v>
      </c>
      <c r="C122" s="647" t="s">
        <v>99</v>
      </c>
      <c r="D122" s="563" t="s">
        <v>64</v>
      </c>
      <c r="E122" s="586" t="s">
        <v>713</v>
      </c>
      <c r="F122" s="582" t="s">
        <v>77</v>
      </c>
      <c r="G122" s="560">
        <v>1</v>
      </c>
      <c r="H122" s="563" t="s">
        <v>102</v>
      </c>
      <c r="I122" s="563" t="s">
        <v>118</v>
      </c>
      <c r="J122" s="1603">
        <v>4</v>
      </c>
      <c r="K122" s="554">
        <v>17697</v>
      </c>
      <c r="L122" s="645">
        <v>18</v>
      </c>
      <c r="M122" s="552">
        <f t="shared" si="28"/>
        <v>1</v>
      </c>
      <c r="N122" s="1601" t="s">
        <v>112</v>
      </c>
      <c r="O122" s="1602">
        <v>3.45</v>
      </c>
      <c r="P122" s="556">
        <f t="shared" si="24"/>
        <v>61054.65</v>
      </c>
      <c r="Q122" s="556"/>
      <c r="R122" s="568"/>
      <c r="S122" s="554"/>
      <c r="T122" s="554">
        <v>0.1</v>
      </c>
      <c r="U122" s="556">
        <f t="shared" si="29"/>
        <v>6105.4650000000001</v>
      </c>
      <c r="V122" s="19"/>
      <c r="W122" s="552"/>
      <c r="X122" s="559">
        <f>P122+Q122+U122</f>
        <v>67160.115000000005</v>
      </c>
      <c r="Y122" s="7">
        <f>V121+R121</f>
        <v>0</v>
      </c>
      <c r="Z122" s="7">
        <f>W121+S121</f>
        <v>0</v>
      </c>
      <c r="AA122" s="23">
        <f>X121*12</f>
        <v>1479469.2000000002</v>
      </c>
      <c r="AB122" s="24">
        <f t="shared" si="25"/>
        <v>235396.84964200485</v>
      </c>
      <c r="AC122" s="24">
        <f t="shared" si="26"/>
        <v>1849336.5000000002</v>
      </c>
      <c r="AD122" s="24">
        <f t="shared" si="27"/>
        <v>294246.06205250602</v>
      </c>
      <c r="AK122" s="23"/>
      <c r="AL122" s="23"/>
      <c r="AM122" s="23"/>
      <c r="AN122" s="23"/>
      <c r="AO122" s="23"/>
      <c r="AP122" s="23"/>
      <c r="AQ122" s="23"/>
    </row>
    <row r="123" spans="1:43" s="377" customFormat="1" ht="17.25" customHeight="1">
      <c r="A123" s="1253"/>
      <c r="B123" s="1258"/>
      <c r="C123" s="1258"/>
      <c r="D123" s="1348"/>
      <c r="E123" s="1259"/>
      <c r="F123" s="1349"/>
      <c r="G123" s="1350"/>
      <c r="H123" s="1348"/>
      <c r="I123" s="1348"/>
      <c r="J123" s="1351"/>
      <c r="K123" s="1261"/>
      <c r="L123" s="1645">
        <f>SUM(L102:L122)</f>
        <v>460</v>
      </c>
      <c r="M123" s="1254"/>
      <c r="N123" s="1352"/>
      <c r="O123" s="1353"/>
      <c r="P123" s="1256"/>
      <c r="Q123" s="1256"/>
      <c r="R123" s="1260"/>
      <c r="S123" s="1261"/>
      <c r="T123" s="1261"/>
      <c r="U123" s="1256"/>
      <c r="V123" s="1262"/>
      <c r="W123" s="1254"/>
      <c r="X123" s="1257"/>
      <c r="Y123" s="359">
        <f>V122+R122</f>
        <v>0</v>
      </c>
      <c r="Z123" s="359">
        <f>W122+S122</f>
        <v>0</v>
      </c>
      <c r="AA123" s="375">
        <f>X122*12</f>
        <v>805921.38000000012</v>
      </c>
      <c r="AB123" s="377">
        <f>AA123/12/29.33*56</f>
        <v>128229.33651551316</v>
      </c>
      <c r="AC123" s="377">
        <f>AA123*1.25</f>
        <v>1007401.7250000001</v>
      </c>
      <c r="AD123" s="377">
        <f>AC123/12/29.33*56</f>
        <v>160286.67064439144</v>
      </c>
      <c r="AK123" s="23"/>
      <c r="AL123" s="23"/>
      <c r="AM123" s="23"/>
      <c r="AN123" s="23"/>
      <c r="AO123" s="23"/>
      <c r="AP123" s="23"/>
      <c r="AQ123" s="23"/>
    </row>
    <row r="124" spans="1:43" s="1346" customFormat="1" ht="17.25" customHeight="1">
      <c r="A124" s="560">
        <v>1</v>
      </c>
      <c r="B124" s="661" t="s">
        <v>516</v>
      </c>
      <c r="C124" s="647" t="s">
        <v>99</v>
      </c>
      <c r="D124" s="663" t="s">
        <v>25</v>
      </c>
      <c r="E124" s="664" t="s">
        <v>594</v>
      </c>
      <c r="F124" s="664" t="s">
        <v>40</v>
      </c>
      <c r="G124" s="177">
        <v>1</v>
      </c>
      <c r="H124" s="177" t="s">
        <v>102</v>
      </c>
      <c r="I124" s="177" t="s">
        <v>103</v>
      </c>
      <c r="J124" s="178">
        <v>1</v>
      </c>
      <c r="K124" s="554">
        <v>17697</v>
      </c>
      <c r="L124" s="665">
        <v>18</v>
      </c>
      <c r="M124" s="567">
        <f>L124/18</f>
        <v>1</v>
      </c>
      <c r="N124" s="574" t="s">
        <v>152</v>
      </c>
      <c r="O124" s="1608">
        <v>4.75</v>
      </c>
      <c r="P124" s="567">
        <f>K124*O124/18*L124</f>
        <v>84060.75</v>
      </c>
      <c r="Q124" s="697"/>
      <c r="R124" s="666">
        <v>0.25</v>
      </c>
      <c r="S124" s="554">
        <f>(P124+Q124)*R124</f>
        <v>21015.1875</v>
      </c>
      <c r="T124" s="554">
        <v>0.1</v>
      </c>
      <c r="U124" s="567">
        <f>(P124+Q124+S124)*T124</f>
        <v>10507.59375</v>
      </c>
      <c r="V124" s="19"/>
      <c r="W124" s="554"/>
      <c r="X124" s="570">
        <f>P124+Q124+S124+U124</f>
        <v>115583.53125</v>
      </c>
      <c r="Y124" s="1347"/>
      <c r="Z124" s="1347"/>
      <c r="AA124" s="1345"/>
      <c r="AK124" s="23"/>
      <c r="AL124" s="23"/>
      <c r="AM124" s="23"/>
      <c r="AN124" s="23"/>
      <c r="AO124" s="23"/>
      <c r="AP124" s="23"/>
      <c r="AQ124" s="23"/>
    </row>
    <row r="125" spans="1:43" s="225" customFormat="1" ht="17.25" customHeight="1">
      <c r="A125" s="560">
        <v>2</v>
      </c>
      <c r="B125" s="661" t="s">
        <v>38</v>
      </c>
      <c r="C125" s="647" t="s">
        <v>99</v>
      </c>
      <c r="D125" s="663" t="s">
        <v>25</v>
      </c>
      <c r="E125" s="664" t="s">
        <v>663</v>
      </c>
      <c r="F125" s="664" t="s">
        <v>40</v>
      </c>
      <c r="G125" s="177">
        <v>1</v>
      </c>
      <c r="H125" s="177" t="s">
        <v>102</v>
      </c>
      <c r="I125" s="177" t="s">
        <v>103</v>
      </c>
      <c r="J125" s="178">
        <v>1</v>
      </c>
      <c r="K125" s="554">
        <v>17697</v>
      </c>
      <c r="L125" s="665">
        <v>9</v>
      </c>
      <c r="M125" s="567">
        <f t="shared" ref="M125:M137" si="32">L125/18</f>
        <v>0.5</v>
      </c>
      <c r="N125" s="997" t="s">
        <v>152</v>
      </c>
      <c r="O125" s="1608">
        <v>4.75</v>
      </c>
      <c r="P125" s="567">
        <f>K125*O125/18*L125</f>
        <v>42030.375</v>
      </c>
      <c r="Q125" s="697"/>
      <c r="R125" s="666">
        <v>0.25</v>
      </c>
      <c r="S125" s="554">
        <f t="shared" ref="S125:S137" si="33">(P125+Q125)*R125</f>
        <v>10507.59375</v>
      </c>
      <c r="T125" s="554">
        <v>0.1</v>
      </c>
      <c r="U125" s="567">
        <f t="shared" ref="U125:U137" si="34">(P125+Q125+S125)*T125</f>
        <v>5253.796875</v>
      </c>
      <c r="V125" s="19"/>
      <c r="W125" s="554"/>
      <c r="X125" s="570">
        <f>P125+Q125+S125+U125</f>
        <v>57791.765625</v>
      </c>
      <c r="Y125" s="238"/>
      <c r="Z125" s="238"/>
      <c r="AA125" s="1370">
        <f t="shared" ref="AA125:AA132" si="35">X124*12</f>
        <v>1387002.375</v>
      </c>
      <c r="AB125" s="225">
        <f>AA125/12/29.33*56</f>
        <v>220684.54653937949</v>
      </c>
      <c r="AC125" s="225">
        <f>AA125*1.25</f>
        <v>1733752.96875</v>
      </c>
      <c r="AD125" s="225">
        <f>AC125/12/29.33*56</f>
        <v>275855.68317422434</v>
      </c>
      <c r="AK125" s="23"/>
      <c r="AL125" s="23"/>
      <c r="AM125" s="23"/>
      <c r="AN125" s="23"/>
      <c r="AO125" s="23"/>
      <c r="AP125" s="23"/>
      <c r="AQ125" s="23"/>
    </row>
    <row r="126" spans="1:43" s="377" customFormat="1" ht="15.75">
      <c r="A126" s="560">
        <v>3</v>
      </c>
      <c r="B126" s="669" t="s">
        <v>306</v>
      </c>
      <c r="C126" s="647" t="s">
        <v>99</v>
      </c>
      <c r="D126" s="663" t="s">
        <v>25</v>
      </c>
      <c r="E126" s="1609" t="s">
        <v>666</v>
      </c>
      <c r="F126" s="670" t="s">
        <v>68</v>
      </c>
      <c r="G126" s="177">
        <v>1</v>
      </c>
      <c r="H126" s="177" t="s">
        <v>102</v>
      </c>
      <c r="I126" s="177" t="s">
        <v>103</v>
      </c>
      <c r="J126" s="182">
        <v>4</v>
      </c>
      <c r="K126" s="554">
        <v>17697</v>
      </c>
      <c r="L126" s="665">
        <v>31</v>
      </c>
      <c r="M126" s="567">
        <f t="shared" si="32"/>
        <v>1.7222222222222223</v>
      </c>
      <c r="N126" s="997" t="s">
        <v>112</v>
      </c>
      <c r="O126" s="1610">
        <v>3.64</v>
      </c>
      <c r="P126" s="567">
        <f>K126*O126/18*L126</f>
        <v>110940.52666666667</v>
      </c>
      <c r="Q126" s="697"/>
      <c r="R126" s="666">
        <v>0.25</v>
      </c>
      <c r="S126" s="554">
        <f t="shared" si="33"/>
        <v>27735.131666666668</v>
      </c>
      <c r="T126" s="554">
        <v>0.1</v>
      </c>
      <c r="U126" s="567">
        <f t="shared" si="34"/>
        <v>13867.565833333334</v>
      </c>
      <c r="V126" s="19"/>
      <c r="W126" s="554"/>
      <c r="X126" s="570">
        <f>P126+Q126+S126+U126</f>
        <v>152543.22416666665</v>
      </c>
      <c r="Y126" s="406">
        <f>V125+T125+R125</f>
        <v>0.35</v>
      </c>
      <c r="Z126" s="406">
        <f>W125+U125+S125</f>
        <v>15761.390625</v>
      </c>
      <c r="AA126" s="375">
        <f t="shared" si="35"/>
        <v>693501.1875</v>
      </c>
      <c r="AB126" s="377">
        <f>AA126/12/29.33*56</f>
        <v>110342.27326968974</v>
      </c>
      <c r="AC126" s="377">
        <f>AA126*1.25</f>
        <v>866876.484375</v>
      </c>
      <c r="AD126" s="377">
        <f>AC126/12/29.33*56</f>
        <v>137927.84158711217</v>
      </c>
      <c r="AK126" s="23"/>
      <c r="AL126" s="23"/>
      <c r="AM126" s="23"/>
      <c r="AN126" s="23"/>
      <c r="AO126" s="23"/>
      <c r="AP126" s="23"/>
      <c r="AQ126" s="23"/>
    </row>
    <row r="127" spans="1:43" s="377" customFormat="1" ht="17.25" customHeight="1">
      <c r="A127" s="560">
        <v>4</v>
      </c>
      <c r="B127" s="661" t="s">
        <v>309</v>
      </c>
      <c r="C127" s="647" t="s">
        <v>99</v>
      </c>
      <c r="D127" s="663" t="s">
        <v>25</v>
      </c>
      <c r="E127" s="664" t="s">
        <v>668</v>
      </c>
      <c r="F127" s="664" t="s">
        <v>40</v>
      </c>
      <c r="G127" s="177">
        <v>1</v>
      </c>
      <c r="H127" s="177" t="s">
        <v>102</v>
      </c>
      <c r="I127" s="177" t="s">
        <v>103</v>
      </c>
      <c r="J127" s="178">
        <v>1</v>
      </c>
      <c r="K127" s="554">
        <v>17697</v>
      </c>
      <c r="L127" s="665">
        <v>24</v>
      </c>
      <c r="M127" s="567">
        <f t="shared" si="32"/>
        <v>1.3333333333333333</v>
      </c>
      <c r="N127" s="997" t="s">
        <v>152</v>
      </c>
      <c r="O127" s="1608">
        <v>4.75</v>
      </c>
      <c r="P127" s="567">
        <f t="shared" ref="P127" si="36">K127*O127/18*L127</f>
        <v>112081</v>
      </c>
      <c r="Q127" s="697"/>
      <c r="R127" s="666">
        <v>0.25</v>
      </c>
      <c r="S127" s="554">
        <f t="shared" si="33"/>
        <v>28020.25</v>
      </c>
      <c r="T127" s="554">
        <v>0.1</v>
      </c>
      <c r="U127" s="567">
        <f t="shared" si="34"/>
        <v>14010.125</v>
      </c>
      <c r="V127" s="19"/>
      <c r="W127" s="554"/>
      <c r="X127" s="570">
        <f t="shared" ref="X127:X136" si="37">P127+Q127+S127+U127</f>
        <v>154111.375</v>
      </c>
      <c r="Y127" s="406">
        <f>V126+R126</f>
        <v>0.25</v>
      </c>
      <c r="Z127" s="406">
        <f>W126+S126</f>
        <v>27735.131666666668</v>
      </c>
      <c r="AA127" s="375">
        <f t="shared" si="35"/>
        <v>1830518.69</v>
      </c>
      <c r="AB127" s="377">
        <f>AA127/12/29.33*56</f>
        <v>291251.97931583133</v>
      </c>
      <c r="AC127" s="377">
        <f>AA127*1.25</f>
        <v>2288148.3624999998</v>
      </c>
      <c r="AD127" s="377">
        <f>AC127/12/29.33*56</f>
        <v>364064.97414478916</v>
      </c>
      <c r="AK127" s="23"/>
      <c r="AL127" s="23"/>
      <c r="AM127" s="23"/>
      <c r="AN127" s="23"/>
      <c r="AO127" s="23"/>
      <c r="AP127" s="23"/>
      <c r="AQ127" s="23"/>
    </row>
    <row r="128" spans="1:43" s="377" customFormat="1" ht="22.5" customHeight="1">
      <c r="A128" s="560">
        <v>5</v>
      </c>
      <c r="B128" s="153" t="s">
        <v>145</v>
      </c>
      <c r="C128" s="561" t="s">
        <v>99</v>
      </c>
      <c r="D128" s="563" t="s">
        <v>25</v>
      </c>
      <c r="E128" s="562" t="s">
        <v>672</v>
      </c>
      <c r="F128" s="562" t="s">
        <v>476</v>
      </c>
      <c r="G128" s="547">
        <v>1</v>
      </c>
      <c r="H128" s="563" t="s">
        <v>102</v>
      </c>
      <c r="I128" s="563" t="s">
        <v>103</v>
      </c>
      <c r="J128" s="581">
        <v>2</v>
      </c>
      <c r="K128" s="554">
        <v>17697</v>
      </c>
      <c r="L128" s="665">
        <v>16</v>
      </c>
      <c r="M128" s="567">
        <f t="shared" si="32"/>
        <v>0.88888888888888884</v>
      </c>
      <c r="N128" s="574" t="s">
        <v>385</v>
      </c>
      <c r="O128" s="1608">
        <v>4.09</v>
      </c>
      <c r="P128" s="567">
        <f>K128*O128/18*L128</f>
        <v>64338.426666666666</v>
      </c>
      <c r="Q128" s="697"/>
      <c r="R128" s="666">
        <v>0.25</v>
      </c>
      <c r="S128" s="554">
        <f t="shared" si="33"/>
        <v>16084.606666666667</v>
      </c>
      <c r="T128" s="554">
        <v>0.1</v>
      </c>
      <c r="U128" s="567">
        <f t="shared" si="34"/>
        <v>8042.3033333333333</v>
      </c>
      <c r="V128" s="19"/>
      <c r="W128" s="554"/>
      <c r="X128" s="570">
        <f t="shared" si="37"/>
        <v>88465.336666666655</v>
      </c>
      <c r="Y128" s="359">
        <f t="shared" ref="Y128:Z130" si="38">V127+T127+R127</f>
        <v>0.35</v>
      </c>
      <c r="Z128" s="359">
        <f t="shared" si="38"/>
        <v>42030.375</v>
      </c>
      <c r="AA128" s="375">
        <f t="shared" si="35"/>
        <v>1849336.5</v>
      </c>
      <c r="AB128" s="377">
        <f t="shared" ref="AB128" si="39">AA128/12/29.33*56</f>
        <v>294246.06205250596</v>
      </c>
      <c r="AC128" s="377">
        <f t="shared" ref="AC128" si="40">AA128*1.25</f>
        <v>2311670.625</v>
      </c>
      <c r="AD128" s="377">
        <f t="shared" ref="AD128" si="41">AC128/12/29.33*56</f>
        <v>367807.57756563247</v>
      </c>
      <c r="AK128" s="23"/>
      <c r="AL128" s="23"/>
      <c r="AM128" s="23"/>
      <c r="AN128" s="23"/>
      <c r="AO128" s="23"/>
      <c r="AP128" s="23"/>
      <c r="AQ128" s="23"/>
    </row>
    <row r="129" spans="1:43" s="986" customFormat="1" ht="17.25" customHeight="1">
      <c r="A129" s="560">
        <v>6</v>
      </c>
      <c r="B129" s="491" t="s">
        <v>447</v>
      </c>
      <c r="C129" s="647" t="s">
        <v>99</v>
      </c>
      <c r="D129" s="663" t="s">
        <v>300</v>
      </c>
      <c r="E129" s="664" t="s">
        <v>738</v>
      </c>
      <c r="F129" s="664" t="s">
        <v>602</v>
      </c>
      <c r="G129" s="177">
        <v>1</v>
      </c>
      <c r="H129" s="177" t="s">
        <v>102</v>
      </c>
      <c r="I129" s="177" t="s">
        <v>118</v>
      </c>
      <c r="J129" s="178">
        <v>4</v>
      </c>
      <c r="K129" s="554">
        <v>17697</v>
      </c>
      <c r="L129" s="665">
        <v>10</v>
      </c>
      <c r="M129" s="567">
        <f t="shared" si="32"/>
        <v>0.55555555555555558</v>
      </c>
      <c r="N129" s="997" t="s">
        <v>112</v>
      </c>
      <c r="O129" s="1608">
        <v>3.36</v>
      </c>
      <c r="P129" s="567">
        <f t="shared" ref="P129" si="42">K129*O129/18*L129</f>
        <v>33034.400000000001</v>
      </c>
      <c r="Q129" s="697"/>
      <c r="R129" s="666">
        <v>0.25</v>
      </c>
      <c r="S129" s="554">
        <f t="shared" si="33"/>
        <v>8258.6</v>
      </c>
      <c r="T129" s="554">
        <v>0.1</v>
      </c>
      <c r="U129" s="567">
        <f t="shared" si="34"/>
        <v>4129.3</v>
      </c>
      <c r="V129" s="19"/>
      <c r="W129" s="554"/>
      <c r="X129" s="570">
        <f t="shared" si="37"/>
        <v>45422.3</v>
      </c>
      <c r="Y129" s="984">
        <f t="shared" si="38"/>
        <v>0.35</v>
      </c>
      <c r="Z129" s="984">
        <f t="shared" si="38"/>
        <v>24126.91</v>
      </c>
      <c r="AA129" s="81">
        <f t="shared" si="35"/>
        <v>1061584.0399999998</v>
      </c>
      <c r="AB129" s="80">
        <f>AA129/12/29.33*56</f>
        <v>168907.56404136831</v>
      </c>
      <c r="AC129" s="80">
        <f>AA129*1.25</f>
        <v>1326980.0499999998</v>
      </c>
      <c r="AD129" s="80">
        <f>AC129/12/29.33*56</f>
        <v>211134.45505171042</v>
      </c>
      <c r="AK129" s="23"/>
      <c r="AL129" s="23"/>
      <c r="AM129" s="23"/>
      <c r="AN129" s="23"/>
      <c r="AO129" s="23"/>
      <c r="AP129" s="23"/>
      <c r="AQ129" s="23"/>
    </row>
    <row r="130" spans="1:43" s="377" customFormat="1" ht="17.25" customHeight="1">
      <c r="A130" s="560">
        <v>7</v>
      </c>
      <c r="B130" s="662" t="s">
        <v>319</v>
      </c>
      <c r="C130" s="647" t="s">
        <v>99</v>
      </c>
      <c r="D130" s="663" t="s">
        <v>25</v>
      </c>
      <c r="E130" s="664" t="s">
        <v>684</v>
      </c>
      <c r="F130" s="664" t="s">
        <v>239</v>
      </c>
      <c r="G130" s="177">
        <v>1</v>
      </c>
      <c r="H130" s="177" t="s">
        <v>232</v>
      </c>
      <c r="I130" s="177" t="s">
        <v>233</v>
      </c>
      <c r="J130" s="178">
        <v>3</v>
      </c>
      <c r="K130" s="554">
        <v>17697</v>
      </c>
      <c r="L130" s="665">
        <v>21</v>
      </c>
      <c r="M130" s="567">
        <f t="shared" si="32"/>
        <v>1.1666666666666667</v>
      </c>
      <c r="N130" s="1583" t="s">
        <v>109</v>
      </c>
      <c r="O130" s="1611">
        <v>4.21</v>
      </c>
      <c r="P130" s="567">
        <f>K130*O130/18*L130</f>
        <v>86921.764999999985</v>
      </c>
      <c r="Q130" s="697"/>
      <c r="R130" s="666">
        <v>0.25</v>
      </c>
      <c r="S130" s="554">
        <f t="shared" si="33"/>
        <v>21730.441249999996</v>
      </c>
      <c r="T130" s="554">
        <v>0.1</v>
      </c>
      <c r="U130" s="567">
        <f t="shared" si="34"/>
        <v>10865.220625</v>
      </c>
      <c r="V130" s="19"/>
      <c r="W130" s="554"/>
      <c r="X130" s="570">
        <f t="shared" si="37"/>
        <v>119517.42687499999</v>
      </c>
      <c r="Y130" s="359">
        <f t="shared" si="38"/>
        <v>0.35</v>
      </c>
      <c r="Z130" s="359">
        <f t="shared" si="38"/>
        <v>12387.900000000001</v>
      </c>
      <c r="AA130" s="375">
        <f t="shared" si="35"/>
        <v>545067.60000000009</v>
      </c>
      <c r="AB130" s="377">
        <f t="shared" ref="AB130" si="43">AA130/12/29.33*56</f>
        <v>86725.155131264939</v>
      </c>
      <c r="AC130" s="377">
        <f t="shared" ref="AC130" si="44">AA130*1.25</f>
        <v>681334.50000000012</v>
      </c>
      <c r="AD130" s="377">
        <f t="shared" ref="AD130" si="45">AC130/12/29.33*56</f>
        <v>108406.44391408117</v>
      </c>
      <c r="AK130" s="23"/>
      <c r="AL130" s="23"/>
      <c r="AM130" s="23"/>
      <c r="AN130" s="23"/>
      <c r="AO130" s="23"/>
      <c r="AP130" s="23"/>
      <c r="AQ130" s="23"/>
    </row>
    <row r="131" spans="1:43" s="377" customFormat="1" ht="17.25" customHeight="1">
      <c r="A131" s="560">
        <v>8</v>
      </c>
      <c r="B131" s="153" t="s">
        <v>274</v>
      </c>
      <c r="C131" s="647" t="s">
        <v>99</v>
      </c>
      <c r="D131" s="663" t="s">
        <v>25</v>
      </c>
      <c r="E131" s="586" t="s">
        <v>686</v>
      </c>
      <c r="F131" s="562" t="s">
        <v>239</v>
      </c>
      <c r="G131" s="177">
        <v>1</v>
      </c>
      <c r="H131" s="177" t="s">
        <v>102</v>
      </c>
      <c r="I131" s="177" t="s">
        <v>103</v>
      </c>
      <c r="J131" s="178">
        <v>2</v>
      </c>
      <c r="K131" s="554">
        <v>17697</v>
      </c>
      <c r="L131" s="665">
        <v>12</v>
      </c>
      <c r="M131" s="567">
        <f t="shared" si="32"/>
        <v>0.66666666666666663</v>
      </c>
      <c r="N131" s="698" t="s">
        <v>104</v>
      </c>
      <c r="O131" s="1612">
        <v>4.2300000000000004</v>
      </c>
      <c r="P131" s="567">
        <f>K131*O131/18*L131</f>
        <v>49905.540000000008</v>
      </c>
      <c r="Q131" s="697"/>
      <c r="R131" s="666">
        <v>0.25</v>
      </c>
      <c r="S131" s="554">
        <f t="shared" si="33"/>
        <v>12476.385000000002</v>
      </c>
      <c r="T131" s="554">
        <v>0.1</v>
      </c>
      <c r="U131" s="567">
        <f t="shared" si="34"/>
        <v>6238.192500000001</v>
      </c>
      <c r="V131" s="19"/>
      <c r="W131" s="554"/>
      <c r="X131" s="570">
        <f t="shared" si="37"/>
        <v>68620.117500000008</v>
      </c>
      <c r="Y131" s="919"/>
      <c r="Z131" s="919"/>
      <c r="AA131" s="375">
        <f t="shared" si="35"/>
        <v>1434209.1224999998</v>
      </c>
      <c r="AB131" s="377">
        <f>AA131/12/29.33*56</f>
        <v>228195.56443914081</v>
      </c>
      <c r="AC131" s="377">
        <f>AA131*1.25</f>
        <v>1792761.4031249997</v>
      </c>
      <c r="AD131" s="377">
        <f>AC131/12/29.33*56</f>
        <v>285244.45554892602</v>
      </c>
      <c r="AK131" s="23"/>
      <c r="AL131" s="23"/>
      <c r="AM131" s="23"/>
      <c r="AN131" s="23"/>
      <c r="AO131" s="23"/>
      <c r="AP131" s="23"/>
      <c r="AQ131" s="23"/>
    </row>
    <row r="132" spans="1:43" s="377" customFormat="1" ht="17.25" customHeight="1">
      <c r="A132" s="560">
        <v>9</v>
      </c>
      <c r="B132" s="662" t="s">
        <v>739</v>
      </c>
      <c r="C132" s="647" t="s">
        <v>99</v>
      </c>
      <c r="D132" s="663" t="s">
        <v>25</v>
      </c>
      <c r="E132" s="664" t="s">
        <v>503</v>
      </c>
      <c r="F132" s="664" t="s">
        <v>77</v>
      </c>
      <c r="G132" s="177">
        <v>1</v>
      </c>
      <c r="H132" s="177" t="s">
        <v>102</v>
      </c>
      <c r="I132" s="177" t="s">
        <v>103</v>
      </c>
      <c r="J132" s="182">
        <v>4</v>
      </c>
      <c r="K132" s="554">
        <v>17697</v>
      </c>
      <c r="L132" s="665">
        <v>10</v>
      </c>
      <c r="M132" s="567">
        <f t="shared" si="32"/>
        <v>0.55555555555555558</v>
      </c>
      <c r="N132" s="997" t="s">
        <v>112</v>
      </c>
      <c r="O132" s="1610">
        <v>3.71</v>
      </c>
      <c r="P132" s="567">
        <f t="shared" ref="P132:P137" si="46">K132*O132/18*L132</f>
        <v>36475.48333333333</v>
      </c>
      <c r="Q132" s="697"/>
      <c r="R132" s="666">
        <v>0.25</v>
      </c>
      <c r="S132" s="554">
        <f t="shared" si="33"/>
        <v>9118.8708333333325</v>
      </c>
      <c r="T132" s="554">
        <v>0.1</v>
      </c>
      <c r="U132" s="567">
        <f t="shared" si="34"/>
        <v>4559.4354166666662</v>
      </c>
      <c r="V132" s="19"/>
      <c r="W132" s="554"/>
      <c r="X132" s="570">
        <f t="shared" si="37"/>
        <v>50153.789583333331</v>
      </c>
      <c r="Y132" s="919"/>
      <c r="Z132" s="919"/>
      <c r="AA132" s="375">
        <f t="shared" si="35"/>
        <v>823441.41000000015</v>
      </c>
      <c r="AB132" s="377">
        <f>AA132/12/29.33*56</f>
        <v>131016.93078758952</v>
      </c>
      <c r="AC132" s="377">
        <f>AA132*1.25</f>
        <v>1029301.7625000002</v>
      </c>
      <c r="AD132" s="377">
        <f>AC132/12/29.33*56</f>
        <v>163771.16348448693</v>
      </c>
      <c r="AK132" s="23"/>
      <c r="AL132" s="23"/>
      <c r="AM132" s="23"/>
      <c r="AN132" s="23"/>
      <c r="AO132" s="23"/>
      <c r="AP132" s="23"/>
      <c r="AQ132" s="23"/>
    </row>
    <row r="133" spans="1:43" s="377" customFormat="1" ht="17.25" customHeight="1">
      <c r="A133" s="560">
        <v>10</v>
      </c>
      <c r="B133" s="701" t="s">
        <v>758</v>
      </c>
      <c r="C133" s="647" t="s">
        <v>99</v>
      </c>
      <c r="D133" s="693" t="s">
        <v>25</v>
      </c>
      <c r="E133" s="694" t="s">
        <v>816</v>
      </c>
      <c r="F133" s="664" t="s">
        <v>366</v>
      </c>
      <c r="G133" s="177">
        <v>1</v>
      </c>
      <c r="H133" s="563" t="s">
        <v>102</v>
      </c>
      <c r="I133" s="563" t="s">
        <v>103</v>
      </c>
      <c r="J133" s="581">
        <v>4</v>
      </c>
      <c r="K133" s="554">
        <v>17697</v>
      </c>
      <c r="L133" s="1607">
        <v>34</v>
      </c>
      <c r="M133" s="567">
        <f t="shared" si="32"/>
        <v>1.8888888888888888</v>
      </c>
      <c r="N133" s="1004" t="s">
        <v>112</v>
      </c>
      <c r="O133" s="1612">
        <v>4.12</v>
      </c>
      <c r="P133" s="567">
        <f t="shared" si="46"/>
        <v>137721.98666666666</v>
      </c>
      <c r="Q133" s="697"/>
      <c r="R133" s="666">
        <v>0.25</v>
      </c>
      <c r="S133" s="554">
        <f t="shared" si="33"/>
        <v>34430.496666666666</v>
      </c>
      <c r="T133" s="554">
        <v>0.1</v>
      </c>
      <c r="U133" s="567">
        <f t="shared" si="34"/>
        <v>17215.248333333333</v>
      </c>
      <c r="V133" s="1541"/>
      <c r="W133" s="552"/>
      <c r="X133" s="570">
        <f t="shared" si="37"/>
        <v>189367.73166666666</v>
      </c>
      <c r="Y133" s="406"/>
      <c r="Z133" s="406"/>
      <c r="AA133" s="375"/>
      <c r="AK133" s="23"/>
      <c r="AL133" s="23"/>
      <c r="AM133" s="23"/>
      <c r="AN133" s="23"/>
      <c r="AO133" s="23"/>
      <c r="AP133" s="23"/>
      <c r="AQ133" s="23"/>
    </row>
    <row r="134" spans="1:43" s="377" customFormat="1" ht="17.25" customHeight="1">
      <c r="A134" s="560">
        <v>11</v>
      </c>
      <c r="B134" s="1018" t="s">
        <v>519</v>
      </c>
      <c r="C134" s="647" t="s">
        <v>99</v>
      </c>
      <c r="D134" s="663" t="s">
        <v>25</v>
      </c>
      <c r="E134" s="664" t="s">
        <v>815</v>
      </c>
      <c r="F134" s="664" t="s">
        <v>34</v>
      </c>
      <c r="G134" s="177">
        <v>1</v>
      </c>
      <c r="H134" s="177" t="s">
        <v>102</v>
      </c>
      <c r="I134" s="177" t="s">
        <v>103</v>
      </c>
      <c r="J134" s="178">
        <v>1</v>
      </c>
      <c r="K134" s="554">
        <v>17697</v>
      </c>
      <c r="L134" s="665">
        <v>18</v>
      </c>
      <c r="M134" s="567">
        <f t="shared" si="32"/>
        <v>1</v>
      </c>
      <c r="N134" s="698" t="s">
        <v>152</v>
      </c>
      <c r="O134" s="1612">
        <v>4.75</v>
      </c>
      <c r="P134" s="567">
        <f t="shared" si="46"/>
        <v>84060.75</v>
      </c>
      <c r="Q134" s="697"/>
      <c r="R134" s="666">
        <v>0.25</v>
      </c>
      <c r="S134" s="554">
        <f t="shared" si="33"/>
        <v>21015.1875</v>
      </c>
      <c r="T134" s="554">
        <v>0.1</v>
      </c>
      <c r="U134" s="567">
        <f t="shared" si="34"/>
        <v>10507.59375</v>
      </c>
      <c r="V134" s="19"/>
      <c r="W134" s="554"/>
      <c r="X134" s="570">
        <f t="shared" si="37"/>
        <v>115583.53125</v>
      </c>
      <c r="Y134" s="1175"/>
      <c r="Z134" s="1175"/>
      <c r="AA134" s="375"/>
      <c r="AK134" s="23"/>
      <c r="AL134" s="23"/>
      <c r="AM134" s="23"/>
      <c r="AN134" s="23"/>
      <c r="AO134" s="23"/>
      <c r="AP134" s="23"/>
      <c r="AQ134" s="23"/>
    </row>
    <row r="135" spans="1:43" s="986" customFormat="1" ht="17.25" customHeight="1">
      <c r="A135" s="560">
        <v>12</v>
      </c>
      <c r="B135" s="1606" t="s">
        <v>706</v>
      </c>
      <c r="C135" s="647" t="s">
        <v>99</v>
      </c>
      <c r="D135" s="693" t="s">
        <v>75</v>
      </c>
      <c r="E135" s="694" t="s">
        <v>707</v>
      </c>
      <c r="F135" s="694" t="s">
        <v>159</v>
      </c>
      <c r="G135" s="177">
        <v>1</v>
      </c>
      <c r="H135" s="1002" t="s">
        <v>102</v>
      </c>
      <c r="I135" s="563" t="s">
        <v>118</v>
      </c>
      <c r="J135" s="1603">
        <v>4</v>
      </c>
      <c r="K135" s="554">
        <v>17697</v>
      </c>
      <c r="L135" s="1607">
        <v>8</v>
      </c>
      <c r="M135" s="567">
        <f t="shared" si="32"/>
        <v>0.44444444444444442</v>
      </c>
      <c r="N135" s="698" t="s">
        <v>112</v>
      </c>
      <c r="O135" s="1612">
        <v>3.32</v>
      </c>
      <c r="P135" s="567">
        <f t="shared" si="46"/>
        <v>26112.906666666662</v>
      </c>
      <c r="Q135" s="697"/>
      <c r="R135" s="666">
        <v>0.25</v>
      </c>
      <c r="S135" s="554">
        <f t="shared" si="33"/>
        <v>6528.2266666666656</v>
      </c>
      <c r="T135" s="554">
        <v>0.1</v>
      </c>
      <c r="U135" s="567">
        <f t="shared" si="34"/>
        <v>3264.1133333333328</v>
      </c>
      <c r="V135" s="1541"/>
      <c r="W135" s="552"/>
      <c r="X135" s="570">
        <f t="shared" si="37"/>
        <v>35905.246666666659</v>
      </c>
      <c r="Y135" s="988"/>
      <c r="Z135" s="988"/>
      <c r="AA135" s="81">
        <f>X134*12</f>
        <v>1387002.375</v>
      </c>
      <c r="AB135" s="80">
        <f>AA135/12/29.33*56</f>
        <v>220684.54653937949</v>
      </c>
      <c r="AC135" s="80">
        <f>AA135*1.25</f>
        <v>1733752.96875</v>
      </c>
      <c r="AD135" s="80">
        <f>AC135/12/29.33*56</f>
        <v>275855.68317422434</v>
      </c>
      <c r="AK135" s="23"/>
      <c r="AL135" s="23"/>
      <c r="AM135" s="23"/>
      <c r="AN135" s="23"/>
      <c r="AO135" s="23"/>
      <c r="AP135" s="23"/>
      <c r="AQ135" s="23"/>
    </row>
    <row r="136" spans="1:43" s="986" customFormat="1" ht="17.25" customHeight="1">
      <c r="A136" s="560">
        <v>13</v>
      </c>
      <c r="B136" s="662" t="s">
        <v>524</v>
      </c>
      <c r="C136" s="647" t="s">
        <v>99</v>
      </c>
      <c r="D136" s="663" t="s">
        <v>25</v>
      </c>
      <c r="E136" s="664" t="s">
        <v>814</v>
      </c>
      <c r="F136" s="664" t="s">
        <v>366</v>
      </c>
      <c r="G136" s="177">
        <v>1</v>
      </c>
      <c r="H136" s="177" t="s">
        <v>102</v>
      </c>
      <c r="I136" s="177" t="s">
        <v>103</v>
      </c>
      <c r="J136" s="178">
        <v>1</v>
      </c>
      <c r="K136" s="554">
        <v>17697</v>
      </c>
      <c r="L136" s="665">
        <v>17</v>
      </c>
      <c r="M136" s="567">
        <f t="shared" si="32"/>
        <v>0.94444444444444442</v>
      </c>
      <c r="N136" s="997" t="s">
        <v>152</v>
      </c>
      <c r="O136" s="1608">
        <v>4.6900000000000004</v>
      </c>
      <c r="P136" s="567">
        <f t="shared" si="46"/>
        <v>78387.878333333341</v>
      </c>
      <c r="Q136" s="697"/>
      <c r="R136" s="666">
        <v>0.25</v>
      </c>
      <c r="S136" s="554">
        <f t="shared" si="33"/>
        <v>19596.969583333335</v>
      </c>
      <c r="T136" s="554">
        <v>0.1</v>
      </c>
      <c r="U136" s="567">
        <f t="shared" si="34"/>
        <v>9798.4847916666677</v>
      </c>
      <c r="V136" s="19"/>
      <c r="W136" s="554"/>
      <c r="X136" s="570">
        <f t="shared" si="37"/>
        <v>107783.33270833334</v>
      </c>
      <c r="Y136" s="988"/>
      <c r="Z136" s="988"/>
      <c r="AA136" s="81"/>
      <c r="AB136" s="80"/>
      <c r="AC136" s="80"/>
      <c r="AD136" s="80"/>
      <c r="AK136" s="23"/>
      <c r="AL136" s="23"/>
      <c r="AM136" s="23"/>
      <c r="AN136" s="23"/>
      <c r="AO136" s="23"/>
      <c r="AP136" s="23"/>
      <c r="AQ136" s="23"/>
    </row>
    <row r="137" spans="1:43" s="986" customFormat="1" ht="17.25" customHeight="1">
      <c r="A137" s="560">
        <v>14</v>
      </c>
      <c r="B137" s="1613" t="s">
        <v>329</v>
      </c>
      <c r="C137" s="647" t="s">
        <v>99</v>
      </c>
      <c r="D137" s="693" t="s">
        <v>75</v>
      </c>
      <c r="E137" s="694" t="s">
        <v>684</v>
      </c>
      <c r="F137" s="694" t="s">
        <v>239</v>
      </c>
      <c r="G137" s="177">
        <v>1</v>
      </c>
      <c r="H137" s="563" t="s">
        <v>102</v>
      </c>
      <c r="I137" s="563" t="s">
        <v>118</v>
      </c>
      <c r="J137" s="564">
        <v>3</v>
      </c>
      <c r="K137" s="554">
        <v>17697</v>
      </c>
      <c r="L137" s="696">
        <v>18</v>
      </c>
      <c r="M137" s="567">
        <f t="shared" si="32"/>
        <v>1</v>
      </c>
      <c r="N137" s="698" t="s">
        <v>109</v>
      </c>
      <c r="O137" s="1612">
        <v>4.03</v>
      </c>
      <c r="P137" s="567">
        <f t="shared" si="46"/>
        <v>71318.91</v>
      </c>
      <c r="Q137" s="697"/>
      <c r="R137" s="666">
        <v>0.25</v>
      </c>
      <c r="S137" s="554">
        <f t="shared" si="33"/>
        <v>17829.727500000001</v>
      </c>
      <c r="T137" s="554">
        <v>0.1</v>
      </c>
      <c r="U137" s="567">
        <f t="shared" si="34"/>
        <v>8914.8637500000023</v>
      </c>
      <c r="V137" s="1541"/>
      <c r="W137" s="700"/>
      <c r="X137" s="570">
        <f>P137+Q137+S137+U137+1.81</f>
        <v>98065.311250000013</v>
      </c>
      <c r="Y137" s="985">
        <f>V136+T136+R136</f>
        <v>0.35</v>
      </c>
      <c r="Z137" s="985">
        <f>W136+U136+S136</f>
        <v>29395.454375000001</v>
      </c>
      <c r="AA137" s="81">
        <f>X136*12</f>
        <v>1293399.9925000002</v>
      </c>
      <c r="AB137" s="80">
        <f>AA137/12/29.33*56</f>
        <v>205791.56603023075</v>
      </c>
      <c r="AC137" s="80">
        <f>AA137*1.25</f>
        <v>1616749.9906250001</v>
      </c>
      <c r="AD137" s="80">
        <f>AC137/12/29.33*56</f>
        <v>257239.45753778843</v>
      </c>
      <c r="AK137" s="23"/>
      <c r="AL137" s="23"/>
      <c r="AM137" s="23"/>
      <c r="AN137" s="23"/>
      <c r="AO137" s="23"/>
      <c r="AP137" s="23"/>
      <c r="AQ137" s="23"/>
    </row>
    <row r="138" spans="1:43" s="377" customFormat="1" ht="15.75">
      <c r="A138" s="1494"/>
      <c r="B138" s="1495"/>
      <c r="C138" s="1495"/>
      <c r="D138" s="1496"/>
      <c r="E138" s="1496"/>
      <c r="F138" s="1495"/>
      <c r="G138" s="1497"/>
      <c r="H138" s="1497"/>
      <c r="I138" s="1497"/>
      <c r="J138" s="1498"/>
      <c r="K138" s="1499"/>
      <c r="L138" s="1644">
        <f>SUM(L124:L137)</f>
        <v>246</v>
      </c>
      <c r="M138" s="1501"/>
      <c r="N138" s="1502"/>
      <c r="O138" s="1496"/>
      <c r="P138" s="1501"/>
      <c r="Q138" s="1503"/>
      <c r="R138" s="1504"/>
      <c r="S138" s="1499"/>
      <c r="T138" s="1499"/>
      <c r="U138" s="1501"/>
      <c r="V138" s="1505"/>
      <c r="W138" s="1499"/>
      <c r="X138" s="1506"/>
      <c r="Y138" s="1175"/>
      <c r="Z138" s="1175"/>
      <c r="AA138" s="375"/>
      <c r="AK138" s="906"/>
      <c r="AL138" s="23"/>
      <c r="AM138" s="23"/>
      <c r="AN138" s="23"/>
      <c r="AO138" s="23"/>
      <c r="AP138" s="23"/>
      <c r="AQ138" s="23"/>
    </row>
    <row r="139" spans="1:43" s="24" customFormat="1" ht="17.25" customHeight="1">
      <c r="A139" s="703">
        <v>130</v>
      </c>
      <c r="B139" s="548" t="s">
        <v>605</v>
      </c>
      <c r="C139" s="647" t="s">
        <v>338</v>
      </c>
      <c r="D139" s="547" t="s">
        <v>64</v>
      </c>
      <c r="E139" s="704"/>
      <c r="F139" s="705"/>
      <c r="G139" s="1019">
        <v>1.5</v>
      </c>
      <c r="H139" s="577"/>
      <c r="I139" s="707"/>
      <c r="J139" s="577">
        <v>2</v>
      </c>
      <c r="K139" s="552">
        <v>17697</v>
      </c>
      <c r="L139" s="552"/>
      <c r="M139" s="556">
        <v>1.5</v>
      </c>
      <c r="N139" s="552"/>
      <c r="O139" s="552">
        <v>2.81</v>
      </c>
      <c r="P139" s="567">
        <f>K139*O139*M139</f>
        <v>74592.854999999996</v>
      </c>
      <c r="Q139" s="556"/>
      <c r="R139" s="552">
        <f>K139*P140*N139</f>
        <v>0</v>
      </c>
      <c r="S139" s="557"/>
      <c r="T139" s="708">
        <v>0.1</v>
      </c>
      <c r="U139" s="552">
        <f t="shared" ref="U139:U164" si="47">T139*P139</f>
        <v>7459.2855</v>
      </c>
      <c r="V139" s="552"/>
      <c r="W139" s="558"/>
      <c r="X139" s="559">
        <f>P139+U139+W139</f>
        <v>82052.140499999994</v>
      </c>
      <c r="Y139" s="104"/>
      <c r="Z139" s="104"/>
      <c r="AA139" s="81" t="e">
        <f>SUM(AA27:AA138)</f>
        <v>#REF!</v>
      </c>
      <c r="AC139" s="24" t="e">
        <f>SUM(AC27:AC138)</f>
        <v>#REF!</v>
      </c>
      <c r="AD139" s="24" t="e">
        <f>SUM(AD27:AD138)</f>
        <v>#REF!</v>
      </c>
      <c r="AK139" s="23"/>
      <c r="AL139" s="23"/>
      <c r="AM139" s="23"/>
      <c r="AN139" s="23"/>
      <c r="AO139" s="23"/>
      <c r="AP139" s="23"/>
      <c r="AQ139" s="23"/>
    </row>
    <row r="140" spans="1:43" s="1459" customFormat="1" ht="18" customHeight="1">
      <c r="A140" s="709">
        <v>131</v>
      </c>
      <c r="B140" s="153" t="s">
        <v>332</v>
      </c>
      <c r="C140" s="647" t="s">
        <v>338</v>
      </c>
      <c r="D140" s="560" t="s">
        <v>64</v>
      </c>
      <c r="E140" s="710"/>
      <c r="F140" s="711"/>
      <c r="G140" s="717">
        <v>0.5</v>
      </c>
      <c r="H140" s="563"/>
      <c r="I140" s="689"/>
      <c r="J140" s="563">
        <v>2</v>
      </c>
      <c r="K140" s="554">
        <v>17697</v>
      </c>
      <c r="L140" s="554"/>
      <c r="M140" s="552">
        <v>0.5</v>
      </c>
      <c r="N140" s="554"/>
      <c r="O140" s="552">
        <v>2.81</v>
      </c>
      <c r="P140" s="567">
        <f t="shared" ref="P140:P164" si="48">K140*O140*M140</f>
        <v>24864.285</v>
      </c>
      <c r="Q140" s="556"/>
      <c r="R140" s="552">
        <f>K140*P141*N140</f>
        <v>0</v>
      </c>
      <c r="S140" s="568"/>
      <c r="T140" s="708">
        <v>0.1</v>
      </c>
      <c r="U140" s="552">
        <f t="shared" si="47"/>
        <v>2486.4285</v>
      </c>
      <c r="V140" s="554"/>
      <c r="W140" s="554"/>
      <c r="X140" s="559">
        <f t="shared" ref="X140:X164" si="49">P140+U140+W140</f>
        <v>27350.713499999998</v>
      </c>
      <c r="Y140" s="1276">
        <f t="shared" ref="Y140:Y165" si="50">R139+V139+X139</f>
        <v>82052.140499999994</v>
      </c>
      <c r="Z140" s="1276">
        <f t="shared" ref="Z140:Z165" si="51">S139+W139+Y140</f>
        <v>82052.140499999994</v>
      </c>
      <c r="AA140" s="1277">
        <f t="shared" ref="AA140:AA165" si="52">X139*12</f>
        <v>984625.68599999999</v>
      </c>
      <c r="AB140" s="1458">
        <f>AA140/12/29.33*24</f>
        <v>67141.199181725198</v>
      </c>
      <c r="AC140" s="1458"/>
      <c r="AD140" s="1458"/>
      <c r="AE140" s="1458"/>
      <c r="AF140" s="1458"/>
      <c r="AG140" s="1458"/>
      <c r="AH140" s="1458"/>
      <c r="AI140" s="1458"/>
      <c r="AJ140" s="1458"/>
      <c r="AK140" s="914"/>
      <c r="AL140" s="914"/>
      <c r="AM140" s="914"/>
      <c r="AN140" s="914"/>
      <c r="AO140" s="914"/>
      <c r="AP140" s="914"/>
      <c r="AQ140" s="914"/>
    </row>
    <row r="141" spans="1:43" s="1459" customFormat="1" ht="15.75" customHeight="1">
      <c r="A141" s="703">
        <v>132</v>
      </c>
      <c r="B141" s="153" t="s">
        <v>735</v>
      </c>
      <c r="C141" s="647" t="s">
        <v>338</v>
      </c>
      <c r="D141" s="560" t="s">
        <v>64</v>
      </c>
      <c r="E141" s="710"/>
      <c r="F141" s="560"/>
      <c r="G141" s="717">
        <v>0.5</v>
      </c>
      <c r="H141" s="563"/>
      <c r="I141" s="689"/>
      <c r="J141" s="563">
        <v>2</v>
      </c>
      <c r="K141" s="554">
        <v>17697</v>
      </c>
      <c r="L141" s="554"/>
      <c r="M141" s="554">
        <v>0.5</v>
      </c>
      <c r="N141" s="554"/>
      <c r="O141" s="554">
        <v>2.81</v>
      </c>
      <c r="P141" s="567">
        <f t="shared" si="48"/>
        <v>24864.285</v>
      </c>
      <c r="Q141" s="556"/>
      <c r="R141" s="552">
        <f>K141*P142*N141</f>
        <v>0</v>
      </c>
      <c r="S141" s="554"/>
      <c r="T141" s="708">
        <v>0.1</v>
      </c>
      <c r="U141" s="552">
        <f t="shared" si="47"/>
        <v>2486.4285</v>
      </c>
      <c r="V141" s="554"/>
      <c r="W141" s="554"/>
      <c r="X141" s="559">
        <f t="shared" si="49"/>
        <v>27350.713499999998</v>
      </c>
      <c r="Y141" s="1276">
        <f t="shared" si="50"/>
        <v>27350.713499999998</v>
      </c>
      <c r="Z141" s="1276">
        <f t="shared" si="51"/>
        <v>27350.713499999998</v>
      </c>
      <c r="AA141" s="1277">
        <f t="shared" si="52"/>
        <v>328208.56199999998</v>
      </c>
      <c r="AB141" s="1458">
        <f t="shared" ref="AB141:AB165" si="53">AA141/12/29.33*24</f>
        <v>22380.399727241733</v>
      </c>
      <c r="AC141" s="1458"/>
      <c r="AD141" s="1458"/>
      <c r="AE141" s="1458"/>
      <c r="AF141" s="1458"/>
      <c r="AG141" s="1458"/>
      <c r="AH141" s="1458"/>
      <c r="AI141" s="1458"/>
      <c r="AJ141" s="1458"/>
      <c r="AK141" s="914"/>
      <c r="AL141" s="914"/>
      <c r="AM141" s="914"/>
      <c r="AN141" s="914"/>
      <c r="AO141" s="914"/>
      <c r="AP141" s="914"/>
      <c r="AQ141" s="914"/>
    </row>
    <row r="142" spans="1:43" s="1278" customFormat="1" ht="15.75">
      <c r="A142" s="709">
        <v>133</v>
      </c>
      <c r="B142" s="153" t="s">
        <v>335</v>
      </c>
      <c r="C142" s="561" t="s">
        <v>336</v>
      </c>
      <c r="D142" s="560" t="s">
        <v>64</v>
      </c>
      <c r="E142" s="710"/>
      <c r="F142" s="560"/>
      <c r="G142" s="717">
        <v>1.5</v>
      </c>
      <c r="H142" s="563"/>
      <c r="I142" s="689"/>
      <c r="J142" s="563">
        <v>4</v>
      </c>
      <c r="K142" s="554">
        <v>17697</v>
      </c>
      <c r="L142" s="554"/>
      <c r="M142" s="554">
        <v>1.5</v>
      </c>
      <c r="N142" s="554"/>
      <c r="O142" s="554">
        <v>2.89</v>
      </c>
      <c r="P142" s="567">
        <f t="shared" si="48"/>
        <v>76716.494999999995</v>
      </c>
      <c r="Q142" s="556"/>
      <c r="R142" s="552">
        <f>K142*P143*N142</f>
        <v>0</v>
      </c>
      <c r="S142" s="554"/>
      <c r="T142" s="708">
        <v>0.1</v>
      </c>
      <c r="U142" s="552">
        <f t="shared" si="47"/>
        <v>7671.6494999999995</v>
      </c>
      <c r="V142" s="554"/>
      <c r="W142" s="554"/>
      <c r="X142" s="559">
        <f t="shared" si="49"/>
        <v>84388.144499999995</v>
      </c>
      <c r="Y142" s="1276">
        <f t="shared" si="50"/>
        <v>27350.713499999998</v>
      </c>
      <c r="Z142" s="1276">
        <f t="shared" si="51"/>
        <v>27350.713499999998</v>
      </c>
      <c r="AA142" s="1277">
        <f t="shared" si="52"/>
        <v>328208.56199999998</v>
      </c>
      <c r="AB142" s="1458">
        <f t="shared" si="53"/>
        <v>22380.399727241733</v>
      </c>
      <c r="AK142" s="23"/>
      <c r="AL142" s="23"/>
      <c r="AM142" s="23"/>
      <c r="AN142" s="23"/>
      <c r="AO142" s="23"/>
      <c r="AP142" s="23"/>
      <c r="AQ142" s="23"/>
    </row>
    <row r="143" spans="1:43" s="1278" customFormat="1" ht="19.5" customHeight="1">
      <c r="A143" s="703">
        <v>134</v>
      </c>
      <c r="B143" s="646" t="s">
        <v>337</v>
      </c>
      <c r="C143" s="647" t="s">
        <v>338</v>
      </c>
      <c r="D143" s="628" t="s">
        <v>64</v>
      </c>
      <c r="E143" s="713"/>
      <c r="F143" s="628"/>
      <c r="G143" s="628">
        <v>0.5</v>
      </c>
      <c r="H143" s="714"/>
      <c r="I143" s="715"/>
      <c r="J143" s="628">
        <v>2</v>
      </c>
      <c r="K143" s="715">
        <v>17697</v>
      </c>
      <c r="L143" s="715"/>
      <c r="M143" s="554">
        <v>0.5</v>
      </c>
      <c r="N143" s="554"/>
      <c r="O143" s="552">
        <v>2.81</v>
      </c>
      <c r="P143" s="567">
        <f t="shared" si="48"/>
        <v>24864.285</v>
      </c>
      <c r="Q143" s="556"/>
      <c r="R143" s="552">
        <f>K143*P144*N143</f>
        <v>0</v>
      </c>
      <c r="S143" s="554"/>
      <c r="T143" s="708">
        <v>0.1</v>
      </c>
      <c r="U143" s="552">
        <f t="shared" si="47"/>
        <v>2486.4285</v>
      </c>
      <c r="V143" s="554"/>
      <c r="W143" s="554"/>
      <c r="X143" s="559">
        <f t="shared" si="49"/>
        <v>27350.713499999998</v>
      </c>
      <c r="Y143" s="1276">
        <f t="shared" si="50"/>
        <v>84388.144499999995</v>
      </c>
      <c r="Z143" s="1276">
        <f t="shared" si="51"/>
        <v>84388.144499999995</v>
      </c>
      <c r="AA143" s="1277">
        <f t="shared" si="52"/>
        <v>1012657.7339999999</v>
      </c>
      <c r="AB143" s="1458">
        <f t="shared" si="53"/>
        <v>69052.692396863276</v>
      </c>
      <c r="AK143" s="23"/>
      <c r="AL143" s="906"/>
      <c r="AM143" s="906"/>
      <c r="AN143" s="23"/>
      <c r="AO143" s="23"/>
      <c r="AP143" s="23"/>
      <c r="AQ143" s="23"/>
    </row>
    <row r="144" spans="1:43" s="1469" customFormat="1" ht="15.75">
      <c r="A144" s="709">
        <v>135</v>
      </c>
      <c r="B144" s="646" t="s">
        <v>382</v>
      </c>
      <c r="C144" s="647" t="s">
        <v>338</v>
      </c>
      <c r="D144" s="560" t="s">
        <v>64</v>
      </c>
      <c r="E144" s="713"/>
      <c r="F144" s="646"/>
      <c r="G144" s="628">
        <v>0.5</v>
      </c>
      <c r="H144" s="714"/>
      <c r="I144" s="715"/>
      <c r="J144" s="628">
        <v>2</v>
      </c>
      <c r="K144" s="715">
        <v>17697</v>
      </c>
      <c r="L144" s="715"/>
      <c r="M144" s="554">
        <v>0.5</v>
      </c>
      <c r="N144" s="554"/>
      <c r="O144" s="552">
        <v>2.81</v>
      </c>
      <c r="P144" s="567">
        <f t="shared" si="48"/>
        <v>24864.285</v>
      </c>
      <c r="Q144" s="556"/>
      <c r="R144" s="552">
        <f>K144*P146*N144</f>
        <v>0</v>
      </c>
      <c r="S144" s="554"/>
      <c r="T144" s="708">
        <v>0.1</v>
      </c>
      <c r="U144" s="552">
        <f t="shared" si="47"/>
        <v>2486.4285</v>
      </c>
      <c r="V144" s="554"/>
      <c r="W144" s="554"/>
      <c r="X144" s="559">
        <f t="shared" si="49"/>
        <v>27350.713499999998</v>
      </c>
      <c r="Y144" s="1276">
        <f t="shared" si="50"/>
        <v>27350.713499999998</v>
      </c>
      <c r="Z144" s="1276">
        <f t="shared" si="51"/>
        <v>27350.713499999998</v>
      </c>
      <c r="AA144" s="1277">
        <f t="shared" si="52"/>
        <v>328208.56199999998</v>
      </c>
      <c r="AB144" s="1458">
        <f t="shared" si="53"/>
        <v>22380.399727241733</v>
      </c>
      <c r="AK144" s="1778"/>
      <c r="AL144" s="1778"/>
      <c r="AM144" s="1778"/>
      <c r="AN144" s="1778"/>
      <c r="AO144" s="1778"/>
      <c r="AP144" s="1778"/>
      <c r="AQ144" s="1778"/>
    </row>
    <row r="145" spans="1:43" s="1469" customFormat="1" ht="15.75">
      <c r="A145" s="703">
        <v>136</v>
      </c>
      <c r="B145" s="646" t="s">
        <v>383</v>
      </c>
      <c r="C145" s="647" t="s">
        <v>338</v>
      </c>
      <c r="D145" s="560" t="s">
        <v>75</v>
      </c>
      <c r="E145" s="713"/>
      <c r="F145" s="716"/>
      <c r="G145" s="628">
        <v>1</v>
      </c>
      <c r="H145" s="714"/>
      <c r="I145" s="715"/>
      <c r="J145" s="628">
        <v>2</v>
      </c>
      <c r="K145" s="715">
        <v>17697</v>
      </c>
      <c r="L145" s="715"/>
      <c r="M145" s="554">
        <v>1</v>
      </c>
      <c r="N145" s="554"/>
      <c r="O145" s="552">
        <v>2.81</v>
      </c>
      <c r="P145" s="567">
        <f t="shared" si="48"/>
        <v>49728.57</v>
      </c>
      <c r="Q145" s="556"/>
      <c r="R145" s="552">
        <f>K145*P147*N145</f>
        <v>0</v>
      </c>
      <c r="S145" s="554"/>
      <c r="T145" s="708">
        <v>0.1</v>
      </c>
      <c r="U145" s="552">
        <f t="shared" si="47"/>
        <v>4972.857</v>
      </c>
      <c r="V145" s="554"/>
      <c r="W145" s="554"/>
      <c r="X145" s="559">
        <f t="shared" si="49"/>
        <v>54701.426999999996</v>
      </c>
      <c r="Y145" s="1276">
        <f t="shared" si="50"/>
        <v>27350.713499999998</v>
      </c>
      <c r="Z145" s="1276">
        <f t="shared" si="51"/>
        <v>27350.713499999998</v>
      </c>
      <c r="AA145" s="1277">
        <f t="shared" si="52"/>
        <v>328208.56199999998</v>
      </c>
      <c r="AB145" s="1458">
        <f t="shared" si="53"/>
        <v>22380.399727241733</v>
      </c>
      <c r="AK145" s="1778"/>
      <c r="AL145" s="1778"/>
      <c r="AM145" s="1778"/>
      <c r="AN145" s="1778"/>
      <c r="AO145" s="1778"/>
      <c r="AP145" s="1778"/>
      <c r="AQ145" s="1778"/>
    </row>
    <row r="146" spans="1:43" s="1469" customFormat="1" ht="15.75">
      <c r="A146" s="709">
        <v>137</v>
      </c>
      <c r="B146" s="153" t="s">
        <v>339</v>
      </c>
      <c r="C146" s="647" t="s">
        <v>340</v>
      </c>
      <c r="D146" s="560" t="s">
        <v>64</v>
      </c>
      <c r="E146" s="563"/>
      <c r="F146" s="711"/>
      <c r="G146" s="712">
        <v>1</v>
      </c>
      <c r="H146" s="563"/>
      <c r="I146" s="689"/>
      <c r="J146" s="563">
        <v>2</v>
      </c>
      <c r="K146" s="554">
        <v>17697</v>
      </c>
      <c r="L146" s="554"/>
      <c r="M146" s="554">
        <v>1</v>
      </c>
      <c r="N146" s="554"/>
      <c r="O146" s="552">
        <v>2.81</v>
      </c>
      <c r="P146" s="567">
        <f t="shared" si="48"/>
        <v>49728.57</v>
      </c>
      <c r="Q146" s="556"/>
      <c r="R146" s="552">
        <f t="shared" ref="R146:R164" si="54">K146*P147*N146</f>
        <v>0</v>
      </c>
      <c r="S146" s="568"/>
      <c r="T146" s="708">
        <v>0.1</v>
      </c>
      <c r="U146" s="552">
        <f t="shared" si="47"/>
        <v>4972.857</v>
      </c>
      <c r="V146" s="569">
        <v>0.3</v>
      </c>
      <c r="W146" s="554">
        <f t="shared" ref="W146:W149" si="55">V146*K146</f>
        <v>5309.0999999999995</v>
      </c>
      <c r="X146" s="559">
        <f t="shared" si="49"/>
        <v>60010.526999999995</v>
      </c>
      <c r="Y146" s="1276">
        <f t="shared" si="50"/>
        <v>54701.426999999996</v>
      </c>
      <c r="Z146" s="1276">
        <f t="shared" si="51"/>
        <v>54701.426999999996</v>
      </c>
      <c r="AA146" s="1277">
        <f t="shared" si="52"/>
        <v>656417.12399999995</v>
      </c>
      <c r="AB146" s="1458">
        <f t="shared" si="53"/>
        <v>44760.799454483466</v>
      </c>
      <c r="AK146" s="1778"/>
      <c r="AL146" s="1778"/>
      <c r="AM146" s="1778"/>
      <c r="AN146" s="1778"/>
      <c r="AO146" s="1778"/>
      <c r="AP146" s="1778"/>
      <c r="AQ146" s="1778"/>
    </row>
    <row r="147" spans="1:43" s="1459" customFormat="1" ht="15.75">
      <c r="A147" s="703">
        <v>138</v>
      </c>
      <c r="B147" s="153" t="s">
        <v>341</v>
      </c>
      <c r="C147" s="647" t="s">
        <v>340</v>
      </c>
      <c r="D147" s="560" t="s">
        <v>64</v>
      </c>
      <c r="E147" s="563"/>
      <c r="F147" s="711"/>
      <c r="G147" s="712">
        <v>1</v>
      </c>
      <c r="H147" s="563"/>
      <c r="I147" s="689"/>
      <c r="J147" s="563">
        <v>2</v>
      </c>
      <c r="K147" s="554">
        <v>17697</v>
      </c>
      <c r="L147" s="554"/>
      <c r="M147" s="554">
        <v>1</v>
      </c>
      <c r="N147" s="554"/>
      <c r="O147" s="552">
        <v>2.81</v>
      </c>
      <c r="P147" s="567">
        <f t="shared" si="48"/>
        <v>49728.57</v>
      </c>
      <c r="Q147" s="556"/>
      <c r="R147" s="552">
        <f t="shared" si="54"/>
        <v>0</v>
      </c>
      <c r="S147" s="568"/>
      <c r="T147" s="708">
        <v>0.1</v>
      </c>
      <c r="U147" s="552">
        <f t="shared" si="47"/>
        <v>4972.857</v>
      </c>
      <c r="V147" s="569">
        <v>0.3</v>
      </c>
      <c r="W147" s="554">
        <f t="shared" si="55"/>
        <v>5309.0999999999995</v>
      </c>
      <c r="X147" s="559">
        <f t="shared" si="49"/>
        <v>60010.526999999995</v>
      </c>
      <c r="Y147" s="1276">
        <f t="shared" si="50"/>
        <v>60010.826999999997</v>
      </c>
      <c r="Z147" s="1276">
        <f t="shared" si="51"/>
        <v>65319.926999999996</v>
      </c>
      <c r="AA147" s="1277">
        <f t="shared" si="52"/>
        <v>720126.32399999991</v>
      </c>
      <c r="AB147" s="1458">
        <f t="shared" si="53"/>
        <v>49105.102216160922</v>
      </c>
      <c r="AC147" s="1458"/>
      <c r="AD147" s="1458"/>
      <c r="AE147" s="1458"/>
      <c r="AF147" s="1458"/>
      <c r="AG147" s="1458"/>
      <c r="AH147" s="1458"/>
      <c r="AI147" s="1458"/>
      <c r="AJ147" s="1458"/>
      <c r="AK147" s="914"/>
      <c r="AL147" s="914"/>
      <c r="AM147" s="914"/>
      <c r="AN147" s="914"/>
      <c r="AO147" s="914"/>
      <c r="AP147" s="914"/>
      <c r="AQ147" s="914"/>
    </row>
    <row r="148" spans="1:43" s="1459" customFormat="1" ht="15.75">
      <c r="A148" s="709">
        <v>139</v>
      </c>
      <c r="B148" s="153" t="s">
        <v>342</v>
      </c>
      <c r="C148" s="647" t="s">
        <v>340</v>
      </c>
      <c r="D148" s="560" t="s">
        <v>64</v>
      </c>
      <c r="E148" s="563"/>
      <c r="F148" s="711"/>
      <c r="G148" s="712">
        <v>1</v>
      </c>
      <c r="H148" s="563"/>
      <c r="I148" s="689"/>
      <c r="J148" s="563">
        <v>2</v>
      </c>
      <c r="K148" s="554">
        <v>17697</v>
      </c>
      <c r="L148" s="554"/>
      <c r="M148" s="554">
        <v>1</v>
      </c>
      <c r="N148" s="554"/>
      <c r="O148" s="552">
        <v>2.81</v>
      </c>
      <c r="P148" s="567">
        <f t="shared" si="48"/>
        <v>49728.57</v>
      </c>
      <c r="Q148" s="556"/>
      <c r="R148" s="552">
        <f t="shared" si="54"/>
        <v>0</v>
      </c>
      <c r="S148" s="568"/>
      <c r="T148" s="708">
        <v>0.1</v>
      </c>
      <c r="U148" s="552">
        <f t="shared" si="47"/>
        <v>4972.857</v>
      </c>
      <c r="V148" s="569">
        <v>0.3</v>
      </c>
      <c r="W148" s="554">
        <f t="shared" si="55"/>
        <v>5309.0999999999995</v>
      </c>
      <c r="X148" s="559">
        <f t="shared" si="49"/>
        <v>60010.526999999995</v>
      </c>
      <c r="Y148" s="1276">
        <f t="shared" si="50"/>
        <v>60010.826999999997</v>
      </c>
      <c r="Z148" s="1276">
        <f t="shared" si="51"/>
        <v>65319.926999999996</v>
      </c>
      <c r="AA148" s="1277">
        <f t="shared" si="52"/>
        <v>720126.32399999991</v>
      </c>
      <c r="AB148" s="1458">
        <f t="shared" si="53"/>
        <v>49105.102216160922</v>
      </c>
      <c r="AC148" s="1458"/>
      <c r="AD148" s="1458"/>
      <c r="AE148" s="1458"/>
      <c r="AF148" s="1458"/>
      <c r="AG148" s="1458"/>
      <c r="AH148" s="1458"/>
      <c r="AI148" s="1458"/>
      <c r="AJ148" s="1458"/>
      <c r="AK148" s="914"/>
      <c r="AL148" s="914"/>
      <c r="AM148" s="914"/>
      <c r="AN148" s="914"/>
      <c r="AO148" s="914"/>
      <c r="AP148" s="914"/>
      <c r="AQ148" s="914"/>
    </row>
    <row r="149" spans="1:43" s="1459" customFormat="1" ht="15.75">
      <c r="A149" s="703">
        <v>140</v>
      </c>
      <c r="B149" s="153" t="s">
        <v>343</v>
      </c>
      <c r="C149" s="647" t="s">
        <v>340</v>
      </c>
      <c r="D149" s="560" t="s">
        <v>64</v>
      </c>
      <c r="E149" s="563"/>
      <c r="F149" s="711"/>
      <c r="G149" s="712">
        <v>1</v>
      </c>
      <c r="H149" s="563"/>
      <c r="I149" s="689"/>
      <c r="J149" s="563">
        <v>2</v>
      </c>
      <c r="K149" s="554">
        <v>17697</v>
      </c>
      <c r="L149" s="554"/>
      <c r="M149" s="554">
        <v>1</v>
      </c>
      <c r="N149" s="554"/>
      <c r="O149" s="552">
        <v>2.81</v>
      </c>
      <c r="P149" s="567">
        <f t="shared" si="48"/>
        <v>49728.57</v>
      </c>
      <c r="Q149" s="556"/>
      <c r="R149" s="552">
        <f t="shared" si="54"/>
        <v>0</v>
      </c>
      <c r="S149" s="568"/>
      <c r="T149" s="708">
        <v>0.1</v>
      </c>
      <c r="U149" s="552">
        <f t="shared" si="47"/>
        <v>4972.857</v>
      </c>
      <c r="V149" s="569">
        <v>0.3</v>
      </c>
      <c r="W149" s="554">
        <f t="shared" si="55"/>
        <v>5309.0999999999995</v>
      </c>
      <c r="X149" s="559">
        <f t="shared" si="49"/>
        <v>60010.526999999995</v>
      </c>
      <c r="Y149" s="1276">
        <f t="shared" si="50"/>
        <v>60010.826999999997</v>
      </c>
      <c r="Z149" s="1276">
        <f t="shared" si="51"/>
        <v>65319.926999999996</v>
      </c>
      <c r="AA149" s="1277">
        <f t="shared" si="52"/>
        <v>720126.32399999991</v>
      </c>
      <c r="AB149" s="1458">
        <f t="shared" si="53"/>
        <v>49105.102216160922</v>
      </c>
      <c r="AC149" s="1458"/>
      <c r="AD149" s="1458"/>
      <c r="AE149" s="1458"/>
      <c r="AF149" s="1458"/>
      <c r="AG149" s="1458"/>
      <c r="AH149" s="1458"/>
      <c r="AI149" s="1458"/>
      <c r="AJ149" s="1458"/>
      <c r="AK149" s="914"/>
      <c r="AL149" s="914"/>
      <c r="AM149" s="914"/>
      <c r="AN149" s="914"/>
      <c r="AO149" s="914"/>
      <c r="AP149" s="914"/>
      <c r="AQ149" s="914"/>
    </row>
    <row r="150" spans="1:43" s="1459" customFormat="1" ht="15.75">
      <c r="A150" s="709">
        <v>141</v>
      </c>
      <c r="B150" s="153" t="s">
        <v>734</v>
      </c>
      <c r="C150" s="647" t="s">
        <v>340</v>
      </c>
      <c r="D150" s="560" t="s">
        <v>64</v>
      </c>
      <c r="E150" s="563"/>
      <c r="F150" s="717"/>
      <c r="G150" s="712" t="s">
        <v>409</v>
      </c>
      <c r="H150" s="563"/>
      <c r="I150" s="689"/>
      <c r="J150" s="563">
        <v>2</v>
      </c>
      <c r="K150" s="554">
        <v>17697</v>
      </c>
      <c r="L150" s="554"/>
      <c r="M150" s="554">
        <v>1.5</v>
      </c>
      <c r="N150" s="554"/>
      <c r="O150" s="552">
        <v>2.81</v>
      </c>
      <c r="P150" s="567">
        <f t="shared" si="48"/>
        <v>74592.854999999996</v>
      </c>
      <c r="Q150" s="556"/>
      <c r="R150" s="552">
        <f t="shared" si="54"/>
        <v>0</v>
      </c>
      <c r="S150" s="554"/>
      <c r="T150" s="708">
        <v>0.1</v>
      </c>
      <c r="U150" s="552">
        <f t="shared" si="47"/>
        <v>7459.2855</v>
      </c>
      <c r="V150" s="569">
        <v>0.3</v>
      </c>
      <c r="W150" s="554">
        <f>V150*K150*1.5</f>
        <v>7963.65</v>
      </c>
      <c r="X150" s="559">
        <f t="shared" si="49"/>
        <v>90015.790499999988</v>
      </c>
      <c r="Y150" s="1276">
        <f t="shared" si="50"/>
        <v>60010.826999999997</v>
      </c>
      <c r="Z150" s="1276">
        <f t="shared" si="51"/>
        <v>65319.926999999996</v>
      </c>
      <c r="AA150" s="1277">
        <f t="shared" si="52"/>
        <v>720126.32399999991</v>
      </c>
      <c r="AB150" s="1458">
        <f t="shared" si="53"/>
        <v>49105.102216160922</v>
      </c>
      <c r="AC150" s="1458"/>
      <c r="AD150" s="1458"/>
      <c r="AE150" s="1458"/>
      <c r="AF150" s="1458"/>
      <c r="AG150" s="1458"/>
      <c r="AH150" s="1458"/>
      <c r="AI150" s="1458"/>
      <c r="AJ150" s="1458"/>
      <c r="AK150" s="914"/>
      <c r="AL150" s="914"/>
      <c r="AM150" s="914"/>
      <c r="AN150" s="914"/>
      <c r="AO150" s="914"/>
      <c r="AP150" s="914"/>
      <c r="AQ150" s="914"/>
    </row>
    <row r="151" spans="1:43" s="1278" customFormat="1" ht="15.75">
      <c r="A151" s="709">
        <v>143</v>
      </c>
      <c r="B151" s="153" t="s">
        <v>506</v>
      </c>
      <c r="C151" s="647" t="s">
        <v>340</v>
      </c>
      <c r="D151" s="560" t="s">
        <v>64</v>
      </c>
      <c r="E151" s="563"/>
      <c r="F151" s="711"/>
      <c r="G151" s="712" t="s">
        <v>409</v>
      </c>
      <c r="H151" s="563"/>
      <c r="I151" s="689"/>
      <c r="J151" s="563">
        <v>2</v>
      </c>
      <c r="K151" s="554">
        <v>17697</v>
      </c>
      <c r="L151" s="554"/>
      <c r="M151" s="554">
        <v>1.5</v>
      </c>
      <c r="N151" s="554"/>
      <c r="O151" s="552">
        <v>2.81</v>
      </c>
      <c r="P151" s="567">
        <f t="shared" si="48"/>
        <v>74592.854999999996</v>
      </c>
      <c r="Q151" s="556"/>
      <c r="R151" s="552">
        <f t="shared" si="54"/>
        <v>0</v>
      </c>
      <c r="S151" s="554"/>
      <c r="T151" s="708">
        <v>0.1</v>
      </c>
      <c r="U151" s="552">
        <f t="shared" si="47"/>
        <v>7459.2855</v>
      </c>
      <c r="V151" s="569">
        <v>0.3</v>
      </c>
      <c r="W151" s="554">
        <f>V151*K151*1.5</f>
        <v>7963.65</v>
      </c>
      <c r="X151" s="559">
        <f t="shared" si="49"/>
        <v>90015.790499999988</v>
      </c>
      <c r="Y151" s="1276">
        <f t="shared" si="50"/>
        <v>90016.090499999991</v>
      </c>
      <c r="Z151" s="1276">
        <f t="shared" si="51"/>
        <v>97979.740499999985</v>
      </c>
      <c r="AA151" s="1277">
        <f t="shared" si="52"/>
        <v>1080189.4859999998</v>
      </c>
      <c r="AB151" s="1458">
        <f t="shared" si="53"/>
        <v>73657.653324241386</v>
      </c>
      <c r="AK151" s="23"/>
      <c r="AL151" s="23"/>
      <c r="AM151" s="23"/>
      <c r="AN151" s="23"/>
      <c r="AO151" s="23"/>
      <c r="AP151" s="23"/>
      <c r="AQ151" s="23"/>
    </row>
    <row r="152" spans="1:43" s="1278" customFormat="1" ht="15.75">
      <c r="A152" s="703">
        <v>144</v>
      </c>
      <c r="B152" s="646" t="s">
        <v>507</v>
      </c>
      <c r="C152" s="647" t="s">
        <v>340</v>
      </c>
      <c r="D152" s="560" t="s">
        <v>64</v>
      </c>
      <c r="E152" s="713"/>
      <c r="F152" s="628"/>
      <c r="G152" s="712" t="s">
        <v>563</v>
      </c>
      <c r="H152" s="714"/>
      <c r="I152" s="715"/>
      <c r="J152" s="563">
        <v>2</v>
      </c>
      <c r="K152" s="715">
        <v>17697</v>
      </c>
      <c r="L152" s="715"/>
      <c r="M152" s="554">
        <v>1.3</v>
      </c>
      <c r="N152" s="554"/>
      <c r="O152" s="552">
        <v>2.81</v>
      </c>
      <c r="P152" s="567">
        <f t="shared" si="48"/>
        <v>64647.141000000003</v>
      </c>
      <c r="Q152" s="556"/>
      <c r="R152" s="552">
        <f t="shared" si="54"/>
        <v>0</v>
      </c>
      <c r="S152" s="554"/>
      <c r="T152" s="708">
        <v>0.1</v>
      </c>
      <c r="U152" s="552">
        <f t="shared" si="47"/>
        <v>6464.7141000000011</v>
      </c>
      <c r="V152" s="569">
        <v>0.3</v>
      </c>
      <c r="W152" s="554">
        <f>V152*K152/1*1.3</f>
        <v>6901.83</v>
      </c>
      <c r="X152" s="559">
        <f t="shared" si="49"/>
        <v>78013.685100000002</v>
      </c>
      <c r="Y152" s="1276">
        <f t="shared" si="50"/>
        <v>90016.090499999991</v>
      </c>
      <c r="Z152" s="1276">
        <f t="shared" si="51"/>
        <v>97979.740499999985</v>
      </c>
      <c r="AA152" s="1277">
        <f t="shared" si="52"/>
        <v>1080189.4859999998</v>
      </c>
      <c r="AB152" s="1458">
        <f t="shared" si="53"/>
        <v>73657.653324241386</v>
      </c>
      <c r="AK152" s="23"/>
      <c r="AL152" s="23"/>
      <c r="AM152" s="23"/>
      <c r="AN152" s="23"/>
      <c r="AO152" s="23"/>
      <c r="AP152" s="23"/>
      <c r="AQ152" s="23"/>
    </row>
    <row r="153" spans="1:43" s="1469" customFormat="1" ht="15.75">
      <c r="A153" s="709">
        <v>145</v>
      </c>
      <c r="B153" s="718" t="s">
        <v>508</v>
      </c>
      <c r="C153" s="719" t="s">
        <v>340</v>
      </c>
      <c r="D153" s="720" t="s">
        <v>75</v>
      </c>
      <c r="E153" s="720"/>
      <c r="F153" s="721"/>
      <c r="G153" s="720">
        <v>1</v>
      </c>
      <c r="H153" s="722"/>
      <c r="I153" s="722"/>
      <c r="J153" s="601">
        <v>2</v>
      </c>
      <c r="K153" s="723">
        <v>17697</v>
      </c>
      <c r="L153" s="723"/>
      <c r="M153" s="554">
        <v>1</v>
      </c>
      <c r="N153" s="723"/>
      <c r="O153" s="552">
        <v>2.81</v>
      </c>
      <c r="P153" s="567">
        <f t="shared" si="48"/>
        <v>49728.57</v>
      </c>
      <c r="Q153" s="556"/>
      <c r="R153" s="552">
        <f t="shared" si="54"/>
        <v>0</v>
      </c>
      <c r="S153" s="723"/>
      <c r="T153" s="708">
        <v>0.1</v>
      </c>
      <c r="U153" s="552">
        <f t="shared" si="47"/>
        <v>4972.857</v>
      </c>
      <c r="V153" s="609">
        <v>0.3</v>
      </c>
      <c r="W153" s="605">
        <f>V153*K153</f>
        <v>5309.0999999999995</v>
      </c>
      <c r="X153" s="559">
        <f t="shared" si="49"/>
        <v>60010.526999999995</v>
      </c>
      <c r="Y153" s="1276">
        <f t="shared" si="50"/>
        <v>78013.985100000005</v>
      </c>
      <c r="Z153" s="1276">
        <f t="shared" si="51"/>
        <v>84915.815100000007</v>
      </c>
      <c r="AA153" s="1277">
        <f t="shared" si="52"/>
        <v>936164.22120000003</v>
      </c>
      <c r="AB153" s="1458">
        <f t="shared" si="53"/>
        <v>63836.632881009216</v>
      </c>
      <c r="AK153" s="1778"/>
      <c r="AL153" s="1778"/>
      <c r="AM153" s="1778"/>
      <c r="AN153" s="1778"/>
      <c r="AO153" s="1778"/>
      <c r="AP153" s="1778"/>
      <c r="AQ153" s="1778"/>
    </row>
    <row r="154" spans="1:43" s="1278" customFormat="1" ht="15.75">
      <c r="A154" s="703">
        <v>146</v>
      </c>
      <c r="B154" s="153" t="s">
        <v>345</v>
      </c>
      <c r="C154" s="561" t="s">
        <v>784</v>
      </c>
      <c r="D154" s="560" t="s">
        <v>64</v>
      </c>
      <c r="E154" s="563"/>
      <c r="F154" s="711"/>
      <c r="G154" s="712">
        <v>1</v>
      </c>
      <c r="H154" s="563"/>
      <c r="I154" s="689"/>
      <c r="J154" s="563">
        <v>1</v>
      </c>
      <c r="K154" s="554">
        <v>17697</v>
      </c>
      <c r="L154" s="554"/>
      <c r="M154" s="723">
        <v>1</v>
      </c>
      <c r="N154" s="554"/>
      <c r="O154" s="554">
        <v>2.77</v>
      </c>
      <c r="P154" s="567">
        <f t="shared" si="48"/>
        <v>49020.69</v>
      </c>
      <c r="Q154" s="556"/>
      <c r="R154" s="552">
        <f t="shared" si="54"/>
        <v>0</v>
      </c>
      <c r="S154" s="568"/>
      <c r="T154" s="708">
        <v>0.1</v>
      </c>
      <c r="U154" s="552">
        <f t="shared" si="47"/>
        <v>4902.0690000000004</v>
      </c>
      <c r="V154" s="724">
        <v>0.5</v>
      </c>
      <c r="W154" s="593">
        <v>12439.34</v>
      </c>
      <c r="X154" s="559">
        <f t="shared" si="49"/>
        <v>66362.099000000002</v>
      </c>
      <c r="Y154" s="1276">
        <f t="shared" si="50"/>
        <v>60010.826999999997</v>
      </c>
      <c r="Z154" s="1276">
        <f t="shared" si="51"/>
        <v>65319.926999999996</v>
      </c>
      <c r="AA154" s="1277">
        <f t="shared" si="52"/>
        <v>720126.32399999991</v>
      </c>
      <c r="AB154" s="1458">
        <f t="shared" si="53"/>
        <v>49105.102216160922</v>
      </c>
      <c r="AC154" s="1277"/>
      <c r="AD154" s="1277"/>
      <c r="AE154" s="1482"/>
      <c r="AF154" s="1483"/>
      <c r="AG154" s="1277"/>
      <c r="AK154" s="23"/>
      <c r="AL154" s="23"/>
      <c r="AM154" s="23"/>
      <c r="AN154" s="23"/>
      <c r="AO154" s="23"/>
      <c r="AP154" s="23"/>
      <c r="AQ154" s="23"/>
    </row>
    <row r="155" spans="1:43" s="1459" customFormat="1" ht="15.75">
      <c r="A155" s="709">
        <v>147</v>
      </c>
      <c r="B155" s="153" t="s">
        <v>347</v>
      </c>
      <c r="C155" s="561" t="s">
        <v>784</v>
      </c>
      <c r="D155" s="560" t="s">
        <v>25</v>
      </c>
      <c r="E155" s="563"/>
      <c r="F155" s="560"/>
      <c r="G155" s="712">
        <v>1</v>
      </c>
      <c r="H155" s="563"/>
      <c r="I155" s="689"/>
      <c r="J155" s="563">
        <v>1</v>
      </c>
      <c r="K155" s="554">
        <v>17697</v>
      </c>
      <c r="L155" s="554"/>
      <c r="M155" s="554">
        <v>1</v>
      </c>
      <c r="N155" s="554"/>
      <c r="O155" s="554">
        <v>2.77</v>
      </c>
      <c r="P155" s="567">
        <f t="shared" si="48"/>
        <v>49020.69</v>
      </c>
      <c r="Q155" s="556"/>
      <c r="R155" s="552">
        <f t="shared" si="54"/>
        <v>0</v>
      </c>
      <c r="S155" s="568"/>
      <c r="T155" s="708">
        <v>0.1</v>
      </c>
      <c r="U155" s="552">
        <f t="shared" si="47"/>
        <v>4902.0690000000004</v>
      </c>
      <c r="V155" s="724">
        <v>0.5</v>
      </c>
      <c r="W155" s="593">
        <v>12439.34</v>
      </c>
      <c r="X155" s="559">
        <f t="shared" si="49"/>
        <v>66362.099000000002</v>
      </c>
      <c r="Y155" s="1276">
        <f t="shared" si="50"/>
        <v>66362.599000000002</v>
      </c>
      <c r="Z155" s="1276">
        <f t="shared" si="51"/>
        <v>78801.938999999998</v>
      </c>
      <c r="AA155" s="1277">
        <f t="shared" si="52"/>
        <v>796345.18800000008</v>
      </c>
      <c r="AB155" s="1458">
        <f t="shared" si="53"/>
        <v>54302.433549266971</v>
      </c>
      <c r="AC155" s="1458"/>
      <c r="AD155" s="1458"/>
      <c r="AE155" s="1458"/>
      <c r="AF155" s="1458"/>
      <c r="AG155" s="1458"/>
      <c r="AH155" s="1458"/>
      <c r="AI155" s="1458"/>
      <c r="AJ155" s="1458"/>
      <c r="AK155" s="914"/>
      <c r="AL155" s="914"/>
      <c r="AM155" s="914"/>
      <c r="AN155" s="914"/>
      <c r="AO155" s="914"/>
      <c r="AP155" s="914"/>
      <c r="AQ155" s="914"/>
    </row>
    <row r="156" spans="1:43" s="1459" customFormat="1" ht="15.75">
      <c r="A156" s="703">
        <v>148</v>
      </c>
      <c r="B156" s="153" t="s">
        <v>606</v>
      </c>
      <c r="C156" s="561" t="s">
        <v>784</v>
      </c>
      <c r="D156" s="560" t="s">
        <v>64</v>
      </c>
      <c r="E156" s="563"/>
      <c r="F156" s="560"/>
      <c r="G156" s="712">
        <v>1</v>
      </c>
      <c r="H156" s="563"/>
      <c r="I156" s="689"/>
      <c r="J156" s="563">
        <v>1</v>
      </c>
      <c r="K156" s="554">
        <v>17697</v>
      </c>
      <c r="L156" s="554"/>
      <c r="M156" s="554">
        <v>1</v>
      </c>
      <c r="N156" s="554"/>
      <c r="O156" s="554">
        <v>2.77</v>
      </c>
      <c r="P156" s="567">
        <f t="shared" si="48"/>
        <v>49020.69</v>
      </c>
      <c r="Q156" s="556"/>
      <c r="R156" s="552">
        <f t="shared" si="54"/>
        <v>0</v>
      </c>
      <c r="S156" s="568"/>
      <c r="T156" s="708">
        <v>0.1</v>
      </c>
      <c r="U156" s="552">
        <f t="shared" si="47"/>
        <v>4902.0690000000004</v>
      </c>
      <c r="V156" s="724">
        <v>0.5</v>
      </c>
      <c r="W156" s="593">
        <v>12439.34</v>
      </c>
      <c r="X156" s="559">
        <f t="shared" si="49"/>
        <v>66362.099000000002</v>
      </c>
      <c r="Y156" s="1276">
        <f t="shared" si="50"/>
        <v>66362.599000000002</v>
      </c>
      <c r="Z156" s="1276">
        <f t="shared" si="51"/>
        <v>78801.938999999998</v>
      </c>
      <c r="AA156" s="1277">
        <f t="shared" si="52"/>
        <v>796345.18800000008</v>
      </c>
      <c r="AB156" s="1458">
        <f t="shared" si="53"/>
        <v>54302.433549266971</v>
      </c>
      <c r="AC156" s="1458"/>
      <c r="AD156" s="1458"/>
      <c r="AE156" s="1458"/>
      <c r="AF156" s="1458"/>
      <c r="AG156" s="1458"/>
      <c r="AH156" s="1458"/>
      <c r="AI156" s="1458"/>
      <c r="AJ156" s="1458"/>
      <c r="AK156" s="914"/>
      <c r="AL156" s="914"/>
      <c r="AM156" s="914"/>
      <c r="AN156" s="914"/>
      <c r="AO156" s="914"/>
      <c r="AP156" s="914"/>
      <c r="AQ156" s="914"/>
    </row>
    <row r="157" spans="1:43" s="1459" customFormat="1" ht="15.75">
      <c r="A157" s="709">
        <v>149</v>
      </c>
      <c r="B157" s="153" t="s">
        <v>735</v>
      </c>
      <c r="C157" s="725" t="s">
        <v>785</v>
      </c>
      <c r="D157" s="560" t="s">
        <v>64</v>
      </c>
      <c r="E157" s="563"/>
      <c r="F157" s="560"/>
      <c r="G157" s="712">
        <v>1</v>
      </c>
      <c r="H157" s="563"/>
      <c r="I157" s="689"/>
      <c r="J157" s="563">
        <v>1</v>
      </c>
      <c r="K157" s="554">
        <v>17697</v>
      </c>
      <c r="L157" s="554"/>
      <c r="M157" s="554">
        <v>1</v>
      </c>
      <c r="N157" s="554"/>
      <c r="O157" s="554">
        <v>2.77</v>
      </c>
      <c r="P157" s="567">
        <f t="shared" si="48"/>
        <v>49020.69</v>
      </c>
      <c r="Q157" s="556"/>
      <c r="R157" s="552">
        <f t="shared" si="54"/>
        <v>0</v>
      </c>
      <c r="S157" s="554"/>
      <c r="T157" s="708">
        <v>0.1</v>
      </c>
      <c r="U157" s="552">
        <f t="shared" si="47"/>
        <v>4902.0690000000004</v>
      </c>
      <c r="V157" s="724">
        <v>0.5</v>
      </c>
      <c r="W157" s="593">
        <v>12439.34</v>
      </c>
      <c r="X157" s="559">
        <f t="shared" si="49"/>
        <v>66362.099000000002</v>
      </c>
      <c r="Y157" s="1276">
        <f t="shared" si="50"/>
        <v>66362.599000000002</v>
      </c>
      <c r="Z157" s="1276">
        <f t="shared" si="51"/>
        <v>78801.938999999998</v>
      </c>
      <c r="AA157" s="1277">
        <f t="shared" si="52"/>
        <v>796345.18800000008</v>
      </c>
      <c r="AB157" s="1458">
        <f t="shared" si="53"/>
        <v>54302.433549266971</v>
      </c>
      <c r="AC157" s="1458"/>
      <c r="AD157" s="1458"/>
      <c r="AE157" s="1458"/>
      <c r="AF157" s="1458"/>
      <c r="AG157" s="1458"/>
      <c r="AH157" s="1458"/>
      <c r="AI157" s="1458"/>
      <c r="AJ157" s="1458"/>
      <c r="AK157" s="914"/>
      <c r="AL157" s="1787"/>
      <c r="AM157" s="914"/>
      <c r="AN157" s="914"/>
      <c r="AO157" s="914"/>
      <c r="AP157" s="914"/>
      <c r="AQ157" s="914"/>
    </row>
    <row r="158" spans="1:43" s="1278" customFormat="1" ht="15.75">
      <c r="A158" s="703">
        <v>150</v>
      </c>
      <c r="B158" s="153" t="s">
        <v>333</v>
      </c>
      <c r="C158" s="725" t="s">
        <v>785</v>
      </c>
      <c r="D158" s="560" t="s">
        <v>64</v>
      </c>
      <c r="E158" s="563"/>
      <c r="F158" s="560"/>
      <c r="G158" s="712">
        <v>1</v>
      </c>
      <c r="H158" s="563"/>
      <c r="I158" s="689"/>
      <c r="J158" s="563">
        <v>1</v>
      </c>
      <c r="K158" s="554">
        <v>17697</v>
      </c>
      <c r="L158" s="554"/>
      <c r="M158" s="554">
        <v>1</v>
      </c>
      <c r="N158" s="554"/>
      <c r="O158" s="554">
        <v>2.77</v>
      </c>
      <c r="P158" s="567">
        <f t="shared" si="48"/>
        <v>49020.69</v>
      </c>
      <c r="Q158" s="556"/>
      <c r="R158" s="552">
        <f t="shared" si="54"/>
        <v>0</v>
      </c>
      <c r="S158" s="554"/>
      <c r="T158" s="708">
        <v>0.1</v>
      </c>
      <c r="U158" s="552">
        <f t="shared" si="47"/>
        <v>4902.0690000000004</v>
      </c>
      <c r="V158" s="724">
        <v>0.5</v>
      </c>
      <c r="W158" s="593">
        <v>12439.34</v>
      </c>
      <c r="X158" s="559">
        <f t="shared" si="49"/>
        <v>66362.099000000002</v>
      </c>
      <c r="Y158" s="1276">
        <f t="shared" si="50"/>
        <v>66362.599000000002</v>
      </c>
      <c r="Z158" s="1276">
        <f t="shared" si="51"/>
        <v>78801.938999999998</v>
      </c>
      <c r="AA158" s="1277">
        <f t="shared" si="52"/>
        <v>796345.18800000008</v>
      </c>
      <c r="AB158" s="1458">
        <f t="shared" si="53"/>
        <v>54302.433549266971</v>
      </c>
      <c r="AK158" s="23"/>
      <c r="AL158" s="23"/>
      <c r="AM158" s="23"/>
      <c r="AN158" s="23"/>
      <c r="AO158" s="23"/>
      <c r="AP158" s="23"/>
      <c r="AQ158" s="23"/>
    </row>
    <row r="159" spans="1:43" s="1278" customFormat="1" ht="15.75">
      <c r="A159" s="709">
        <v>151</v>
      </c>
      <c r="B159" s="153" t="s">
        <v>350</v>
      </c>
      <c r="C159" s="725" t="s">
        <v>785</v>
      </c>
      <c r="D159" s="560" t="s">
        <v>64</v>
      </c>
      <c r="E159" s="563"/>
      <c r="F159" s="560"/>
      <c r="G159" s="712">
        <v>1</v>
      </c>
      <c r="H159" s="563"/>
      <c r="I159" s="689"/>
      <c r="J159" s="563">
        <v>1</v>
      </c>
      <c r="K159" s="554">
        <v>17697</v>
      </c>
      <c r="L159" s="554"/>
      <c r="M159" s="554">
        <v>1</v>
      </c>
      <c r="N159" s="554"/>
      <c r="O159" s="554">
        <v>2.77</v>
      </c>
      <c r="P159" s="567">
        <f t="shared" si="48"/>
        <v>49020.69</v>
      </c>
      <c r="Q159" s="556"/>
      <c r="R159" s="552">
        <f t="shared" si="54"/>
        <v>0</v>
      </c>
      <c r="S159" s="554"/>
      <c r="T159" s="708">
        <v>0.1</v>
      </c>
      <c r="U159" s="552">
        <f t="shared" si="47"/>
        <v>4902.0690000000004</v>
      </c>
      <c r="V159" s="724">
        <v>0.5</v>
      </c>
      <c r="W159" s="593">
        <v>12439.34</v>
      </c>
      <c r="X159" s="559">
        <f t="shared" si="49"/>
        <v>66362.099000000002</v>
      </c>
      <c r="Y159" s="1276">
        <f t="shared" si="50"/>
        <v>66362.599000000002</v>
      </c>
      <c r="Z159" s="1276">
        <f t="shared" si="51"/>
        <v>78801.938999999998</v>
      </c>
      <c r="AA159" s="1277">
        <f t="shared" si="52"/>
        <v>796345.18800000008</v>
      </c>
      <c r="AB159" s="1458">
        <f t="shared" si="53"/>
        <v>54302.433549266971</v>
      </c>
      <c r="AK159" s="23"/>
      <c r="AL159" s="23"/>
      <c r="AM159" s="906"/>
      <c r="AN159" s="906"/>
      <c r="AO159" s="23"/>
      <c r="AP159" s="23"/>
      <c r="AQ159" s="23"/>
    </row>
    <row r="160" spans="1:43" s="1278" customFormat="1" ht="15.75">
      <c r="A160" s="703">
        <v>152</v>
      </c>
      <c r="B160" s="726" t="s">
        <v>351</v>
      </c>
      <c r="C160" s="662" t="s">
        <v>786</v>
      </c>
      <c r="D160" s="663" t="s">
        <v>75</v>
      </c>
      <c r="E160" s="663"/>
      <c r="F160" s="727"/>
      <c r="G160" s="663">
        <v>1</v>
      </c>
      <c r="H160" s="728"/>
      <c r="I160" s="728"/>
      <c r="J160" s="663">
        <v>1</v>
      </c>
      <c r="K160" s="567">
        <v>17697</v>
      </c>
      <c r="L160" s="567"/>
      <c r="M160" s="554">
        <v>1</v>
      </c>
      <c r="N160" s="567"/>
      <c r="O160" s="554">
        <v>2.77</v>
      </c>
      <c r="P160" s="567">
        <f t="shared" si="48"/>
        <v>49020.69</v>
      </c>
      <c r="Q160" s="556"/>
      <c r="R160" s="552">
        <f t="shared" si="54"/>
        <v>0</v>
      </c>
      <c r="S160" s="567"/>
      <c r="T160" s="708">
        <v>0.1</v>
      </c>
      <c r="U160" s="552">
        <f t="shared" si="47"/>
        <v>4902.0690000000004</v>
      </c>
      <c r="V160" s="567">
        <v>0</v>
      </c>
      <c r="W160" s="593">
        <v>12439.34</v>
      </c>
      <c r="X160" s="559">
        <f t="shared" si="49"/>
        <v>66362.099000000002</v>
      </c>
      <c r="Y160" s="1276">
        <f t="shared" si="50"/>
        <v>66362.599000000002</v>
      </c>
      <c r="Z160" s="1276">
        <f t="shared" si="51"/>
        <v>78801.938999999998</v>
      </c>
      <c r="AA160" s="1277">
        <f t="shared" si="52"/>
        <v>796345.18800000008</v>
      </c>
      <c r="AB160" s="1458">
        <f t="shared" si="53"/>
        <v>54302.433549266971</v>
      </c>
      <c r="AK160" s="23"/>
      <c r="AL160" s="23"/>
      <c r="AM160" s="906"/>
      <c r="AN160" s="23"/>
      <c r="AO160" s="23"/>
      <c r="AP160" s="23"/>
      <c r="AQ160" s="23"/>
    </row>
    <row r="161" spans="1:44" s="1278" customFormat="1" ht="15.75">
      <c r="A161" s="709">
        <v>153</v>
      </c>
      <c r="B161" s="726" t="s">
        <v>607</v>
      </c>
      <c r="C161" s="662" t="s">
        <v>786</v>
      </c>
      <c r="D161" s="663" t="s">
        <v>75</v>
      </c>
      <c r="E161" s="663"/>
      <c r="F161" s="727"/>
      <c r="G161" s="663">
        <v>1</v>
      </c>
      <c r="H161" s="728"/>
      <c r="I161" s="728"/>
      <c r="J161" s="663">
        <v>1</v>
      </c>
      <c r="K161" s="567">
        <v>17697</v>
      </c>
      <c r="L161" s="567"/>
      <c r="M161" s="554">
        <v>1</v>
      </c>
      <c r="N161" s="567"/>
      <c r="O161" s="554">
        <v>2.77</v>
      </c>
      <c r="P161" s="567">
        <f t="shared" si="48"/>
        <v>49020.69</v>
      </c>
      <c r="Q161" s="556"/>
      <c r="R161" s="552">
        <f t="shared" si="54"/>
        <v>0</v>
      </c>
      <c r="S161" s="567"/>
      <c r="T161" s="708">
        <v>0.1</v>
      </c>
      <c r="U161" s="552">
        <f t="shared" si="47"/>
        <v>4902.0690000000004</v>
      </c>
      <c r="V161" s="567">
        <v>0</v>
      </c>
      <c r="W161" s="593">
        <v>12439.34</v>
      </c>
      <c r="X161" s="559">
        <f t="shared" si="49"/>
        <v>66362.099000000002</v>
      </c>
      <c r="Y161" s="1276">
        <f t="shared" si="50"/>
        <v>66362.099000000002</v>
      </c>
      <c r="Z161" s="1276">
        <f t="shared" si="51"/>
        <v>78801.438999999998</v>
      </c>
      <c r="AA161" s="1277">
        <f t="shared" si="52"/>
        <v>796345.18800000008</v>
      </c>
      <c r="AB161" s="1458">
        <f t="shared" si="53"/>
        <v>54302.433549266971</v>
      </c>
      <c r="AC161" s="1277"/>
      <c r="AD161" s="1277"/>
      <c r="AE161" s="1482"/>
      <c r="AF161" s="1483"/>
      <c r="AG161" s="1277"/>
      <c r="AK161" s="23"/>
      <c r="AL161" s="23"/>
      <c r="AM161" s="906"/>
      <c r="AN161" s="23"/>
      <c r="AO161" s="23"/>
      <c r="AP161" s="23"/>
      <c r="AQ161" s="23"/>
    </row>
    <row r="162" spans="1:44" s="1278" customFormat="1" ht="15.75">
      <c r="A162" s="703">
        <v>154</v>
      </c>
      <c r="B162" s="729" t="s">
        <v>354</v>
      </c>
      <c r="C162" s="662" t="s">
        <v>786</v>
      </c>
      <c r="D162" s="663" t="s">
        <v>75</v>
      </c>
      <c r="E162" s="663"/>
      <c r="F162" s="727"/>
      <c r="G162" s="663">
        <v>1</v>
      </c>
      <c r="H162" s="728"/>
      <c r="I162" s="728"/>
      <c r="J162" s="663">
        <v>1</v>
      </c>
      <c r="K162" s="567">
        <v>17697</v>
      </c>
      <c r="L162" s="567"/>
      <c r="M162" s="554">
        <v>1</v>
      </c>
      <c r="N162" s="567"/>
      <c r="O162" s="554">
        <v>2.77</v>
      </c>
      <c r="P162" s="567">
        <f t="shared" si="48"/>
        <v>49020.69</v>
      </c>
      <c r="Q162" s="556"/>
      <c r="R162" s="552">
        <f t="shared" si="54"/>
        <v>0</v>
      </c>
      <c r="S162" s="567"/>
      <c r="T162" s="708">
        <v>0.1</v>
      </c>
      <c r="U162" s="552">
        <f t="shared" si="47"/>
        <v>4902.0690000000004</v>
      </c>
      <c r="V162" s="567">
        <v>0</v>
      </c>
      <c r="W162" s="593">
        <v>12439.34</v>
      </c>
      <c r="X162" s="559">
        <f t="shared" si="49"/>
        <v>66362.099000000002</v>
      </c>
      <c r="Y162" s="1276">
        <f t="shared" si="50"/>
        <v>66362.099000000002</v>
      </c>
      <c r="Z162" s="1276">
        <f t="shared" si="51"/>
        <v>78801.438999999998</v>
      </c>
      <c r="AA162" s="1277">
        <f t="shared" si="52"/>
        <v>796345.18800000008</v>
      </c>
      <c r="AB162" s="1458">
        <f t="shared" si="53"/>
        <v>54302.433549266971</v>
      </c>
      <c r="AC162" s="1277"/>
      <c r="AD162" s="1277"/>
      <c r="AE162" s="1482"/>
      <c r="AF162" s="1483"/>
      <c r="AG162" s="1277"/>
      <c r="AK162" s="23"/>
      <c r="AL162" s="23"/>
      <c r="AM162" s="23"/>
      <c r="AN162" s="23"/>
      <c r="AO162" s="23"/>
      <c r="AP162" s="23"/>
      <c r="AQ162" s="23"/>
    </row>
    <row r="163" spans="1:44" s="1278" customFormat="1" ht="15.75">
      <c r="A163" s="709">
        <v>155</v>
      </c>
      <c r="B163" s="646" t="s">
        <v>355</v>
      </c>
      <c r="C163" s="647" t="s">
        <v>356</v>
      </c>
      <c r="D163" s="663" t="s">
        <v>75</v>
      </c>
      <c r="E163" s="646"/>
      <c r="F163" s="646"/>
      <c r="G163" s="628">
        <v>1</v>
      </c>
      <c r="H163" s="714"/>
      <c r="I163" s="715"/>
      <c r="J163" s="628">
        <v>1</v>
      </c>
      <c r="K163" s="715">
        <v>17697</v>
      </c>
      <c r="L163" s="715"/>
      <c r="M163" s="554">
        <v>1</v>
      </c>
      <c r="N163" s="554"/>
      <c r="O163" s="554">
        <v>2.77</v>
      </c>
      <c r="P163" s="567">
        <f t="shared" si="48"/>
        <v>49020.69</v>
      </c>
      <c r="Q163" s="556"/>
      <c r="R163" s="552">
        <f t="shared" si="54"/>
        <v>0</v>
      </c>
      <c r="S163" s="554"/>
      <c r="T163" s="708">
        <v>0.1</v>
      </c>
      <c r="U163" s="552">
        <f t="shared" si="47"/>
        <v>4902.0690000000004</v>
      </c>
      <c r="V163" s="567">
        <v>0</v>
      </c>
      <c r="W163" s="567">
        <v>0</v>
      </c>
      <c r="X163" s="559">
        <f t="shared" si="49"/>
        <v>53922.759000000005</v>
      </c>
      <c r="Y163" s="1276">
        <f t="shared" si="50"/>
        <v>66362.099000000002</v>
      </c>
      <c r="Z163" s="1276">
        <f t="shared" si="51"/>
        <v>78801.438999999998</v>
      </c>
      <c r="AA163" s="1277">
        <f t="shared" si="52"/>
        <v>796345.18800000008</v>
      </c>
      <c r="AB163" s="1458">
        <f t="shared" si="53"/>
        <v>54302.433549266971</v>
      </c>
      <c r="AC163" s="1277"/>
      <c r="AD163" s="1277"/>
      <c r="AE163" s="1482"/>
      <c r="AF163" s="1483"/>
      <c r="AG163" s="1277"/>
      <c r="AK163" s="23"/>
      <c r="AL163" s="23"/>
      <c r="AM163" s="23"/>
      <c r="AN163" s="23"/>
      <c r="AO163" s="23"/>
      <c r="AP163" s="23"/>
      <c r="AQ163" s="23"/>
    </row>
    <row r="164" spans="1:44" s="1469" customFormat="1" ht="15.75">
      <c r="A164" s="703">
        <v>156</v>
      </c>
      <c r="B164" s="646" t="s">
        <v>357</v>
      </c>
      <c r="C164" s="561" t="s">
        <v>358</v>
      </c>
      <c r="D164" s="560" t="s">
        <v>64</v>
      </c>
      <c r="E164" s="646"/>
      <c r="F164" s="646"/>
      <c r="G164" s="628">
        <v>1</v>
      </c>
      <c r="H164" s="714"/>
      <c r="I164" s="715"/>
      <c r="J164" s="628">
        <v>1</v>
      </c>
      <c r="K164" s="715">
        <v>17697</v>
      </c>
      <c r="L164" s="715"/>
      <c r="M164" s="554">
        <v>1</v>
      </c>
      <c r="N164" s="554"/>
      <c r="O164" s="554">
        <v>2.77</v>
      </c>
      <c r="P164" s="567">
        <f t="shared" si="48"/>
        <v>49020.69</v>
      </c>
      <c r="Q164" s="556"/>
      <c r="R164" s="552">
        <f t="shared" si="54"/>
        <v>0</v>
      </c>
      <c r="S164" s="554"/>
      <c r="T164" s="708">
        <v>0.1</v>
      </c>
      <c r="U164" s="552">
        <f t="shared" si="47"/>
        <v>4902.0690000000004</v>
      </c>
      <c r="V164" s="567">
        <v>0</v>
      </c>
      <c r="W164" s="567">
        <v>0</v>
      </c>
      <c r="X164" s="559">
        <f t="shared" si="49"/>
        <v>53922.759000000005</v>
      </c>
      <c r="Y164" s="1276">
        <f t="shared" si="50"/>
        <v>53922.759000000005</v>
      </c>
      <c r="Z164" s="1276">
        <f t="shared" si="51"/>
        <v>53922.759000000005</v>
      </c>
      <c r="AA164" s="1277">
        <f t="shared" si="52"/>
        <v>647073.10800000001</v>
      </c>
      <c r="AB164" s="1458">
        <f t="shared" si="53"/>
        <v>44123.635049437435</v>
      </c>
      <c r="AC164" s="1493">
        <f>SUM(X139:X164)</f>
        <v>1593746.8760999998</v>
      </c>
      <c r="AK164" s="1778"/>
      <c r="AL164" s="1778"/>
      <c r="AM164" s="1778"/>
      <c r="AN164" s="1778"/>
      <c r="AO164" s="1778"/>
      <c r="AP164" s="1778"/>
      <c r="AQ164" s="1778"/>
    </row>
    <row r="165" spans="1:44" s="1469" customFormat="1" ht="15.75">
      <c r="A165" s="2307" t="s">
        <v>359</v>
      </c>
      <c r="B165" s="2307"/>
      <c r="C165" s="2307"/>
      <c r="D165" s="2307"/>
      <c r="E165" s="1768"/>
      <c r="F165" s="1768"/>
      <c r="G165" s="943"/>
      <c r="H165" s="1768"/>
      <c r="I165" s="1768"/>
      <c r="J165" s="1768"/>
      <c r="K165" s="1768"/>
      <c r="L165" s="944">
        <f>L138+L100+L77+L123</f>
        <v>2282</v>
      </c>
      <c r="M165" s="1035">
        <f>SUM(M6:M164)</f>
        <v>170.57777777777773</v>
      </c>
      <c r="N165" s="626"/>
      <c r="O165" s="626"/>
      <c r="P165" s="626">
        <f>SUM(P6:P164)</f>
        <v>12574214.016000001</v>
      </c>
      <c r="Q165" s="626">
        <f>SUM(Q6:Q164)</f>
        <v>0</v>
      </c>
      <c r="R165" s="626"/>
      <c r="S165" s="626">
        <f>SUM(S6:S164)</f>
        <v>279875.57458333333</v>
      </c>
      <c r="T165" s="626"/>
      <c r="U165" s="626">
        <f>SUM(U6:U164)</f>
        <v>1282856.1690583325</v>
      </c>
      <c r="V165" s="626"/>
      <c r="W165" s="626">
        <f>SUM(W6:W164)</f>
        <v>164868.08999999997</v>
      </c>
      <c r="X165" s="626">
        <f>SUM(X6:X164)</f>
        <v>14301815.65964167</v>
      </c>
      <c r="Y165" s="1276">
        <f t="shared" si="50"/>
        <v>53922.759000000005</v>
      </c>
      <c r="Z165" s="1276">
        <f t="shared" si="51"/>
        <v>53922.759000000005</v>
      </c>
      <c r="AA165" s="1277">
        <f t="shared" si="52"/>
        <v>647073.10800000001</v>
      </c>
      <c r="AB165" s="1458">
        <f t="shared" si="53"/>
        <v>44123.635049437435</v>
      </c>
      <c r="AK165" s="1778"/>
      <c r="AL165" s="1784"/>
      <c r="AM165" s="1778"/>
      <c r="AN165" s="1778"/>
      <c r="AO165" s="1778"/>
      <c r="AP165" s="1778"/>
      <c r="AQ165" s="1778"/>
    </row>
    <row r="166" spans="1:44" s="84" customFormat="1" ht="22.5" customHeight="1">
      <c r="A166" s="24"/>
      <c r="B166" s="24"/>
      <c r="C166" s="89"/>
      <c r="D166" s="24"/>
      <c r="E166" s="24"/>
      <c r="F166" s="24"/>
      <c r="G166" s="24"/>
      <c r="H166" s="24"/>
      <c r="I166" s="24"/>
      <c r="J166" s="24"/>
      <c r="K166" s="262"/>
      <c r="L166" s="262"/>
      <c r="M166" s="262"/>
      <c r="N166" s="262"/>
      <c r="O166" s="262"/>
      <c r="P166" s="262"/>
      <c r="Q166" s="262"/>
      <c r="R166" s="262"/>
      <c r="S166" s="262"/>
      <c r="T166" s="262"/>
      <c r="U166" s="262"/>
      <c r="V166" s="262"/>
      <c r="W166" s="262"/>
      <c r="X166" s="262"/>
      <c r="Y166" s="141">
        <f>SUM(Y6:Y165)</f>
        <v>1680613.6020999998</v>
      </c>
      <c r="Z166" s="141">
        <f>SUM(Z6:Z165)</f>
        <v>2154188.2202666667</v>
      </c>
      <c r="AA166" s="262"/>
      <c r="AB166" s="1026" t="e">
        <f>SUM(AB6:AB165)</f>
        <v>#REF!</v>
      </c>
      <c r="AC166" s="262"/>
      <c r="AD166" s="262" t="e">
        <f>SUM(AD27:AD165)</f>
        <v>#REF!</v>
      </c>
      <c r="AE166" s="262"/>
      <c r="AF166" s="262"/>
      <c r="AG166" s="262"/>
      <c r="AH166" s="262"/>
      <c r="AI166" s="262"/>
      <c r="AJ166" s="262"/>
      <c r="AK166" s="1785"/>
      <c r="AL166" s="1785"/>
      <c r="AM166" s="1786"/>
      <c r="AN166" s="1786"/>
      <c r="AO166" s="1786"/>
      <c r="AP166" s="1786"/>
      <c r="AQ166" s="1786"/>
      <c r="AR166" s="262"/>
    </row>
    <row r="167" spans="1:44" ht="25.5" customHeight="1">
      <c r="M167" s="85"/>
      <c r="N167" s="86"/>
      <c r="O167" s="23"/>
      <c r="P167" s="87"/>
      <c r="Q167" s="87"/>
      <c r="R167" s="88"/>
      <c r="AD167" s="1027">
        <f>SUM(AB6:AB24)</f>
        <v>1512034.5531878627</v>
      </c>
      <c r="AL167" s="906"/>
    </row>
    <row r="168" spans="1:44" s="24" customFormat="1">
      <c r="A168" s="1"/>
      <c r="B168" s="1"/>
      <c r="C168" s="1766"/>
      <c r="D168" s="1"/>
      <c r="E168" s="1"/>
      <c r="F168" s="1"/>
      <c r="G168" s="1"/>
      <c r="H168" s="1"/>
      <c r="I168" s="1"/>
      <c r="J168" s="1"/>
      <c r="K168" s="982" t="s">
        <v>604</v>
      </c>
      <c r="L168" s="983">
        <f>SUM(M139:M164)</f>
        <v>26.3</v>
      </c>
      <c r="M168" s="22">
        <f>SUM(X139:X164)</f>
        <v>1593746.8760999998</v>
      </c>
      <c r="N168" s="89"/>
      <c r="R168" s="1"/>
      <c r="S168" s="1"/>
      <c r="T168" s="1"/>
      <c r="U168" s="1"/>
      <c r="V168" s="1"/>
      <c r="W168" s="1"/>
      <c r="X168" s="3"/>
      <c r="Y168" s="3"/>
      <c r="Z168" s="3"/>
      <c r="AB168" s="24">
        <f>SUM(AB140:AB165)</f>
        <v>1304122.9125946134</v>
      </c>
      <c r="AD168" s="24">
        <f>SUM(AB140:AB165)</f>
        <v>1304122.9125946134</v>
      </c>
      <c r="AK168" s="906"/>
      <c r="AL168" s="23"/>
      <c r="AM168" s="23"/>
      <c r="AN168" s="23"/>
      <c r="AO168" s="23"/>
      <c r="AP168" s="23"/>
      <c r="AQ168" s="23"/>
    </row>
    <row r="169" spans="1:44" s="24" customFormat="1">
      <c r="A169" s="1"/>
      <c r="B169" s="1"/>
      <c r="C169" s="1766"/>
      <c r="D169" s="1"/>
      <c r="E169" s="1"/>
      <c r="F169" s="1"/>
      <c r="G169" s="1"/>
      <c r="H169" s="1"/>
      <c r="I169" s="1"/>
      <c r="J169" s="1"/>
      <c r="K169" s="1"/>
      <c r="L169" s="1"/>
      <c r="M169" s="3"/>
      <c r="N169" s="1766"/>
      <c r="O169" s="1"/>
      <c r="P169" s="1"/>
      <c r="Q169" s="1"/>
      <c r="R169" s="1"/>
      <c r="S169" s="1"/>
      <c r="T169" s="1"/>
      <c r="U169" s="1"/>
      <c r="V169" s="3"/>
      <c r="W169" s="3"/>
      <c r="X169" s="3"/>
      <c r="Y169" s="3"/>
      <c r="Z169" s="3"/>
      <c r="AD169" s="24" t="e">
        <f>SUM(AD166:AD168)</f>
        <v>#REF!</v>
      </c>
      <c r="AK169" s="23"/>
      <c r="AL169" s="23"/>
      <c r="AM169" s="23"/>
      <c r="AN169" s="23"/>
      <c r="AO169" s="23"/>
      <c r="AP169" s="23"/>
      <c r="AQ169" s="23"/>
    </row>
    <row r="170" spans="1:44" s="24" customFormat="1">
      <c r="A170" s="1"/>
      <c r="B170" s="1"/>
      <c r="C170" s="1766"/>
      <c r="D170" s="1"/>
      <c r="E170" s="1"/>
      <c r="F170" s="1"/>
      <c r="G170" s="1"/>
      <c r="H170" s="1"/>
      <c r="I170" s="1"/>
      <c r="J170" s="1"/>
      <c r="K170" s="983" t="s">
        <v>638</v>
      </c>
      <c r="L170" s="983">
        <f>SUM(M27:M137)</f>
        <v>126.77777777777773</v>
      </c>
      <c r="M170" s="3">
        <f>SUM(L170)</f>
        <v>126.77777777777773</v>
      </c>
      <c r="N170" s="995">
        <f>SUM(X27:X137)</f>
        <v>11107552.126041669</v>
      </c>
      <c r="O170" s="1"/>
      <c r="P170" s="1"/>
      <c r="Q170" s="1"/>
      <c r="R170" s="90"/>
      <c r="S170" s="90"/>
      <c r="T170" s="1"/>
      <c r="U170" s="1"/>
      <c r="V170" s="1"/>
      <c r="W170" s="1"/>
      <c r="X170" s="3"/>
      <c r="Y170" s="1"/>
      <c r="Z170" s="1"/>
      <c r="AK170" s="23"/>
      <c r="AL170" s="23"/>
      <c r="AM170" s="23"/>
      <c r="AN170" s="23"/>
      <c r="AO170" s="23"/>
      <c r="AP170" s="23"/>
      <c r="AQ170" s="23"/>
    </row>
    <row r="171" spans="1:44" s="24" customFormat="1">
      <c r="A171" s="1"/>
      <c r="B171" s="1"/>
      <c r="C171" s="1766"/>
      <c r="D171" s="1"/>
      <c r="E171" s="1"/>
      <c r="F171" s="1"/>
      <c r="G171" s="1"/>
      <c r="H171" s="1"/>
      <c r="I171" s="3"/>
      <c r="J171" s="1"/>
      <c r="K171" s="3"/>
      <c r="L171" s="3">
        <f>M26</f>
        <v>0</v>
      </c>
      <c r="M171" s="3"/>
      <c r="N171" s="995"/>
      <c r="O171" s="1"/>
      <c r="P171" s="1"/>
      <c r="Q171" s="3"/>
      <c r="R171" s="996"/>
      <c r="S171" s="1"/>
      <c r="T171" s="1"/>
      <c r="U171" s="1"/>
      <c r="V171" s="1"/>
      <c r="W171" s="1"/>
      <c r="X171" s="3"/>
      <c r="Y171" s="1"/>
      <c r="Z171" s="1"/>
      <c r="AK171" s="23"/>
      <c r="AL171" s="23"/>
      <c r="AM171" s="23"/>
      <c r="AN171" s="23"/>
      <c r="AO171" s="23"/>
      <c r="AP171" s="23"/>
      <c r="AQ171" s="23"/>
    </row>
    <row r="172" spans="1:44" s="24" customFormat="1">
      <c r="A172" s="1"/>
      <c r="B172" s="1"/>
      <c r="C172" s="1766"/>
      <c r="D172" s="1"/>
      <c r="E172" s="1"/>
      <c r="F172" s="1"/>
      <c r="G172" s="1"/>
      <c r="H172" s="1"/>
      <c r="I172" s="1"/>
      <c r="J172" s="1"/>
      <c r="K172" s="3"/>
      <c r="L172" s="3">
        <f>SUM(L168:L171)</f>
        <v>153.07777777777773</v>
      </c>
      <c r="M172" s="3"/>
      <c r="N172" s="176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22"/>
      <c r="AK172" s="23"/>
      <c r="AL172" s="23"/>
      <c r="AM172" s="23"/>
      <c r="AN172" s="23"/>
      <c r="AO172" s="23"/>
      <c r="AP172" s="23"/>
      <c r="AQ172" s="23"/>
    </row>
    <row r="173" spans="1:44">
      <c r="K173" s="3"/>
    </row>
    <row r="174" spans="1:44">
      <c r="K174" s="88"/>
      <c r="L174" s="88"/>
      <c r="M174" s="3"/>
    </row>
    <row r="175" spans="1:44">
      <c r="K175" s="982" t="s">
        <v>564</v>
      </c>
      <c r="L175" s="983">
        <f>SUM(M6:M25)</f>
        <v>17.5</v>
      </c>
      <c r="M175" s="3">
        <f>SUM(X6:X25)</f>
        <v>1600516.6575000002</v>
      </c>
      <c r="AA175" s="22"/>
    </row>
    <row r="176" spans="1:44">
      <c r="M176" s="3"/>
      <c r="O176" s="3"/>
      <c r="U176" s="3"/>
    </row>
    <row r="177" spans="1:43" s="24" customFormat="1">
      <c r="A177" s="1"/>
      <c r="B177" s="1"/>
      <c r="C177" s="1766"/>
      <c r="D177" s="1"/>
      <c r="E177" s="1"/>
      <c r="F177" s="1"/>
      <c r="G177" s="1"/>
      <c r="H177" s="1"/>
      <c r="I177" s="1"/>
      <c r="J177" s="1"/>
      <c r="K177" s="1"/>
      <c r="L177" s="3"/>
      <c r="M177" s="3"/>
      <c r="N177" s="176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K177" s="23"/>
      <c r="AL177" s="23"/>
      <c r="AM177" s="23"/>
      <c r="AN177" s="23"/>
      <c r="AO177" s="23"/>
      <c r="AP177" s="23"/>
      <c r="AQ177" s="23"/>
    </row>
    <row r="179" spans="1:43">
      <c r="M179" s="3">
        <f>M175+M168</f>
        <v>3194263.5335999997</v>
      </c>
    </row>
  </sheetData>
  <mergeCells count="25">
    <mergeCell ref="Y4:Y5"/>
    <mergeCell ref="Z4:Z5"/>
    <mergeCell ref="A165:D165"/>
    <mergeCell ref="O4:O5"/>
    <mergeCell ref="P4:P5"/>
    <mergeCell ref="R4:S4"/>
    <mergeCell ref="T4:U4"/>
    <mergeCell ref="V4:W4"/>
    <mergeCell ref="X4:X5"/>
    <mergeCell ref="I4:I5"/>
    <mergeCell ref="J4:J5"/>
    <mergeCell ref="K4:K5"/>
    <mergeCell ref="L4:L5"/>
    <mergeCell ref="M4:M5"/>
    <mergeCell ref="N4:N5"/>
    <mergeCell ref="A2:X2"/>
    <mergeCell ref="A3:X3"/>
    <mergeCell ref="A4:A5"/>
    <mergeCell ref="B4:B5"/>
    <mergeCell ref="C4:C5"/>
    <mergeCell ref="D4:D5"/>
    <mergeCell ref="E4:E5"/>
    <mergeCell ref="F4:F5"/>
    <mergeCell ref="G4:G5"/>
    <mergeCell ref="H4:H5"/>
  </mergeCells>
  <pageMargins left="0" right="0" top="0.62992125984251968" bottom="0" header="0.43307086614173229" footer="0.31496062992125984"/>
  <pageSetup paperSize="9" scale="5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1">
    <tabColor rgb="FF00B0F0"/>
  </sheetPr>
  <dimension ref="A1:AR179"/>
  <sheetViews>
    <sheetView topLeftCell="A7" zoomScale="70" zoomScaleNormal="70" zoomScaleSheetLayoutView="40" workbookViewId="0">
      <pane xSplit="3" topLeftCell="D1" activePane="topRight" state="frozen"/>
      <selection pane="topRight" activeCell="U166" sqref="U166"/>
    </sheetView>
  </sheetViews>
  <sheetFormatPr defaultRowHeight="12.75"/>
  <cols>
    <col min="1" max="1" width="6.42578125" style="1" customWidth="1"/>
    <col min="2" max="2" width="22.7109375" style="1" customWidth="1"/>
    <col min="3" max="3" width="21.7109375" style="1766" customWidth="1"/>
    <col min="4" max="4" width="12.85546875" style="1" customWidth="1"/>
    <col min="5" max="5" width="14.140625" style="1" customWidth="1"/>
    <col min="6" max="6" width="13.28515625" style="1" customWidth="1"/>
    <col min="7" max="7" width="7.42578125" style="1" customWidth="1"/>
    <col min="8" max="8" width="4.7109375" style="1" customWidth="1"/>
    <col min="9" max="9" width="8.5703125" style="1" customWidth="1"/>
    <col min="10" max="10" width="5.5703125" style="1" customWidth="1"/>
    <col min="11" max="11" width="11.5703125" style="1" customWidth="1"/>
    <col min="12" max="12" width="12.28515625" style="1" customWidth="1"/>
    <col min="13" max="13" width="12.85546875" style="1" customWidth="1"/>
    <col min="14" max="14" width="11.5703125" style="1766" customWidth="1"/>
    <col min="15" max="15" width="8.85546875" style="1" customWidth="1"/>
    <col min="16" max="16" width="16.28515625" style="1" customWidth="1"/>
    <col min="17" max="17" width="14.5703125" style="1" bestFit="1" customWidth="1"/>
    <col min="18" max="18" width="9" style="1" bestFit="1" customWidth="1"/>
    <col min="19" max="19" width="12.28515625" style="1" bestFit="1" customWidth="1"/>
    <col min="20" max="20" width="9" style="1" customWidth="1"/>
    <col min="21" max="21" width="15.140625" style="1" customWidth="1"/>
    <col min="22" max="22" width="8.5703125" style="1" customWidth="1"/>
    <col min="23" max="23" width="11.7109375" style="1" customWidth="1"/>
    <col min="24" max="24" width="13.85546875" style="1" customWidth="1"/>
    <col min="25" max="26" width="18.28515625" style="1" hidden="1" customWidth="1"/>
    <col min="27" max="27" width="13" style="24" hidden="1" customWidth="1"/>
    <col min="28" max="28" width="16" style="24" hidden="1" customWidth="1"/>
    <col min="29" max="29" width="13" style="24" hidden="1" customWidth="1"/>
    <col min="30" max="30" width="12" style="24" hidden="1" customWidth="1"/>
    <col min="31" max="33" width="0" style="24" hidden="1" customWidth="1"/>
    <col min="34" max="34" width="11.28515625" style="24" hidden="1" customWidth="1"/>
    <col min="35" max="35" width="10.7109375" style="24" hidden="1" customWidth="1"/>
    <col min="36" max="36" width="0" style="24" hidden="1" customWidth="1"/>
    <col min="37" max="37" width="12" style="23" bestFit="1" customWidth="1"/>
    <col min="38" max="38" width="12.140625" style="23" bestFit="1" customWidth="1"/>
    <col min="39" max="40" width="10.28515625" style="23" bestFit="1" customWidth="1"/>
    <col min="41" max="43" width="9.140625" style="23"/>
    <col min="44" max="44" width="9.140625" style="24"/>
    <col min="45" max="257" width="9.140625" style="1"/>
    <col min="258" max="258" width="6.42578125" style="1" customWidth="1"/>
    <col min="259" max="259" width="20.7109375" style="1" customWidth="1"/>
    <col min="260" max="260" width="24.7109375" style="1" customWidth="1"/>
    <col min="261" max="261" width="11.140625" style="1" customWidth="1"/>
    <col min="262" max="262" width="12.28515625" style="1" customWidth="1"/>
    <col min="263" max="263" width="11.140625" style="1" customWidth="1"/>
    <col min="264" max="264" width="10.42578125" style="1" customWidth="1"/>
    <col min="265" max="265" width="4.7109375" style="1" customWidth="1"/>
    <col min="266" max="266" width="8.5703125" style="1" customWidth="1"/>
    <col min="267" max="267" width="5.5703125" style="1" customWidth="1"/>
    <col min="268" max="269" width="11.5703125" style="1" customWidth="1"/>
    <col min="270" max="270" width="10.85546875" style="1" customWidth="1"/>
    <col min="271" max="271" width="7.7109375" style="1" customWidth="1"/>
    <col min="272" max="272" width="8" style="1" customWidth="1"/>
    <col min="273" max="273" width="16.28515625" style="1" customWidth="1"/>
    <col min="274" max="274" width="10.5703125" style="1" customWidth="1"/>
    <col min="275" max="275" width="14.140625" style="1" customWidth="1"/>
    <col min="276" max="276" width="10.140625" style="1" customWidth="1"/>
    <col min="277" max="277" width="15.140625" style="1" customWidth="1"/>
    <col min="278" max="278" width="8.5703125" style="1" customWidth="1"/>
    <col min="279" max="279" width="14.28515625" style="1" customWidth="1"/>
    <col min="280" max="280" width="18.28515625" style="1" customWidth="1"/>
    <col min="281" max="281" width="13" style="1" bestFit="1" customWidth="1"/>
    <col min="282" max="282" width="11.7109375" style="1" bestFit="1" customWidth="1"/>
    <col min="283" max="289" width="9.140625" style="1"/>
    <col min="290" max="290" width="11.28515625" style="1" bestFit="1" customWidth="1"/>
    <col min="291" max="291" width="10.7109375" style="1" bestFit="1" customWidth="1"/>
    <col min="292" max="513" width="9.140625" style="1"/>
    <col min="514" max="514" width="6.42578125" style="1" customWidth="1"/>
    <col min="515" max="515" width="20.7109375" style="1" customWidth="1"/>
    <col min="516" max="516" width="24.7109375" style="1" customWidth="1"/>
    <col min="517" max="517" width="11.140625" style="1" customWidth="1"/>
    <col min="518" max="518" width="12.28515625" style="1" customWidth="1"/>
    <col min="519" max="519" width="11.140625" style="1" customWidth="1"/>
    <col min="520" max="520" width="10.42578125" style="1" customWidth="1"/>
    <col min="521" max="521" width="4.7109375" style="1" customWidth="1"/>
    <col min="522" max="522" width="8.5703125" style="1" customWidth="1"/>
    <col min="523" max="523" width="5.5703125" style="1" customWidth="1"/>
    <col min="524" max="525" width="11.5703125" style="1" customWidth="1"/>
    <col min="526" max="526" width="10.85546875" style="1" customWidth="1"/>
    <col min="527" max="527" width="7.7109375" style="1" customWidth="1"/>
    <col min="528" max="528" width="8" style="1" customWidth="1"/>
    <col min="529" max="529" width="16.28515625" style="1" customWidth="1"/>
    <col min="530" max="530" width="10.5703125" style="1" customWidth="1"/>
    <col min="531" max="531" width="14.140625" style="1" customWidth="1"/>
    <col min="532" max="532" width="10.140625" style="1" customWidth="1"/>
    <col min="533" max="533" width="15.140625" style="1" customWidth="1"/>
    <col min="534" max="534" width="8.5703125" style="1" customWidth="1"/>
    <col min="535" max="535" width="14.28515625" style="1" customWidth="1"/>
    <col min="536" max="536" width="18.28515625" style="1" customWidth="1"/>
    <col min="537" max="537" width="13" style="1" bestFit="1" customWidth="1"/>
    <col min="538" max="538" width="11.7109375" style="1" bestFit="1" customWidth="1"/>
    <col min="539" max="545" width="9.140625" style="1"/>
    <col min="546" max="546" width="11.28515625" style="1" bestFit="1" customWidth="1"/>
    <col min="547" max="547" width="10.7109375" style="1" bestFit="1" customWidth="1"/>
    <col min="548" max="769" width="9.140625" style="1"/>
    <col min="770" max="770" width="6.42578125" style="1" customWidth="1"/>
    <col min="771" max="771" width="20.7109375" style="1" customWidth="1"/>
    <col min="772" max="772" width="24.7109375" style="1" customWidth="1"/>
    <col min="773" max="773" width="11.140625" style="1" customWidth="1"/>
    <col min="774" max="774" width="12.28515625" style="1" customWidth="1"/>
    <col min="775" max="775" width="11.140625" style="1" customWidth="1"/>
    <col min="776" max="776" width="10.42578125" style="1" customWidth="1"/>
    <col min="777" max="777" width="4.7109375" style="1" customWidth="1"/>
    <col min="778" max="778" width="8.5703125" style="1" customWidth="1"/>
    <col min="779" max="779" width="5.5703125" style="1" customWidth="1"/>
    <col min="780" max="781" width="11.5703125" style="1" customWidth="1"/>
    <col min="782" max="782" width="10.85546875" style="1" customWidth="1"/>
    <col min="783" max="783" width="7.7109375" style="1" customWidth="1"/>
    <col min="784" max="784" width="8" style="1" customWidth="1"/>
    <col min="785" max="785" width="16.28515625" style="1" customWidth="1"/>
    <col min="786" max="786" width="10.5703125" style="1" customWidth="1"/>
    <col min="787" max="787" width="14.140625" style="1" customWidth="1"/>
    <col min="788" max="788" width="10.140625" style="1" customWidth="1"/>
    <col min="789" max="789" width="15.140625" style="1" customWidth="1"/>
    <col min="790" max="790" width="8.5703125" style="1" customWidth="1"/>
    <col min="791" max="791" width="14.28515625" style="1" customWidth="1"/>
    <col min="792" max="792" width="18.28515625" style="1" customWidth="1"/>
    <col min="793" max="793" width="13" style="1" bestFit="1" customWidth="1"/>
    <col min="794" max="794" width="11.7109375" style="1" bestFit="1" customWidth="1"/>
    <col min="795" max="801" width="9.140625" style="1"/>
    <col min="802" max="802" width="11.28515625" style="1" bestFit="1" customWidth="1"/>
    <col min="803" max="803" width="10.7109375" style="1" bestFit="1" customWidth="1"/>
    <col min="804" max="1025" width="9.140625" style="1"/>
    <col min="1026" max="1026" width="6.42578125" style="1" customWidth="1"/>
    <col min="1027" max="1027" width="20.7109375" style="1" customWidth="1"/>
    <col min="1028" max="1028" width="24.7109375" style="1" customWidth="1"/>
    <col min="1029" max="1029" width="11.140625" style="1" customWidth="1"/>
    <col min="1030" max="1030" width="12.28515625" style="1" customWidth="1"/>
    <col min="1031" max="1031" width="11.140625" style="1" customWidth="1"/>
    <col min="1032" max="1032" width="10.42578125" style="1" customWidth="1"/>
    <col min="1033" max="1033" width="4.7109375" style="1" customWidth="1"/>
    <col min="1034" max="1034" width="8.5703125" style="1" customWidth="1"/>
    <col min="1035" max="1035" width="5.5703125" style="1" customWidth="1"/>
    <col min="1036" max="1037" width="11.5703125" style="1" customWidth="1"/>
    <col min="1038" max="1038" width="10.85546875" style="1" customWidth="1"/>
    <col min="1039" max="1039" width="7.7109375" style="1" customWidth="1"/>
    <col min="1040" max="1040" width="8" style="1" customWidth="1"/>
    <col min="1041" max="1041" width="16.28515625" style="1" customWidth="1"/>
    <col min="1042" max="1042" width="10.5703125" style="1" customWidth="1"/>
    <col min="1043" max="1043" width="14.140625" style="1" customWidth="1"/>
    <col min="1044" max="1044" width="10.140625" style="1" customWidth="1"/>
    <col min="1045" max="1045" width="15.140625" style="1" customWidth="1"/>
    <col min="1046" max="1046" width="8.5703125" style="1" customWidth="1"/>
    <col min="1047" max="1047" width="14.28515625" style="1" customWidth="1"/>
    <col min="1048" max="1048" width="18.28515625" style="1" customWidth="1"/>
    <col min="1049" max="1049" width="13" style="1" bestFit="1" customWidth="1"/>
    <col min="1050" max="1050" width="11.7109375" style="1" bestFit="1" customWidth="1"/>
    <col min="1051" max="1057" width="9.140625" style="1"/>
    <col min="1058" max="1058" width="11.28515625" style="1" bestFit="1" customWidth="1"/>
    <col min="1059" max="1059" width="10.7109375" style="1" bestFit="1" customWidth="1"/>
    <col min="1060" max="1281" width="9.140625" style="1"/>
    <col min="1282" max="1282" width="6.42578125" style="1" customWidth="1"/>
    <col min="1283" max="1283" width="20.7109375" style="1" customWidth="1"/>
    <col min="1284" max="1284" width="24.7109375" style="1" customWidth="1"/>
    <col min="1285" max="1285" width="11.140625" style="1" customWidth="1"/>
    <col min="1286" max="1286" width="12.28515625" style="1" customWidth="1"/>
    <col min="1287" max="1287" width="11.140625" style="1" customWidth="1"/>
    <col min="1288" max="1288" width="10.42578125" style="1" customWidth="1"/>
    <col min="1289" max="1289" width="4.7109375" style="1" customWidth="1"/>
    <col min="1290" max="1290" width="8.5703125" style="1" customWidth="1"/>
    <col min="1291" max="1291" width="5.5703125" style="1" customWidth="1"/>
    <col min="1292" max="1293" width="11.5703125" style="1" customWidth="1"/>
    <col min="1294" max="1294" width="10.85546875" style="1" customWidth="1"/>
    <col min="1295" max="1295" width="7.7109375" style="1" customWidth="1"/>
    <col min="1296" max="1296" width="8" style="1" customWidth="1"/>
    <col min="1297" max="1297" width="16.28515625" style="1" customWidth="1"/>
    <col min="1298" max="1298" width="10.5703125" style="1" customWidth="1"/>
    <col min="1299" max="1299" width="14.140625" style="1" customWidth="1"/>
    <col min="1300" max="1300" width="10.140625" style="1" customWidth="1"/>
    <col min="1301" max="1301" width="15.140625" style="1" customWidth="1"/>
    <col min="1302" max="1302" width="8.5703125" style="1" customWidth="1"/>
    <col min="1303" max="1303" width="14.28515625" style="1" customWidth="1"/>
    <col min="1304" max="1304" width="18.28515625" style="1" customWidth="1"/>
    <col min="1305" max="1305" width="13" style="1" bestFit="1" customWidth="1"/>
    <col min="1306" max="1306" width="11.7109375" style="1" bestFit="1" customWidth="1"/>
    <col min="1307" max="1313" width="9.140625" style="1"/>
    <col min="1314" max="1314" width="11.28515625" style="1" bestFit="1" customWidth="1"/>
    <col min="1315" max="1315" width="10.7109375" style="1" bestFit="1" customWidth="1"/>
    <col min="1316" max="1537" width="9.140625" style="1"/>
    <col min="1538" max="1538" width="6.42578125" style="1" customWidth="1"/>
    <col min="1539" max="1539" width="20.7109375" style="1" customWidth="1"/>
    <col min="1540" max="1540" width="24.7109375" style="1" customWidth="1"/>
    <col min="1541" max="1541" width="11.140625" style="1" customWidth="1"/>
    <col min="1542" max="1542" width="12.28515625" style="1" customWidth="1"/>
    <col min="1543" max="1543" width="11.140625" style="1" customWidth="1"/>
    <col min="1544" max="1544" width="10.42578125" style="1" customWidth="1"/>
    <col min="1545" max="1545" width="4.7109375" style="1" customWidth="1"/>
    <col min="1546" max="1546" width="8.5703125" style="1" customWidth="1"/>
    <col min="1547" max="1547" width="5.5703125" style="1" customWidth="1"/>
    <col min="1548" max="1549" width="11.5703125" style="1" customWidth="1"/>
    <col min="1550" max="1550" width="10.85546875" style="1" customWidth="1"/>
    <col min="1551" max="1551" width="7.7109375" style="1" customWidth="1"/>
    <col min="1552" max="1552" width="8" style="1" customWidth="1"/>
    <col min="1553" max="1553" width="16.28515625" style="1" customWidth="1"/>
    <col min="1554" max="1554" width="10.5703125" style="1" customWidth="1"/>
    <col min="1555" max="1555" width="14.140625" style="1" customWidth="1"/>
    <col min="1556" max="1556" width="10.140625" style="1" customWidth="1"/>
    <col min="1557" max="1557" width="15.140625" style="1" customWidth="1"/>
    <col min="1558" max="1558" width="8.5703125" style="1" customWidth="1"/>
    <col min="1559" max="1559" width="14.28515625" style="1" customWidth="1"/>
    <col min="1560" max="1560" width="18.28515625" style="1" customWidth="1"/>
    <col min="1561" max="1561" width="13" style="1" bestFit="1" customWidth="1"/>
    <col min="1562" max="1562" width="11.7109375" style="1" bestFit="1" customWidth="1"/>
    <col min="1563" max="1569" width="9.140625" style="1"/>
    <col min="1570" max="1570" width="11.28515625" style="1" bestFit="1" customWidth="1"/>
    <col min="1571" max="1571" width="10.7109375" style="1" bestFit="1" customWidth="1"/>
    <col min="1572" max="1793" width="9.140625" style="1"/>
    <col min="1794" max="1794" width="6.42578125" style="1" customWidth="1"/>
    <col min="1795" max="1795" width="20.7109375" style="1" customWidth="1"/>
    <col min="1796" max="1796" width="24.7109375" style="1" customWidth="1"/>
    <col min="1797" max="1797" width="11.140625" style="1" customWidth="1"/>
    <col min="1798" max="1798" width="12.28515625" style="1" customWidth="1"/>
    <col min="1799" max="1799" width="11.140625" style="1" customWidth="1"/>
    <col min="1800" max="1800" width="10.42578125" style="1" customWidth="1"/>
    <col min="1801" max="1801" width="4.7109375" style="1" customWidth="1"/>
    <col min="1802" max="1802" width="8.5703125" style="1" customWidth="1"/>
    <col min="1803" max="1803" width="5.5703125" style="1" customWidth="1"/>
    <col min="1804" max="1805" width="11.5703125" style="1" customWidth="1"/>
    <col min="1806" max="1806" width="10.85546875" style="1" customWidth="1"/>
    <col min="1807" max="1807" width="7.7109375" style="1" customWidth="1"/>
    <col min="1808" max="1808" width="8" style="1" customWidth="1"/>
    <col min="1809" max="1809" width="16.28515625" style="1" customWidth="1"/>
    <col min="1810" max="1810" width="10.5703125" style="1" customWidth="1"/>
    <col min="1811" max="1811" width="14.140625" style="1" customWidth="1"/>
    <col min="1812" max="1812" width="10.140625" style="1" customWidth="1"/>
    <col min="1813" max="1813" width="15.140625" style="1" customWidth="1"/>
    <col min="1814" max="1814" width="8.5703125" style="1" customWidth="1"/>
    <col min="1815" max="1815" width="14.28515625" style="1" customWidth="1"/>
    <col min="1816" max="1816" width="18.28515625" style="1" customWidth="1"/>
    <col min="1817" max="1817" width="13" style="1" bestFit="1" customWidth="1"/>
    <col min="1818" max="1818" width="11.7109375" style="1" bestFit="1" customWidth="1"/>
    <col min="1819" max="1825" width="9.140625" style="1"/>
    <col min="1826" max="1826" width="11.28515625" style="1" bestFit="1" customWidth="1"/>
    <col min="1827" max="1827" width="10.7109375" style="1" bestFit="1" customWidth="1"/>
    <col min="1828" max="2049" width="9.140625" style="1"/>
    <col min="2050" max="2050" width="6.42578125" style="1" customWidth="1"/>
    <col min="2051" max="2051" width="20.7109375" style="1" customWidth="1"/>
    <col min="2052" max="2052" width="24.7109375" style="1" customWidth="1"/>
    <col min="2053" max="2053" width="11.140625" style="1" customWidth="1"/>
    <col min="2054" max="2054" width="12.28515625" style="1" customWidth="1"/>
    <col min="2055" max="2055" width="11.140625" style="1" customWidth="1"/>
    <col min="2056" max="2056" width="10.42578125" style="1" customWidth="1"/>
    <col min="2057" max="2057" width="4.7109375" style="1" customWidth="1"/>
    <col min="2058" max="2058" width="8.5703125" style="1" customWidth="1"/>
    <col min="2059" max="2059" width="5.5703125" style="1" customWidth="1"/>
    <col min="2060" max="2061" width="11.5703125" style="1" customWidth="1"/>
    <col min="2062" max="2062" width="10.85546875" style="1" customWidth="1"/>
    <col min="2063" max="2063" width="7.7109375" style="1" customWidth="1"/>
    <col min="2064" max="2064" width="8" style="1" customWidth="1"/>
    <col min="2065" max="2065" width="16.28515625" style="1" customWidth="1"/>
    <col min="2066" max="2066" width="10.5703125" style="1" customWidth="1"/>
    <col min="2067" max="2067" width="14.140625" style="1" customWidth="1"/>
    <col min="2068" max="2068" width="10.140625" style="1" customWidth="1"/>
    <col min="2069" max="2069" width="15.140625" style="1" customWidth="1"/>
    <col min="2070" max="2070" width="8.5703125" style="1" customWidth="1"/>
    <col min="2071" max="2071" width="14.28515625" style="1" customWidth="1"/>
    <col min="2072" max="2072" width="18.28515625" style="1" customWidth="1"/>
    <col min="2073" max="2073" width="13" style="1" bestFit="1" customWidth="1"/>
    <col min="2074" max="2074" width="11.7109375" style="1" bestFit="1" customWidth="1"/>
    <col min="2075" max="2081" width="9.140625" style="1"/>
    <col min="2082" max="2082" width="11.28515625" style="1" bestFit="1" customWidth="1"/>
    <col min="2083" max="2083" width="10.7109375" style="1" bestFit="1" customWidth="1"/>
    <col min="2084" max="2305" width="9.140625" style="1"/>
    <col min="2306" max="2306" width="6.42578125" style="1" customWidth="1"/>
    <col min="2307" max="2307" width="20.7109375" style="1" customWidth="1"/>
    <col min="2308" max="2308" width="24.7109375" style="1" customWidth="1"/>
    <col min="2309" max="2309" width="11.140625" style="1" customWidth="1"/>
    <col min="2310" max="2310" width="12.28515625" style="1" customWidth="1"/>
    <col min="2311" max="2311" width="11.140625" style="1" customWidth="1"/>
    <col min="2312" max="2312" width="10.42578125" style="1" customWidth="1"/>
    <col min="2313" max="2313" width="4.7109375" style="1" customWidth="1"/>
    <col min="2314" max="2314" width="8.5703125" style="1" customWidth="1"/>
    <col min="2315" max="2315" width="5.5703125" style="1" customWidth="1"/>
    <col min="2316" max="2317" width="11.5703125" style="1" customWidth="1"/>
    <col min="2318" max="2318" width="10.85546875" style="1" customWidth="1"/>
    <col min="2319" max="2319" width="7.7109375" style="1" customWidth="1"/>
    <col min="2320" max="2320" width="8" style="1" customWidth="1"/>
    <col min="2321" max="2321" width="16.28515625" style="1" customWidth="1"/>
    <col min="2322" max="2322" width="10.5703125" style="1" customWidth="1"/>
    <col min="2323" max="2323" width="14.140625" style="1" customWidth="1"/>
    <col min="2324" max="2324" width="10.140625" style="1" customWidth="1"/>
    <col min="2325" max="2325" width="15.140625" style="1" customWidth="1"/>
    <col min="2326" max="2326" width="8.5703125" style="1" customWidth="1"/>
    <col min="2327" max="2327" width="14.28515625" style="1" customWidth="1"/>
    <col min="2328" max="2328" width="18.28515625" style="1" customWidth="1"/>
    <col min="2329" max="2329" width="13" style="1" bestFit="1" customWidth="1"/>
    <col min="2330" max="2330" width="11.7109375" style="1" bestFit="1" customWidth="1"/>
    <col min="2331" max="2337" width="9.140625" style="1"/>
    <col min="2338" max="2338" width="11.28515625" style="1" bestFit="1" customWidth="1"/>
    <col min="2339" max="2339" width="10.7109375" style="1" bestFit="1" customWidth="1"/>
    <col min="2340" max="2561" width="9.140625" style="1"/>
    <col min="2562" max="2562" width="6.42578125" style="1" customWidth="1"/>
    <col min="2563" max="2563" width="20.7109375" style="1" customWidth="1"/>
    <col min="2564" max="2564" width="24.7109375" style="1" customWidth="1"/>
    <col min="2565" max="2565" width="11.140625" style="1" customWidth="1"/>
    <col min="2566" max="2566" width="12.28515625" style="1" customWidth="1"/>
    <col min="2567" max="2567" width="11.140625" style="1" customWidth="1"/>
    <col min="2568" max="2568" width="10.42578125" style="1" customWidth="1"/>
    <col min="2569" max="2569" width="4.7109375" style="1" customWidth="1"/>
    <col min="2570" max="2570" width="8.5703125" style="1" customWidth="1"/>
    <col min="2571" max="2571" width="5.5703125" style="1" customWidth="1"/>
    <col min="2572" max="2573" width="11.5703125" style="1" customWidth="1"/>
    <col min="2574" max="2574" width="10.85546875" style="1" customWidth="1"/>
    <col min="2575" max="2575" width="7.7109375" style="1" customWidth="1"/>
    <col min="2576" max="2576" width="8" style="1" customWidth="1"/>
    <col min="2577" max="2577" width="16.28515625" style="1" customWidth="1"/>
    <col min="2578" max="2578" width="10.5703125" style="1" customWidth="1"/>
    <col min="2579" max="2579" width="14.140625" style="1" customWidth="1"/>
    <col min="2580" max="2580" width="10.140625" style="1" customWidth="1"/>
    <col min="2581" max="2581" width="15.140625" style="1" customWidth="1"/>
    <col min="2582" max="2582" width="8.5703125" style="1" customWidth="1"/>
    <col min="2583" max="2583" width="14.28515625" style="1" customWidth="1"/>
    <col min="2584" max="2584" width="18.28515625" style="1" customWidth="1"/>
    <col min="2585" max="2585" width="13" style="1" bestFit="1" customWidth="1"/>
    <col min="2586" max="2586" width="11.7109375" style="1" bestFit="1" customWidth="1"/>
    <col min="2587" max="2593" width="9.140625" style="1"/>
    <col min="2594" max="2594" width="11.28515625" style="1" bestFit="1" customWidth="1"/>
    <col min="2595" max="2595" width="10.7109375" style="1" bestFit="1" customWidth="1"/>
    <col min="2596" max="2817" width="9.140625" style="1"/>
    <col min="2818" max="2818" width="6.42578125" style="1" customWidth="1"/>
    <col min="2819" max="2819" width="20.7109375" style="1" customWidth="1"/>
    <col min="2820" max="2820" width="24.7109375" style="1" customWidth="1"/>
    <col min="2821" max="2821" width="11.140625" style="1" customWidth="1"/>
    <col min="2822" max="2822" width="12.28515625" style="1" customWidth="1"/>
    <col min="2823" max="2823" width="11.140625" style="1" customWidth="1"/>
    <col min="2824" max="2824" width="10.42578125" style="1" customWidth="1"/>
    <col min="2825" max="2825" width="4.7109375" style="1" customWidth="1"/>
    <col min="2826" max="2826" width="8.5703125" style="1" customWidth="1"/>
    <col min="2827" max="2827" width="5.5703125" style="1" customWidth="1"/>
    <col min="2828" max="2829" width="11.5703125" style="1" customWidth="1"/>
    <col min="2830" max="2830" width="10.85546875" style="1" customWidth="1"/>
    <col min="2831" max="2831" width="7.7109375" style="1" customWidth="1"/>
    <col min="2832" max="2832" width="8" style="1" customWidth="1"/>
    <col min="2833" max="2833" width="16.28515625" style="1" customWidth="1"/>
    <col min="2834" max="2834" width="10.5703125" style="1" customWidth="1"/>
    <col min="2835" max="2835" width="14.140625" style="1" customWidth="1"/>
    <col min="2836" max="2836" width="10.140625" style="1" customWidth="1"/>
    <col min="2837" max="2837" width="15.140625" style="1" customWidth="1"/>
    <col min="2838" max="2838" width="8.5703125" style="1" customWidth="1"/>
    <col min="2839" max="2839" width="14.28515625" style="1" customWidth="1"/>
    <col min="2840" max="2840" width="18.28515625" style="1" customWidth="1"/>
    <col min="2841" max="2841" width="13" style="1" bestFit="1" customWidth="1"/>
    <col min="2842" max="2842" width="11.7109375" style="1" bestFit="1" customWidth="1"/>
    <col min="2843" max="2849" width="9.140625" style="1"/>
    <col min="2850" max="2850" width="11.28515625" style="1" bestFit="1" customWidth="1"/>
    <col min="2851" max="2851" width="10.7109375" style="1" bestFit="1" customWidth="1"/>
    <col min="2852" max="3073" width="9.140625" style="1"/>
    <col min="3074" max="3074" width="6.42578125" style="1" customWidth="1"/>
    <col min="3075" max="3075" width="20.7109375" style="1" customWidth="1"/>
    <col min="3076" max="3076" width="24.7109375" style="1" customWidth="1"/>
    <col min="3077" max="3077" width="11.140625" style="1" customWidth="1"/>
    <col min="3078" max="3078" width="12.28515625" style="1" customWidth="1"/>
    <col min="3079" max="3079" width="11.140625" style="1" customWidth="1"/>
    <col min="3080" max="3080" width="10.42578125" style="1" customWidth="1"/>
    <col min="3081" max="3081" width="4.7109375" style="1" customWidth="1"/>
    <col min="3082" max="3082" width="8.5703125" style="1" customWidth="1"/>
    <col min="3083" max="3083" width="5.5703125" style="1" customWidth="1"/>
    <col min="3084" max="3085" width="11.5703125" style="1" customWidth="1"/>
    <col min="3086" max="3086" width="10.85546875" style="1" customWidth="1"/>
    <col min="3087" max="3087" width="7.7109375" style="1" customWidth="1"/>
    <col min="3088" max="3088" width="8" style="1" customWidth="1"/>
    <col min="3089" max="3089" width="16.28515625" style="1" customWidth="1"/>
    <col min="3090" max="3090" width="10.5703125" style="1" customWidth="1"/>
    <col min="3091" max="3091" width="14.140625" style="1" customWidth="1"/>
    <col min="3092" max="3092" width="10.140625" style="1" customWidth="1"/>
    <col min="3093" max="3093" width="15.140625" style="1" customWidth="1"/>
    <col min="3094" max="3094" width="8.5703125" style="1" customWidth="1"/>
    <col min="3095" max="3095" width="14.28515625" style="1" customWidth="1"/>
    <col min="3096" max="3096" width="18.28515625" style="1" customWidth="1"/>
    <col min="3097" max="3097" width="13" style="1" bestFit="1" customWidth="1"/>
    <col min="3098" max="3098" width="11.7109375" style="1" bestFit="1" customWidth="1"/>
    <col min="3099" max="3105" width="9.140625" style="1"/>
    <col min="3106" max="3106" width="11.28515625" style="1" bestFit="1" customWidth="1"/>
    <col min="3107" max="3107" width="10.7109375" style="1" bestFit="1" customWidth="1"/>
    <col min="3108" max="3329" width="9.140625" style="1"/>
    <col min="3330" max="3330" width="6.42578125" style="1" customWidth="1"/>
    <col min="3331" max="3331" width="20.7109375" style="1" customWidth="1"/>
    <col min="3332" max="3332" width="24.7109375" style="1" customWidth="1"/>
    <col min="3333" max="3333" width="11.140625" style="1" customWidth="1"/>
    <col min="3334" max="3334" width="12.28515625" style="1" customWidth="1"/>
    <col min="3335" max="3335" width="11.140625" style="1" customWidth="1"/>
    <col min="3336" max="3336" width="10.42578125" style="1" customWidth="1"/>
    <col min="3337" max="3337" width="4.7109375" style="1" customWidth="1"/>
    <col min="3338" max="3338" width="8.5703125" style="1" customWidth="1"/>
    <col min="3339" max="3339" width="5.5703125" style="1" customWidth="1"/>
    <col min="3340" max="3341" width="11.5703125" style="1" customWidth="1"/>
    <col min="3342" max="3342" width="10.85546875" style="1" customWidth="1"/>
    <col min="3343" max="3343" width="7.7109375" style="1" customWidth="1"/>
    <col min="3344" max="3344" width="8" style="1" customWidth="1"/>
    <col min="3345" max="3345" width="16.28515625" style="1" customWidth="1"/>
    <col min="3346" max="3346" width="10.5703125" style="1" customWidth="1"/>
    <col min="3347" max="3347" width="14.140625" style="1" customWidth="1"/>
    <col min="3348" max="3348" width="10.140625" style="1" customWidth="1"/>
    <col min="3349" max="3349" width="15.140625" style="1" customWidth="1"/>
    <col min="3350" max="3350" width="8.5703125" style="1" customWidth="1"/>
    <col min="3351" max="3351" width="14.28515625" style="1" customWidth="1"/>
    <col min="3352" max="3352" width="18.28515625" style="1" customWidth="1"/>
    <col min="3353" max="3353" width="13" style="1" bestFit="1" customWidth="1"/>
    <col min="3354" max="3354" width="11.7109375" style="1" bestFit="1" customWidth="1"/>
    <col min="3355" max="3361" width="9.140625" style="1"/>
    <col min="3362" max="3362" width="11.28515625" style="1" bestFit="1" customWidth="1"/>
    <col min="3363" max="3363" width="10.7109375" style="1" bestFit="1" customWidth="1"/>
    <col min="3364" max="3585" width="9.140625" style="1"/>
    <col min="3586" max="3586" width="6.42578125" style="1" customWidth="1"/>
    <col min="3587" max="3587" width="20.7109375" style="1" customWidth="1"/>
    <col min="3588" max="3588" width="24.7109375" style="1" customWidth="1"/>
    <col min="3589" max="3589" width="11.140625" style="1" customWidth="1"/>
    <col min="3590" max="3590" width="12.28515625" style="1" customWidth="1"/>
    <col min="3591" max="3591" width="11.140625" style="1" customWidth="1"/>
    <col min="3592" max="3592" width="10.42578125" style="1" customWidth="1"/>
    <col min="3593" max="3593" width="4.7109375" style="1" customWidth="1"/>
    <col min="3594" max="3594" width="8.5703125" style="1" customWidth="1"/>
    <col min="3595" max="3595" width="5.5703125" style="1" customWidth="1"/>
    <col min="3596" max="3597" width="11.5703125" style="1" customWidth="1"/>
    <col min="3598" max="3598" width="10.85546875" style="1" customWidth="1"/>
    <col min="3599" max="3599" width="7.7109375" style="1" customWidth="1"/>
    <col min="3600" max="3600" width="8" style="1" customWidth="1"/>
    <col min="3601" max="3601" width="16.28515625" style="1" customWidth="1"/>
    <col min="3602" max="3602" width="10.5703125" style="1" customWidth="1"/>
    <col min="3603" max="3603" width="14.140625" style="1" customWidth="1"/>
    <col min="3604" max="3604" width="10.140625" style="1" customWidth="1"/>
    <col min="3605" max="3605" width="15.140625" style="1" customWidth="1"/>
    <col min="3606" max="3606" width="8.5703125" style="1" customWidth="1"/>
    <col min="3607" max="3607" width="14.28515625" style="1" customWidth="1"/>
    <col min="3608" max="3608" width="18.28515625" style="1" customWidth="1"/>
    <col min="3609" max="3609" width="13" style="1" bestFit="1" customWidth="1"/>
    <col min="3610" max="3610" width="11.7109375" style="1" bestFit="1" customWidth="1"/>
    <col min="3611" max="3617" width="9.140625" style="1"/>
    <col min="3618" max="3618" width="11.28515625" style="1" bestFit="1" customWidth="1"/>
    <col min="3619" max="3619" width="10.7109375" style="1" bestFit="1" customWidth="1"/>
    <col min="3620" max="3841" width="9.140625" style="1"/>
    <col min="3842" max="3842" width="6.42578125" style="1" customWidth="1"/>
    <col min="3843" max="3843" width="20.7109375" style="1" customWidth="1"/>
    <col min="3844" max="3844" width="24.7109375" style="1" customWidth="1"/>
    <col min="3845" max="3845" width="11.140625" style="1" customWidth="1"/>
    <col min="3846" max="3846" width="12.28515625" style="1" customWidth="1"/>
    <col min="3847" max="3847" width="11.140625" style="1" customWidth="1"/>
    <col min="3848" max="3848" width="10.42578125" style="1" customWidth="1"/>
    <col min="3849" max="3849" width="4.7109375" style="1" customWidth="1"/>
    <col min="3850" max="3850" width="8.5703125" style="1" customWidth="1"/>
    <col min="3851" max="3851" width="5.5703125" style="1" customWidth="1"/>
    <col min="3852" max="3853" width="11.5703125" style="1" customWidth="1"/>
    <col min="3854" max="3854" width="10.85546875" style="1" customWidth="1"/>
    <col min="3855" max="3855" width="7.7109375" style="1" customWidth="1"/>
    <col min="3856" max="3856" width="8" style="1" customWidth="1"/>
    <col min="3857" max="3857" width="16.28515625" style="1" customWidth="1"/>
    <col min="3858" max="3858" width="10.5703125" style="1" customWidth="1"/>
    <col min="3859" max="3859" width="14.140625" style="1" customWidth="1"/>
    <col min="3860" max="3860" width="10.140625" style="1" customWidth="1"/>
    <col min="3861" max="3861" width="15.140625" style="1" customWidth="1"/>
    <col min="3862" max="3862" width="8.5703125" style="1" customWidth="1"/>
    <col min="3863" max="3863" width="14.28515625" style="1" customWidth="1"/>
    <col min="3864" max="3864" width="18.28515625" style="1" customWidth="1"/>
    <col min="3865" max="3865" width="13" style="1" bestFit="1" customWidth="1"/>
    <col min="3866" max="3866" width="11.7109375" style="1" bestFit="1" customWidth="1"/>
    <col min="3867" max="3873" width="9.140625" style="1"/>
    <col min="3874" max="3874" width="11.28515625" style="1" bestFit="1" customWidth="1"/>
    <col min="3875" max="3875" width="10.7109375" style="1" bestFit="1" customWidth="1"/>
    <col min="3876" max="4097" width="9.140625" style="1"/>
    <col min="4098" max="4098" width="6.42578125" style="1" customWidth="1"/>
    <col min="4099" max="4099" width="20.7109375" style="1" customWidth="1"/>
    <col min="4100" max="4100" width="24.7109375" style="1" customWidth="1"/>
    <col min="4101" max="4101" width="11.140625" style="1" customWidth="1"/>
    <col min="4102" max="4102" width="12.28515625" style="1" customWidth="1"/>
    <col min="4103" max="4103" width="11.140625" style="1" customWidth="1"/>
    <col min="4104" max="4104" width="10.42578125" style="1" customWidth="1"/>
    <col min="4105" max="4105" width="4.7109375" style="1" customWidth="1"/>
    <col min="4106" max="4106" width="8.5703125" style="1" customWidth="1"/>
    <col min="4107" max="4107" width="5.5703125" style="1" customWidth="1"/>
    <col min="4108" max="4109" width="11.5703125" style="1" customWidth="1"/>
    <col min="4110" max="4110" width="10.85546875" style="1" customWidth="1"/>
    <col min="4111" max="4111" width="7.7109375" style="1" customWidth="1"/>
    <col min="4112" max="4112" width="8" style="1" customWidth="1"/>
    <col min="4113" max="4113" width="16.28515625" style="1" customWidth="1"/>
    <col min="4114" max="4114" width="10.5703125" style="1" customWidth="1"/>
    <col min="4115" max="4115" width="14.140625" style="1" customWidth="1"/>
    <col min="4116" max="4116" width="10.140625" style="1" customWidth="1"/>
    <col min="4117" max="4117" width="15.140625" style="1" customWidth="1"/>
    <col min="4118" max="4118" width="8.5703125" style="1" customWidth="1"/>
    <col min="4119" max="4119" width="14.28515625" style="1" customWidth="1"/>
    <col min="4120" max="4120" width="18.28515625" style="1" customWidth="1"/>
    <col min="4121" max="4121" width="13" style="1" bestFit="1" customWidth="1"/>
    <col min="4122" max="4122" width="11.7109375" style="1" bestFit="1" customWidth="1"/>
    <col min="4123" max="4129" width="9.140625" style="1"/>
    <col min="4130" max="4130" width="11.28515625" style="1" bestFit="1" customWidth="1"/>
    <col min="4131" max="4131" width="10.7109375" style="1" bestFit="1" customWidth="1"/>
    <col min="4132" max="4353" width="9.140625" style="1"/>
    <col min="4354" max="4354" width="6.42578125" style="1" customWidth="1"/>
    <col min="4355" max="4355" width="20.7109375" style="1" customWidth="1"/>
    <col min="4356" max="4356" width="24.7109375" style="1" customWidth="1"/>
    <col min="4357" max="4357" width="11.140625" style="1" customWidth="1"/>
    <col min="4358" max="4358" width="12.28515625" style="1" customWidth="1"/>
    <col min="4359" max="4359" width="11.140625" style="1" customWidth="1"/>
    <col min="4360" max="4360" width="10.42578125" style="1" customWidth="1"/>
    <col min="4361" max="4361" width="4.7109375" style="1" customWidth="1"/>
    <col min="4362" max="4362" width="8.5703125" style="1" customWidth="1"/>
    <col min="4363" max="4363" width="5.5703125" style="1" customWidth="1"/>
    <col min="4364" max="4365" width="11.5703125" style="1" customWidth="1"/>
    <col min="4366" max="4366" width="10.85546875" style="1" customWidth="1"/>
    <col min="4367" max="4367" width="7.7109375" style="1" customWidth="1"/>
    <col min="4368" max="4368" width="8" style="1" customWidth="1"/>
    <col min="4369" max="4369" width="16.28515625" style="1" customWidth="1"/>
    <col min="4370" max="4370" width="10.5703125" style="1" customWidth="1"/>
    <col min="4371" max="4371" width="14.140625" style="1" customWidth="1"/>
    <col min="4372" max="4372" width="10.140625" style="1" customWidth="1"/>
    <col min="4373" max="4373" width="15.140625" style="1" customWidth="1"/>
    <col min="4374" max="4374" width="8.5703125" style="1" customWidth="1"/>
    <col min="4375" max="4375" width="14.28515625" style="1" customWidth="1"/>
    <col min="4376" max="4376" width="18.28515625" style="1" customWidth="1"/>
    <col min="4377" max="4377" width="13" style="1" bestFit="1" customWidth="1"/>
    <col min="4378" max="4378" width="11.7109375" style="1" bestFit="1" customWidth="1"/>
    <col min="4379" max="4385" width="9.140625" style="1"/>
    <col min="4386" max="4386" width="11.28515625" style="1" bestFit="1" customWidth="1"/>
    <col min="4387" max="4387" width="10.7109375" style="1" bestFit="1" customWidth="1"/>
    <col min="4388" max="4609" width="9.140625" style="1"/>
    <col min="4610" max="4610" width="6.42578125" style="1" customWidth="1"/>
    <col min="4611" max="4611" width="20.7109375" style="1" customWidth="1"/>
    <col min="4612" max="4612" width="24.7109375" style="1" customWidth="1"/>
    <col min="4613" max="4613" width="11.140625" style="1" customWidth="1"/>
    <col min="4614" max="4614" width="12.28515625" style="1" customWidth="1"/>
    <col min="4615" max="4615" width="11.140625" style="1" customWidth="1"/>
    <col min="4616" max="4616" width="10.42578125" style="1" customWidth="1"/>
    <col min="4617" max="4617" width="4.7109375" style="1" customWidth="1"/>
    <col min="4618" max="4618" width="8.5703125" style="1" customWidth="1"/>
    <col min="4619" max="4619" width="5.5703125" style="1" customWidth="1"/>
    <col min="4620" max="4621" width="11.5703125" style="1" customWidth="1"/>
    <col min="4622" max="4622" width="10.85546875" style="1" customWidth="1"/>
    <col min="4623" max="4623" width="7.7109375" style="1" customWidth="1"/>
    <col min="4624" max="4624" width="8" style="1" customWidth="1"/>
    <col min="4625" max="4625" width="16.28515625" style="1" customWidth="1"/>
    <col min="4626" max="4626" width="10.5703125" style="1" customWidth="1"/>
    <col min="4627" max="4627" width="14.140625" style="1" customWidth="1"/>
    <col min="4628" max="4628" width="10.140625" style="1" customWidth="1"/>
    <col min="4629" max="4629" width="15.140625" style="1" customWidth="1"/>
    <col min="4630" max="4630" width="8.5703125" style="1" customWidth="1"/>
    <col min="4631" max="4631" width="14.28515625" style="1" customWidth="1"/>
    <col min="4632" max="4632" width="18.28515625" style="1" customWidth="1"/>
    <col min="4633" max="4633" width="13" style="1" bestFit="1" customWidth="1"/>
    <col min="4634" max="4634" width="11.7109375" style="1" bestFit="1" customWidth="1"/>
    <col min="4635" max="4641" width="9.140625" style="1"/>
    <col min="4642" max="4642" width="11.28515625" style="1" bestFit="1" customWidth="1"/>
    <col min="4643" max="4643" width="10.7109375" style="1" bestFit="1" customWidth="1"/>
    <col min="4644" max="4865" width="9.140625" style="1"/>
    <col min="4866" max="4866" width="6.42578125" style="1" customWidth="1"/>
    <col min="4867" max="4867" width="20.7109375" style="1" customWidth="1"/>
    <col min="4868" max="4868" width="24.7109375" style="1" customWidth="1"/>
    <col min="4869" max="4869" width="11.140625" style="1" customWidth="1"/>
    <col min="4870" max="4870" width="12.28515625" style="1" customWidth="1"/>
    <col min="4871" max="4871" width="11.140625" style="1" customWidth="1"/>
    <col min="4872" max="4872" width="10.42578125" style="1" customWidth="1"/>
    <col min="4873" max="4873" width="4.7109375" style="1" customWidth="1"/>
    <col min="4874" max="4874" width="8.5703125" style="1" customWidth="1"/>
    <col min="4875" max="4875" width="5.5703125" style="1" customWidth="1"/>
    <col min="4876" max="4877" width="11.5703125" style="1" customWidth="1"/>
    <col min="4878" max="4878" width="10.85546875" style="1" customWidth="1"/>
    <col min="4879" max="4879" width="7.7109375" style="1" customWidth="1"/>
    <col min="4880" max="4880" width="8" style="1" customWidth="1"/>
    <col min="4881" max="4881" width="16.28515625" style="1" customWidth="1"/>
    <col min="4882" max="4882" width="10.5703125" style="1" customWidth="1"/>
    <col min="4883" max="4883" width="14.140625" style="1" customWidth="1"/>
    <col min="4884" max="4884" width="10.140625" style="1" customWidth="1"/>
    <col min="4885" max="4885" width="15.140625" style="1" customWidth="1"/>
    <col min="4886" max="4886" width="8.5703125" style="1" customWidth="1"/>
    <col min="4887" max="4887" width="14.28515625" style="1" customWidth="1"/>
    <col min="4888" max="4888" width="18.28515625" style="1" customWidth="1"/>
    <col min="4889" max="4889" width="13" style="1" bestFit="1" customWidth="1"/>
    <col min="4890" max="4890" width="11.7109375" style="1" bestFit="1" customWidth="1"/>
    <col min="4891" max="4897" width="9.140625" style="1"/>
    <col min="4898" max="4898" width="11.28515625" style="1" bestFit="1" customWidth="1"/>
    <col min="4899" max="4899" width="10.7109375" style="1" bestFit="1" customWidth="1"/>
    <col min="4900" max="5121" width="9.140625" style="1"/>
    <col min="5122" max="5122" width="6.42578125" style="1" customWidth="1"/>
    <col min="5123" max="5123" width="20.7109375" style="1" customWidth="1"/>
    <col min="5124" max="5124" width="24.7109375" style="1" customWidth="1"/>
    <col min="5125" max="5125" width="11.140625" style="1" customWidth="1"/>
    <col min="5126" max="5126" width="12.28515625" style="1" customWidth="1"/>
    <col min="5127" max="5127" width="11.140625" style="1" customWidth="1"/>
    <col min="5128" max="5128" width="10.42578125" style="1" customWidth="1"/>
    <col min="5129" max="5129" width="4.7109375" style="1" customWidth="1"/>
    <col min="5130" max="5130" width="8.5703125" style="1" customWidth="1"/>
    <col min="5131" max="5131" width="5.5703125" style="1" customWidth="1"/>
    <col min="5132" max="5133" width="11.5703125" style="1" customWidth="1"/>
    <col min="5134" max="5134" width="10.85546875" style="1" customWidth="1"/>
    <col min="5135" max="5135" width="7.7109375" style="1" customWidth="1"/>
    <col min="5136" max="5136" width="8" style="1" customWidth="1"/>
    <col min="5137" max="5137" width="16.28515625" style="1" customWidth="1"/>
    <col min="5138" max="5138" width="10.5703125" style="1" customWidth="1"/>
    <col min="5139" max="5139" width="14.140625" style="1" customWidth="1"/>
    <col min="5140" max="5140" width="10.140625" style="1" customWidth="1"/>
    <col min="5141" max="5141" width="15.140625" style="1" customWidth="1"/>
    <col min="5142" max="5142" width="8.5703125" style="1" customWidth="1"/>
    <col min="5143" max="5143" width="14.28515625" style="1" customWidth="1"/>
    <col min="5144" max="5144" width="18.28515625" style="1" customWidth="1"/>
    <col min="5145" max="5145" width="13" style="1" bestFit="1" customWidth="1"/>
    <col min="5146" max="5146" width="11.7109375" style="1" bestFit="1" customWidth="1"/>
    <col min="5147" max="5153" width="9.140625" style="1"/>
    <col min="5154" max="5154" width="11.28515625" style="1" bestFit="1" customWidth="1"/>
    <col min="5155" max="5155" width="10.7109375" style="1" bestFit="1" customWidth="1"/>
    <col min="5156" max="5377" width="9.140625" style="1"/>
    <col min="5378" max="5378" width="6.42578125" style="1" customWidth="1"/>
    <col min="5379" max="5379" width="20.7109375" style="1" customWidth="1"/>
    <col min="5380" max="5380" width="24.7109375" style="1" customWidth="1"/>
    <col min="5381" max="5381" width="11.140625" style="1" customWidth="1"/>
    <col min="5382" max="5382" width="12.28515625" style="1" customWidth="1"/>
    <col min="5383" max="5383" width="11.140625" style="1" customWidth="1"/>
    <col min="5384" max="5384" width="10.42578125" style="1" customWidth="1"/>
    <col min="5385" max="5385" width="4.7109375" style="1" customWidth="1"/>
    <col min="5386" max="5386" width="8.5703125" style="1" customWidth="1"/>
    <col min="5387" max="5387" width="5.5703125" style="1" customWidth="1"/>
    <col min="5388" max="5389" width="11.5703125" style="1" customWidth="1"/>
    <col min="5390" max="5390" width="10.85546875" style="1" customWidth="1"/>
    <col min="5391" max="5391" width="7.7109375" style="1" customWidth="1"/>
    <col min="5392" max="5392" width="8" style="1" customWidth="1"/>
    <col min="5393" max="5393" width="16.28515625" style="1" customWidth="1"/>
    <col min="5394" max="5394" width="10.5703125" style="1" customWidth="1"/>
    <col min="5395" max="5395" width="14.140625" style="1" customWidth="1"/>
    <col min="5396" max="5396" width="10.140625" style="1" customWidth="1"/>
    <col min="5397" max="5397" width="15.140625" style="1" customWidth="1"/>
    <col min="5398" max="5398" width="8.5703125" style="1" customWidth="1"/>
    <col min="5399" max="5399" width="14.28515625" style="1" customWidth="1"/>
    <col min="5400" max="5400" width="18.28515625" style="1" customWidth="1"/>
    <col min="5401" max="5401" width="13" style="1" bestFit="1" customWidth="1"/>
    <col min="5402" max="5402" width="11.7109375" style="1" bestFit="1" customWidth="1"/>
    <col min="5403" max="5409" width="9.140625" style="1"/>
    <col min="5410" max="5410" width="11.28515625" style="1" bestFit="1" customWidth="1"/>
    <col min="5411" max="5411" width="10.7109375" style="1" bestFit="1" customWidth="1"/>
    <col min="5412" max="5633" width="9.140625" style="1"/>
    <col min="5634" max="5634" width="6.42578125" style="1" customWidth="1"/>
    <col min="5635" max="5635" width="20.7109375" style="1" customWidth="1"/>
    <col min="5636" max="5636" width="24.7109375" style="1" customWidth="1"/>
    <col min="5637" max="5637" width="11.140625" style="1" customWidth="1"/>
    <col min="5638" max="5638" width="12.28515625" style="1" customWidth="1"/>
    <col min="5639" max="5639" width="11.140625" style="1" customWidth="1"/>
    <col min="5640" max="5640" width="10.42578125" style="1" customWidth="1"/>
    <col min="5641" max="5641" width="4.7109375" style="1" customWidth="1"/>
    <col min="5642" max="5642" width="8.5703125" style="1" customWidth="1"/>
    <col min="5643" max="5643" width="5.5703125" style="1" customWidth="1"/>
    <col min="5644" max="5645" width="11.5703125" style="1" customWidth="1"/>
    <col min="5646" max="5646" width="10.85546875" style="1" customWidth="1"/>
    <col min="5647" max="5647" width="7.7109375" style="1" customWidth="1"/>
    <col min="5648" max="5648" width="8" style="1" customWidth="1"/>
    <col min="5649" max="5649" width="16.28515625" style="1" customWidth="1"/>
    <col min="5650" max="5650" width="10.5703125" style="1" customWidth="1"/>
    <col min="5651" max="5651" width="14.140625" style="1" customWidth="1"/>
    <col min="5652" max="5652" width="10.140625" style="1" customWidth="1"/>
    <col min="5653" max="5653" width="15.140625" style="1" customWidth="1"/>
    <col min="5654" max="5654" width="8.5703125" style="1" customWidth="1"/>
    <col min="5655" max="5655" width="14.28515625" style="1" customWidth="1"/>
    <col min="5656" max="5656" width="18.28515625" style="1" customWidth="1"/>
    <col min="5657" max="5657" width="13" style="1" bestFit="1" customWidth="1"/>
    <col min="5658" max="5658" width="11.7109375" style="1" bestFit="1" customWidth="1"/>
    <col min="5659" max="5665" width="9.140625" style="1"/>
    <col min="5666" max="5666" width="11.28515625" style="1" bestFit="1" customWidth="1"/>
    <col min="5667" max="5667" width="10.7109375" style="1" bestFit="1" customWidth="1"/>
    <col min="5668" max="5889" width="9.140625" style="1"/>
    <col min="5890" max="5890" width="6.42578125" style="1" customWidth="1"/>
    <col min="5891" max="5891" width="20.7109375" style="1" customWidth="1"/>
    <col min="5892" max="5892" width="24.7109375" style="1" customWidth="1"/>
    <col min="5893" max="5893" width="11.140625" style="1" customWidth="1"/>
    <col min="5894" max="5894" width="12.28515625" style="1" customWidth="1"/>
    <col min="5895" max="5895" width="11.140625" style="1" customWidth="1"/>
    <col min="5896" max="5896" width="10.42578125" style="1" customWidth="1"/>
    <col min="5897" max="5897" width="4.7109375" style="1" customWidth="1"/>
    <col min="5898" max="5898" width="8.5703125" style="1" customWidth="1"/>
    <col min="5899" max="5899" width="5.5703125" style="1" customWidth="1"/>
    <col min="5900" max="5901" width="11.5703125" style="1" customWidth="1"/>
    <col min="5902" max="5902" width="10.85546875" style="1" customWidth="1"/>
    <col min="5903" max="5903" width="7.7109375" style="1" customWidth="1"/>
    <col min="5904" max="5904" width="8" style="1" customWidth="1"/>
    <col min="5905" max="5905" width="16.28515625" style="1" customWidth="1"/>
    <col min="5906" max="5906" width="10.5703125" style="1" customWidth="1"/>
    <col min="5907" max="5907" width="14.140625" style="1" customWidth="1"/>
    <col min="5908" max="5908" width="10.140625" style="1" customWidth="1"/>
    <col min="5909" max="5909" width="15.140625" style="1" customWidth="1"/>
    <col min="5910" max="5910" width="8.5703125" style="1" customWidth="1"/>
    <col min="5911" max="5911" width="14.28515625" style="1" customWidth="1"/>
    <col min="5912" max="5912" width="18.28515625" style="1" customWidth="1"/>
    <col min="5913" max="5913" width="13" style="1" bestFit="1" customWidth="1"/>
    <col min="5914" max="5914" width="11.7109375" style="1" bestFit="1" customWidth="1"/>
    <col min="5915" max="5921" width="9.140625" style="1"/>
    <col min="5922" max="5922" width="11.28515625" style="1" bestFit="1" customWidth="1"/>
    <col min="5923" max="5923" width="10.7109375" style="1" bestFit="1" customWidth="1"/>
    <col min="5924" max="6145" width="9.140625" style="1"/>
    <col min="6146" max="6146" width="6.42578125" style="1" customWidth="1"/>
    <col min="6147" max="6147" width="20.7109375" style="1" customWidth="1"/>
    <col min="6148" max="6148" width="24.7109375" style="1" customWidth="1"/>
    <col min="6149" max="6149" width="11.140625" style="1" customWidth="1"/>
    <col min="6150" max="6150" width="12.28515625" style="1" customWidth="1"/>
    <col min="6151" max="6151" width="11.140625" style="1" customWidth="1"/>
    <col min="6152" max="6152" width="10.42578125" style="1" customWidth="1"/>
    <col min="6153" max="6153" width="4.7109375" style="1" customWidth="1"/>
    <col min="6154" max="6154" width="8.5703125" style="1" customWidth="1"/>
    <col min="6155" max="6155" width="5.5703125" style="1" customWidth="1"/>
    <col min="6156" max="6157" width="11.5703125" style="1" customWidth="1"/>
    <col min="6158" max="6158" width="10.85546875" style="1" customWidth="1"/>
    <col min="6159" max="6159" width="7.7109375" style="1" customWidth="1"/>
    <col min="6160" max="6160" width="8" style="1" customWidth="1"/>
    <col min="6161" max="6161" width="16.28515625" style="1" customWidth="1"/>
    <col min="6162" max="6162" width="10.5703125" style="1" customWidth="1"/>
    <col min="6163" max="6163" width="14.140625" style="1" customWidth="1"/>
    <col min="6164" max="6164" width="10.140625" style="1" customWidth="1"/>
    <col min="6165" max="6165" width="15.140625" style="1" customWidth="1"/>
    <col min="6166" max="6166" width="8.5703125" style="1" customWidth="1"/>
    <col min="6167" max="6167" width="14.28515625" style="1" customWidth="1"/>
    <col min="6168" max="6168" width="18.28515625" style="1" customWidth="1"/>
    <col min="6169" max="6169" width="13" style="1" bestFit="1" customWidth="1"/>
    <col min="6170" max="6170" width="11.7109375" style="1" bestFit="1" customWidth="1"/>
    <col min="6171" max="6177" width="9.140625" style="1"/>
    <col min="6178" max="6178" width="11.28515625" style="1" bestFit="1" customWidth="1"/>
    <col min="6179" max="6179" width="10.7109375" style="1" bestFit="1" customWidth="1"/>
    <col min="6180" max="6401" width="9.140625" style="1"/>
    <col min="6402" max="6402" width="6.42578125" style="1" customWidth="1"/>
    <col min="6403" max="6403" width="20.7109375" style="1" customWidth="1"/>
    <col min="6404" max="6404" width="24.7109375" style="1" customWidth="1"/>
    <col min="6405" max="6405" width="11.140625" style="1" customWidth="1"/>
    <col min="6406" max="6406" width="12.28515625" style="1" customWidth="1"/>
    <col min="6407" max="6407" width="11.140625" style="1" customWidth="1"/>
    <col min="6408" max="6408" width="10.42578125" style="1" customWidth="1"/>
    <col min="6409" max="6409" width="4.7109375" style="1" customWidth="1"/>
    <col min="6410" max="6410" width="8.5703125" style="1" customWidth="1"/>
    <col min="6411" max="6411" width="5.5703125" style="1" customWidth="1"/>
    <col min="6412" max="6413" width="11.5703125" style="1" customWidth="1"/>
    <col min="6414" max="6414" width="10.85546875" style="1" customWidth="1"/>
    <col min="6415" max="6415" width="7.7109375" style="1" customWidth="1"/>
    <col min="6416" max="6416" width="8" style="1" customWidth="1"/>
    <col min="6417" max="6417" width="16.28515625" style="1" customWidth="1"/>
    <col min="6418" max="6418" width="10.5703125" style="1" customWidth="1"/>
    <col min="6419" max="6419" width="14.140625" style="1" customWidth="1"/>
    <col min="6420" max="6420" width="10.140625" style="1" customWidth="1"/>
    <col min="6421" max="6421" width="15.140625" style="1" customWidth="1"/>
    <col min="6422" max="6422" width="8.5703125" style="1" customWidth="1"/>
    <col min="6423" max="6423" width="14.28515625" style="1" customWidth="1"/>
    <col min="6424" max="6424" width="18.28515625" style="1" customWidth="1"/>
    <col min="6425" max="6425" width="13" style="1" bestFit="1" customWidth="1"/>
    <col min="6426" max="6426" width="11.7109375" style="1" bestFit="1" customWidth="1"/>
    <col min="6427" max="6433" width="9.140625" style="1"/>
    <col min="6434" max="6434" width="11.28515625" style="1" bestFit="1" customWidth="1"/>
    <col min="6435" max="6435" width="10.7109375" style="1" bestFit="1" customWidth="1"/>
    <col min="6436" max="6657" width="9.140625" style="1"/>
    <col min="6658" max="6658" width="6.42578125" style="1" customWidth="1"/>
    <col min="6659" max="6659" width="20.7109375" style="1" customWidth="1"/>
    <col min="6660" max="6660" width="24.7109375" style="1" customWidth="1"/>
    <col min="6661" max="6661" width="11.140625" style="1" customWidth="1"/>
    <col min="6662" max="6662" width="12.28515625" style="1" customWidth="1"/>
    <col min="6663" max="6663" width="11.140625" style="1" customWidth="1"/>
    <col min="6664" max="6664" width="10.42578125" style="1" customWidth="1"/>
    <col min="6665" max="6665" width="4.7109375" style="1" customWidth="1"/>
    <col min="6666" max="6666" width="8.5703125" style="1" customWidth="1"/>
    <col min="6667" max="6667" width="5.5703125" style="1" customWidth="1"/>
    <col min="6668" max="6669" width="11.5703125" style="1" customWidth="1"/>
    <col min="6670" max="6670" width="10.85546875" style="1" customWidth="1"/>
    <col min="6671" max="6671" width="7.7109375" style="1" customWidth="1"/>
    <col min="6672" max="6672" width="8" style="1" customWidth="1"/>
    <col min="6673" max="6673" width="16.28515625" style="1" customWidth="1"/>
    <col min="6674" max="6674" width="10.5703125" style="1" customWidth="1"/>
    <col min="6675" max="6675" width="14.140625" style="1" customWidth="1"/>
    <col min="6676" max="6676" width="10.140625" style="1" customWidth="1"/>
    <col min="6677" max="6677" width="15.140625" style="1" customWidth="1"/>
    <col min="6678" max="6678" width="8.5703125" style="1" customWidth="1"/>
    <col min="6679" max="6679" width="14.28515625" style="1" customWidth="1"/>
    <col min="6680" max="6680" width="18.28515625" style="1" customWidth="1"/>
    <col min="6681" max="6681" width="13" style="1" bestFit="1" customWidth="1"/>
    <col min="6682" max="6682" width="11.7109375" style="1" bestFit="1" customWidth="1"/>
    <col min="6683" max="6689" width="9.140625" style="1"/>
    <col min="6690" max="6690" width="11.28515625" style="1" bestFit="1" customWidth="1"/>
    <col min="6691" max="6691" width="10.7109375" style="1" bestFit="1" customWidth="1"/>
    <col min="6692" max="6913" width="9.140625" style="1"/>
    <col min="6914" max="6914" width="6.42578125" style="1" customWidth="1"/>
    <col min="6915" max="6915" width="20.7109375" style="1" customWidth="1"/>
    <col min="6916" max="6916" width="24.7109375" style="1" customWidth="1"/>
    <col min="6917" max="6917" width="11.140625" style="1" customWidth="1"/>
    <col min="6918" max="6918" width="12.28515625" style="1" customWidth="1"/>
    <col min="6919" max="6919" width="11.140625" style="1" customWidth="1"/>
    <col min="6920" max="6920" width="10.42578125" style="1" customWidth="1"/>
    <col min="6921" max="6921" width="4.7109375" style="1" customWidth="1"/>
    <col min="6922" max="6922" width="8.5703125" style="1" customWidth="1"/>
    <col min="6923" max="6923" width="5.5703125" style="1" customWidth="1"/>
    <col min="6924" max="6925" width="11.5703125" style="1" customWidth="1"/>
    <col min="6926" max="6926" width="10.85546875" style="1" customWidth="1"/>
    <col min="6927" max="6927" width="7.7109375" style="1" customWidth="1"/>
    <col min="6928" max="6928" width="8" style="1" customWidth="1"/>
    <col min="6929" max="6929" width="16.28515625" style="1" customWidth="1"/>
    <col min="6930" max="6930" width="10.5703125" style="1" customWidth="1"/>
    <col min="6931" max="6931" width="14.140625" style="1" customWidth="1"/>
    <col min="6932" max="6932" width="10.140625" style="1" customWidth="1"/>
    <col min="6933" max="6933" width="15.140625" style="1" customWidth="1"/>
    <col min="6934" max="6934" width="8.5703125" style="1" customWidth="1"/>
    <col min="6935" max="6935" width="14.28515625" style="1" customWidth="1"/>
    <col min="6936" max="6936" width="18.28515625" style="1" customWidth="1"/>
    <col min="6937" max="6937" width="13" style="1" bestFit="1" customWidth="1"/>
    <col min="6938" max="6938" width="11.7109375" style="1" bestFit="1" customWidth="1"/>
    <col min="6939" max="6945" width="9.140625" style="1"/>
    <col min="6946" max="6946" width="11.28515625" style="1" bestFit="1" customWidth="1"/>
    <col min="6947" max="6947" width="10.7109375" style="1" bestFit="1" customWidth="1"/>
    <col min="6948" max="7169" width="9.140625" style="1"/>
    <col min="7170" max="7170" width="6.42578125" style="1" customWidth="1"/>
    <col min="7171" max="7171" width="20.7109375" style="1" customWidth="1"/>
    <col min="7172" max="7172" width="24.7109375" style="1" customWidth="1"/>
    <col min="7173" max="7173" width="11.140625" style="1" customWidth="1"/>
    <col min="7174" max="7174" width="12.28515625" style="1" customWidth="1"/>
    <col min="7175" max="7175" width="11.140625" style="1" customWidth="1"/>
    <col min="7176" max="7176" width="10.42578125" style="1" customWidth="1"/>
    <col min="7177" max="7177" width="4.7109375" style="1" customWidth="1"/>
    <col min="7178" max="7178" width="8.5703125" style="1" customWidth="1"/>
    <col min="7179" max="7179" width="5.5703125" style="1" customWidth="1"/>
    <col min="7180" max="7181" width="11.5703125" style="1" customWidth="1"/>
    <col min="7182" max="7182" width="10.85546875" style="1" customWidth="1"/>
    <col min="7183" max="7183" width="7.7109375" style="1" customWidth="1"/>
    <col min="7184" max="7184" width="8" style="1" customWidth="1"/>
    <col min="7185" max="7185" width="16.28515625" style="1" customWidth="1"/>
    <col min="7186" max="7186" width="10.5703125" style="1" customWidth="1"/>
    <col min="7187" max="7187" width="14.140625" style="1" customWidth="1"/>
    <col min="7188" max="7188" width="10.140625" style="1" customWidth="1"/>
    <col min="7189" max="7189" width="15.140625" style="1" customWidth="1"/>
    <col min="7190" max="7190" width="8.5703125" style="1" customWidth="1"/>
    <col min="7191" max="7191" width="14.28515625" style="1" customWidth="1"/>
    <col min="7192" max="7192" width="18.28515625" style="1" customWidth="1"/>
    <col min="7193" max="7193" width="13" style="1" bestFit="1" customWidth="1"/>
    <col min="7194" max="7194" width="11.7109375" style="1" bestFit="1" customWidth="1"/>
    <col min="7195" max="7201" width="9.140625" style="1"/>
    <col min="7202" max="7202" width="11.28515625" style="1" bestFit="1" customWidth="1"/>
    <col min="7203" max="7203" width="10.7109375" style="1" bestFit="1" customWidth="1"/>
    <col min="7204" max="7425" width="9.140625" style="1"/>
    <col min="7426" max="7426" width="6.42578125" style="1" customWidth="1"/>
    <col min="7427" max="7427" width="20.7109375" style="1" customWidth="1"/>
    <col min="7428" max="7428" width="24.7109375" style="1" customWidth="1"/>
    <col min="7429" max="7429" width="11.140625" style="1" customWidth="1"/>
    <col min="7430" max="7430" width="12.28515625" style="1" customWidth="1"/>
    <col min="7431" max="7431" width="11.140625" style="1" customWidth="1"/>
    <col min="7432" max="7432" width="10.42578125" style="1" customWidth="1"/>
    <col min="7433" max="7433" width="4.7109375" style="1" customWidth="1"/>
    <col min="7434" max="7434" width="8.5703125" style="1" customWidth="1"/>
    <col min="7435" max="7435" width="5.5703125" style="1" customWidth="1"/>
    <col min="7436" max="7437" width="11.5703125" style="1" customWidth="1"/>
    <col min="7438" max="7438" width="10.85546875" style="1" customWidth="1"/>
    <col min="7439" max="7439" width="7.7109375" style="1" customWidth="1"/>
    <col min="7440" max="7440" width="8" style="1" customWidth="1"/>
    <col min="7441" max="7441" width="16.28515625" style="1" customWidth="1"/>
    <col min="7442" max="7442" width="10.5703125" style="1" customWidth="1"/>
    <col min="7443" max="7443" width="14.140625" style="1" customWidth="1"/>
    <col min="7444" max="7444" width="10.140625" style="1" customWidth="1"/>
    <col min="7445" max="7445" width="15.140625" style="1" customWidth="1"/>
    <col min="7446" max="7446" width="8.5703125" style="1" customWidth="1"/>
    <col min="7447" max="7447" width="14.28515625" style="1" customWidth="1"/>
    <col min="7448" max="7448" width="18.28515625" style="1" customWidth="1"/>
    <col min="7449" max="7449" width="13" style="1" bestFit="1" customWidth="1"/>
    <col min="7450" max="7450" width="11.7109375" style="1" bestFit="1" customWidth="1"/>
    <col min="7451" max="7457" width="9.140625" style="1"/>
    <col min="7458" max="7458" width="11.28515625" style="1" bestFit="1" customWidth="1"/>
    <col min="7459" max="7459" width="10.7109375" style="1" bestFit="1" customWidth="1"/>
    <col min="7460" max="7681" width="9.140625" style="1"/>
    <col min="7682" max="7682" width="6.42578125" style="1" customWidth="1"/>
    <col min="7683" max="7683" width="20.7109375" style="1" customWidth="1"/>
    <col min="7684" max="7684" width="24.7109375" style="1" customWidth="1"/>
    <col min="7685" max="7685" width="11.140625" style="1" customWidth="1"/>
    <col min="7686" max="7686" width="12.28515625" style="1" customWidth="1"/>
    <col min="7687" max="7687" width="11.140625" style="1" customWidth="1"/>
    <col min="7688" max="7688" width="10.42578125" style="1" customWidth="1"/>
    <col min="7689" max="7689" width="4.7109375" style="1" customWidth="1"/>
    <col min="7690" max="7690" width="8.5703125" style="1" customWidth="1"/>
    <col min="7691" max="7691" width="5.5703125" style="1" customWidth="1"/>
    <col min="7692" max="7693" width="11.5703125" style="1" customWidth="1"/>
    <col min="7694" max="7694" width="10.85546875" style="1" customWidth="1"/>
    <col min="7695" max="7695" width="7.7109375" style="1" customWidth="1"/>
    <col min="7696" max="7696" width="8" style="1" customWidth="1"/>
    <col min="7697" max="7697" width="16.28515625" style="1" customWidth="1"/>
    <col min="7698" max="7698" width="10.5703125" style="1" customWidth="1"/>
    <col min="7699" max="7699" width="14.140625" style="1" customWidth="1"/>
    <col min="7700" max="7700" width="10.140625" style="1" customWidth="1"/>
    <col min="7701" max="7701" width="15.140625" style="1" customWidth="1"/>
    <col min="7702" max="7702" width="8.5703125" style="1" customWidth="1"/>
    <col min="7703" max="7703" width="14.28515625" style="1" customWidth="1"/>
    <col min="7704" max="7704" width="18.28515625" style="1" customWidth="1"/>
    <col min="7705" max="7705" width="13" style="1" bestFit="1" customWidth="1"/>
    <col min="7706" max="7706" width="11.7109375" style="1" bestFit="1" customWidth="1"/>
    <col min="7707" max="7713" width="9.140625" style="1"/>
    <col min="7714" max="7714" width="11.28515625" style="1" bestFit="1" customWidth="1"/>
    <col min="7715" max="7715" width="10.7109375" style="1" bestFit="1" customWidth="1"/>
    <col min="7716" max="7937" width="9.140625" style="1"/>
    <col min="7938" max="7938" width="6.42578125" style="1" customWidth="1"/>
    <col min="7939" max="7939" width="20.7109375" style="1" customWidth="1"/>
    <col min="7940" max="7940" width="24.7109375" style="1" customWidth="1"/>
    <col min="7941" max="7941" width="11.140625" style="1" customWidth="1"/>
    <col min="7942" max="7942" width="12.28515625" style="1" customWidth="1"/>
    <col min="7943" max="7943" width="11.140625" style="1" customWidth="1"/>
    <col min="7944" max="7944" width="10.42578125" style="1" customWidth="1"/>
    <col min="7945" max="7945" width="4.7109375" style="1" customWidth="1"/>
    <col min="7946" max="7946" width="8.5703125" style="1" customWidth="1"/>
    <col min="7947" max="7947" width="5.5703125" style="1" customWidth="1"/>
    <col min="7948" max="7949" width="11.5703125" style="1" customWidth="1"/>
    <col min="7950" max="7950" width="10.85546875" style="1" customWidth="1"/>
    <col min="7951" max="7951" width="7.7109375" style="1" customWidth="1"/>
    <col min="7952" max="7952" width="8" style="1" customWidth="1"/>
    <col min="7953" max="7953" width="16.28515625" style="1" customWidth="1"/>
    <col min="7954" max="7954" width="10.5703125" style="1" customWidth="1"/>
    <col min="7955" max="7955" width="14.140625" style="1" customWidth="1"/>
    <col min="7956" max="7956" width="10.140625" style="1" customWidth="1"/>
    <col min="7957" max="7957" width="15.140625" style="1" customWidth="1"/>
    <col min="7958" max="7958" width="8.5703125" style="1" customWidth="1"/>
    <col min="7959" max="7959" width="14.28515625" style="1" customWidth="1"/>
    <col min="7960" max="7960" width="18.28515625" style="1" customWidth="1"/>
    <col min="7961" max="7961" width="13" style="1" bestFit="1" customWidth="1"/>
    <col min="7962" max="7962" width="11.7109375" style="1" bestFit="1" customWidth="1"/>
    <col min="7963" max="7969" width="9.140625" style="1"/>
    <col min="7970" max="7970" width="11.28515625" style="1" bestFit="1" customWidth="1"/>
    <col min="7971" max="7971" width="10.7109375" style="1" bestFit="1" customWidth="1"/>
    <col min="7972" max="8193" width="9.140625" style="1"/>
    <col min="8194" max="8194" width="6.42578125" style="1" customWidth="1"/>
    <col min="8195" max="8195" width="20.7109375" style="1" customWidth="1"/>
    <col min="8196" max="8196" width="24.7109375" style="1" customWidth="1"/>
    <col min="8197" max="8197" width="11.140625" style="1" customWidth="1"/>
    <col min="8198" max="8198" width="12.28515625" style="1" customWidth="1"/>
    <col min="8199" max="8199" width="11.140625" style="1" customWidth="1"/>
    <col min="8200" max="8200" width="10.42578125" style="1" customWidth="1"/>
    <col min="8201" max="8201" width="4.7109375" style="1" customWidth="1"/>
    <col min="8202" max="8202" width="8.5703125" style="1" customWidth="1"/>
    <col min="8203" max="8203" width="5.5703125" style="1" customWidth="1"/>
    <col min="8204" max="8205" width="11.5703125" style="1" customWidth="1"/>
    <col min="8206" max="8206" width="10.85546875" style="1" customWidth="1"/>
    <col min="8207" max="8207" width="7.7109375" style="1" customWidth="1"/>
    <col min="8208" max="8208" width="8" style="1" customWidth="1"/>
    <col min="8209" max="8209" width="16.28515625" style="1" customWidth="1"/>
    <col min="8210" max="8210" width="10.5703125" style="1" customWidth="1"/>
    <col min="8211" max="8211" width="14.140625" style="1" customWidth="1"/>
    <col min="8212" max="8212" width="10.140625" style="1" customWidth="1"/>
    <col min="8213" max="8213" width="15.140625" style="1" customWidth="1"/>
    <col min="8214" max="8214" width="8.5703125" style="1" customWidth="1"/>
    <col min="8215" max="8215" width="14.28515625" style="1" customWidth="1"/>
    <col min="8216" max="8216" width="18.28515625" style="1" customWidth="1"/>
    <col min="8217" max="8217" width="13" style="1" bestFit="1" customWidth="1"/>
    <col min="8218" max="8218" width="11.7109375" style="1" bestFit="1" customWidth="1"/>
    <col min="8219" max="8225" width="9.140625" style="1"/>
    <col min="8226" max="8226" width="11.28515625" style="1" bestFit="1" customWidth="1"/>
    <col min="8227" max="8227" width="10.7109375" style="1" bestFit="1" customWidth="1"/>
    <col min="8228" max="8449" width="9.140625" style="1"/>
    <col min="8450" max="8450" width="6.42578125" style="1" customWidth="1"/>
    <col min="8451" max="8451" width="20.7109375" style="1" customWidth="1"/>
    <col min="8452" max="8452" width="24.7109375" style="1" customWidth="1"/>
    <col min="8453" max="8453" width="11.140625" style="1" customWidth="1"/>
    <col min="8454" max="8454" width="12.28515625" style="1" customWidth="1"/>
    <col min="8455" max="8455" width="11.140625" style="1" customWidth="1"/>
    <col min="8456" max="8456" width="10.42578125" style="1" customWidth="1"/>
    <col min="8457" max="8457" width="4.7109375" style="1" customWidth="1"/>
    <col min="8458" max="8458" width="8.5703125" style="1" customWidth="1"/>
    <col min="8459" max="8459" width="5.5703125" style="1" customWidth="1"/>
    <col min="8460" max="8461" width="11.5703125" style="1" customWidth="1"/>
    <col min="8462" max="8462" width="10.85546875" style="1" customWidth="1"/>
    <col min="8463" max="8463" width="7.7109375" style="1" customWidth="1"/>
    <col min="8464" max="8464" width="8" style="1" customWidth="1"/>
    <col min="8465" max="8465" width="16.28515625" style="1" customWidth="1"/>
    <col min="8466" max="8466" width="10.5703125" style="1" customWidth="1"/>
    <col min="8467" max="8467" width="14.140625" style="1" customWidth="1"/>
    <col min="8468" max="8468" width="10.140625" style="1" customWidth="1"/>
    <col min="8469" max="8469" width="15.140625" style="1" customWidth="1"/>
    <col min="8470" max="8470" width="8.5703125" style="1" customWidth="1"/>
    <col min="8471" max="8471" width="14.28515625" style="1" customWidth="1"/>
    <col min="8472" max="8472" width="18.28515625" style="1" customWidth="1"/>
    <col min="8473" max="8473" width="13" style="1" bestFit="1" customWidth="1"/>
    <col min="8474" max="8474" width="11.7109375" style="1" bestFit="1" customWidth="1"/>
    <col min="8475" max="8481" width="9.140625" style="1"/>
    <col min="8482" max="8482" width="11.28515625" style="1" bestFit="1" customWidth="1"/>
    <col min="8483" max="8483" width="10.7109375" style="1" bestFit="1" customWidth="1"/>
    <col min="8484" max="8705" width="9.140625" style="1"/>
    <col min="8706" max="8706" width="6.42578125" style="1" customWidth="1"/>
    <col min="8707" max="8707" width="20.7109375" style="1" customWidth="1"/>
    <col min="8708" max="8708" width="24.7109375" style="1" customWidth="1"/>
    <col min="8709" max="8709" width="11.140625" style="1" customWidth="1"/>
    <col min="8710" max="8710" width="12.28515625" style="1" customWidth="1"/>
    <col min="8711" max="8711" width="11.140625" style="1" customWidth="1"/>
    <col min="8712" max="8712" width="10.42578125" style="1" customWidth="1"/>
    <col min="8713" max="8713" width="4.7109375" style="1" customWidth="1"/>
    <col min="8714" max="8714" width="8.5703125" style="1" customWidth="1"/>
    <col min="8715" max="8715" width="5.5703125" style="1" customWidth="1"/>
    <col min="8716" max="8717" width="11.5703125" style="1" customWidth="1"/>
    <col min="8718" max="8718" width="10.85546875" style="1" customWidth="1"/>
    <col min="8719" max="8719" width="7.7109375" style="1" customWidth="1"/>
    <col min="8720" max="8720" width="8" style="1" customWidth="1"/>
    <col min="8721" max="8721" width="16.28515625" style="1" customWidth="1"/>
    <col min="8722" max="8722" width="10.5703125" style="1" customWidth="1"/>
    <col min="8723" max="8723" width="14.140625" style="1" customWidth="1"/>
    <col min="8724" max="8724" width="10.140625" style="1" customWidth="1"/>
    <col min="8725" max="8725" width="15.140625" style="1" customWidth="1"/>
    <col min="8726" max="8726" width="8.5703125" style="1" customWidth="1"/>
    <col min="8727" max="8727" width="14.28515625" style="1" customWidth="1"/>
    <col min="8728" max="8728" width="18.28515625" style="1" customWidth="1"/>
    <col min="8729" max="8729" width="13" style="1" bestFit="1" customWidth="1"/>
    <col min="8730" max="8730" width="11.7109375" style="1" bestFit="1" customWidth="1"/>
    <col min="8731" max="8737" width="9.140625" style="1"/>
    <col min="8738" max="8738" width="11.28515625" style="1" bestFit="1" customWidth="1"/>
    <col min="8739" max="8739" width="10.7109375" style="1" bestFit="1" customWidth="1"/>
    <col min="8740" max="8961" width="9.140625" style="1"/>
    <col min="8962" max="8962" width="6.42578125" style="1" customWidth="1"/>
    <col min="8963" max="8963" width="20.7109375" style="1" customWidth="1"/>
    <col min="8964" max="8964" width="24.7109375" style="1" customWidth="1"/>
    <col min="8965" max="8965" width="11.140625" style="1" customWidth="1"/>
    <col min="8966" max="8966" width="12.28515625" style="1" customWidth="1"/>
    <col min="8967" max="8967" width="11.140625" style="1" customWidth="1"/>
    <col min="8968" max="8968" width="10.42578125" style="1" customWidth="1"/>
    <col min="8969" max="8969" width="4.7109375" style="1" customWidth="1"/>
    <col min="8970" max="8970" width="8.5703125" style="1" customWidth="1"/>
    <col min="8971" max="8971" width="5.5703125" style="1" customWidth="1"/>
    <col min="8972" max="8973" width="11.5703125" style="1" customWidth="1"/>
    <col min="8974" max="8974" width="10.85546875" style="1" customWidth="1"/>
    <col min="8975" max="8975" width="7.7109375" style="1" customWidth="1"/>
    <col min="8976" max="8976" width="8" style="1" customWidth="1"/>
    <col min="8977" max="8977" width="16.28515625" style="1" customWidth="1"/>
    <col min="8978" max="8978" width="10.5703125" style="1" customWidth="1"/>
    <col min="8979" max="8979" width="14.140625" style="1" customWidth="1"/>
    <col min="8980" max="8980" width="10.140625" style="1" customWidth="1"/>
    <col min="8981" max="8981" width="15.140625" style="1" customWidth="1"/>
    <col min="8982" max="8982" width="8.5703125" style="1" customWidth="1"/>
    <col min="8983" max="8983" width="14.28515625" style="1" customWidth="1"/>
    <col min="8984" max="8984" width="18.28515625" style="1" customWidth="1"/>
    <col min="8985" max="8985" width="13" style="1" bestFit="1" customWidth="1"/>
    <col min="8986" max="8986" width="11.7109375" style="1" bestFit="1" customWidth="1"/>
    <col min="8987" max="8993" width="9.140625" style="1"/>
    <col min="8994" max="8994" width="11.28515625" style="1" bestFit="1" customWidth="1"/>
    <col min="8995" max="8995" width="10.7109375" style="1" bestFit="1" customWidth="1"/>
    <col min="8996" max="9217" width="9.140625" style="1"/>
    <col min="9218" max="9218" width="6.42578125" style="1" customWidth="1"/>
    <col min="9219" max="9219" width="20.7109375" style="1" customWidth="1"/>
    <col min="9220" max="9220" width="24.7109375" style="1" customWidth="1"/>
    <col min="9221" max="9221" width="11.140625" style="1" customWidth="1"/>
    <col min="9222" max="9222" width="12.28515625" style="1" customWidth="1"/>
    <col min="9223" max="9223" width="11.140625" style="1" customWidth="1"/>
    <col min="9224" max="9224" width="10.42578125" style="1" customWidth="1"/>
    <col min="9225" max="9225" width="4.7109375" style="1" customWidth="1"/>
    <col min="9226" max="9226" width="8.5703125" style="1" customWidth="1"/>
    <col min="9227" max="9227" width="5.5703125" style="1" customWidth="1"/>
    <col min="9228" max="9229" width="11.5703125" style="1" customWidth="1"/>
    <col min="9230" max="9230" width="10.85546875" style="1" customWidth="1"/>
    <col min="9231" max="9231" width="7.7109375" style="1" customWidth="1"/>
    <col min="9232" max="9232" width="8" style="1" customWidth="1"/>
    <col min="9233" max="9233" width="16.28515625" style="1" customWidth="1"/>
    <col min="9234" max="9234" width="10.5703125" style="1" customWidth="1"/>
    <col min="9235" max="9235" width="14.140625" style="1" customWidth="1"/>
    <col min="9236" max="9236" width="10.140625" style="1" customWidth="1"/>
    <col min="9237" max="9237" width="15.140625" style="1" customWidth="1"/>
    <col min="9238" max="9238" width="8.5703125" style="1" customWidth="1"/>
    <col min="9239" max="9239" width="14.28515625" style="1" customWidth="1"/>
    <col min="9240" max="9240" width="18.28515625" style="1" customWidth="1"/>
    <col min="9241" max="9241" width="13" style="1" bestFit="1" customWidth="1"/>
    <col min="9242" max="9242" width="11.7109375" style="1" bestFit="1" customWidth="1"/>
    <col min="9243" max="9249" width="9.140625" style="1"/>
    <col min="9250" max="9250" width="11.28515625" style="1" bestFit="1" customWidth="1"/>
    <col min="9251" max="9251" width="10.7109375" style="1" bestFit="1" customWidth="1"/>
    <col min="9252" max="9473" width="9.140625" style="1"/>
    <col min="9474" max="9474" width="6.42578125" style="1" customWidth="1"/>
    <col min="9475" max="9475" width="20.7109375" style="1" customWidth="1"/>
    <col min="9476" max="9476" width="24.7109375" style="1" customWidth="1"/>
    <col min="9477" max="9477" width="11.140625" style="1" customWidth="1"/>
    <col min="9478" max="9478" width="12.28515625" style="1" customWidth="1"/>
    <col min="9479" max="9479" width="11.140625" style="1" customWidth="1"/>
    <col min="9480" max="9480" width="10.42578125" style="1" customWidth="1"/>
    <col min="9481" max="9481" width="4.7109375" style="1" customWidth="1"/>
    <col min="9482" max="9482" width="8.5703125" style="1" customWidth="1"/>
    <col min="9483" max="9483" width="5.5703125" style="1" customWidth="1"/>
    <col min="9484" max="9485" width="11.5703125" style="1" customWidth="1"/>
    <col min="9486" max="9486" width="10.85546875" style="1" customWidth="1"/>
    <col min="9487" max="9487" width="7.7109375" style="1" customWidth="1"/>
    <col min="9488" max="9488" width="8" style="1" customWidth="1"/>
    <col min="9489" max="9489" width="16.28515625" style="1" customWidth="1"/>
    <col min="9490" max="9490" width="10.5703125" style="1" customWidth="1"/>
    <col min="9491" max="9491" width="14.140625" style="1" customWidth="1"/>
    <col min="9492" max="9492" width="10.140625" style="1" customWidth="1"/>
    <col min="9493" max="9493" width="15.140625" style="1" customWidth="1"/>
    <col min="9494" max="9494" width="8.5703125" style="1" customWidth="1"/>
    <col min="9495" max="9495" width="14.28515625" style="1" customWidth="1"/>
    <col min="9496" max="9496" width="18.28515625" style="1" customWidth="1"/>
    <col min="9497" max="9497" width="13" style="1" bestFit="1" customWidth="1"/>
    <col min="9498" max="9498" width="11.7109375" style="1" bestFit="1" customWidth="1"/>
    <col min="9499" max="9505" width="9.140625" style="1"/>
    <col min="9506" max="9506" width="11.28515625" style="1" bestFit="1" customWidth="1"/>
    <col min="9507" max="9507" width="10.7109375" style="1" bestFit="1" customWidth="1"/>
    <col min="9508" max="9729" width="9.140625" style="1"/>
    <col min="9730" max="9730" width="6.42578125" style="1" customWidth="1"/>
    <col min="9731" max="9731" width="20.7109375" style="1" customWidth="1"/>
    <col min="9732" max="9732" width="24.7109375" style="1" customWidth="1"/>
    <col min="9733" max="9733" width="11.140625" style="1" customWidth="1"/>
    <col min="9734" max="9734" width="12.28515625" style="1" customWidth="1"/>
    <col min="9735" max="9735" width="11.140625" style="1" customWidth="1"/>
    <col min="9736" max="9736" width="10.42578125" style="1" customWidth="1"/>
    <col min="9737" max="9737" width="4.7109375" style="1" customWidth="1"/>
    <col min="9738" max="9738" width="8.5703125" style="1" customWidth="1"/>
    <col min="9739" max="9739" width="5.5703125" style="1" customWidth="1"/>
    <col min="9740" max="9741" width="11.5703125" style="1" customWidth="1"/>
    <col min="9742" max="9742" width="10.85546875" style="1" customWidth="1"/>
    <col min="9743" max="9743" width="7.7109375" style="1" customWidth="1"/>
    <col min="9744" max="9744" width="8" style="1" customWidth="1"/>
    <col min="9745" max="9745" width="16.28515625" style="1" customWidth="1"/>
    <col min="9746" max="9746" width="10.5703125" style="1" customWidth="1"/>
    <col min="9747" max="9747" width="14.140625" style="1" customWidth="1"/>
    <col min="9748" max="9748" width="10.140625" style="1" customWidth="1"/>
    <col min="9749" max="9749" width="15.140625" style="1" customWidth="1"/>
    <col min="9750" max="9750" width="8.5703125" style="1" customWidth="1"/>
    <col min="9751" max="9751" width="14.28515625" style="1" customWidth="1"/>
    <col min="9752" max="9752" width="18.28515625" style="1" customWidth="1"/>
    <col min="9753" max="9753" width="13" style="1" bestFit="1" customWidth="1"/>
    <col min="9754" max="9754" width="11.7109375" style="1" bestFit="1" customWidth="1"/>
    <col min="9755" max="9761" width="9.140625" style="1"/>
    <col min="9762" max="9762" width="11.28515625" style="1" bestFit="1" customWidth="1"/>
    <col min="9763" max="9763" width="10.7109375" style="1" bestFit="1" customWidth="1"/>
    <col min="9764" max="9985" width="9.140625" style="1"/>
    <col min="9986" max="9986" width="6.42578125" style="1" customWidth="1"/>
    <col min="9987" max="9987" width="20.7109375" style="1" customWidth="1"/>
    <col min="9988" max="9988" width="24.7109375" style="1" customWidth="1"/>
    <col min="9989" max="9989" width="11.140625" style="1" customWidth="1"/>
    <col min="9990" max="9990" width="12.28515625" style="1" customWidth="1"/>
    <col min="9991" max="9991" width="11.140625" style="1" customWidth="1"/>
    <col min="9992" max="9992" width="10.42578125" style="1" customWidth="1"/>
    <col min="9993" max="9993" width="4.7109375" style="1" customWidth="1"/>
    <col min="9994" max="9994" width="8.5703125" style="1" customWidth="1"/>
    <col min="9995" max="9995" width="5.5703125" style="1" customWidth="1"/>
    <col min="9996" max="9997" width="11.5703125" style="1" customWidth="1"/>
    <col min="9998" max="9998" width="10.85546875" style="1" customWidth="1"/>
    <col min="9999" max="9999" width="7.7109375" style="1" customWidth="1"/>
    <col min="10000" max="10000" width="8" style="1" customWidth="1"/>
    <col min="10001" max="10001" width="16.28515625" style="1" customWidth="1"/>
    <col min="10002" max="10002" width="10.5703125" style="1" customWidth="1"/>
    <col min="10003" max="10003" width="14.140625" style="1" customWidth="1"/>
    <col min="10004" max="10004" width="10.140625" style="1" customWidth="1"/>
    <col min="10005" max="10005" width="15.140625" style="1" customWidth="1"/>
    <col min="10006" max="10006" width="8.5703125" style="1" customWidth="1"/>
    <col min="10007" max="10007" width="14.28515625" style="1" customWidth="1"/>
    <col min="10008" max="10008" width="18.28515625" style="1" customWidth="1"/>
    <col min="10009" max="10009" width="13" style="1" bestFit="1" customWidth="1"/>
    <col min="10010" max="10010" width="11.7109375" style="1" bestFit="1" customWidth="1"/>
    <col min="10011" max="10017" width="9.140625" style="1"/>
    <col min="10018" max="10018" width="11.28515625" style="1" bestFit="1" customWidth="1"/>
    <col min="10019" max="10019" width="10.7109375" style="1" bestFit="1" customWidth="1"/>
    <col min="10020" max="10241" width="9.140625" style="1"/>
    <col min="10242" max="10242" width="6.42578125" style="1" customWidth="1"/>
    <col min="10243" max="10243" width="20.7109375" style="1" customWidth="1"/>
    <col min="10244" max="10244" width="24.7109375" style="1" customWidth="1"/>
    <col min="10245" max="10245" width="11.140625" style="1" customWidth="1"/>
    <col min="10246" max="10246" width="12.28515625" style="1" customWidth="1"/>
    <col min="10247" max="10247" width="11.140625" style="1" customWidth="1"/>
    <col min="10248" max="10248" width="10.42578125" style="1" customWidth="1"/>
    <col min="10249" max="10249" width="4.7109375" style="1" customWidth="1"/>
    <col min="10250" max="10250" width="8.5703125" style="1" customWidth="1"/>
    <col min="10251" max="10251" width="5.5703125" style="1" customWidth="1"/>
    <col min="10252" max="10253" width="11.5703125" style="1" customWidth="1"/>
    <col min="10254" max="10254" width="10.85546875" style="1" customWidth="1"/>
    <col min="10255" max="10255" width="7.7109375" style="1" customWidth="1"/>
    <col min="10256" max="10256" width="8" style="1" customWidth="1"/>
    <col min="10257" max="10257" width="16.28515625" style="1" customWidth="1"/>
    <col min="10258" max="10258" width="10.5703125" style="1" customWidth="1"/>
    <col min="10259" max="10259" width="14.140625" style="1" customWidth="1"/>
    <col min="10260" max="10260" width="10.140625" style="1" customWidth="1"/>
    <col min="10261" max="10261" width="15.140625" style="1" customWidth="1"/>
    <col min="10262" max="10262" width="8.5703125" style="1" customWidth="1"/>
    <col min="10263" max="10263" width="14.28515625" style="1" customWidth="1"/>
    <col min="10264" max="10264" width="18.28515625" style="1" customWidth="1"/>
    <col min="10265" max="10265" width="13" style="1" bestFit="1" customWidth="1"/>
    <col min="10266" max="10266" width="11.7109375" style="1" bestFit="1" customWidth="1"/>
    <col min="10267" max="10273" width="9.140625" style="1"/>
    <col min="10274" max="10274" width="11.28515625" style="1" bestFit="1" customWidth="1"/>
    <col min="10275" max="10275" width="10.7109375" style="1" bestFit="1" customWidth="1"/>
    <col min="10276" max="10497" width="9.140625" style="1"/>
    <col min="10498" max="10498" width="6.42578125" style="1" customWidth="1"/>
    <col min="10499" max="10499" width="20.7109375" style="1" customWidth="1"/>
    <col min="10500" max="10500" width="24.7109375" style="1" customWidth="1"/>
    <col min="10501" max="10501" width="11.140625" style="1" customWidth="1"/>
    <col min="10502" max="10502" width="12.28515625" style="1" customWidth="1"/>
    <col min="10503" max="10503" width="11.140625" style="1" customWidth="1"/>
    <col min="10504" max="10504" width="10.42578125" style="1" customWidth="1"/>
    <col min="10505" max="10505" width="4.7109375" style="1" customWidth="1"/>
    <col min="10506" max="10506" width="8.5703125" style="1" customWidth="1"/>
    <col min="10507" max="10507" width="5.5703125" style="1" customWidth="1"/>
    <col min="10508" max="10509" width="11.5703125" style="1" customWidth="1"/>
    <col min="10510" max="10510" width="10.85546875" style="1" customWidth="1"/>
    <col min="10511" max="10511" width="7.7109375" style="1" customWidth="1"/>
    <col min="10512" max="10512" width="8" style="1" customWidth="1"/>
    <col min="10513" max="10513" width="16.28515625" style="1" customWidth="1"/>
    <col min="10514" max="10514" width="10.5703125" style="1" customWidth="1"/>
    <col min="10515" max="10515" width="14.140625" style="1" customWidth="1"/>
    <col min="10516" max="10516" width="10.140625" style="1" customWidth="1"/>
    <col min="10517" max="10517" width="15.140625" style="1" customWidth="1"/>
    <col min="10518" max="10518" width="8.5703125" style="1" customWidth="1"/>
    <col min="10519" max="10519" width="14.28515625" style="1" customWidth="1"/>
    <col min="10520" max="10520" width="18.28515625" style="1" customWidth="1"/>
    <col min="10521" max="10521" width="13" style="1" bestFit="1" customWidth="1"/>
    <col min="10522" max="10522" width="11.7109375" style="1" bestFit="1" customWidth="1"/>
    <col min="10523" max="10529" width="9.140625" style="1"/>
    <col min="10530" max="10530" width="11.28515625" style="1" bestFit="1" customWidth="1"/>
    <col min="10531" max="10531" width="10.7109375" style="1" bestFit="1" customWidth="1"/>
    <col min="10532" max="10753" width="9.140625" style="1"/>
    <col min="10754" max="10754" width="6.42578125" style="1" customWidth="1"/>
    <col min="10755" max="10755" width="20.7109375" style="1" customWidth="1"/>
    <col min="10756" max="10756" width="24.7109375" style="1" customWidth="1"/>
    <col min="10757" max="10757" width="11.140625" style="1" customWidth="1"/>
    <col min="10758" max="10758" width="12.28515625" style="1" customWidth="1"/>
    <col min="10759" max="10759" width="11.140625" style="1" customWidth="1"/>
    <col min="10760" max="10760" width="10.42578125" style="1" customWidth="1"/>
    <col min="10761" max="10761" width="4.7109375" style="1" customWidth="1"/>
    <col min="10762" max="10762" width="8.5703125" style="1" customWidth="1"/>
    <col min="10763" max="10763" width="5.5703125" style="1" customWidth="1"/>
    <col min="10764" max="10765" width="11.5703125" style="1" customWidth="1"/>
    <col min="10766" max="10766" width="10.85546875" style="1" customWidth="1"/>
    <col min="10767" max="10767" width="7.7109375" style="1" customWidth="1"/>
    <col min="10768" max="10768" width="8" style="1" customWidth="1"/>
    <col min="10769" max="10769" width="16.28515625" style="1" customWidth="1"/>
    <col min="10770" max="10770" width="10.5703125" style="1" customWidth="1"/>
    <col min="10771" max="10771" width="14.140625" style="1" customWidth="1"/>
    <col min="10772" max="10772" width="10.140625" style="1" customWidth="1"/>
    <col min="10773" max="10773" width="15.140625" style="1" customWidth="1"/>
    <col min="10774" max="10774" width="8.5703125" style="1" customWidth="1"/>
    <col min="10775" max="10775" width="14.28515625" style="1" customWidth="1"/>
    <col min="10776" max="10776" width="18.28515625" style="1" customWidth="1"/>
    <col min="10777" max="10777" width="13" style="1" bestFit="1" customWidth="1"/>
    <col min="10778" max="10778" width="11.7109375" style="1" bestFit="1" customWidth="1"/>
    <col min="10779" max="10785" width="9.140625" style="1"/>
    <col min="10786" max="10786" width="11.28515625" style="1" bestFit="1" customWidth="1"/>
    <col min="10787" max="10787" width="10.7109375" style="1" bestFit="1" customWidth="1"/>
    <col min="10788" max="11009" width="9.140625" style="1"/>
    <col min="11010" max="11010" width="6.42578125" style="1" customWidth="1"/>
    <col min="11011" max="11011" width="20.7109375" style="1" customWidth="1"/>
    <col min="11012" max="11012" width="24.7109375" style="1" customWidth="1"/>
    <col min="11013" max="11013" width="11.140625" style="1" customWidth="1"/>
    <col min="11014" max="11014" width="12.28515625" style="1" customWidth="1"/>
    <col min="11015" max="11015" width="11.140625" style="1" customWidth="1"/>
    <col min="11016" max="11016" width="10.42578125" style="1" customWidth="1"/>
    <col min="11017" max="11017" width="4.7109375" style="1" customWidth="1"/>
    <col min="11018" max="11018" width="8.5703125" style="1" customWidth="1"/>
    <col min="11019" max="11019" width="5.5703125" style="1" customWidth="1"/>
    <col min="11020" max="11021" width="11.5703125" style="1" customWidth="1"/>
    <col min="11022" max="11022" width="10.85546875" style="1" customWidth="1"/>
    <col min="11023" max="11023" width="7.7109375" style="1" customWidth="1"/>
    <col min="11024" max="11024" width="8" style="1" customWidth="1"/>
    <col min="11025" max="11025" width="16.28515625" style="1" customWidth="1"/>
    <col min="11026" max="11026" width="10.5703125" style="1" customWidth="1"/>
    <col min="11027" max="11027" width="14.140625" style="1" customWidth="1"/>
    <col min="11028" max="11028" width="10.140625" style="1" customWidth="1"/>
    <col min="11029" max="11029" width="15.140625" style="1" customWidth="1"/>
    <col min="11030" max="11030" width="8.5703125" style="1" customWidth="1"/>
    <col min="11031" max="11031" width="14.28515625" style="1" customWidth="1"/>
    <col min="11032" max="11032" width="18.28515625" style="1" customWidth="1"/>
    <col min="11033" max="11033" width="13" style="1" bestFit="1" customWidth="1"/>
    <col min="11034" max="11034" width="11.7109375" style="1" bestFit="1" customWidth="1"/>
    <col min="11035" max="11041" width="9.140625" style="1"/>
    <col min="11042" max="11042" width="11.28515625" style="1" bestFit="1" customWidth="1"/>
    <col min="11043" max="11043" width="10.7109375" style="1" bestFit="1" customWidth="1"/>
    <col min="11044" max="11265" width="9.140625" style="1"/>
    <col min="11266" max="11266" width="6.42578125" style="1" customWidth="1"/>
    <col min="11267" max="11267" width="20.7109375" style="1" customWidth="1"/>
    <col min="11268" max="11268" width="24.7109375" style="1" customWidth="1"/>
    <col min="11269" max="11269" width="11.140625" style="1" customWidth="1"/>
    <col min="11270" max="11270" width="12.28515625" style="1" customWidth="1"/>
    <col min="11271" max="11271" width="11.140625" style="1" customWidth="1"/>
    <col min="11272" max="11272" width="10.42578125" style="1" customWidth="1"/>
    <col min="11273" max="11273" width="4.7109375" style="1" customWidth="1"/>
    <col min="11274" max="11274" width="8.5703125" style="1" customWidth="1"/>
    <col min="11275" max="11275" width="5.5703125" style="1" customWidth="1"/>
    <col min="11276" max="11277" width="11.5703125" style="1" customWidth="1"/>
    <col min="11278" max="11278" width="10.85546875" style="1" customWidth="1"/>
    <col min="11279" max="11279" width="7.7109375" style="1" customWidth="1"/>
    <col min="11280" max="11280" width="8" style="1" customWidth="1"/>
    <col min="11281" max="11281" width="16.28515625" style="1" customWidth="1"/>
    <col min="11282" max="11282" width="10.5703125" style="1" customWidth="1"/>
    <col min="11283" max="11283" width="14.140625" style="1" customWidth="1"/>
    <col min="11284" max="11284" width="10.140625" style="1" customWidth="1"/>
    <col min="11285" max="11285" width="15.140625" style="1" customWidth="1"/>
    <col min="11286" max="11286" width="8.5703125" style="1" customWidth="1"/>
    <col min="11287" max="11287" width="14.28515625" style="1" customWidth="1"/>
    <col min="11288" max="11288" width="18.28515625" style="1" customWidth="1"/>
    <col min="11289" max="11289" width="13" style="1" bestFit="1" customWidth="1"/>
    <col min="11290" max="11290" width="11.7109375" style="1" bestFit="1" customWidth="1"/>
    <col min="11291" max="11297" width="9.140625" style="1"/>
    <col min="11298" max="11298" width="11.28515625" style="1" bestFit="1" customWidth="1"/>
    <col min="11299" max="11299" width="10.7109375" style="1" bestFit="1" customWidth="1"/>
    <col min="11300" max="11521" width="9.140625" style="1"/>
    <col min="11522" max="11522" width="6.42578125" style="1" customWidth="1"/>
    <col min="11523" max="11523" width="20.7109375" style="1" customWidth="1"/>
    <col min="11524" max="11524" width="24.7109375" style="1" customWidth="1"/>
    <col min="11525" max="11525" width="11.140625" style="1" customWidth="1"/>
    <col min="11526" max="11526" width="12.28515625" style="1" customWidth="1"/>
    <col min="11527" max="11527" width="11.140625" style="1" customWidth="1"/>
    <col min="11528" max="11528" width="10.42578125" style="1" customWidth="1"/>
    <col min="11529" max="11529" width="4.7109375" style="1" customWidth="1"/>
    <col min="11530" max="11530" width="8.5703125" style="1" customWidth="1"/>
    <col min="11531" max="11531" width="5.5703125" style="1" customWidth="1"/>
    <col min="11532" max="11533" width="11.5703125" style="1" customWidth="1"/>
    <col min="11534" max="11534" width="10.85546875" style="1" customWidth="1"/>
    <col min="11535" max="11535" width="7.7109375" style="1" customWidth="1"/>
    <col min="11536" max="11536" width="8" style="1" customWidth="1"/>
    <col min="11537" max="11537" width="16.28515625" style="1" customWidth="1"/>
    <col min="11538" max="11538" width="10.5703125" style="1" customWidth="1"/>
    <col min="11539" max="11539" width="14.140625" style="1" customWidth="1"/>
    <col min="11540" max="11540" width="10.140625" style="1" customWidth="1"/>
    <col min="11541" max="11541" width="15.140625" style="1" customWidth="1"/>
    <col min="11542" max="11542" width="8.5703125" style="1" customWidth="1"/>
    <col min="11543" max="11543" width="14.28515625" style="1" customWidth="1"/>
    <col min="11544" max="11544" width="18.28515625" style="1" customWidth="1"/>
    <col min="11545" max="11545" width="13" style="1" bestFit="1" customWidth="1"/>
    <col min="11546" max="11546" width="11.7109375" style="1" bestFit="1" customWidth="1"/>
    <col min="11547" max="11553" width="9.140625" style="1"/>
    <col min="11554" max="11554" width="11.28515625" style="1" bestFit="1" customWidth="1"/>
    <col min="11555" max="11555" width="10.7109375" style="1" bestFit="1" customWidth="1"/>
    <col min="11556" max="11777" width="9.140625" style="1"/>
    <col min="11778" max="11778" width="6.42578125" style="1" customWidth="1"/>
    <col min="11779" max="11779" width="20.7109375" style="1" customWidth="1"/>
    <col min="11780" max="11780" width="24.7109375" style="1" customWidth="1"/>
    <col min="11781" max="11781" width="11.140625" style="1" customWidth="1"/>
    <col min="11782" max="11782" width="12.28515625" style="1" customWidth="1"/>
    <col min="11783" max="11783" width="11.140625" style="1" customWidth="1"/>
    <col min="11784" max="11784" width="10.42578125" style="1" customWidth="1"/>
    <col min="11785" max="11785" width="4.7109375" style="1" customWidth="1"/>
    <col min="11786" max="11786" width="8.5703125" style="1" customWidth="1"/>
    <col min="11787" max="11787" width="5.5703125" style="1" customWidth="1"/>
    <col min="11788" max="11789" width="11.5703125" style="1" customWidth="1"/>
    <col min="11790" max="11790" width="10.85546875" style="1" customWidth="1"/>
    <col min="11791" max="11791" width="7.7109375" style="1" customWidth="1"/>
    <col min="11792" max="11792" width="8" style="1" customWidth="1"/>
    <col min="11793" max="11793" width="16.28515625" style="1" customWidth="1"/>
    <col min="11794" max="11794" width="10.5703125" style="1" customWidth="1"/>
    <col min="11795" max="11795" width="14.140625" style="1" customWidth="1"/>
    <col min="11796" max="11796" width="10.140625" style="1" customWidth="1"/>
    <col min="11797" max="11797" width="15.140625" style="1" customWidth="1"/>
    <col min="11798" max="11798" width="8.5703125" style="1" customWidth="1"/>
    <col min="11799" max="11799" width="14.28515625" style="1" customWidth="1"/>
    <col min="11800" max="11800" width="18.28515625" style="1" customWidth="1"/>
    <col min="11801" max="11801" width="13" style="1" bestFit="1" customWidth="1"/>
    <col min="11802" max="11802" width="11.7109375" style="1" bestFit="1" customWidth="1"/>
    <col min="11803" max="11809" width="9.140625" style="1"/>
    <col min="11810" max="11810" width="11.28515625" style="1" bestFit="1" customWidth="1"/>
    <col min="11811" max="11811" width="10.7109375" style="1" bestFit="1" customWidth="1"/>
    <col min="11812" max="12033" width="9.140625" style="1"/>
    <col min="12034" max="12034" width="6.42578125" style="1" customWidth="1"/>
    <col min="12035" max="12035" width="20.7109375" style="1" customWidth="1"/>
    <col min="12036" max="12036" width="24.7109375" style="1" customWidth="1"/>
    <col min="12037" max="12037" width="11.140625" style="1" customWidth="1"/>
    <col min="12038" max="12038" width="12.28515625" style="1" customWidth="1"/>
    <col min="12039" max="12039" width="11.140625" style="1" customWidth="1"/>
    <col min="12040" max="12040" width="10.42578125" style="1" customWidth="1"/>
    <col min="12041" max="12041" width="4.7109375" style="1" customWidth="1"/>
    <col min="12042" max="12042" width="8.5703125" style="1" customWidth="1"/>
    <col min="12043" max="12043" width="5.5703125" style="1" customWidth="1"/>
    <col min="12044" max="12045" width="11.5703125" style="1" customWidth="1"/>
    <col min="12046" max="12046" width="10.85546875" style="1" customWidth="1"/>
    <col min="12047" max="12047" width="7.7109375" style="1" customWidth="1"/>
    <col min="12048" max="12048" width="8" style="1" customWidth="1"/>
    <col min="12049" max="12049" width="16.28515625" style="1" customWidth="1"/>
    <col min="12050" max="12050" width="10.5703125" style="1" customWidth="1"/>
    <col min="12051" max="12051" width="14.140625" style="1" customWidth="1"/>
    <col min="12052" max="12052" width="10.140625" style="1" customWidth="1"/>
    <col min="12053" max="12053" width="15.140625" style="1" customWidth="1"/>
    <col min="12054" max="12054" width="8.5703125" style="1" customWidth="1"/>
    <col min="12055" max="12055" width="14.28515625" style="1" customWidth="1"/>
    <col min="12056" max="12056" width="18.28515625" style="1" customWidth="1"/>
    <col min="12057" max="12057" width="13" style="1" bestFit="1" customWidth="1"/>
    <col min="12058" max="12058" width="11.7109375" style="1" bestFit="1" customWidth="1"/>
    <col min="12059" max="12065" width="9.140625" style="1"/>
    <col min="12066" max="12066" width="11.28515625" style="1" bestFit="1" customWidth="1"/>
    <col min="12067" max="12067" width="10.7109375" style="1" bestFit="1" customWidth="1"/>
    <col min="12068" max="12289" width="9.140625" style="1"/>
    <col min="12290" max="12290" width="6.42578125" style="1" customWidth="1"/>
    <col min="12291" max="12291" width="20.7109375" style="1" customWidth="1"/>
    <col min="12292" max="12292" width="24.7109375" style="1" customWidth="1"/>
    <col min="12293" max="12293" width="11.140625" style="1" customWidth="1"/>
    <col min="12294" max="12294" width="12.28515625" style="1" customWidth="1"/>
    <col min="12295" max="12295" width="11.140625" style="1" customWidth="1"/>
    <col min="12296" max="12296" width="10.42578125" style="1" customWidth="1"/>
    <col min="12297" max="12297" width="4.7109375" style="1" customWidth="1"/>
    <col min="12298" max="12298" width="8.5703125" style="1" customWidth="1"/>
    <col min="12299" max="12299" width="5.5703125" style="1" customWidth="1"/>
    <col min="12300" max="12301" width="11.5703125" style="1" customWidth="1"/>
    <col min="12302" max="12302" width="10.85546875" style="1" customWidth="1"/>
    <col min="12303" max="12303" width="7.7109375" style="1" customWidth="1"/>
    <col min="12304" max="12304" width="8" style="1" customWidth="1"/>
    <col min="12305" max="12305" width="16.28515625" style="1" customWidth="1"/>
    <col min="12306" max="12306" width="10.5703125" style="1" customWidth="1"/>
    <col min="12307" max="12307" width="14.140625" style="1" customWidth="1"/>
    <col min="12308" max="12308" width="10.140625" style="1" customWidth="1"/>
    <col min="12309" max="12309" width="15.140625" style="1" customWidth="1"/>
    <col min="12310" max="12310" width="8.5703125" style="1" customWidth="1"/>
    <col min="12311" max="12311" width="14.28515625" style="1" customWidth="1"/>
    <col min="12312" max="12312" width="18.28515625" style="1" customWidth="1"/>
    <col min="12313" max="12313" width="13" style="1" bestFit="1" customWidth="1"/>
    <col min="12314" max="12314" width="11.7109375" style="1" bestFit="1" customWidth="1"/>
    <col min="12315" max="12321" width="9.140625" style="1"/>
    <col min="12322" max="12322" width="11.28515625" style="1" bestFit="1" customWidth="1"/>
    <col min="12323" max="12323" width="10.7109375" style="1" bestFit="1" customWidth="1"/>
    <col min="12324" max="12545" width="9.140625" style="1"/>
    <col min="12546" max="12546" width="6.42578125" style="1" customWidth="1"/>
    <col min="12547" max="12547" width="20.7109375" style="1" customWidth="1"/>
    <col min="12548" max="12548" width="24.7109375" style="1" customWidth="1"/>
    <col min="12549" max="12549" width="11.140625" style="1" customWidth="1"/>
    <col min="12550" max="12550" width="12.28515625" style="1" customWidth="1"/>
    <col min="12551" max="12551" width="11.140625" style="1" customWidth="1"/>
    <col min="12552" max="12552" width="10.42578125" style="1" customWidth="1"/>
    <col min="12553" max="12553" width="4.7109375" style="1" customWidth="1"/>
    <col min="12554" max="12554" width="8.5703125" style="1" customWidth="1"/>
    <col min="12555" max="12555" width="5.5703125" style="1" customWidth="1"/>
    <col min="12556" max="12557" width="11.5703125" style="1" customWidth="1"/>
    <col min="12558" max="12558" width="10.85546875" style="1" customWidth="1"/>
    <col min="12559" max="12559" width="7.7109375" style="1" customWidth="1"/>
    <col min="12560" max="12560" width="8" style="1" customWidth="1"/>
    <col min="12561" max="12561" width="16.28515625" style="1" customWidth="1"/>
    <col min="12562" max="12562" width="10.5703125" style="1" customWidth="1"/>
    <col min="12563" max="12563" width="14.140625" style="1" customWidth="1"/>
    <col min="12564" max="12564" width="10.140625" style="1" customWidth="1"/>
    <col min="12565" max="12565" width="15.140625" style="1" customWidth="1"/>
    <col min="12566" max="12566" width="8.5703125" style="1" customWidth="1"/>
    <col min="12567" max="12567" width="14.28515625" style="1" customWidth="1"/>
    <col min="12568" max="12568" width="18.28515625" style="1" customWidth="1"/>
    <col min="12569" max="12569" width="13" style="1" bestFit="1" customWidth="1"/>
    <col min="12570" max="12570" width="11.7109375" style="1" bestFit="1" customWidth="1"/>
    <col min="12571" max="12577" width="9.140625" style="1"/>
    <col min="12578" max="12578" width="11.28515625" style="1" bestFit="1" customWidth="1"/>
    <col min="12579" max="12579" width="10.7109375" style="1" bestFit="1" customWidth="1"/>
    <col min="12580" max="12801" width="9.140625" style="1"/>
    <col min="12802" max="12802" width="6.42578125" style="1" customWidth="1"/>
    <col min="12803" max="12803" width="20.7109375" style="1" customWidth="1"/>
    <col min="12804" max="12804" width="24.7109375" style="1" customWidth="1"/>
    <col min="12805" max="12805" width="11.140625" style="1" customWidth="1"/>
    <col min="12806" max="12806" width="12.28515625" style="1" customWidth="1"/>
    <col min="12807" max="12807" width="11.140625" style="1" customWidth="1"/>
    <col min="12808" max="12808" width="10.42578125" style="1" customWidth="1"/>
    <col min="12809" max="12809" width="4.7109375" style="1" customWidth="1"/>
    <col min="12810" max="12810" width="8.5703125" style="1" customWidth="1"/>
    <col min="12811" max="12811" width="5.5703125" style="1" customWidth="1"/>
    <col min="12812" max="12813" width="11.5703125" style="1" customWidth="1"/>
    <col min="12814" max="12814" width="10.85546875" style="1" customWidth="1"/>
    <col min="12815" max="12815" width="7.7109375" style="1" customWidth="1"/>
    <col min="12816" max="12816" width="8" style="1" customWidth="1"/>
    <col min="12817" max="12817" width="16.28515625" style="1" customWidth="1"/>
    <col min="12818" max="12818" width="10.5703125" style="1" customWidth="1"/>
    <col min="12819" max="12819" width="14.140625" style="1" customWidth="1"/>
    <col min="12820" max="12820" width="10.140625" style="1" customWidth="1"/>
    <col min="12821" max="12821" width="15.140625" style="1" customWidth="1"/>
    <col min="12822" max="12822" width="8.5703125" style="1" customWidth="1"/>
    <col min="12823" max="12823" width="14.28515625" style="1" customWidth="1"/>
    <col min="12824" max="12824" width="18.28515625" style="1" customWidth="1"/>
    <col min="12825" max="12825" width="13" style="1" bestFit="1" customWidth="1"/>
    <col min="12826" max="12826" width="11.7109375" style="1" bestFit="1" customWidth="1"/>
    <col min="12827" max="12833" width="9.140625" style="1"/>
    <col min="12834" max="12834" width="11.28515625" style="1" bestFit="1" customWidth="1"/>
    <col min="12835" max="12835" width="10.7109375" style="1" bestFit="1" customWidth="1"/>
    <col min="12836" max="13057" width="9.140625" style="1"/>
    <col min="13058" max="13058" width="6.42578125" style="1" customWidth="1"/>
    <col min="13059" max="13059" width="20.7109375" style="1" customWidth="1"/>
    <col min="13060" max="13060" width="24.7109375" style="1" customWidth="1"/>
    <col min="13061" max="13061" width="11.140625" style="1" customWidth="1"/>
    <col min="13062" max="13062" width="12.28515625" style="1" customWidth="1"/>
    <col min="13063" max="13063" width="11.140625" style="1" customWidth="1"/>
    <col min="13064" max="13064" width="10.42578125" style="1" customWidth="1"/>
    <col min="13065" max="13065" width="4.7109375" style="1" customWidth="1"/>
    <col min="13066" max="13066" width="8.5703125" style="1" customWidth="1"/>
    <col min="13067" max="13067" width="5.5703125" style="1" customWidth="1"/>
    <col min="13068" max="13069" width="11.5703125" style="1" customWidth="1"/>
    <col min="13070" max="13070" width="10.85546875" style="1" customWidth="1"/>
    <col min="13071" max="13071" width="7.7109375" style="1" customWidth="1"/>
    <col min="13072" max="13072" width="8" style="1" customWidth="1"/>
    <col min="13073" max="13073" width="16.28515625" style="1" customWidth="1"/>
    <col min="13074" max="13074" width="10.5703125" style="1" customWidth="1"/>
    <col min="13075" max="13075" width="14.140625" style="1" customWidth="1"/>
    <col min="13076" max="13076" width="10.140625" style="1" customWidth="1"/>
    <col min="13077" max="13077" width="15.140625" style="1" customWidth="1"/>
    <col min="13078" max="13078" width="8.5703125" style="1" customWidth="1"/>
    <col min="13079" max="13079" width="14.28515625" style="1" customWidth="1"/>
    <col min="13080" max="13080" width="18.28515625" style="1" customWidth="1"/>
    <col min="13081" max="13081" width="13" style="1" bestFit="1" customWidth="1"/>
    <col min="13082" max="13082" width="11.7109375" style="1" bestFit="1" customWidth="1"/>
    <col min="13083" max="13089" width="9.140625" style="1"/>
    <col min="13090" max="13090" width="11.28515625" style="1" bestFit="1" customWidth="1"/>
    <col min="13091" max="13091" width="10.7109375" style="1" bestFit="1" customWidth="1"/>
    <col min="13092" max="13313" width="9.140625" style="1"/>
    <col min="13314" max="13314" width="6.42578125" style="1" customWidth="1"/>
    <col min="13315" max="13315" width="20.7109375" style="1" customWidth="1"/>
    <col min="13316" max="13316" width="24.7109375" style="1" customWidth="1"/>
    <col min="13317" max="13317" width="11.140625" style="1" customWidth="1"/>
    <col min="13318" max="13318" width="12.28515625" style="1" customWidth="1"/>
    <col min="13319" max="13319" width="11.140625" style="1" customWidth="1"/>
    <col min="13320" max="13320" width="10.42578125" style="1" customWidth="1"/>
    <col min="13321" max="13321" width="4.7109375" style="1" customWidth="1"/>
    <col min="13322" max="13322" width="8.5703125" style="1" customWidth="1"/>
    <col min="13323" max="13323" width="5.5703125" style="1" customWidth="1"/>
    <col min="13324" max="13325" width="11.5703125" style="1" customWidth="1"/>
    <col min="13326" max="13326" width="10.85546875" style="1" customWidth="1"/>
    <col min="13327" max="13327" width="7.7109375" style="1" customWidth="1"/>
    <col min="13328" max="13328" width="8" style="1" customWidth="1"/>
    <col min="13329" max="13329" width="16.28515625" style="1" customWidth="1"/>
    <col min="13330" max="13330" width="10.5703125" style="1" customWidth="1"/>
    <col min="13331" max="13331" width="14.140625" style="1" customWidth="1"/>
    <col min="13332" max="13332" width="10.140625" style="1" customWidth="1"/>
    <col min="13333" max="13333" width="15.140625" style="1" customWidth="1"/>
    <col min="13334" max="13334" width="8.5703125" style="1" customWidth="1"/>
    <col min="13335" max="13335" width="14.28515625" style="1" customWidth="1"/>
    <col min="13336" max="13336" width="18.28515625" style="1" customWidth="1"/>
    <col min="13337" max="13337" width="13" style="1" bestFit="1" customWidth="1"/>
    <col min="13338" max="13338" width="11.7109375" style="1" bestFit="1" customWidth="1"/>
    <col min="13339" max="13345" width="9.140625" style="1"/>
    <col min="13346" max="13346" width="11.28515625" style="1" bestFit="1" customWidth="1"/>
    <col min="13347" max="13347" width="10.7109375" style="1" bestFit="1" customWidth="1"/>
    <col min="13348" max="13569" width="9.140625" style="1"/>
    <col min="13570" max="13570" width="6.42578125" style="1" customWidth="1"/>
    <col min="13571" max="13571" width="20.7109375" style="1" customWidth="1"/>
    <col min="13572" max="13572" width="24.7109375" style="1" customWidth="1"/>
    <col min="13573" max="13573" width="11.140625" style="1" customWidth="1"/>
    <col min="13574" max="13574" width="12.28515625" style="1" customWidth="1"/>
    <col min="13575" max="13575" width="11.140625" style="1" customWidth="1"/>
    <col min="13576" max="13576" width="10.42578125" style="1" customWidth="1"/>
    <col min="13577" max="13577" width="4.7109375" style="1" customWidth="1"/>
    <col min="13578" max="13578" width="8.5703125" style="1" customWidth="1"/>
    <col min="13579" max="13579" width="5.5703125" style="1" customWidth="1"/>
    <col min="13580" max="13581" width="11.5703125" style="1" customWidth="1"/>
    <col min="13582" max="13582" width="10.85546875" style="1" customWidth="1"/>
    <col min="13583" max="13583" width="7.7109375" style="1" customWidth="1"/>
    <col min="13584" max="13584" width="8" style="1" customWidth="1"/>
    <col min="13585" max="13585" width="16.28515625" style="1" customWidth="1"/>
    <col min="13586" max="13586" width="10.5703125" style="1" customWidth="1"/>
    <col min="13587" max="13587" width="14.140625" style="1" customWidth="1"/>
    <col min="13588" max="13588" width="10.140625" style="1" customWidth="1"/>
    <col min="13589" max="13589" width="15.140625" style="1" customWidth="1"/>
    <col min="13590" max="13590" width="8.5703125" style="1" customWidth="1"/>
    <col min="13591" max="13591" width="14.28515625" style="1" customWidth="1"/>
    <col min="13592" max="13592" width="18.28515625" style="1" customWidth="1"/>
    <col min="13593" max="13593" width="13" style="1" bestFit="1" customWidth="1"/>
    <col min="13594" max="13594" width="11.7109375" style="1" bestFit="1" customWidth="1"/>
    <col min="13595" max="13601" width="9.140625" style="1"/>
    <col min="13602" max="13602" width="11.28515625" style="1" bestFit="1" customWidth="1"/>
    <col min="13603" max="13603" width="10.7109375" style="1" bestFit="1" customWidth="1"/>
    <col min="13604" max="13825" width="9.140625" style="1"/>
    <col min="13826" max="13826" width="6.42578125" style="1" customWidth="1"/>
    <col min="13827" max="13827" width="20.7109375" style="1" customWidth="1"/>
    <col min="13828" max="13828" width="24.7109375" style="1" customWidth="1"/>
    <col min="13829" max="13829" width="11.140625" style="1" customWidth="1"/>
    <col min="13830" max="13830" width="12.28515625" style="1" customWidth="1"/>
    <col min="13831" max="13831" width="11.140625" style="1" customWidth="1"/>
    <col min="13832" max="13832" width="10.42578125" style="1" customWidth="1"/>
    <col min="13833" max="13833" width="4.7109375" style="1" customWidth="1"/>
    <col min="13834" max="13834" width="8.5703125" style="1" customWidth="1"/>
    <col min="13835" max="13835" width="5.5703125" style="1" customWidth="1"/>
    <col min="13836" max="13837" width="11.5703125" style="1" customWidth="1"/>
    <col min="13838" max="13838" width="10.85546875" style="1" customWidth="1"/>
    <col min="13839" max="13839" width="7.7109375" style="1" customWidth="1"/>
    <col min="13840" max="13840" width="8" style="1" customWidth="1"/>
    <col min="13841" max="13841" width="16.28515625" style="1" customWidth="1"/>
    <col min="13842" max="13842" width="10.5703125" style="1" customWidth="1"/>
    <col min="13843" max="13843" width="14.140625" style="1" customWidth="1"/>
    <col min="13844" max="13844" width="10.140625" style="1" customWidth="1"/>
    <col min="13845" max="13845" width="15.140625" style="1" customWidth="1"/>
    <col min="13846" max="13846" width="8.5703125" style="1" customWidth="1"/>
    <col min="13847" max="13847" width="14.28515625" style="1" customWidth="1"/>
    <col min="13848" max="13848" width="18.28515625" style="1" customWidth="1"/>
    <col min="13849" max="13849" width="13" style="1" bestFit="1" customWidth="1"/>
    <col min="13850" max="13850" width="11.7109375" style="1" bestFit="1" customWidth="1"/>
    <col min="13851" max="13857" width="9.140625" style="1"/>
    <col min="13858" max="13858" width="11.28515625" style="1" bestFit="1" customWidth="1"/>
    <col min="13859" max="13859" width="10.7109375" style="1" bestFit="1" customWidth="1"/>
    <col min="13860" max="14081" width="9.140625" style="1"/>
    <col min="14082" max="14082" width="6.42578125" style="1" customWidth="1"/>
    <col min="14083" max="14083" width="20.7109375" style="1" customWidth="1"/>
    <col min="14084" max="14084" width="24.7109375" style="1" customWidth="1"/>
    <col min="14085" max="14085" width="11.140625" style="1" customWidth="1"/>
    <col min="14086" max="14086" width="12.28515625" style="1" customWidth="1"/>
    <col min="14087" max="14087" width="11.140625" style="1" customWidth="1"/>
    <col min="14088" max="14088" width="10.42578125" style="1" customWidth="1"/>
    <col min="14089" max="14089" width="4.7109375" style="1" customWidth="1"/>
    <col min="14090" max="14090" width="8.5703125" style="1" customWidth="1"/>
    <col min="14091" max="14091" width="5.5703125" style="1" customWidth="1"/>
    <col min="14092" max="14093" width="11.5703125" style="1" customWidth="1"/>
    <col min="14094" max="14094" width="10.85546875" style="1" customWidth="1"/>
    <col min="14095" max="14095" width="7.7109375" style="1" customWidth="1"/>
    <col min="14096" max="14096" width="8" style="1" customWidth="1"/>
    <col min="14097" max="14097" width="16.28515625" style="1" customWidth="1"/>
    <col min="14098" max="14098" width="10.5703125" style="1" customWidth="1"/>
    <col min="14099" max="14099" width="14.140625" style="1" customWidth="1"/>
    <col min="14100" max="14100" width="10.140625" style="1" customWidth="1"/>
    <col min="14101" max="14101" width="15.140625" style="1" customWidth="1"/>
    <col min="14102" max="14102" width="8.5703125" style="1" customWidth="1"/>
    <col min="14103" max="14103" width="14.28515625" style="1" customWidth="1"/>
    <col min="14104" max="14104" width="18.28515625" style="1" customWidth="1"/>
    <col min="14105" max="14105" width="13" style="1" bestFit="1" customWidth="1"/>
    <col min="14106" max="14106" width="11.7109375" style="1" bestFit="1" customWidth="1"/>
    <col min="14107" max="14113" width="9.140625" style="1"/>
    <col min="14114" max="14114" width="11.28515625" style="1" bestFit="1" customWidth="1"/>
    <col min="14115" max="14115" width="10.7109375" style="1" bestFit="1" customWidth="1"/>
    <col min="14116" max="14337" width="9.140625" style="1"/>
    <col min="14338" max="14338" width="6.42578125" style="1" customWidth="1"/>
    <col min="14339" max="14339" width="20.7109375" style="1" customWidth="1"/>
    <col min="14340" max="14340" width="24.7109375" style="1" customWidth="1"/>
    <col min="14341" max="14341" width="11.140625" style="1" customWidth="1"/>
    <col min="14342" max="14342" width="12.28515625" style="1" customWidth="1"/>
    <col min="14343" max="14343" width="11.140625" style="1" customWidth="1"/>
    <col min="14344" max="14344" width="10.42578125" style="1" customWidth="1"/>
    <col min="14345" max="14345" width="4.7109375" style="1" customWidth="1"/>
    <col min="14346" max="14346" width="8.5703125" style="1" customWidth="1"/>
    <col min="14347" max="14347" width="5.5703125" style="1" customWidth="1"/>
    <col min="14348" max="14349" width="11.5703125" style="1" customWidth="1"/>
    <col min="14350" max="14350" width="10.85546875" style="1" customWidth="1"/>
    <col min="14351" max="14351" width="7.7109375" style="1" customWidth="1"/>
    <col min="14352" max="14352" width="8" style="1" customWidth="1"/>
    <col min="14353" max="14353" width="16.28515625" style="1" customWidth="1"/>
    <col min="14354" max="14354" width="10.5703125" style="1" customWidth="1"/>
    <col min="14355" max="14355" width="14.140625" style="1" customWidth="1"/>
    <col min="14356" max="14356" width="10.140625" style="1" customWidth="1"/>
    <col min="14357" max="14357" width="15.140625" style="1" customWidth="1"/>
    <col min="14358" max="14358" width="8.5703125" style="1" customWidth="1"/>
    <col min="14359" max="14359" width="14.28515625" style="1" customWidth="1"/>
    <col min="14360" max="14360" width="18.28515625" style="1" customWidth="1"/>
    <col min="14361" max="14361" width="13" style="1" bestFit="1" customWidth="1"/>
    <col min="14362" max="14362" width="11.7109375" style="1" bestFit="1" customWidth="1"/>
    <col min="14363" max="14369" width="9.140625" style="1"/>
    <col min="14370" max="14370" width="11.28515625" style="1" bestFit="1" customWidth="1"/>
    <col min="14371" max="14371" width="10.7109375" style="1" bestFit="1" customWidth="1"/>
    <col min="14372" max="14593" width="9.140625" style="1"/>
    <col min="14594" max="14594" width="6.42578125" style="1" customWidth="1"/>
    <col min="14595" max="14595" width="20.7109375" style="1" customWidth="1"/>
    <col min="14596" max="14596" width="24.7109375" style="1" customWidth="1"/>
    <col min="14597" max="14597" width="11.140625" style="1" customWidth="1"/>
    <col min="14598" max="14598" width="12.28515625" style="1" customWidth="1"/>
    <col min="14599" max="14599" width="11.140625" style="1" customWidth="1"/>
    <col min="14600" max="14600" width="10.42578125" style="1" customWidth="1"/>
    <col min="14601" max="14601" width="4.7109375" style="1" customWidth="1"/>
    <col min="14602" max="14602" width="8.5703125" style="1" customWidth="1"/>
    <col min="14603" max="14603" width="5.5703125" style="1" customWidth="1"/>
    <col min="14604" max="14605" width="11.5703125" style="1" customWidth="1"/>
    <col min="14606" max="14606" width="10.85546875" style="1" customWidth="1"/>
    <col min="14607" max="14607" width="7.7109375" style="1" customWidth="1"/>
    <col min="14608" max="14608" width="8" style="1" customWidth="1"/>
    <col min="14609" max="14609" width="16.28515625" style="1" customWidth="1"/>
    <col min="14610" max="14610" width="10.5703125" style="1" customWidth="1"/>
    <col min="14611" max="14611" width="14.140625" style="1" customWidth="1"/>
    <col min="14612" max="14612" width="10.140625" style="1" customWidth="1"/>
    <col min="14613" max="14613" width="15.140625" style="1" customWidth="1"/>
    <col min="14614" max="14614" width="8.5703125" style="1" customWidth="1"/>
    <col min="14615" max="14615" width="14.28515625" style="1" customWidth="1"/>
    <col min="14616" max="14616" width="18.28515625" style="1" customWidth="1"/>
    <col min="14617" max="14617" width="13" style="1" bestFit="1" customWidth="1"/>
    <col min="14618" max="14618" width="11.7109375" style="1" bestFit="1" customWidth="1"/>
    <col min="14619" max="14625" width="9.140625" style="1"/>
    <col min="14626" max="14626" width="11.28515625" style="1" bestFit="1" customWidth="1"/>
    <col min="14627" max="14627" width="10.7109375" style="1" bestFit="1" customWidth="1"/>
    <col min="14628" max="14849" width="9.140625" style="1"/>
    <col min="14850" max="14850" width="6.42578125" style="1" customWidth="1"/>
    <col min="14851" max="14851" width="20.7109375" style="1" customWidth="1"/>
    <col min="14852" max="14852" width="24.7109375" style="1" customWidth="1"/>
    <col min="14853" max="14853" width="11.140625" style="1" customWidth="1"/>
    <col min="14854" max="14854" width="12.28515625" style="1" customWidth="1"/>
    <col min="14855" max="14855" width="11.140625" style="1" customWidth="1"/>
    <col min="14856" max="14856" width="10.42578125" style="1" customWidth="1"/>
    <col min="14857" max="14857" width="4.7109375" style="1" customWidth="1"/>
    <col min="14858" max="14858" width="8.5703125" style="1" customWidth="1"/>
    <col min="14859" max="14859" width="5.5703125" style="1" customWidth="1"/>
    <col min="14860" max="14861" width="11.5703125" style="1" customWidth="1"/>
    <col min="14862" max="14862" width="10.85546875" style="1" customWidth="1"/>
    <col min="14863" max="14863" width="7.7109375" style="1" customWidth="1"/>
    <col min="14864" max="14864" width="8" style="1" customWidth="1"/>
    <col min="14865" max="14865" width="16.28515625" style="1" customWidth="1"/>
    <col min="14866" max="14866" width="10.5703125" style="1" customWidth="1"/>
    <col min="14867" max="14867" width="14.140625" style="1" customWidth="1"/>
    <col min="14868" max="14868" width="10.140625" style="1" customWidth="1"/>
    <col min="14869" max="14869" width="15.140625" style="1" customWidth="1"/>
    <col min="14870" max="14870" width="8.5703125" style="1" customWidth="1"/>
    <col min="14871" max="14871" width="14.28515625" style="1" customWidth="1"/>
    <col min="14872" max="14872" width="18.28515625" style="1" customWidth="1"/>
    <col min="14873" max="14873" width="13" style="1" bestFit="1" customWidth="1"/>
    <col min="14874" max="14874" width="11.7109375" style="1" bestFit="1" customWidth="1"/>
    <col min="14875" max="14881" width="9.140625" style="1"/>
    <col min="14882" max="14882" width="11.28515625" style="1" bestFit="1" customWidth="1"/>
    <col min="14883" max="14883" width="10.7109375" style="1" bestFit="1" customWidth="1"/>
    <col min="14884" max="15105" width="9.140625" style="1"/>
    <col min="15106" max="15106" width="6.42578125" style="1" customWidth="1"/>
    <col min="15107" max="15107" width="20.7109375" style="1" customWidth="1"/>
    <col min="15108" max="15108" width="24.7109375" style="1" customWidth="1"/>
    <col min="15109" max="15109" width="11.140625" style="1" customWidth="1"/>
    <col min="15110" max="15110" width="12.28515625" style="1" customWidth="1"/>
    <col min="15111" max="15111" width="11.140625" style="1" customWidth="1"/>
    <col min="15112" max="15112" width="10.42578125" style="1" customWidth="1"/>
    <col min="15113" max="15113" width="4.7109375" style="1" customWidth="1"/>
    <col min="15114" max="15114" width="8.5703125" style="1" customWidth="1"/>
    <col min="15115" max="15115" width="5.5703125" style="1" customWidth="1"/>
    <col min="15116" max="15117" width="11.5703125" style="1" customWidth="1"/>
    <col min="15118" max="15118" width="10.85546875" style="1" customWidth="1"/>
    <col min="15119" max="15119" width="7.7109375" style="1" customWidth="1"/>
    <col min="15120" max="15120" width="8" style="1" customWidth="1"/>
    <col min="15121" max="15121" width="16.28515625" style="1" customWidth="1"/>
    <col min="15122" max="15122" width="10.5703125" style="1" customWidth="1"/>
    <col min="15123" max="15123" width="14.140625" style="1" customWidth="1"/>
    <col min="15124" max="15124" width="10.140625" style="1" customWidth="1"/>
    <col min="15125" max="15125" width="15.140625" style="1" customWidth="1"/>
    <col min="15126" max="15126" width="8.5703125" style="1" customWidth="1"/>
    <col min="15127" max="15127" width="14.28515625" style="1" customWidth="1"/>
    <col min="15128" max="15128" width="18.28515625" style="1" customWidth="1"/>
    <col min="15129" max="15129" width="13" style="1" bestFit="1" customWidth="1"/>
    <col min="15130" max="15130" width="11.7109375" style="1" bestFit="1" customWidth="1"/>
    <col min="15131" max="15137" width="9.140625" style="1"/>
    <col min="15138" max="15138" width="11.28515625" style="1" bestFit="1" customWidth="1"/>
    <col min="15139" max="15139" width="10.7109375" style="1" bestFit="1" customWidth="1"/>
    <col min="15140" max="15361" width="9.140625" style="1"/>
    <col min="15362" max="15362" width="6.42578125" style="1" customWidth="1"/>
    <col min="15363" max="15363" width="20.7109375" style="1" customWidth="1"/>
    <col min="15364" max="15364" width="24.7109375" style="1" customWidth="1"/>
    <col min="15365" max="15365" width="11.140625" style="1" customWidth="1"/>
    <col min="15366" max="15366" width="12.28515625" style="1" customWidth="1"/>
    <col min="15367" max="15367" width="11.140625" style="1" customWidth="1"/>
    <col min="15368" max="15368" width="10.42578125" style="1" customWidth="1"/>
    <col min="15369" max="15369" width="4.7109375" style="1" customWidth="1"/>
    <col min="15370" max="15370" width="8.5703125" style="1" customWidth="1"/>
    <col min="15371" max="15371" width="5.5703125" style="1" customWidth="1"/>
    <col min="15372" max="15373" width="11.5703125" style="1" customWidth="1"/>
    <col min="15374" max="15374" width="10.85546875" style="1" customWidth="1"/>
    <col min="15375" max="15375" width="7.7109375" style="1" customWidth="1"/>
    <col min="15376" max="15376" width="8" style="1" customWidth="1"/>
    <col min="15377" max="15377" width="16.28515625" style="1" customWidth="1"/>
    <col min="15378" max="15378" width="10.5703125" style="1" customWidth="1"/>
    <col min="15379" max="15379" width="14.140625" style="1" customWidth="1"/>
    <col min="15380" max="15380" width="10.140625" style="1" customWidth="1"/>
    <col min="15381" max="15381" width="15.140625" style="1" customWidth="1"/>
    <col min="15382" max="15382" width="8.5703125" style="1" customWidth="1"/>
    <col min="15383" max="15383" width="14.28515625" style="1" customWidth="1"/>
    <col min="15384" max="15384" width="18.28515625" style="1" customWidth="1"/>
    <col min="15385" max="15385" width="13" style="1" bestFit="1" customWidth="1"/>
    <col min="15386" max="15386" width="11.7109375" style="1" bestFit="1" customWidth="1"/>
    <col min="15387" max="15393" width="9.140625" style="1"/>
    <col min="15394" max="15394" width="11.28515625" style="1" bestFit="1" customWidth="1"/>
    <col min="15395" max="15395" width="10.7109375" style="1" bestFit="1" customWidth="1"/>
    <col min="15396" max="15617" width="9.140625" style="1"/>
    <col min="15618" max="15618" width="6.42578125" style="1" customWidth="1"/>
    <col min="15619" max="15619" width="20.7109375" style="1" customWidth="1"/>
    <col min="15620" max="15620" width="24.7109375" style="1" customWidth="1"/>
    <col min="15621" max="15621" width="11.140625" style="1" customWidth="1"/>
    <col min="15622" max="15622" width="12.28515625" style="1" customWidth="1"/>
    <col min="15623" max="15623" width="11.140625" style="1" customWidth="1"/>
    <col min="15624" max="15624" width="10.42578125" style="1" customWidth="1"/>
    <col min="15625" max="15625" width="4.7109375" style="1" customWidth="1"/>
    <col min="15626" max="15626" width="8.5703125" style="1" customWidth="1"/>
    <col min="15627" max="15627" width="5.5703125" style="1" customWidth="1"/>
    <col min="15628" max="15629" width="11.5703125" style="1" customWidth="1"/>
    <col min="15630" max="15630" width="10.85546875" style="1" customWidth="1"/>
    <col min="15631" max="15631" width="7.7109375" style="1" customWidth="1"/>
    <col min="15632" max="15632" width="8" style="1" customWidth="1"/>
    <col min="15633" max="15633" width="16.28515625" style="1" customWidth="1"/>
    <col min="15634" max="15634" width="10.5703125" style="1" customWidth="1"/>
    <col min="15635" max="15635" width="14.140625" style="1" customWidth="1"/>
    <col min="15636" max="15636" width="10.140625" style="1" customWidth="1"/>
    <col min="15637" max="15637" width="15.140625" style="1" customWidth="1"/>
    <col min="15638" max="15638" width="8.5703125" style="1" customWidth="1"/>
    <col min="15639" max="15639" width="14.28515625" style="1" customWidth="1"/>
    <col min="15640" max="15640" width="18.28515625" style="1" customWidth="1"/>
    <col min="15641" max="15641" width="13" style="1" bestFit="1" customWidth="1"/>
    <col min="15642" max="15642" width="11.7109375" style="1" bestFit="1" customWidth="1"/>
    <col min="15643" max="15649" width="9.140625" style="1"/>
    <col min="15650" max="15650" width="11.28515625" style="1" bestFit="1" customWidth="1"/>
    <col min="15651" max="15651" width="10.7109375" style="1" bestFit="1" customWidth="1"/>
    <col min="15652" max="15873" width="9.140625" style="1"/>
    <col min="15874" max="15874" width="6.42578125" style="1" customWidth="1"/>
    <col min="15875" max="15875" width="20.7109375" style="1" customWidth="1"/>
    <col min="15876" max="15876" width="24.7109375" style="1" customWidth="1"/>
    <col min="15877" max="15877" width="11.140625" style="1" customWidth="1"/>
    <col min="15878" max="15878" width="12.28515625" style="1" customWidth="1"/>
    <col min="15879" max="15879" width="11.140625" style="1" customWidth="1"/>
    <col min="15880" max="15880" width="10.42578125" style="1" customWidth="1"/>
    <col min="15881" max="15881" width="4.7109375" style="1" customWidth="1"/>
    <col min="15882" max="15882" width="8.5703125" style="1" customWidth="1"/>
    <col min="15883" max="15883" width="5.5703125" style="1" customWidth="1"/>
    <col min="15884" max="15885" width="11.5703125" style="1" customWidth="1"/>
    <col min="15886" max="15886" width="10.85546875" style="1" customWidth="1"/>
    <col min="15887" max="15887" width="7.7109375" style="1" customWidth="1"/>
    <col min="15888" max="15888" width="8" style="1" customWidth="1"/>
    <col min="15889" max="15889" width="16.28515625" style="1" customWidth="1"/>
    <col min="15890" max="15890" width="10.5703125" style="1" customWidth="1"/>
    <col min="15891" max="15891" width="14.140625" style="1" customWidth="1"/>
    <col min="15892" max="15892" width="10.140625" style="1" customWidth="1"/>
    <col min="15893" max="15893" width="15.140625" style="1" customWidth="1"/>
    <col min="15894" max="15894" width="8.5703125" style="1" customWidth="1"/>
    <col min="15895" max="15895" width="14.28515625" style="1" customWidth="1"/>
    <col min="15896" max="15896" width="18.28515625" style="1" customWidth="1"/>
    <col min="15897" max="15897" width="13" style="1" bestFit="1" customWidth="1"/>
    <col min="15898" max="15898" width="11.7109375" style="1" bestFit="1" customWidth="1"/>
    <col min="15899" max="15905" width="9.140625" style="1"/>
    <col min="15906" max="15906" width="11.28515625" style="1" bestFit="1" customWidth="1"/>
    <col min="15907" max="15907" width="10.7109375" style="1" bestFit="1" customWidth="1"/>
    <col min="15908" max="16129" width="9.140625" style="1"/>
    <col min="16130" max="16130" width="6.42578125" style="1" customWidth="1"/>
    <col min="16131" max="16131" width="20.7109375" style="1" customWidth="1"/>
    <col min="16132" max="16132" width="24.7109375" style="1" customWidth="1"/>
    <col min="16133" max="16133" width="11.140625" style="1" customWidth="1"/>
    <col min="16134" max="16134" width="12.28515625" style="1" customWidth="1"/>
    <col min="16135" max="16135" width="11.140625" style="1" customWidth="1"/>
    <col min="16136" max="16136" width="10.42578125" style="1" customWidth="1"/>
    <col min="16137" max="16137" width="4.7109375" style="1" customWidth="1"/>
    <col min="16138" max="16138" width="8.5703125" style="1" customWidth="1"/>
    <col min="16139" max="16139" width="5.5703125" style="1" customWidth="1"/>
    <col min="16140" max="16141" width="11.5703125" style="1" customWidth="1"/>
    <col min="16142" max="16142" width="10.85546875" style="1" customWidth="1"/>
    <col min="16143" max="16143" width="7.7109375" style="1" customWidth="1"/>
    <col min="16144" max="16144" width="8" style="1" customWidth="1"/>
    <col min="16145" max="16145" width="16.28515625" style="1" customWidth="1"/>
    <col min="16146" max="16146" width="10.5703125" style="1" customWidth="1"/>
    <col min="16147" max="16147" width="14.140625" style="1" customWidth="1"/>
    <col min="16148" max="16148" width="10.140625" style="1" customWidth="1"/>
    <col min="16149" max="16149" width="15.140625" style="1" customWidth="1"/>
    <col min="16150" max="16150" width="8.5703125" style="1" customWidth="1"/>
    <col min="16151" max="16151" width="14.28515625" style="1" customWidth="1"/>
    <col min="16152" max="16152" width="18.28515625" style="1" customWidth="1"/>
    <col min="16153" max="16153" width="13" style="1" bestFit="1" customWidth="1"/>
    <col min="16154" max="16154" width="11.7109375" style="1" bestFit="1" customWidth="1"/>
    <col min="16155" max="16161" width="9.140625" style="1"/>
    <col min="16162" max="16162" width="11.28515625" style="1" bestFit="1" customWidth="1"/>
    <col min="16163" max="16163" width="10.7109375" style="1" bestFit="1" customWidth="1"/>
    <col min="16164" max="16384" width="9.140625" style="1"/>
  </cols>
  <sheetData>
    <row r="1" spans="1:44" ht="9.75" customHeight="1">
      <c r="V1" s="3"/>
    </row>
    <row r="2" spans="1:44" ht="16.5" customHeight="1">
      <c r="A2" s="2308" t="s">
        <v>781</v>
      </c>
      <c r="B2" s="2308"/>
      <c r="C2" s="2308"/>
      <c r="D2" s="2308"/>
      <c r="E2" s="2308"/>
      <c r="F2" s="2308"/>
      <c r="G2" s="2308"/>
      <c r="H2" s="2308"/>
      <c r="I2" s="2308"/>
      <c r="J2" s="2308"/>
      <c r="K2" s="2308"/>
      <c r="L2" s="2308"/>
      <c r="M2" s="2308"/>
      <c r="N2" s="2308"/>
      <c r="O2" s="2308"/>
      <c r="P2" s="2308"/>
      <c r="Q2" s="2308"/>
      <c r="R2" s="2308"/>
      <c r="S2" s="2308"/>
      <c r="T2" s="2308"/>
      <c r="U2" s="2308"/>
      <c r="V2" s="2308"/>
      <c r="W2" s="2308"/>
      <c r="X2" s="2308"/>
      <c r="Y2" s="24"/>
      <c r="Z2" s="24"/>
    </row>
    <row r="3" spans="1:44" ht="13.5" customHeight="1">
      <c r="A3" s="2309" t="s">
        <v>0</v>
      </c>
      <c r="B3" s="2309"/>
      <c r="C3" s="2309"/>
      <c r="D3" s="2309"/>
      <c r="E3" s="2309"/>
      <c r="F3" s="2309"/>
      <c r="G3" s="2309"/>
      <c r="H3" s="2309"/>
      <c r="I3" s="2309"/>
      <c r="J3" s="2309"/>
      <c r="K3" s="2309"/>
      <c r="L3" s="2309"/>
      <c r="M3" s="2309"/>
      <c r="N3" s="2309"/>
      <c r="O3" s="2309"/>
      <c r="P3" s="2309"/>
      <c r="Q3" s="2309"/>
      <c r="R3" s="2309"/>
      <c r="S3" s="2309"/>
      <c r="T3" s="2309"/>
      <c r="U3" s="2309"/>
      <c r="V3" s="2309"/>
      <c r="W3" s="2309"/>
      <c r="X3" s="2309"/>
      <c r="Y3" s="24"/>
      <c r="Z3" s="24"/>
    </row>
    <row r="4" spans="1:44" s="1766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782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304" t="s">
        <v>821</v>
      </c>
      <c r="P4" s="2256" t="s">
        <v>16</v>
      </c>
      <c r="Q4" s="1767" t="s">
        <v>642</v>
      </c>
      <c r="R4" s="2256" t="s">
        <v>17</v>
      </c>
      <c r="S4" s="2256"/>
      <c r="T4" s="2256" t="s">
        <v>18</v>
      </c>
      <c r="U4" s="2256"/>
      <c r="V4" s="2256" t="s">
        <v>19</v>
      </c>
      <c r="W4" s="2256"/>
      <c r="X4" s="2306" t="s">
        <v>401</v>
      </c>
      <c r="Y4" s="2260" t="s">
        <v>401</v>
      </c>
      <c r="Z4" s="2305" t="s">
        <v>394</v>
      </c>
      <c r="AA4" s="24"/>
      <c r="AB4" s="89"/>
      <c r="AC4" s="89"/>
      <c r="AD4" s="89"/>
      <c r="AE4" s="89"/>
      <c r="AF4" s="89"/>
      <c r="AG4" s="89"/>
      <c r="AH4" s="89"/>
      <c r="AI4" s="89"/>
      <c r="AJ4" s="89"/>
      <c r="AK4" s="86"/>
      <c r="AL4" s="86"/>
      <c r="AM4" s="86"/>
      <c r="AN4" s="86"/>
      <c r="AO4" s="86"/>
      <c r="AP4" s="86"/>
      <c r="AQ4" s="86"/>
      <c r="AR4" s="89"/>
    </row>
    <row r="5" spans="1:44" s="1766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304"/>
      <c r="P5" s="2256"/>
      <c r="Q5" s="1767" t="s">
        <v>22</v>
      </c>
      <c r="R5" s="1767" t="s">
        <v>21</v>
      </c>
      <c r="S5" s="1767" t="s">
        <v>22</v>
      </c>
      <c r="T5" s="1767" t="s">
        <v>21</v>
      </c>
      <c r="U5" s="1767" t="s">
        <v>22</v>
      </c>
      <c r="V5" s="1767" t="s">
        <v>21</v>
      </c>
      <c r="W5" s="1767" t="s">
        <v>22</v>
      </c>
      <c r="X5" s="2306"/>
      <c r="Y5" s="2260"/>
      <c r="Z5" s="2305"/>
      <c r="AA5" s="1023" t="s">
        <v>640</v>
      </c>
      <c r="AB5" s="1024" t="s">
        <v>641</v>
      </c>
      <c r="AC5" s="89"/>
      <c r="AD5" s="89"/>
      <c r="AE5" s="89"/>
      <c r="AF5" s="89"/>
      <c r="AG5" s="89"/>
      <c r="AH5" s="89"/>
      <c r="AI5" s="89"/>
      <c r="AJ5" s="89"/>
      <c r="AK5" s="86"/>
      <c r="AL5" s="86"/>
      <c r="AM5" s="86"/>
      <c r="AN5" s="86"/>
      <c r="AO5" s="86"/>
      <c r="AP5" s="86"/>
      <c r="AQ5" s="86"/>
      <c r="AR5" s="89"/>
    </row>
    <row r="6" spans="1:44" s="1265" customFormat="1" ht="15" customHeight="1">
      <c r="A6" s="5">
        <v>1</v>
      </c>
      <c r="B6" s="730" t="s">
        <v>23</v>
      </c>
      <c r="C6" s="6" t="s">
        <v>620</v>
      </c>
      <c r="D6" s="5" t="s">
        <v>25</v>
      </c>
      <c r="E6" s="57" t="s">
        <v>724</v>
      </c>
      <c r="F6" s="5" t="s">
        <v>27</v>
      </c>
      <c r="G6" s="5">
        <v>1</v>
      </c>
      <c r="H6" s="5" t="s">
        <v>28</v>
      </c>
      <c r="I6" s="5" t="s">
        <v>29</v>
      </c>
      <c r="J6" s="731" t="s">
        <v>30</v>
      </c>
      <c r="K6" s="7">
        <v>17697</v>
      </c>
      <c r="L6" s="7"/>
      <c r="M6" s="10">
        <v>1</v>
      </c>
      <c r="N6" s="7"/>
      <c r="O6" s="10">
        <v>6.22</v>
      </c>
      <c r="P6" s="7">
        <f>'расчеты к штатному '!P6-'расчеты к старое'!P6</f>
        <v>0</v>
      </c>
      <c r="Q6" s="882"/>
      <c r="R6" s="7"/>
      <c r="S6" s="8"/>
      <c r="T6" s="7">
        <v>0.1</v>
      </c>
      <c r="U6" s="7">
        <f>'расчеты к штатному '!U6-'расчеты к старое'!U6</f>
        <v>5503.7670000000035</v>
      </c>
      <c r="V6" s="7"/>
      <c r="W6" s="9"/>
      <c r="X6" s="10">
        <f>S6+U6</f>
        <v>5503.7670000000035</v>
      </c>
      <c r="Y6" s="1268">
        <f>R6+T6+V6</f>
        <v>0.1</v>
      </c>
      <c r="Z6" s="1268">
        <f>S6+U6+W6</f>
        <v>5503.7670000000035</v>
      </c>
      <c r="AA6" s="1264">
        <f>X6*12</f>
        <v>66045.204000000042</v>
      </c>
      <c r="AB6" s="1382">
        <f>AA6/12/29.33*30</f>
        <v>5629.4923286737167</v>
      </c>
      <c r="AC6" s="1383"/>
      <c r="AD6" s="1264"/>
      <c r="AE6" s="1264"/>
      <c r="AF6" s="1264"/>
      <c r="AG6" s="1264"/>
      <c r="AH6" s="1264"/>
      <c r="AI6" s="1264"/>
      <c r="AJ6" s="1264"/>
      <c r="AK6" s="23"/>
      <c r="AL6" s="23"/>
      <c r="AM6" s="23"/>
      <c r="AN6" s="23"/>
      <c r="AO6" s="23"/>
      <c r="AP6" s="23"/>
      <c r="AQ6" s="23"/>
    </row>
    <row r="7" spans="1:44" s="1265" customFormat="1" ht="15" customHeight="1">
      <c r="A7" s="5">
        <v>2</v>
      </c>
      <c r="B7" s="730" t="s">
        <v>31</v>
      </c>
      <c r="C7" s="6" t="s">
        <v>32</v>
      </c>
      <c r="D7" s="5" t="s">
        <v>25</v>
      </c>
      <c r="E7" s="45" t="s">
        <v>772</v>
      </c>
      <c r="F7" s="12" t="s">
        <v>34</v>
      </c>
      <c r="G7" s="5">
        <v>1</v>
      </c>
      <c r="H7" s="5" t="s">
        <v>28</v>
      </c>
      <c r="I7" s="5" t="s">
        <v>35</v>
      </c>
      <c r="J7" s="733" t="s">
        <v>30</v>
      </c>
      <c r="K7" s="7">
        <v>17697</v>
      </c>
      <c r="L7" s="7"/>
      <c r="M7" s="10">
        <v>1</v>
      </c>
      <c r="N7" s="7"/>
      <c r="O7" s="1626">
        <v>5.77</v>
      </c>
      <c r="P7" s="7">
        <f>'расчеты к штатному '!P7-'расчеты к старое'!P7</f>
        <v>0</v>
      </c>
      <c r="Q7" s="882"/>
      <c r="R7" s="8"/>
      <c r="S7" s="7"/>
      <c r="T7" s="7">
        <v>0.1</v>
      </c>
      <c r="U7" s="7">
        <f>'расчеты к штатному '!U7-'расчеты к старое'!U7</f>
        <v>5105.584499999999</v>
      </c>
      <c r="V7" s="9"/>
      <c r="W7" s="7"/>
      <c r="X7" s="10">
        <f t="shared" ref="X7:X16" si="0">S7+U7</f>
        <v>5105.584499999999</v>
      </c>
      <c r="Y7" s="1268">
        <f t="shared" ref="Y7:Z24" si="1">R7+T7+V7</f>
        <v>0.1</v>
      </c>
      <c r="Z7" s="1268">
        <f t="shared" si="1"/>
        <v>5105.584499999999</v>
      </c>
      <c r="AA7" s="1264">
        <f t="shared" ref="AA7:AA72" si="2">X7*12</f>
        <v>61267.013999999988</v>
      </c>
      <c r="AB7" s="1382">
        <f t="shared" ref="AB7:AB24" si="3">AA7/12/29.33*30</f>
        <v>5222.2139447664495</v>
      </c>
      <c r="AH7" s="1388"/>
      <c r="AI7" s="1389"/>
      <c r="AK7" s="23"/>
      <c r="AL7" s="23"/>
      <c r="AM7" s="23"/>
      <c r="AN7" s="23"/>
      <c r="AO7" s="23"/>
      <c r="AP7" s="23"/>
      <c r="AQ7" s="23"/>
    </row>
    <row r="8" spans="1:44" s="1396" customFormat="1" ht="15" customHeight="1">
      <c r="A8" s="5">
        <v>3</v>
      </c>
      <c r="B8" s="13" t="s">
        <v>36</v>
      </c>
      <c r="C8" s="6" t="s">
        <v>32</v>
      </c>
      <c r="D8" s="14" t="s">
        <v>25</v>
      </c>
      <c r="E8" s="536" t="s">
        <v>265</v>
      </c>
      <c r="F8" s="12" t="s">
        <v>34</v>
      </c>
      <c r="G8" s="14">
        <v>1</v>
      </c>
      <c r="H8" s="5" t="s">
        <v>28</v>
      </c>
      <c r="I8" s="5" t="s">
        <v>35</v>
      </c>
      <c r="J8" s="14">
        <v>3</v>
      </c>
      <c r="K8" s="15">
        <v>17697</v>
      </c>
      <c r="L8" s="15"/>
      <c r="M8" s="1627">
        <v>1</v>
      </c>
      <c r="N8" s="7"/>
      <c r="O8" s="1628">
        <v>5.77</v>
      </c>
      <c r="P8" s="7">
        <f>'расчеты к штатному '!P8-'расчеты к старое'!P8</f>
        <v>0</v>
      </c>
      <c r="Q8" s="882"/>
      <c r="R8" s="8"/>
      <c r="S8" s="7"/>
      <c r="T8" s="7">
        <v>0.1</v>
      </c>
      <c r="U8" s="7">
        <f>'расчеты к штатному '!U8-'расчеты к старое'!U8</f>
        <v>5105.584499999999</v>
      </c>
      <c r="V8" s="9"/>
      <c r="W8" s="7"/>
      <c r="X8" s="10">
        <f t="shared" si="0"/>
        <v>5105.584499999999</v>
      </c>
      <c r="Y8" s="1268">
        <f t="shared" si="1"/>
        <v>0.1</v>
      </c>
      <c r="Z8" s="1268">
        <f t="shared" si="1"/>
        <v>5105.584499999999</v>
      </c>
      <c r="AA8" s="1264">
        <f t="shared" si="2"/>
        <v>61267.013999999988</v>
      </c>
      <c r="AB8" s="1382">
        <f t="shared" si="3"/>
        <v>5222.2139447664495</v>
      </c>
      <c r="AH8" s="1397"/>
      <c r="AI8" s="1398"/>
      <c r="AK8" s="1778"/>
      <c r="AL8" s="1778"/>
      <c r="AM8" s="1778"/>
      <c r="AN8" s="1778"/>
      <c r="AO8" s="1778"/>
      <c r="AP8" s="1778"/>
      <c r="AQ8" s="1778"/>
    </row>
    <row r="9" spans="1:44" s="1407" customFormat="1" ht="15">
      <c r="A9" s="5">
        <v>4</v>
      </c>
      <c r="B9" s="17" t="s">
        <v>38</v>
      </c>
      <c r="C9" s="6" t="s">
        <v>32</v>
      </c>
      <c r="D9" s="16" t="s">
        <v>25</v>
      </c>
      <c r="E9" s="543" t="s">
        <v>774</v>
      </c>
      <c r="F9" s="734" t="s">
        <v>40</v>
      </c>
      <c r="G9" s="16">
        <v>1</v>
      </c>
      <c r="H9" s="5" t="s">
        <v>28</v>
      </c>
      <c r="I9" s="5" t="s">
        <v>35</v>
      </c>
      <c r="J9" s="735">
        <v>3</v>
      </c>
      <c r="K9" s="18">
        <v>17697</v>
      </c>
      <c r="L9" s="18"/>
      <c r="M9" s="1629">
        <v>1</v>
      </c>
      <c r="N9" s="18"/>
      <c r="O9" s="1628">
        <v>5.77</v>
      </c>
      <c r="P9" s="7">
        <f>'расчеты к штатному '!P9-'расчеты к старое'!P9</f>
        <v>0</v>
      </c>
      <c r="Q9" s="882"/>
      <c r="R9" s="19">
        <v>0.25</v>
      </c>
      <c r="S9" s="18">
        <f>'расчеты к штатному '!S9-'расчеты к старое'!S9</f>
        <v>12763.983749999992</v>
      </c>
      <c r="T9" s="7">
        <v>0.1</v>
      </c>
      <c r="U9" s="7">
        <f>'расчеты к штатному '!U9-'расчеты к старое'!U9</f>
        <v>5105.584499999999</v>
      </c>
      <c r="V9" s="736"/>
      <c r="W9" s="18"/>
      <c r="X9" s="10">
        <f t="shared" si="0"/>
        <v>17869.568249999989</v>
      </c>
      <c r="Y9" s="1268">
        <f t="shared" si="1"/>
        <v>0.35</v>
      </c>
      <c r="Z9" s="1268">
        <f t="shared" si="1"/>
        <v>17869.568249999989</v>
      </c>
      <c r="AA9" s="1264">
        <f t="shared" si="2"/>
        <v>214434.81899999987</v>
      </c>
      <c r="AB9" s="1382">
        <f t="shared" si="3"/>
        <v>18277.77182066143</v>
      </c>
      <c r="AC9" s="1264"/>
      <c r="AD9" s="1264"/>
      <c r="AE9" s="1383"/>
      <c r="AF9" s="1383"/>
      <c r="AG9" s="1264"/>
      <c r="AK9" s="1779"/>
      <c r="AL9" s="1780"/>
      <c r="AM9" s="1779"/>
      <c r="AN9" s="1779"/>
      <c r="AO9" s="1779"/>
      <c r="AP9" s="1781"/>
      <c r="AQ9" s="1780">
        <f>P9+U9+S9+W9</f>
        <v>17869.568249999989</v>
      </c>
    </row>
    <row r="10" spans="1:44" s="1265" customFormat="1" ht="15" customHeight="1">
      <c r="A10" s="5">
        <v>5</v>
      </c>
      <c r="B10" s="730" t="s">
        <v>91</v>
      </c>
      <c r="C10" s="6" t="s">
        <v>783</v>
      </c>
      <c r="D10" s="5" t="s">
        <v>25</v>
      </c>
      <c r="E10" s="562" t="s">
        <v>677</v>
      </c>
      <c r="F10" s="5" t="s">
        <v>367</v>
      </c>
      <c r="G10" s="5">
        <v>1</v>
      </c>
      <c r="H10" s="20" t="s">
        <v>28</v>
      </c>
      <c r="I10" s="20" t="s">
        <v>29</v>
      </c>
      <c r="J10" s="731" t="s">
        <v>44</v>
      </c>
      <c r="K10" s="7">
        <v>17697</v>
      </c>
      <c r="L10" s="7"/>
      <c r="M10" s="10">
        <v>1</v>
      </c>
      <c r="N10" s="7"/>
      <c r="O10" s="1022" t="s">
        <v>771</v>
      </c>
      <c r="P10" s="7">
        <f>'расчеты к штатному '!P10-'расчеты к старое'!P10</f>
        <v>0</v>
      </c>
      <c r="Q10" s="882"/>
      <c r="R10" s="7"/>
      <c r="S10" s="8"/>
      <c r="T10" s="7">
        <v>0.1</v>
      </c>
      <c r="U10" s="7">
        <f>'расчеты к штатному '!U10-'расчеты к старое'!U10</f>
        <v>4946.3115000000016</v>
      </c>
      <c r="V10" s="7"/>
      <c r="W10" s="9"/>
      <c r="X10" s="10">
        <f t="shared" si="0"/>
        <v>4946.3115000000016</v>
      </c>
      <c r="Y10" s="1268">
        <f t="shared" si="1"/>
        <v>0.1</v>
      </c>
      <c r="Z10" s="1268">
        <f t="shared" si="1"/>
        <v>4946.3115000000016</v>
      </c>
      <c r="AA10" s="1264">
        <f t="shared" si="2"/>
        <v>59355.738000000019</v>
      </c>
      <c r="AB10" s="1382">
        <f t="shared" si="3"/>
        <v>5059.3025912035482</v>
      </c>
      <c r="AC10" s="1264"/>
      <c r="AD10" s="1264"/>
      <c r="AE10" s="1264"/>
      <c r="AF10" s="1264"/>
      <c r="AG10" s="1264"/>
      <c r="AH10" s="1264"/>
      <c r="AI10" s="1264"/>
      <c r="AJ10" s="1264"/>
      <c r="AK10" s="23"/>
      <c r="AL10" s="23"/>
      <c r="AM10" s="23"/>
      <c r="AN10" s="23"/>
      <c r="AO10" s="23"/>
      <c r="AP10" s="23"/>
      <c r="AQ10" s="23"/>
    </row>
    <row r="11" spans="1:44" s="1265" customFormat="1" ht="15" customHeight="1">
      <c r="A11" s="5">
        <v>6</v>
      </c>
      <c r="B11" s="730" t="s">
        <v>45</v>
      </c>
      <c r="C11" s="6" t="s">
        <v>46</v>
      </c>
      <c r="D11" s="560" t="s">
        <v>25</v>
      </c>
      <c r="E11" s="582" t="s">
        <v>727</v>
      </c>
      <c r="F11" s="582" t="s">
        <v>34</v>
      </c>
      <c r="G11" s="560">
        <v>1</v>
      </c>
      <c r="H11" s="5" t="s">
        <v>28</v>
      </c>
      <c r="I11" s="5" t="s">
        <v>29</v>
      </c>
      <c r="J11" s="731" t="s">
        <v>44</v>
      </c>
      <c r="K11" s="7">
        <v>17697</v>
      </c>
      <c r="L11" s="7"/>
      <c r="M11" s="10">
        <v>1</v>
      </c>
      <c r="N11" s="7"/>
      <c r="O11" s="10">
        <v>5.91</v>
      </c>
      <c r="P11" s="7">
        <f>'расчеты к штатному '!P11-'расчеты к старое'!P11</f>
        <v>0</v>
      </c>
      <c r="Q11" s="882"/>
      <c r="R11" s="19"/>
      <c r="S11" s="7"/>
      <c r="T11" s="7">
        <v>0.1</v>
      </c>
      <c r="U11" s="7">
        <f>'расчеты к штатному '!U11-'расчеты к старое'!U11</f>
        <v>5229.4634999999998</v>
      </c>
      <c r="V11" s="9"/>
      <c r="W11" s="7"/>
      <c r="X11" s="10">
        <f t="shared" si="0"/>
        <v>5229.4634999999998</v>
      </c>
      <c r="Y11" s="1268">
        <f t="shared" si="1"/>
        <v>0.1</v>
      </c>
      <c r="Z11" s="1268">
        <f t="shared" si="1"/>
        <v>5229.4634999999998</v>
      </c>
      <c r="AA11" s="1264">
        <f t="shared" si="2"/>
        <v>62753.561999999998</v>
      </c>
      <c r="AB11" s="1382">
        <f t="shared" si="3"/>
        <v>5348.9227753153773</v>
      </c>
      <c r="AK11" s="23"/>
      <c r="AL11" s="23"/>
      <c r="AM11" s="23"/>
      <c r="AN11" s="23"/>
      <c r="AO11" s="23"/>
      <c r="AP11" s="23"/>
      <c r="AQ11" s="23"/>
    </row>
    <row r="12" spans="1:44" s="1265" customFormat="1" ht="15" customHeight="1">
      <c r="A12" s="5">
        <v>7</v>
      </c>
      <c r="B12" s="730" t="s">
        <v>48</v>
      </c>
      <c r="C12" s="6" t="s">
        <v>49</v>
      </c>
      <c r="D12" s="5" t="s">
        <v>25</v>
      </c>
      <c r="E12" s="57" t="s">
        <v>777</v>
      </c>
      <c r="F12" s="5" t="s">
        <v>51</v>
      </c>
      <c r="G12" s="5">
        <v>1</v>
      </c>
      <c r="H12" s="20" t="s">
        <v>28</v>
      </c>
      <c r="I12" s="20" t="s">
        <v>35</v>
      </c>
      <c r="J12" s="731" t="s">
        <v>30</v>
      </c>
      <c r="K12" s="7">
        <v>17697</v>
      </c>
      <c r="L12" s="7"/>
      <c r="M12" s="10">
        <v>1</v>
      </c>
      <c r="N12" s="7"/>
      <c r="O12" s="1022" t="s">
        <v>370</v>
      </c>
      <c r="P12" s="7">
        <f>'расчеты к штатному '!P12-'расчеты к старое'!P12</f>
        <v>0</v>
      </c>
      <c r="Q12" s="882"/>
      <c r="R12" s="7"/>
      <c r="S12" s="8"/>
      <c r="T12" s="7">
        <v>0.1</v>
      </c>
      <c r="U12" s="7">
        <f>'расчеты к штатному '!U12-'расчеты к старое'!U12</f>
        <v>0</v>
      </c>
      <c r="V12" s="7"/>
      <c r="W12" s="9"/>
      <c r="X12" s="10">
        <f t="shared" si="0"/>
        <v>0</v>
      </c>
      <c r="Y12" s="1268">
        <f t="shared" si="1"/>
        <v>0.1</v>
      </c>
      <c r="Z12" s="1268">
        <f t="shared" si="1"/>
        <v>0</v>
      </c>
      <c r="AA12" s="1264">
        <f t="shared" si="2"/>
        <v>0</v>
      </c>
      <c r="AB12" s="1382">
        <f t="shared" si="3"/>
        <v>0</v>
      </c>
      <c r="AC12" s="1264"/>
      <c r="AD12" s="1264"/>
      <c r="AE12" s="1264"/>
      <c r="AF12" s="1264"/>
      <c r="AG12" s="1264"/>
      <c r="AH12" s="1264"/>
      <c r="AI12" s="1264"/>
      <c r="AJ12" s="1264"/>
      <c r="AK12" s="23"/>
      <c r="AL12" s="23"/>
      <c r="AM12" s="23"/>
      <c r="AN12" s="23"/>
      <c r="AO12" s="23"/>
      <c r="AP12" s="23"/>
      <c r="AQ12" s="23"/>
    </row>
    <row r="13" spans="1:44" s="1265" customFormat="1" ht="15" customHeight="1">
      <c r="A13" s="5">
        <v>8</v>
      </c>
      <c r="B13" s="26" t="s">
        <v>52</v>
      </c>
      <c r="C13" s="6" t="s">
        <v>53</v>
      </c>
      <c r="D13" s="5" t="s">
        <v>25</v>
      </c>
      <c r="E13" s="57" t="s">
        <v>775</v>
      </c>
      <c r="F13" s="5" t="s">
        <v>73</v>
      </c>
      <c r="G13" s="5">
        <v>1</v>
      </c>
      <c r="H13" s="20" t="s">
        <v>56</v>
      </c>
      <c r="I13" s="20" t="s">
        <v>56</v>
      </c>
      <c r="J13" s="731" t="s">
        <v>57</v>
      </c>
      <c r="K13" s="7">
        <v>17697</v>
      </c>
      <c r="L13" s="7"/>
      <c r="M13" s="10">
        <v>1</v>
      </c>
      <c r="N13" s="7"/>
      <c r="O13" s="1022" t="s">
        <v>639</v>
      </c>
      <c r="P13" s="7">
        <f>'расчеты к штатному '!P13-'расчеты к старое'!P13</f>
        <v>0</v>
      </c>
      <c r="Q13" s="882"/>
      <c r="R13" s="7"/>
      <c r="S13" s="8"/>
      <c r="T13" s="7">
        <v>0.1</v>
      </c>
      <c r="U13" s="7">
        <f>'расчеты к штатному '!U13-'расчеты к старое'!U13</f>
        <v>0</v>
      </c>
      <c r="V13" s="7"/>
      <c r="W13" s="9"/>
      <c r="X13" s="10">
        <f t="shared" si="0"/>
        <v>0</v>
      </c>
      <c r="Y13" s="1268">
        <f t="shared" si="1"/>
        <v>0.1</v>
      </c>
      <c r="Z13" s="1268">
        <f t="shared" si="1"/>
        <v>0</v>
      </c>
      <c r="AA13" s="1264">
        <f t="shared" si="2"/>
        <v>0</v>
      </c>
      <c r="AB13" s="1382">
        <f t="shared" si="3"/>
        <v>0</v>
      </c>
      <c r="AC13" s="1264"/>
      <c r="AD13" s="1264"/>
      <c r="AE13" s="1264"/>
      <c r="AF13" s="1264"/>
      <c r="AG13" s="1264"/>
      <c r="AH13" s="1264"/>
      <c r="AI13" s="1264"/>
      <c r="AJ13" s="1264"/>
      <c r="AK13" s="23"/>
      <c r="AL13" s="23"/>
      <c r="AM13" s="23"/>
      <c r="AN13" s="23"/>
      <c r="AO13" s="23"/>
      <c r="AP13" s="23"/>
      <c r="AQ13" s="23"/>
    </row>
    <row r="14" spans="1:44" s="1265" customFormat="1" ht="15" customHeight="1">
      <c r="A14" s="5">
        <v>9</v>
      </c>
      <c r="B14" s="26" t="s">
        <v>399</v>
      </c>
      <c r="C14" s="6" t="s">
        <v>621</v>
      </c>
      <c r="D14" s="5" t="s">
        <v>25</v>
      </c>
      <c r="E14" s="48" t="s">
        <v>776</v>
      </c>
      <c r="F14" s="5" t="s">
        <v>77</v>
      </c>
      <c r="G14" s="40">
        <v>1</v>
      </c>
      <c r="H14" s="5" t="s">
        <v>61</v>
      </c>
      <c r="I14" s="5" t="s">
        <v>61</v>
      </c>
      <c r="J14" s="27">
        <v>1</v>
      </c>
      <c r="K14" s="7">
        <v>17697</v>
      </c>
      <c r="L14" s="7"/>
      <c r="M14" s="10">
        <v>1</v>
      </c>
      <c r="N14" s="732"/>
      <c r="O14" s="1022" t="s">
        <v>402</v>
      </c>
      <c r="P14" s="7">
        <f>'расчеты к штатному '!P14-'расчеты к старое'!P14</f>
        <v>0</v>
      </c>
      <c r="Q14" s="882"/>
      <c r="R14" s="7"/>
      <c r="S14" s="8"/>
      <c r="T14" s="7">
        <v>0.1</v>
      </c>
      <c r="U14" s="7">
        <f>'расчеты к штатному '!U14-'расчеты к старое'!U14</f>
        <v>0</v>
      </c>
      <c r="V14" s="7"/>
      <c r="W14" s="9"/>
      <c r="X14" s="10">
        <f t="shared" si="0"/>
        <v>0</v>
      </c>
      <c r="Y14" s="1268">
        <f t="shared" si="1"/>
        <v>0.1</v>
      </c>
      <c r="Z14" s="1268">
        <f t="shared" si="1"/>
        <v>0</v>
      </c>
      <c r="AA14" s="1264">
        <f t="shared" si="2"/>
        <v>0</v>
      </c>
      <c r="AB14" s="1382">
        <f t="shared" si="3"/>
        <v>0</v>
      </c>
      <c r="AC14" s="1264"/>
      <c r="AD14" s="1264"/>
      <c r="AE14" s="1264"/>
      <c r="AF14" s="1264"/>
      <c r="AG14" s="1264"/>
      <c r="AH14" s="1264"/>
      <c r="AI14" s="1264"/>
      <c r="AJ14" s="1264"/>
      <c r="AK14" s="23"/>
      <c r="AL14" s="23"/>
      <c r="AM14" s="23"/>
      <c r="AN14" s="23"/>
      <c r="AO14" s="23"/>
      <c r="AP14" s="23"/>
      <c r="AQ14" s="23"/>
    </row>
    <row r="15" spans="1:44" s="1265" customFormat="1" ht="15" customHeight="1">
      <c r="A15" s="5">
        <v>10</v>
      </c>
      <c r="B15" s="702" t="s">
        <v>767</v>
      </c>
      <c r="C15" s="1630" t="s">
        <v>768</v>
      </c>
      <c r="D15" s="894" t="s">
        <v>25</v>
      </c>
      <c r="E15" s="1631" t="s">
        <v>769</v>
      </c>
      <c r="F15" s="5" t="s">
        <v>77</v>
      </c>
      <c r="G15" s="1632">
        <v>1</v>
      </c>
      <c r="H15" s="40" t="s">
        <v>56</v>
      </c>
      <c r="I15" s="40" t="s">
        <v>56</v>
      </c>
      <c r="J15" s="41" t="s">
        <v>57</v>
      </c>
      <c r="K15" s="7">
        <v>17697</v>
      </c>
      <c r="L15" s="882"/>
      <c r="M15" s="1547">
        <v>1</v>
      </c>
      <c r="N15" s="1633"/>
      <c r="O15" s="1634" t="s">
        <v>770</v>
      </c>
      <c r="P15" s="7">
        <f>'расчеты к штатному '!P15-'расчеты к старое'!P15</f>
        <v>0</v>
      </c>
      <c r="Q15" s="882"/>
      <c r="R15" s="882"/>
      <c r="S15" s="1635"/>
      <c r="T15" s="7">
        <v>0.1</v>
      </c>
      <c r="U15" s="7">
        <f>'расчеты к штатному '!U15-'расчеты к старое'!U15</f>
        <v>0</v>
      </c>
      <c r="V15" s="882"/>
      <c r="W15" s="881"/>
      <c r="X15" s="10">
        <f t="shared" si="0"/>
        <v>0</v>
      </c>
      <c r="Y15" s="1269"/>
      <c r="Z15" s="1269"/>
      <c r="AA15" s="1264"/>
      <c r="AB15" s="1382"/>
      <c r="AC15" s="1264"/>
      <c r="AD15" s="1264"/>
      <c r="AE15" s="1264"/>
      <c r="AF15" s="1264"/>
      <c r="AG15" s="1264"/>
      <c r="AH15" s="1264"/>
      <c r="AI15" s="1264"/>
      <c r="AJ15" s="1264"/>
      <c r="AK15" s="23"/>
      <c r="AL15" s="23"/>
      <c r="AM15" s="23"/>
      <c r="AN15" s="23"/>
      <c r="AO15" s="23"/>
      <c r="AP15" s="23"/>
      <c r="AQ15" s="23"/>
    </row>
    <row r="16" spans="1:44" s="1265" customFormat="1" ht="15" customHeight="1">
      <c r="A16" s="5">
        <v>11</v>
      </c>
      <c r="B16" s="26" t="s">
        <v>62</v>
      </c>
      <c r="C16" s="13" t="s">
        <v>63</v>
      </c>
      <c r="D16" s="5" t="s">
        <v>64</v>
      </c>
      <c r="E16" s="57" t="s">
        <v>730</v>
      </c>
      <c r="F16" s="5" t="s">
        <v>367</v>
      </c>
      <c r="G16" s="5">
        <v>1</v>
      </c>
      <c r="H16" s="20" t="s">
        <v>56</v>
      </c>
      <c r="I16" s="20" t="s">
        <v>56</v>
      </c>
      <c r="J16" s="27">
        <v>3</v>
      </c>
      <c r="K16" s="7">
        <v>17697</v>
      </c>
      <c r="L16" s="7"/>
      <c r="M16" s="10">
        <v>1</v>
      </c>
      <c r="N16" s="7"/>
      <c r="O16" s="10">
        <v>3.61</v>
      </c>
      <c r="P16" s="7">
        <f>'расчеты к штатному '!P16-'расчеты к старое'!P16</f>
        <v>0</v>
      </c>
      <c r="Q16" s="882"/>
      <c r="R16" s="7"/>
      <c r="S16" s="8"/>
      <c r="T16" s="7">
        <v>0.1</v>
      </c>
      <c r="U16" s="7">
        <f>'расчеты к штатному '!U16-'расчеты к старое'!U16</f>
        <v>0</v>
      </c>
      <c r="V16" s="7"/>
      <c r="W16" s="9"/>
      <c r="X16" s="10">
        <f t="shared" si="0"/>
        <v>0</v>
      </c>
      <c r="Y16" s="1268">
        <f t="shared" si="1"/>
        <v>0.1</v>
      </c>
      <c r="Z16" s="1268">
        <f t="shared" si="1"/>
        <v>0</v>
      </c>
      <c r="AA16" s="1264">
        <f t="shared" si="2"/>
        <v>0</v>
      </c>
      <c r="AB16" s="1382">
        <f t="shared" si="3"/>
        <v>0</v>
      </c>
      <c r="AC16" s="1264"/>
      <c r="AD16" s="1264"/>
      <c r="AE16" s="1264"/>
      <c r="AF16" s="1264"/>
      <c r="AG16" s="1264"/>
      <c r="AH16" s="1264"/>
      <c r="AI16" s="1264"/>
      <c r="AJ16" s="1264"/>
      <c r="AK16" s="23"/>
      <c r="AL16" s="23"/>
      <c r="AM16" s="23"/>
      <c r="AN16" s="23"/>
      <c r="AO16" s="23"/>
      <c r="AP16" s="23"/>
      <c r="AQ16" s="23"/>
    </row>
    <row r="17" spans="1:43" s="1265" customFormat="1" ht="15" customHeight="1">
      <c r="A17" s="5">
        <v>12</v>
      </c>
      <c r="B17" s="26" t="s">
        <v>400</v>
      </c>
      <c r="C17" s="13" t="s">
        <v>63</v>
      </c>
      <c r="D17" s="5" t="s">
        <v>64</v>
      </c>
      <c r="E17" s="1636" t="s">
        <v>121</v>
      </c>
      <c r="F17" s="5" t="s">
        <v>122</v>
      </c>
      <c r="G17" s="5">
        <v>1.5</v>
      </c>
      <c r="H17" s="20" t="s">
        <v>69</v>
      </c>
      <c r="I17" s="20" t="s">
        <v>69</v>
      </c>
      <c r="J17" s="737" t="s">
        <v>30</v>
      </c>
      <c r="K17" s="7">
        <v>17697</v>
      </c>
      <c r="L17" s="7"/>
      <c r="M17" s="10">
        <v>1.5</v>
      </c>
      <c r="N17" s="7"/>
      <c r="O17" s="1626">
        <v>3.35</v>
      </c>
      <c r="P17" s="7">
        <f>'расчеты к штатному '!P17-'расчеты к старое'!P17</f>
        <v>0</v>
      </c>
      <c r="Q17" s="882"/>
      <c r="R17" s="8"/>
      <c r="S17" s="7"/>
      <c r="T17" s="7">
        <v>0.1</v>
      </c>
      <c r="U17" s="7">
        <f>'расчеты к штатному '!U17-'расчеты к старое'!U17</f>
        <v>0</v>
      </c>
      <c r="V17" s="9"/>
      <c r="W17" s="7"/>
      <c r="X17" s="10">
        <f>'расчеты к штатному '!X17-'расчеты к старое'!X17</f>
        <v>0</v>
      </c>
      <c r="Y17" s="1268">
        <f t="shared" si="1"/>
        <v>0.1</v>
      </c>
      <c r="Z17" s="1268">
        <f t="shared" si="1"/>
        <v>0</v>
      </c>
      <c r="AA17" s="1264">
        <f t="shared" si="2"/>
        <v>0</v>
      </c>
      <c r="AB17" s="1382">
        <f t="shared" si="3"/>
        <v>0</v>
      </c>
      <c r="AK17" s="23"/>
      <c r="AL17" s="23"/>
      <c r="AM17" s="23"/>
      <c r="AN17" s="23"/>
      <c r="AO17" s="23"/>
      <c r="AP17" s="23"/>
      <c r="AQ17" s="23"/>
    </row>
    <row r="18" spans="1:43" s="1396" customFormat="1" ht="15.75" customHeight="1">
      <c r="A18" s="5">
        <v>13</v>
      </c>
      <c r="B18" s="13" t="s">
        <v>378</v>
      </c>
      <c r="C18" s="13" t="s">
        <v>63</v>
      </c>
      <c r="D18" s="5" t="s">
        <v>64</v>
      </c>
      <c r="E18" s="536" t="s">
        <v>780</v>
      </c>
      <c r="F18" s="5" t="s">
        <v>159</v>
      </c>
      <c r="G18" s="5">
        <v>0.5</v>
      </c>
      <c r="H18" s="15" t="s">
        <v>56</v>
      </c>
      <c r="I18" s="15" t="s">
        <v>56</v>
      </c>
      <c r="J18" s="14">
        <v>3</v>
      </c>
      <c r="K18" s="15">
        <v>17697</v>
      </c>
      <c r="L18" s="15"/>
      <c r="M18" s="10">
        <v>0.5</v>
      </c>
      <c r="N18" s="21"/>
      <c r="O18" s="10">
        <v>3.31</v>
      </c>
      <c r="P18" s="7">
        <f>'расчеты к штатному '!P18-'расчеты к старое'!P18</f>
        <v>0</v>
      </c>
      <c r="Q18" s="882"/>
      <c r="R18" s="8"/>
      <c r="S18" s="7"/>
      <c r="T18" s="7">
        <v>0.1</v>
      </c>
      <c r="U18" s="7">
        <f>'расчеты к штатному '!U18-'расчеты к старое'!U18</f>
        <v>0</v>
      </c>
      <c r="V18" s="9"/>
      <c r="W18" s="7"/>
      <c r="X18" s="10">
        <f>'расчеты к штатному '!X18-'расчеты к старое'!X18</f>
        <v>0</v>
      </c>
      <c r="Y18" s="1268">
        <f t="shared" si="1"/>
        <v>0.1</v>
      </c>
      <c r="Z18" s="1268">
        <f t="shared" si="1"/>
        <v>0</v>
      </c>
      <c r="AA18" s="1264">
        <f t="shared" si="2"/>
        <v>0</v>
      </c>
      <c r="AB18" s="1382">
        <f t="shared" si="3"/>
        <v>0</v>
      </c>
      <c r="AK18" s="1778"/>
      <c r="AL18" s="1778"/>
      <c r="AM18" s="1778"/>
      <c r="AN18" s="1778"/>
      <c r="AO18" s="1778"/>
      <c r="AP18" s="1778"/>
      <c r="AQ18" s="1778"/>
    </row>
    <row r="19" spans="1:43" s="1396" customFormat="1" ht="15.75" customHeight="1">
      <c r="A19" s="5">
        <v>14</v>
      </c>
      <c r="B19" s="13" t="s">
        <v>70</v>
      </c>
      <c r="C19" s="13" t="s">
        <v>71</v>
      </c>
      <c r="D19" s="5" t="s">
        <v>25</v>
      </c>
      <c r="E19" s="536" t="s">
        <v>731</v>
      </c>
      <c r="F19" s="5" t="s">
        <v>239</v>
      </c>
      <c r="G19" s="5">
        <v>1</v>
      </c>
      <c r="H19" s="738" t="s">
        <v>56</v>
      </c>
      <c r="I19" s="738" t="s">
        <v>56</v>
      </c>
      <c r="J19" s="738">
        <v>2</v>
      </c>
      <c r="K19" s="15">
        <v>17697</v>
      </c>
      <c r="L19" s="15"/>
      <c r="M19" s="10">
        <v>0.5</v>
      </c>
      <c r="N19" s="21"/>
      <c r="O19" s="10">
        <v>4.46</v>
      </c>
      <c r="P19" s="7">
        <f>'расчеты к штатному '!P19-'расчеты к старое'!P19</f>
        <v>-1681.2150000000038</v>
      </c>
      <c r="Q19" s="894"/>
      <c r="R19" s="8"/>
      <c r="S19" s="7"/>
      <c r="T19" s="7">
        <v>0.1</v>
      </c>
      <c r="U19" s="7">
        <f>'расчеты к штатному '!U19-'расчеты к старое'!U19</f>
        <v>-168.12150000000065</v>
      </c>
      <c r="V19" s="9">
        <v>0.2</v>
      </c>
      <c r="W19" s="7">
        <f>V19*K19*50%</f>
        <v>1769.7</v>
      </c>
      <c r="X19" s="10">
        <f>'расчеты к штатному '!X19-'расчеты к старое'!X19</f>
        <v>-1849.3365000000049</v>
      </c>
      <c r="Y19" s="1268">
        <f>R19+T19+V19+X19</f>
        <v>-1849.0365000000049</v>
      </c>
      <c r="Z19" s="1268">
        <f>S19+U19+W19+Y19</f>
        <v>-247.45800000000554</v>
      </c>
      <c r="AA19" s="1264">
        <f t="shared" si="2"/>
        <v>-22192.038000000059</v>
      </c>
      <c r="AB19" s="1382">
        <f t="shared" si="3"/>
        <v>-1891.5818274804005</v>
      </c>
      <c r="AK19" s="1778"/>
      <c r="AL19" s="1778"/>
      <c r="AM19" s="1778"/>
      <c r="AN19" s="1778"/>
      <c r="AO19" s="1778"/>
      <c r="AP19" s="1778"/>
      <c r="AQ19" s="1778"/>
    </row>
    <row r="20" spans="1:43" s="1396" customFormat="1" ht="15.75" customHeight="1">
      <c r="A20" s="5">
        <v>15</v>
      </c>
      <c r="B20" s="13" t="s">
        <v>378</v>
      </c>
      <c r="C20" s="13" t="s">
        <v>71</v>
      </c>
      <c r="D20" s="5" t="s">
        <v>75</v>
      </c>
      <c r="E20" s="536" t="s">
        <v>787</v>
      </c>
      <c r="F20" s="5" t="s">
        <v>159</v>
      </c>
      <c r="G20" s="5">
        <v>0.5</v>
      </c>
      <c r="H20" s="15" t="s">
        <v>56</v>
      </c>
      <c r="I20" s="15" t="s">
        <v>56</v>
      </c>
      <c r="J20" s="14">
        <v>2</v>
      </c>
      <c r="K20" s="15">
        <v>17697</v>
      </c>
      <c r="L20" s="15"/>
      <c r="M20" s="10">
        <v>0.5</v>
      </c>
      <c r="N20" s="21"/>
      <c r="O20" s="10">
        <v>4.0999999999999996</v>
      </c>
      <c r="P20" s="7">
        <f>'расчеты к штатному '!P20-'расчеты к старое'!P20</f>
        <v>0</v>
      </c>
      <c r="Q20" s="894"/>
      <c r="R20" s="8"/>
      <c r="S20" s="7"/>
      <c r="T20" s="7">
        <v>0.1</v>
      </c>
      <c r="U20" s="7">
        <f>'расчеты к штатному '!U20-'расчеты к старое'!U20</f>
        <v>0</v>
      </c>
      <c r="V20" s="9">
        <v>0.2</v>
      </c>
      <c r="W20" s="7">
        <f>V20*K20*50%</f>
        <v>1769.7</v>
      </c>
      <c r="X20" s="10">
        <f>'расчеты к штатному '!X20-'расчеты к старое'!X20</f>
        <v>0</v>
      </c>
      <c r="Y20" s="1268">
        <f>R20+T20+V20+X20</f>
        <v>0.30000000000000004</v>
      </c>
      <c r="Z20" s="1268">
        <f>S20+U20+W20+Y20</f>
        <v>1770</v>
      </c>
      <c r="AA20" s="1264">
        <f t="shared" si="2"/>
        <v>0</v>
      </c>
      <c r="AB20" s="1382">
        <f t="shared" si="3"/>
        <v>0</v>
      </c>
      <c r="AK20" s="1778"/>
      <c r="AL20" s="1778"/>
      <c r="AM20" s="1778"/>
      <c r="AN20" s="1778"/>
      <c r="AO20" s="1778"/>
      <c r="AP20" s="1778"/>
      <c r="AQ20" s="1778"/>
    </row>
    <row r="21" spans="1:43" s="1265" customFormat="1" ht="15" customHeight="1">
      <c r="A21" s="5">
        <v>16</v>
      </c>
      <c r="B21" s="26" t="s">
        <v>619</v>
      </c>
      <c r="C21" s="6" t="s">
        <v>622</v>
      </c>
      <c r="D21" s="5" t="s">
        <v>75</v>
      </c>
      <c r="E21" s="57" t="s">
        <v>778</v>
      </c>
      <c r="F21" s="5" t="s">
        <v>779</v>
      </c>
      <c r="G21" s="5">
        <v>1</v>
      </c>
      <c r="H21" s="5" t="s">
        <v>56</v>
      </c>
      <c r="I21" s="5" t="s">
        <v>56</v>
      </c>
      <c r="J21" s="27">
        <v>3</v>
      </c>
      <c r="K21" s="7">
        <v>17697</v>
      </c>
      <c r="L21" s="7"/>
      <c r="M21" s="10">
        <v>0.5</v>
      </c>
      <c r="N21" s="739"/>
      <c r="O21" s="10">
        <v>3.57</v>
      </c>
      <c r="P21" s="7">
        <f>'расчеты к штатному '!P21-'расчеты к старое'!P21</f>
        <v>0</v>
      </c>
      <c r="Q21" s="894"/>
      <c r="R21" s="7"/>
      <c r="S21" s="8"/>
      <c r="T21" s="7">
        <v>0.1</v>
      </c>
      <c r="U21" s="7">
        <f>'расчеты к штатному '!U21-'расчеты к старое'!U21</f>
        <v>0</v>
      </c>
      <c r="V21" s="7"/>
      <c r="W21" s="9"/>
      <c r="X21" s="10">
        <f>'расчеты к штатному '!X21-'расчеты к старое'!X21</f>
        <v>0</v>
      </c>
      <c r="Y21" s="1268">
        <f t="shared" si="1"/>
        <v>0.1</v>
      </c>
      <c r="Z21" s="1268">
        <f t="shared" si="1"/>
        <v>0</v>
      </c>
      <c r="AA21" s="1264">
        <f t="shared" si="2"/>
        <v>0</v>
      </c>
      <c r="AB21" s="1382">
        <f t="shared" si="3"/>
        <v>0</v>
      </c>
      <c r="AC21" s="1264"/>
      <c r="AD21" s="1264"/>
      <c r="AE21" s="1264"/>
      <c r="AF21" s="1264"/>
      <c r="AG21" s="1264"/>
      <c r="AH21" s="1264"/>
      <c r="AI21" s="1264"/>
      <c r="AJ21" s="1264"/>
      <c r="AK21" s="23"/>
      <c r="AL21" s="23"/>
      <c r="AM21" s="23"/>
      <c r="AN21" s="23"/>
      <c r="AO21" s="23"/>
      <c r="AP21" s="23"/>
      <c r="AQ21" s="23"/>
    </row>
    <row r="22" spans="1:43" s="1437" customFormat="1" ht="15.75" customHeight="1">
      <c r="A22" s="5">
        <v>17</v>
      </c>
      <c r="B22" s="29" t="s">
        <v>81</v>
      </c>
      <c r="C22" s="6" t="s">
        <v>82</v>
      </c>
      <c r="D22" s="30" t="s">
        <v>64</v>
      </c>
      <c r="E22" s="57" t="s">
        <v>773</v>
      </c>
      <c r="F22" s="30" t="s">
        <v>84</v>
      </c>
      <c r="G22" s="21">
        <v>1</v>
      </c>
      <c r="H22" s="20" t="s">
        <v>56</v>
      </c>
      <c r="I22" s="5" t="s">
        <v>56</v>
      </c>
      <c r="J22" s="20">
        <v>3</v>
      </c>
      <c r="K22" s="7">
        <v>17697</v>
      </c>
      <c r="L22" s="7"/>
      <c r="M22" s="10">
        <v>1</v>
      </c>
      <c r="N22" s="7"/>
      <c r="O22" s="10">
        <v>3.5</v>
      </c>
      <c r="P22" s="7">
        <f>'расчеты к штатному '!P22-'расчеты к старое'!P22</f>
        <v>0</v>
      </c>
      <c r="Q22" s="894"/>
      <c r="R22" s="7"/>
      <c r="S22" s="8"/>
      <c r="T22" s="7">
        <v>0.1</v>
      </c>
      <c r="U22" s="7">
        <f>'расчеты к штатному '!U22-'расчеты к старое'!U22</f>
        <v>0</v>
      </c>
      <c r="V22" s="7"/>
      <c r="W22" s="9"/>
      <c r="X22" s="10">
        <f>'расчеты к штатному '!X22-'расчеты к старое'!X22</f>
        <v>0</v>
      </c>
      <c r="Y22" s="1268">
        <f t="shared" si="1"/>
        <v>0.1</v>
      </c>
      <c r="Z22" s="1268">
        <f t="shared" si="1"/>
        <v>0</v>
      </c>
      <c r="AA22" s="1264">
        <f t="shared" si="2"/>
        <v>0</v>
      </c>
      <c r="AB22" s="1382">
        <f t="shared" si="3"/>
        <v>0</v>
      </c>
      <c r="AC22" s="1436"/>
      <c r="AD22" s="1436"/>
      <c r="AE22" s="1436"/>
      <c r="AF22" s="1436"/>
      <c r="AG22" s="1436"/>
      <c r="AH22" s="1436"/>
      <c r="AI22" s="1436"/>
      <c r="AJ22" s="1436"/>
      <c r="AK22" s="914"/>
      <c r="AL22" s="914"/>
      <c r="AM22" s="914"/>
      <c r="AN22" s="914"/>
      <c r="AO22" s="914"/>
      <c r="AP22" s="914"/>
      <c r="AQ22" s="914"/>
    </row>
    <row r="23" spans="1:43" s="1265" customFormat="1" ht="18" customHeight="1">
      <c r="A23" s="5">
        <v>18</v>
      </c>
      <c r="B23" s="26" t="s">
        <v>85</v>
      </c>
      <c r="C23" s="6" t="s">
        <v>86</v>
      </c>
      <c r="D23" s="5" t="s">
        <v>25</v>
      </c>
      <c r="E23" s="45" t="s">
        <v>733</v>
      </c>
      <c r="F23" s="5" t="s">
        <v>249</v>
      </c>
      <c r="G23" s="5">
        <v>1</v>
      </c>
      <c r="H23" s="5" t="s">
        <v>56</v>
      </c>
      <c r="I23" s="5" t="s">
        <v>56</v>
      </c>
      <c r="J23" s="731" t="s">
        <v>57</v>
      </c>
      <c r="K23" s="7">
        <v>17697</v>
      </c>
      <c r="L23" s="7"/>
      <c r="M23" s="10">
        <v>1</v>
      </c>
      <c r="N23" s="7"/>
      <c r="O23" s="10">
        <v>4.43</v>
      </c>
      <c r="P23" s="7">
        <f>'расчеты к штатному '!P23-'расчеты к старое'!P23</f>
        <v>530.91000000000349</v>
      </c>
      <c r="Q23" s="894"/>
      <c r="R23" s="8"/>
      <c r="S23" s="740"/>
      <c r="T23" s="7">
        <v>0.1</v>
      </c>
      <c r="U23" s="7">
        <f>'расчеты к штатному '!U23-'расчеты к старое'!U23</f>
        <v>53.091000000000349</v>
      </c>
      <c r="V23" s="741"/>
      <c r="W23" s="740"/>
      <c r="X23" s="10">
        <f>'расчеты к штатному '!X23-'расчеты к старое'!X23</f>
        <v>584.00100000000384</v>
      </c>
      <c r="Y23" s="1268">
        <f t="shared" si="1"/>
        <v>0.1</v>
      </c>
      <c r="Z23" s="1268">
        <f t="shared" si="1"/>
        <v>53.091000000000349</v>
      </c>
      <c r="AA23" s="1264">
        <f t="shared" si="2"/>
        <v>7008.0120000000461</v>
      </c>
      <c r="AB23" s="1382">
        <f t="shared" si="3"/>
        <v>597.34162973065509</v>
      </c>
      <c r="AK23" s="906"/>
      <c r="AL23" s="23"/>
      <c r="AM23" s="23"/>
      <c r="AN23" s="23"/>
      <c r="AO23" s="23"/>
      <c r="AP23" s="23"/>
      <c r="AQ23" s="23"/>
    </row>
    <row r="24" spans="1:43" s="1265" customFormat="1" ht="17.25" customHeight="1">
      <c r="A24" s="5">
        <v>19</v>
      </c>
      <c r="B24" s="690" t="s">
        <v>732</v>
      </c>
      <c r="C24" s="6" t="s">
        <v>86</v>
      </c>
      <c r="D24" s="20" t="s">
        <v>25</v>
      </c>
      <c r="E24" s="1637" t="s">
        <v>707</v>
      </c>
      <c r="F24" s="742" t="s">
        <v>159</v>
      </c>
      <c r="G24" s="743">
        <v>1</v>
      </c>
      <c r="H24" s="5" t="s">
        <v>56</v>
      </c>
      <c r="I24" s="5" t="s">
        <v>56</v>
      </c>
      <c r="J24" s="731" t="s">
        <v>57</v>
      </c>
      <c r="K24" s="7">
        <v>17697</v>
      </c>
      <c r="L24" s="34"/>
      <c r="M24" s="35">
        <v>0.5</v>
      </c>
      <c r="N24" s="34"/>
      <c r="O24" s="35">
        <v>4.0999999999999996</v>
      </c>
      <c r="P24" s="7">
        <f>'расчеты к штатному '!P24-'расчеты к старое'!P24</f>
        <v>0</v>
      </c>
      <c r="Q24" s="894"/>
      <c r="R24" s="37"/>
      <c r="S24" s="34"/>
      <c r="T24" s="34">
        <v>0.1</v>
      </c>
      <c r="U24" s="7">
        <f>'расчеты к штатному '!U24-'расчеты к старое'!U24</f>
        <v>0</v>
      </c>
      <c r="V24" s="38"/>
      <c r="W24" s="34"/>
      <c r="X24" s="10">
        <f>'расчеты к штатному '!X24-'расчеты к старое'!X24</f>
        <v>0</v>
      </c>
      <c r="Y24" s="1445">
        <f t="shared" si="1"/>
        <v>0.1</v>
      </c>
      <c r="Z24" s="1445">
        <f t="shared" si="1"/>
        <v>0</v>
      </c>
      <c r="AA24" s="1264">
        <f t="shared" si="2"/>
        <v>0</v>
      </c>
      <c r="AB24" s="1382">
        <f t="shared" si="3"/>
        <v>0</v>
      </c>
      <c r="AK24" s="23"/>
      <c r="AL24" s="23"/>
      <c r="AM24" s="23"/>
      <c r="AN24" s="23"/>
      <c r="AO24" s="23"/>
      <c r="AP24" s="23"/>
      <c r="AQ24" s="23"/>
    </row>
    <row r="25" spans="1:43" s="1265" customFormat="1" ht="17.25" customHeight="1">
      <c r="A25" s="894">
        <v>20</v>
      </c>
      <c r="B25" s="1638" t="s">
        <v>253</v>
      </c>
      <c r="C25" s="1630" t="s">
        <v>800</v>
      </c>
      <c r="D25" s="1639" t="s">
        <v>25</v>
      </c>
      <c r="E25" s="1637" t="s">
        <v>707</v>
      </c>
      <c r="F25" s="1640" t="s">
        <v>159</v>
      </c>
      <c r="G25" s="743">
        <v>1</v>
      </c>
      <c r="H25" s="5" t="s">
        <v>56</v>
      </c>
      <c r="I25" s="5" t="s">
        <v>56</v>
      </c>
      <c r="J25" s="731" t="s">
        <v>57</v>
      </c>
      <c r="K25" s="7">
        <v>17697</v>
      </c>
      <c r="L25" s="34"/>
      <c r="M25" s="35">
        <v>0.5</v>
      </c>
      <c r="N25" s="34"/>
      <c r="O25" s="35">
        <v>4.0999999999999996</v>
      </c>
      <c r="P25" s="7">
        <f>'расчеты к штатному '!P25-'расчеты к старое'!P25</f>
        <v>0</v>
      </c>
      <c r="Q25" s="894"/>
      <c r="R25" s="1641"/>
      <c r="S25" s="885"/>
      <c r="T25" s="34">
        <v>0.1</v>
      </c>
      <c r="U25" s="7">
        <f>'расчеты к штатному '!U25-'расчеты к старое'!U25</f>
        <v>0</v>
      </c>
      <c r="V25" s="1642"/>
      <c r="W25" s="885"/>
      <c r="X25" s="10">
        <f>'расчеты к штатному '!X25-'расчеты к старое'!X25</f>
        <v>0</v>
      </c>
      <c r="Y25" s="1565"/>
      <c r="Z25" s="1565"/>
      <c r="AA25" s="1264"/>
      <c r="AB25" s="1382"/>
      <c r="AK25" s="23"/>
      <c r="AL25" s="23"/>
      <c r="AM25" s="23"/>
      <c r="AN25" s="23"/>
      <c r="AO25" s="23"/>
      <c r="AP25" s="23"/>
      <c r="AQ25" s="23"/>
    </row>
    <row r="26" spans="1:43" s="24" customFormat="1" ht="17.25" customHeight="1">
      <c r="A26" s="1507"/>
      <c r="B26" s="1518" t="s">
        <v>790</v>
      </c>
      <c r="C26" s="1508"/>
      <c r="D26" s="1507"/>
      <c r="E26" s="1509"/>
      <c r="F26" s="1507"/>
      <c r="G26" s="1507"/>
      <c r="H26" s="1507"/>
      <c r="I26" s="1507"/>
      <c r="J26" s="1510"/>
      <c r="K26" s="1509"/>
      <c r="L26" s="1509"/>
      <c r="M26" s="1511"/>
      <c r="N26" s="1509"/>
      <c r="O26" s="1509"/>
      <c r="P26" s="1509">
        <f>'расчеты к штатному '!P26-'расчеты к старое'!P26</f>
        <v>0</v>
      </c>
      <c r="Q26" s="1513"/>
      <c r="R26" s="1514"/>
      <c r="S26" s="1509"/>
      <c r="T26" s="1509"/>
      <c r="U26" s="1509">
        <f>SUM(U6:U25)</f>
        <v>30881.264999999999</v>
      </c>
      <c r="V26" s="1515"/>
      <c r="W26" s="1509"/>
      <c r="X26" s="1511">
        <f>SUM(X6:X25)</f>
        <v>42494.943749999991</v>
      </c>
      <c r="Y26" s="104"/>
      <c r="Z26" s="104"/>
      <c r="AA26" s="81">
        <f>SUM(AA6:AA24)</f>
        <v>509939.3249999999</v>
      </c>
      <c r="AB26" s="683">
        <f>SUM(AB6:AB24)</f>
        <v>43465.677207637229</v>
      </c>
      <c r="AC26" s="22">
        <f>SUM(X6:X24)</f>
        <v>42494.943749999991</v>
      </c>
      <c r="AD26" s="683"/>
      <c r="AK26" s="906"/>
      <c r="AL26" s="23"/>
      <c r="AM26" s="23"/>
      <c r="AN26" s="23"/>
      <c r="AO26" s="23"/>
      <c r="AP26" s="23"/>
      <c r="AQ26" s="23"/>
    </row>
    <row r="27" spans="1:43" s="24" customFormat="1" ht="15.75">
      <c r="A27" s="547">
        <v>1</v>
      </c>
      <c r="B27" s="548" t="s">
        <v>98</v>
      </c>
      <c r="C27" s="549" t="s">
        <v>99</v>
      </c>
      <c r="D27" s="547" t="s">
        <v>25</v>
      </c>
      <c r="E27" s="550" t="s">
        <v>647</v>
      </c>
      <c r="F27" s="550" t="s">
        <v>463</v>
      </c>
      <c r="G27" s="547">
        <v>1</v>
      </c>
      <c r="H27" s="547" t="s">
        <v>102</v>
      </c>
      <c r="I27" s="547" t="s">
        <v>103</v>
      </c>
      <c r="J27" s="1578">
        <v>1</v>
      </c>
      <c r="K27" s="552">
        <v>17697</v>
      </c>
      <c r="L27" s="553">
        <v>35</v>
      </c>
      <c r="M27" s="554">
        <f>L27/18</f>
        <v>1.9444444444444444</v>
      </c>
      <c r="N27" s="555" t="s">
        <v>152</v>
      </c>
      <c r="O27" s="1579">
        <v>4.55</v>
      </c>
      <c r="P27" s="7">
        <f>'расчеты к штатному '!P27-'расчеты к старое'!P27</f>
        <v>0</v>
      </c>
      <c r="Q27" s="556"/>
      <c r="R27" s="557"/>
      <c r="S27" s="552"/>
      <c r="T27" s="552">
        <v>0.1</v>
      </c>
      <c r="U27" s="7">
        <f>'расчеты к штатному '!U27-'расчеты к старое'!U27</f>
        <v>7828.4645833333361</v>
      </c>
      <c r="V27" s="558"/>
      <c r="W27" s="552"/>
      <c r="X27" s="10">
        <f>'расчеты к штатному '!X27-'расчеты к старое'!X27</f>
        <v>86113.110416666663</v>
      </c>
      <c r="Y27" s="70">
        <f>V27+R27</f>
        <v>0</v>
      </c>
      <c r="Z27" s="70">
        <f>W27+S27</f>
        <v>0</v>
      </c>
      <c r="AA27" s="23">
        <f t="shared" si="2"/>
        <v>1033357.325</v>
      </c>
      <c r="AB27" s="24">
        <f>AA27/12/29.33*56</f>
        <v>164416.43993635642</v>
      </c>
      <c r="AC27" s="24">
        <f>AA27*1.25</f>
        <v>1291696.65625</v>
      </c>
      <c r="AD27" s="24">
        <f>AC27/12/29.33*56</f>
        <v>205520.54992044551</v>
      </c>
      <c r="AK27" s="23"/>
      <c r="AL27" s="23"/>
      <c r="AM27" s="23"/>
      <c r="AN27" s="23"/>
      <c r="AO27" s="23"/>
      <c r="AP27" s="23"/>
      <c r="AQ27" s="23"/>
    </row>
    <row r="28" spans="1:43" s="24" customFormat="1" ht="17.25" customHeight="1">
      <c r="A28" s="560">
        <v>2</v>
      </c>
      <c r="B28" s="998" t="s">
        <v>41</v>
      </c>
      <c r="C28" s="873" t="s">
        <v>99</v>
      </c>
      <c r="D28" s="874" t="s">
        <v>25</v>
      </c>
      <c r="E28" s="1539" t="s">
        <v>648</v>
      </c>
      <c r="F28" s="1539" t="s">
        <v>34</v>
      </c>
      <c r="G28" s="547">
        <v>1</v>
      </c>
      <c r="H28" s="1002" t="s">
        <v>102</v>
      </c>
      <c r="I28" s="1002" t="s">
        <v>103</v>
      </c>
      <c r="J28" s="1580">
        <v>2</v>
      </c>
      <c r="K28" s="700">
        <v>17697</v>
      </c>
      <c r="L28" s="1540">
        <v>24</v>
      </c>
      <c r="M28" s="554">
        <f t="shared" ref="M28:M76" si="4">L28/18</f>
        <v>1.3333333333333333</v>
      </c>
      <c r="N28" s="566" t="s">
        <v>104</v>
      </c>
      <c r="O28" s="1014">
        <v>4.51</v>
      </c>
      <c r="P28" s="7">
        <f>'расчеты к штатному '!P28-'расчеты к старое'!P28</f>
        <v>-26604.490000000005</v>
      </c>
      <c r="Q28" s="556"/>
      <c r="R28" s="568"/>
      <c r="S28" s="554"/>
      <c r="T28" s="554">
        <v>0.1</v>
      </c>
      <c r="U28" s="7">
        <f>'расчеты к штатному '!U28-'расчеты к старое'!U28</f>
        <v>1330.2244999999984</v>
      </c>
      <c r="V28" s="569"/>
      <c r="W28" s="554"/>
      <c r="X28" s="10">
        <f>'расчеты к штатному '!X28-'расчеты к старое'!X28</f>
        <v>14632.469499999992</v>
      </c>
      <c r="Y28" s="10">
        <f t="shared" ref="Y28:Z72" si="5">V28+R28</f>
        <v>0</v>
      </c>
      <c r="Z28" s="10">
        <f t="shared" si="5"/>
        <v>0</v>
      </c>
      <c r="AA28" s="23">
        <f t="shared" si="2"/>
        <v>175589.6339999999</v>
      </c>
      <c r="AB28" s="24">
        <f t="shared" ref="AB28:AB82" si="6">AA28/12/29.33*56</f>
        <v>27937.889260143187</v>
      </c>
      <c r="AC28" s="24">
        <f t="shared" ref="AC28:AC82" si="7">AA28*1.25</f>
        <v>219487.04249999986</v>
      </c>
      <c r="AD28" s="24">
        <f t="shared" ref="AD28:AD82" si="8">AC28/12/29.33*56</f>
        <v>34922.361575178984</v>
      </c>
      <c r="AK28" s="23"/>
      <c r="AL28" s="23"/>
      <c r="AM28" s="23"/>
      <c r="AN28" s="23"/>
      <c r="AO28" s="23"/>
      <c r="AP28" s="23"/>
      <c r="AQ28" s="23"/>
    </row>
    <row r="29" spans="1:43" s="24" customFormat="1" ht="15.75">
      <c r="A29" s="547">
        <v>3</v>
      </c>
      <c r="B29" s="576" t="s">
        <v>110</v>
      </c>
      <c r="C29" s="561" t="s">
        <v>99</v>
      </c>
      <c r="D29" s="560" t="s">
        <v>25</v>
      </c>
      <c r="E29" s="562" t="s">
        <v>650</v>
      </c>
      <c r="F29" s="562" t="s">
        <v>77</v>
      </c>
      <c r="G29" s="547">
        <v>1</v>
      </c>
      <c r="H29" s="577" t="s">
        <v>102</v>
      </c>
      <c r="I29" s="577" t="s">
        <v>103</v>
      </c>
      <c r="J29" s="578">
        <v>3</v>
      </c>
      <c r="K29" s="554">
        <v>17697</v>
      </c>
      <c r="L29" s="565">
        <v>36</v>
      </c>
      <c r="M29" s="554">
        <f t="shared" si="4"/>
        <v>2</v>
      </c>
      <c r="N29" s="1581" t="s">
        <v>109</v>
      </c>
      <c r="O29" s="1016">
        <v>4</v>
      </c>
      <c r="P29" s="7">
        <f>'расчеты к штатному '!P29-'расчеты к старое'!P29</f>
        <v>-21531.349999999991</v>
      </c>
      <c r="Q29" s="556"/>
      <c r="R29" s="568"/>
      <c r="S29" s="554"/>
      <c r="T29" s="554">
        <v>0.1</v>
      </c>
      <c r="U29" s="7">
        <f>'расчеты к штатному '!U29-'расчеты к старое'!U29</f>
        <v>3849.0975000000017</v>
      </c>
      <c r="V29" s="569"/>
      <c r="W29" s="554"/>
      <c r="X29" s="10">
        <f>'расчеты к штатному '!X29-'расчеты к старое'!X29</f>
        <v>42340.072500000009</v>
      </c>
      <c r="Y29" s="10"/>
      <c r="Z29" s="10"/>
      <c r="AA29" s="23">
        <f t="shared" si="2"/>
        <v>508080.87000000011</v>
      </c>
      <c r="AB29" s="24">
        <f t="shared" si="6"/>
        <v>80840.233890214819</v>
      </c>
      <c r="AC29" s="24">
        <f t="shared" si="7"/>
        <v>635101.08750000014</v>
      </c>
      <c r="AD29" s="24">
        <f t="shared" si="8"/>
        <v>101050.29236276852</v>
      </c>
      <c r="AK29" s="23"/>
      <c r="AL29" s="23"/>
      <c r="AM29" s="23"/>
      <c r="AN29" s="23"/>
      <c r="AO29" s="23"/>
      <c r="AP29" s="23"/>
      <c r="AQ29" s="23"/>
    </row>
    <row r="30" spans="1:43" s="24" customFormat="1" ht="17.25" customHeight="1">
      <c r="A30" s="560">
        <v>4</v>
      </c>
      <c r="B30" s="153" t="s">
        <v>106</v>
      </c>
      <c r="C30" s="561" t="s">
        <v>99</v>
      </c>
      <c r="D30" s="560" t="s">
        <v>25</v>
      </c>
      <c r="E30" s="562" t="s">
        <v>651</v>
      </c>
      <c r="F30" s="562" t="s">
        <v>77</v>
      </c>
      <c r="G30" s="547">
        <v>1</v>
      </c>
      <c r="H30" s="563" t="s">
        <v>102</v>
      </c>
      <c r="I30" s="563" t="s">
        <v>103</v>
      </c>
      <c r="J30" s="564">
        <v>3</v>
      </c>
      <c r="K30" s="554">
        <v>17697</v>
      </c>
      <c r="L30" s="565">
        <v>18</v>
      </c>
      <c r="M30" s="554">
        <f t="shared" si="4"/>
        <v>1</v>
      </c>
      <c r="N30" s="566" t="s">
        <v>109</v>
      </c>
      <c r="O30" s="1016">
        <v>4</v>
      </c>
      <c r="P30" s="7">
        <f>'расчеты к штатному '!P30-'расчеты к старое'!P30</f>
        <v>13243.255000000005</v>
      </c>
      <c r="Q30" s="556"/>
      <c r="R30" s="568"/>
      <c r="S30" s="554"/>
      <c r="T30" s="554">
        <v>0.1</v>
      </c>
      <c r="U30" s="7">
        <f>'расчеты к штатному '!U30-'расчеты к старое'!U30</f>
        <v>5525.8882500000009</v>
      </c>
      <c r="V30" s="569"/>
      <c r="W30" s="554"/>
      <c r="X30" s="10">
        <f>'расчеты к штатному '!X30-'расчеты к старое'!X30</f>
        <v>60784.770750000011</v>
      </c>
      <c r="Y30" s="10">
        <f t="shared" si="5"/>
        <v>0</v>
      </c>
      <c r="Z30" s="10">
        <f t="shared" si="5"/>
        <v>0</v>
      </c>
      <c r="AA30" s="23">
        <f t="shared" si="2"/>
        <v>729417.24900000007</v>
      </c>
      <c r="AB30" s="24">
        <f t="shared" si="6"/>
        <v>116056.84152744632</v>
      </c>
      <c r="AC30" s="24">
        <f t="shared" si="7"/>
        <v>911771.56125000003</v>
      </c>
      <c r="AD30" s="24">
        <f t="shared" si="8"/>
        <v>145071.05190930789</v>
      </c>
      <c r="AK30" s="23"/>
      <c r="AL30" s="23"/>
      <c r="AM30" s="23"/>
      <c r="AN30" s="23"/>
      <c r="AO30" s="23"/>
      <c r="AP30" s="23"/>
      <c r="AQ30" s="23"/>
    </row>
    <row r="31" spans="1:43" s="24" customFormat="1" ht="15.75">
      <c r="A31" s="547">
        <v>5</v>
      </c>
      <c r="B31" s="153" t="s">
        <v>215</v>
      </c>
      <c r="C31" s="561" t="s">
        <v>99</v>
      </c>
      <c r="D31" s="563" t="s">
        <v>25</v>
      </c>
      <c r="E31" s="562" t="s">
        <v>750</v>
      </c>
      <c r="F31" s="562" t="s">
        <v>217</v>
      </c>
      <c r="G31" s="547">
        <v>1</v>
      </c>
      <c r="H31" s="580" t="s">
        <v>102</v>
      </c>
      <c r="I31" s="580" t="s">
        <v>103</v>
      </c>
      <c r="J31" s="997">
        <v>1</v>
      </c>
      <c r="K31" s="554">
        <v>17697</v>
      </c>
      <c r="L31" s="573">
        <v>4</v>
      </c>
      <c r="M31" s="554">
        <f t="shared" si="4"/>
        <v>0.22222222222222221</v>
      </c>
      <c r="N31" s="997" t="s">
        <v>152</v>
      </c>
      <c r="O31" s="1015">
        <v>4.6900000000000004</v>
      </c>
      <c r="P31" s="7">
        <f>'расчеты к штатному '!P31-'расчеты к старое'!P31</f>
        <v>0</v>
      </c>
      <c r="Q31" s="556"/>
      <c r="R31" s="568"/>
      <c r="S31" s="554"/>
      <c r="T31" s="554">
        <v>0.1</v>
      </c>
      <c r="U31" s="7">
        <f>'расчеты к штатному '!U31-'расчеты к старое'!U31</f>
        <v>922.21033333333389</v>
      </c>
      <c r="V31" s="569"/>
      <c r="W31" s="554"/>
      <c r="X31" s="10">
        <f>'расчеты к штатному '!X31-'расчеты к старое'!X31</f>
        <v>10144.313666666669</v>
      </c>
      <c r="Y31" s="7">
        <f t="shared" si="5"/>
        <v>0</v>
      </c>
      <c r="Z31" s="7">
        <f t="shared" si="5"/>
        <v>0</v>
      </c>
      <c r="AA31" s="23">
        <f t="shared" si="2"/>
        <v>121731.76400000002</v>
      </c>
      <c r="AB31" s="24">
        <f t="shared" si="6"/>
        <v>19368.617979315837</v>
      </c>
      <c r="AC31" s="24">
        <f t="shared" si="7"/>
        <v>152164.70500000002</v>
      </c>
      <c r="AD31" s="24">
        <f t="shared" si="8"/>
        <v>24210.772474144793</v>
      </c>
      <c r="AK31" s="23"/>
      <c r="AL31" s="23"/>
      <c r="AM31" s="23"/>
      <c r="AN31" s="23"/>
      <c r="AO31" s="23"/>
      <c r="AP31" s="23"/>
      <c r="AQ31" s="23"/>
    </row>
    <row r="32" spans="1:43" s="24" customFormat="1" ht="17.25" customHeight="1">
      <c r="A32" s="560">
        <v>6</v>
      </c>
      <c r="B32" s="153" t="s">
        <v>23</v>
      </c>
      <c r="C32" s="561" t="s">
        <v>99</v>
      </c>
      <c r="D32" s="560" t="s">
        <v>25</v>
      </c>
      <c r="E32" s="562" t="s">
        <v>656</v>
      </c>
      <c r="F32" s="562" t="s">
        <v>114</v>
      </c>
      <c r="G32" s="547">
        <v>1</v>
      </c>
      <c r="H32" s="563" t="s">
        <v>102</v>
      </c>
      <c r="I32" s="563" t="s">
        <v>103</v>
      </c>
      <c r="J32" s="581">
        <v>1</v>
      </c>
      <c r="K32" s="554">
        <v>17697</v>
      </c>
      <c r="L32" s="565">
        <v>9</v>
      </c>
      <c r="M32" s="554">
        <f t="shared" si="4"/>
        <v>0.5</v>
      </c>
      <c r="N32" s="574" t="s">
        <v>152</v>
      </c>
      <c r="O32" s="1582">
        <v>4.75</v>
      </c>
      <c r="P32" s="7">
        <f>'расчеты к штатному '!P32-'расчеты к старое'!P32</f>
        <v>0</v>
      </c>
      <c r="Q32" s="556"/>
      <c r="R32" s="568"/>
      <c r="S32" s="554"/>
      <c r="T32" s="554">
        <v>0.1</v>
      </c>
      <c r="U32" s="7">
        <f>'расчеты к штатному '!U32-'расчеты к старое'!U32</f>
        <v>2101.5187500000002</v>
      </c>
      <c r="V32" s="569"/>
      <c r="W32" s="554"/>
      <c r="X32" s="10">
        <f>'расчеты к штатному '!X32-'расчеты к старое'!X32</f>
        <v>23116.706249999996</v>
      </c>
      <c r="Y32" s="7">
        <f t="shared" si="5"/>
        <v>0</v>
      </c>
      <c r="Z32" s="7">
        <f t="shared" si="5"/>
        <v>0</v>
      </c>
      <c r="AA32" s="23">
        <f t="shared" si="2"/>
        <v>277400.47499999998</v>
      </c>
      <c r="AB32" s="24">
        <f t="shared" si="6"/>
        <v>44136.909307875896</v>
      </c>
      <c r="AC32" s="24">
        <f t="shared" si="7"/>
        <v>346750.59375</v>
      </c>
      <c r="AD32" s="24">
        <f t="shared" si="8"/>
        <v>55171.136634844872</v>
      </c>
      <c r="AK32" s="23"/>
      <c r="AL32" s="23"/>
      <c r="AM32" s="23"/>
      <c r="AN32" s="23"/>
      <c r="AO32" s="23"/>
      <c r="AP32" s="23"/>
      <c r="AQ32" s="23"/>
    </row>
    <row r="33" spans="1:43" s="24" customFormat="1" ht="17.25" customHeight="1">
      <c r="A33" s="547">
        <v>7</v>
      </c>
      <c r="B33" s="153" t="s">
        <v>631</v>
      </c>
      <c r="C33" s="561" t="s">
        <v>525</v>
      </c>
      <c r="D33" s="560" t="s">
        <v>25</v>
      </c>
      <c r="E33" s="1000" t="s">
        <v>657</v>
      </c>
      <c r="F33" s="562" t="s">
        <v>114</v>
      </c>
      <c r="G33" s="547">
        <v>1</v>
      </c>
      <c r="H33" s="563" t="s">
        <v>102</v>
      </c>
      <c r="I33" s="563" t="s">
        <v>103</v>
      </c>
      <c r="J33" s="581">
        <v>1</v>
      </c>
      <c r="K33" s="554">
        <v>17697</v>
      </c>
      <c r="L33" s="565">
        <v>26</v>
      </c>
      <c r="M33" s="554">
        <f t="shared" si="4"/>
        <v>1.4444444444444444</v>
      </c>
      <c r="N33" s="574" t="s">
        <v>152</v>
      </c>
      <c r="O33" s="1582">
        <v>4.75</v>
      </c>
      <c r="P33" s="7">
        <f>'расчеты к штатному '!P33-'расчеты к старое'!P33</f>
        <v>4670.0416666666715</v>
      </c>
      <c r="Q33" s="556"/>
      <c r="R33" s="1538"/>
      <c r="S33" s="700"/>
      <c r="T33" s="554">
        <v>0.1</v>
      </c>
      <c r="U33" s="7">
        <f>'расчеты к штатному '!U33-'расчеты к старое'!U33</f>
        <v>6771.560416666669</v>
      </c>
      <c r="V33" s="699"/>
      <c r="W33" s="700"/>
      <c r="X33" s="10">
        <f>'расчеты к штатному '!X33-'расчеты к старое'!X33</f>
        <v>74487.16458333336</v>
      </c>
      <c r="Y33" s="882"/>
      <c r="Z33" s="882"/>
      <c r="AA33" s="23">
        <f t="shared" si="2"/>
        <v>893845.97500000033</v>
      </c>
      <c r="AB33" s="24">
        <f t="shared" si="6"/>
        <v>142218.92999204461</v>
      </c>
      <c r="AC33" s="24">
        <f t="shared" si="7"/>
        <v>1117307.4687500005</v>
      </c>
      <c r="AD33" s="24">
        <f t="shared" si="8"/>
        <v>177773.66249005575</v>
      </c>
      <c r="AK33" s="23"/>
      <c r="AL33" s="23"/>
      <c r="AM33" s="23"/>
      <c r="AN33" s="23"/>
      <c r="AO33" s="23"/>
      <c r="AP33" s="23"/>
      <c r="AQ33" s="23"/>
    </row>
    <row r="34" spans="1:43" s="24" customFormat="1" ht="17.25" customHeight="1">
      <c r="A34" s="560">
        <v>8</v>
      </c>
      <c r="B34" s="153" t="s">
        <v>124</v>
      </c>
      <c r="C34" s="561" t="s">
        <v>125</v>
      </c>
      <c r="D34" s="560" t="s">
        <v>75</v>
      </c>
      <c r="E34" s="582" t="s">
        <v>503</v>
      </c>
      <c r="F34" s="562" t="s">
        <v>77</v>
      </c>
      <c r="G34" s="547">
        <v>1</v>
      </c>
      <c r="H34" s="577" t="s">
        <v>102</v>
      </c>
      <c r="I34" s="577" t="s">
        <v>118</v>
      </c>
      <c r="J34" s="578">
        <v>3</v>
      </c>
      <c r="K34" s="554">
        <v>17697</v>
      </c>
      <c r="L34" s="565">
        <v>18</v>
      </c>
      <c r="M34" s="554">
        <f t="shared" si="4"/>
        <v>1</v>
      </c>
      <c r="N34" s="1583" t="s">
        <v>109</v>
      </c>
      <c r="O34" s="1582">
        <v>3.85</v>
      </c>
      <c r="P34" s="7">
        <f>'расчеты к штатному '!P34-'расчеты к старое'!P34</f>
        <v>0</v>
      </c>
      <c r="Q34" s="556"/>
      <c r="R34" s="1538"/>
      <c r="S34" s="700"/>
      <c r="T34" s="554">
        <v>0.1</v>
      </c>
      <c r="U34" s="7">
        <f>'расчеты к штатному '!U34-'расчеты к старое'!U34</f>
        <v>3406.6724999999997</v>
      </c>
      <c r="V34" s="699"/>
      <c r="W34" s="700"/>
      <c r="X34" s="10">
        <f>'расчеты к штатному '!X34-'расчеты к старое'!X34</f>
        <v>37473.397499999992</v>
      </c>
      <c r="Y34" s="882"/>
      <c r="Z34" s="882"/>
      <c r="AA34" s="23">
        <f t="shared" si="2"/>
        <v>449680.7699999999</v>
      </c>
      <c r="AB34" s="24">
        <f t="shared" si="6"/>
        <v>71548.252983293554</v>
      </c>
      <c r="AC34" s="24">
        <f t="shared" si="7"/>
        <v>562100.96249999991</v>
      </c>
      <c r="AD34" s="24">
        <f t="shared" si="8"/>
        <v>89435.316229116928</v>
      </c>
      <c r="AK34" s="23"/>
      <c r="AL34" s="23"/>
      <c r="AM34" s="23"/>
      <c r="AN34" s="23"/>
      <c r="AO34" s="23"/>
      <c r="AP34" s="23"/>
      <c r="AQ34" s="23"/>
    </row>
    <row r="35" spans="1:43" s="24" customFormat="1" ht="17.25" customHeight="1">
      <c r="A35" s="547">
        <v>9</v>
      </c>
      <c r="B35" s="153" t="s">
        <v>629</v>
      </c>
      <c r="C35" s="561" t="s">
        <v>99</v>
      </c>
      <c r="D35" s="560" t="s">
        <v>25</v>
      </c>
      <c r="E35" s="562" t="s">
        <v>805</v>
      </c>
      <c r="F35" s="562" t="s">
        <v>252</v>
      </c>
      <c r="G35" s="547">
        <v>1</v>
      </c>
      <c r="H35" s="563" t="s">
        <v>102</v>
      </c>
      <c r="I35" s="563" t="s">
        <v>103</v>
      </c>
      <c r="J35" s="581">
        <v>4</v>
      </c>
      <c r="K35" s="554">
        <v>17697</v>
      </c>
      <c r="L35" s="565">
        <v>10</v>
      </c>
      <c r="M35" s="554">
        <f t="shared" si="4"/>
        <v>0.55555555555555558</v>
      </c>
      <c r="N35" s="574" t="s">
        <v>112</v>
      </c>
      <c r="O35" s="1014">
        <v>3.78</v>
      </c>
      <c r="P35" s="7" t="e">
        <f>'расчеты к штатному '!#REF!-'расчеты к старое'!P35</f>
        <v>#REF!</v>
      </c>
      <c r="Q35" s="556"/>
      <c r="R35" s="568"/>
      <c r="S35" s="554"/>
      <c r="T35" s="554">
        <v>0.1</v>
      </c>
      <c r="U35" s="7" t="e">
        <f>'расчеты к штатному '!#REF!-'расчеты к старое'!U35</f>
        <v>#REF!</v>
      </c>
      <c r="V35" s="569"/>
      <c r="W35" s="554"/>
      <c r="X35" s="10" t="e">
        <f>'расчеты к штатному '!#REF!-'расчеты к старое'!X35</f>
        <v>#REF!</v>
      </c>
      <c r="Y35" s="10">
        <f t="shared" si="5"/>
        <v>0</v>
      </c>
      <c r="Z35" s="10">
        <f t="shared" si="5"/>
        <v>0</v>
      </c>
      <c r="AA35" s="23" t="e">
        <f t="shared" si="2"/>
        <v>#REF!</v>
      </c>
      <c r="AB35" s="24" t="e">
        <f t="shared" si="6"/>
        <v>#REF!</v>
      </c>
      <c r="AC35" s="24" t="e">
        <f t="shared" si="7"/>
        <v>#REF!</v>
      </c>
      <c r="AD35" s="24" t="e">
        <f t="shared" si="8"/>
        <v>#REF!</v>
      </c>
      <c r="AK35" s="23"/>
      <c r="AL35" s="23"/>
      <c r="AM35" s="23"/>
      <c r="AN35" s="23"/>
      <c r="AO35" s="23"/>
      <c r="AP35" s="23"/>
      <c r="AQ35" s="23"/>
    </row>
    <row r="36" spans="1:43" s="24" customFormat="1" ht="19.5" customHeight="1">
      <c r="A36" s="560">
        <v>10</v>
      </c>
      <c r="B36" s="153" t="s">
        <v>116</v>
      </c>
      <c r="C36" s="561" t="s">
        <v>99</v>
      </c>
      <c r="D36" s="560" t="s">
        <v>64</v>
      </c>
      <c r="E36" s="583" t="s">
        <v>660</v>
      </c>
      <c r="F36" s="562" t="s">
        <v>114</v>
      </c>
      <c r="G36" s="547">
        <v>1</v>
      </c>
      <c r="H36" s="563" t="s">
        <v>102</v>
      </c>
      <c r="I36" s="563" t="s">
        <v>118</v>
      </c>
      <c r="J36" s="564">
        <v>1</v>
      </c>
      <c r="K36" s="554">
        <v>17697</v>
      </c>
      <c r="L36" s="565">
        <v>36</v>
      </c>
      <c r="M36" s="554">
        <f t="shared" si="4"/>
        <v>2</v>
      </c>
      <c r="N36" s="574" t="s">
        <v>152</v>
      </c>
      <c r="O36" s="1014">
        <v>4.5199999999999996</v>
      </c>
      <c r="P36" s="7">
        <f>'расчеты к штатному '!P35-'расчеты к старое'!P36</f>
        <v>0</v>
      </c>
      <c r="Q36" s="556"/>
      <c r="R36" s="568"/>
      <c r="S36" s="554"/>
      <c r="T36" s="554">
        <v>0.1</v>
      </c>
      <c r="U36" s="7">
        <f>'расчеты к штатному '!U35-'расчеты к старое'!U36</f>
        <v>7999.0439999999999</v>
      </c>
      <c r="V36" s="569"/>
      <c r="W36" s="554"/>
      <c r="X36" s="10">
        <f>'расчеты к штатному '!X35-'расчеты к старое'!X36</f>
        <v>87989.483999999968</v>
      </c>
      <c r="Y36" s="10">
        <f t="shared" si="5"/>
        <v>0</v>
      </c>
      <c r="Z36" s="10">
        <f t="shared" si="5"/>
        <v>0</v>
      </c>
      <c r="AA36" s="23">
        <f t="shared" si="2"/>
        <v>1055873.8079999997</v>
      </c>
      <c r="AB36" s="24">
        <f t="shared" si="6"/>
        <v>167999.01479713601</v>
      </c>
      <c r="AC36" s="24">
        <f t="shared" si="7"/>
        <v>1319842.2599999998</v>
      </c>
      <c r="AD36" s="24">
        <f t="shared" si="8"/>
        <v>209998.76849642003</v>
      </c>
      <c r="AK36" s="23"/>
      <c r="AL36" s="23"/>
      <c r="AM36" s="23"/>
      <c r="AN36" s="23"/>
      <c r="AO36" s="23"/>
      <c r="AP36" s="23"/>
      <c r="AQ36" s="23"/>
    </row>
    <row r="37" spans="1:43" s="24" customFormat="1" ht="17.25" customHeight="1">
      <c r="A37" s="547">
        <v>11</v>
      </c>
      <c r="B37" s="153" t="s">
        <v>127</v>
      </c>
      <c r="C37" s="561" t="s">
        <v>99</v>
      </c>
      <c r="D37" s="560" t="s">
        <v>25</v>
      </c>
      <c r="E37" s="562" t="s">
        <v>661</v>
      </c>
      <c r="F37" s="562" t="s">
        <v>34</v>
      </c>
      <c r="G37" s="547">
        <v>1</v>
      </c>
      <c r="H37" s="563" t="s">
        <v>102</v>
      </c>
      <c r="I37" s="563" t="s">
        <v>103</v>
      </c>
      <c r="J37" s="564">
        <v>1</v>
      </c>
      <c r="K37" s="554">
        <v>17697</v>
      </c>
      <c r="L37" s="565">
        <v>26</v>
      </c>
      <c r="M37" s="554">
        <f t="shared" si="4"/>
        <v>1.4444444444444444</v>
      </c>
      <c r="N37" s="574" t="s">
        <v>152</v>
      </c>
      <c r="O37" s="1014">
        <v>4.75</v>
      </c>
      <c r="P37" s="7">
        <f>'расчеты к штатному '!P37-'расчеты к старое'!P37</f>
        <v>28020.25</v>
      </c>
      <c r="Q37" s="556"/>
      <c r="R37" s="568"/>
      <c r="S37" s="554"/>
      <c r="T37" s="554">
        <v>0.1</v>
      </c>
      <c r="U37" s="7">
        <f>'расчеты к штатному '!U37-'расчеты к старое'!U37</f>
        <v>10274.091666666665</v>
      </c>
      <c r="V37" s="569"/>
      <c r="W37" s="554"/>
      <c r="X37" s="10">
        <f>'расчеты к штатному '!X37-'расчеты к старое'!X37</f>
        <v>113015.00833333333</v>
      </c>
      <c r="Y37" s="10"/>
      <c r="Z37" s="10"/>
      <c r="AA37" s="23">
        <f t="shared" si="2"/>
        <v>1356180.1</v>
      </c>
      <c r="AB37" s="24">
        <f t="shared" si="6"/>
        <v>215780.44550517108</v>
      </c>
      <c r="AC37" s="24">
        <f t="shared" si="7"/>
        <v>1695225.125</v>
      </c>
      <c r="AD37" s="24">
        <f t="shared" si="8"/>
        <v>269725.55688146385</v>
      </c>
      <c r="AK37" s="23"/>
      <c r="AL37" s="23"/>
      <c r="AM37" s="23"/>
      <c r="AN37" s="23"/>
      <c r="AO37" s="23"/>
      <c r="AP37" s="23"/>
      <c r="AQ37" s="23"/>
    </row>
    <row r="38" spans="1:43" s="24" customFormat="1" ht="17.25" customHeight="1">
      <c r="A38" s="560">
        <v>12</v>
      </c>
      <c r="B38" s="153" t="s">
        <v>386</v>
      </c>
      <c r="C38" s="561" t="s">
        <v>99</v>
      </c>
      <c r="D38" s="560" t="s">
        <v>25</v>
      </c>
      <c r="E38" s="582" t="s">
        <v>662</v>
      </c>
      <c r="F38" s="582" t="s">
        <v>34</v>
      </c>
      <c r="G38" s="547">
        <v>1</v>
      </c>
      <c r="H38" s="563" t="s">
        <v>102</v>
      </c>
      <c r="I38" s="563" t="s">
        <v>103</v>
      </c>
      <c r="J38" s="581">
        <v>1</v>
      </c>
      <c r="K38" s="554">
        <v>17697</v>
      </c>
      <c r="L38" s="565">
        <v>28</v>
      </c>
      <c r="M38" s="554">
        <f t="shared" si="4"/>
        <v>1.5555555555555556</v>
      </c>
      <c r="N38" s="698" t="s">
        <v>152</v>
      </c>
      <c r="O38" s="1157">
        <v>4.75</v>
      </c>
      <c r="P38" s="7">
        <f>'расчеты к штатному '!P38-'расчеты к старое'!P38</f>
        <v>-46700.416666666672</v>
      </c>
      <c r="Q38" s="556"/>
      <c r="R38" s="1538"/>
      <c r="S38" s="700"/>
      <c r="T38" s="554">
        <v>0.1</v>
      </c>
      <c r="U38" s="7">
        <f>'расчеты к штатному '!U38-'расчеты к старое'!U38</f>
        <v>-467.00416666666752</v>
      </c>
      <c r="V38" s="699"/>
      <c r="W38" s="700"/>
      <c r="X38" s="10">
        <f>'расчеты к штатному '!X38-'расчеты к старое'!X38</f>
        <v>-5137.0458333333372</v>
      </c>
      <c r="Y38" s="1547"/>
      <c r="Z38" s="1547"/>
      <c r="AA38" s="23">
        <f t="shared" si="2"/>
        <v>-61644.550000000047</v>
      </c>
      <c r="AB38" s="24">
        <f t="shared" si="6"/>
        <v>-9808.2020684168729</v>
      </c>
      <c r="AC38" s="24">
        <f t="shared" si="7"/>
        <v>-77055.687500000058</v>
      </c>
      <c r="AD38" s="24">
        <f t="shared" si="8"/>
        <v>-12260.252585521092</v>
      </c>
      <c r="AK38" s="23"/>
      <c r="AL38" s="23"/>
      <c r="AM38" s="23"/>
      <c r="AN38" s="23"/>
      <c r="AO38" s="23"/>
      <c r="AP38" s="23"/>
      <c r="AQ38" s="23"/>
    </row>
    <row r="39" spans="1:43" s="24" customFormat="1" ht="17.25" customHeight="1">
      <c r="A39" s="547">
        <v>13</v>
      </c>
      <c r="B39" s="998" t="s">
        <v>458</v>
      </c>
      <c r="C39" s="561" t="s">
        <v>99</v>
      </c>
      <c r="D39" s="560" t="s">
        <v>25</v>
      </c>
      <c r="E39" s="582" t="s">
        <v>662</v>
      </c>
      <c r="F39" s="582" t="s">
        <v>34</v>
      </c>
      <c r="G39" s="547">
        <v>1</v>
      </c>
      <c r="H39" s="563" t="s">
        <v>102</v>
      </c>
      <c r="I39" s="563" t="s">
        <v>103</v>
      </c>
      <c r="J39" s="581">
        <v>1</v>
      </c>
      <c r="K39" s="554">
        <v>17697</v>
      </c>
      <c r="L39" s="1540">
        <v>17</v>
      </c>
      <c r="M39" s="554">
        <f t="shared" si="4"/>
        <v>0.94444444444444442</v>
      </c>
      <c r="N39" s="698" t="s">
        <v>152</v>
      </c>
      <c r="O39" s="1157">
        <v>4.75</v>
      </c>
      <c r="P39" s="7">
        <f>'расчеты к штатному '!P39-'расчеты к старое'!P39</f>
        <v>23350.208333333328</v>
      </c>
      <c r="Q39" s="556"/>
      <c r="R39" s="1538"/>
      <c r="S39" s="700"/>
      <c r="T39" s="554">
        <v>0.1</v>
      </c>
      <c r="U39" s="7">
        <f>'расчеты к штатному '!U39-'расчеты к старое'!U39</f>
        <v>7472.0666666666657</v>
      </c>
      <c r="V39" s="699"/>
      <c r="W39" s="700"/>
      <c r="X39" s="10">
        <f>'расчеты к штатному '!X39-'расчеты к старое'!X39</f>
        <v>82192.733333333337</v>
      </c>
      <c r="Y39" s="1547"/>
      <c r="Z39" s="1547"/>
      <c r="AA39" s="23"/>
      <c r="AK39" s="23"/>
      <c r="AL39" s="23"/>
      <c r="AM39" s="23"/>
      <c r="AN39" s="23"/>
      <c r="AO39" s="23"/>
      <c r="AP39" s="23"/>
      <c r="AQ39" s="23"/>
    </row>
    <row r="40" spans="1:43" s="24" customFormat="1" ht="17.25" customHeight="1">
      <c r="A40" s="560">
        <v>14</v>
      </c>
      <c r="B40" s="153" t="s">
        <v>130</v>
      </c>
      <c r="C40" s="561" t="s">
        <v>99</v>
      </c>
      <c r="D40" s="560" t="s">
        <v>25</v>
      </c>
      <c r="E40" s="582" t="s">
        <v>665</v>
      </c>
      <c r="F40" s="582" t="s">
        <v>34</v>
      </c>
      <c r="G40" s="547">
        <v>1</v>
      </c>
      <c r="H40" s="563" t="s">
        <v>102</v>
      </c>
      <c r="I40" s="563" t="s">
        <v>103</v>
      </c>
      <c r="J40" s="564">
        <v>1</v>
      </c>
      <c r="K40" s="554">
        <v>17697</v>
      </c>
      <c r="L40" s="565">
        <v>9</v>
      </c>
      <c r="M40" s="554">
        <f t="shared" si="4"/>
        <v>0.5</v>
      </c>
      <c r="N40" s="997" t="s">
        <v>152</v>
      </c>
      <c r="O40" s="1014">
        <v>4.75</v>
      </c>
      <c r="P40" s="7">
        <f>'расчеты к штатному '!P40-'расчеты к старое'!P40</f>
        <v>0</v>
      </c>
      <c r="Q40" s="556"/>
      <c r="R40" s="568"/>
      <c r="S40" s="554"/>
      <c r="T40" s="554">
        <v>0.1</v>
      </c>
      <c r="U40" s="7">
        <f>'расчеты к штатному '!U40-'расчеты к старое'!U40</f>
        <v>2101.5187500000002</v>
      </c>
      <c r="V40" s="569"/>
      <c r="W40" s="554"/>
      <c r="X40" s="10">
        <f>'расчеты к штатному '!X40-'расчеты к старое'!X40</f>
        <v>23116.706249999996</v>
      </c>
      <c r="Y40" s="7">
        <f t="shared" si="5"/>
        <v>0</v>
      </c>
      <c r="Z40" s="7">
        <f t="shared" si="5"/>
        <v>0</v>
      </c>
      <c r="AA40" s="23">
        <f t="shared" si="2"/>
        <v>277400.47499999998</v>
      </c>
      <c r="AB40" s="24">
        <f t="shared" si="6"/>
        <v>44136.909307875896</v>
      </c>
      <c r="AC40" s="24">
        <f t="shared" si="7"/>
        <v>346750.59375</v>
      </c>
      <c r="AD40" s="24">
        <f t="shared" si="8"/>
        <v>55171.136634844872</v>
      </c>
      <c r="AK40" s="23"/>
      <c r="AL40" s="23"/>
      <c r="AM40" s="23"/>
      <c r="AN40" s="23"/>
      <c r="AO40" s="23"/>
      <c r="AP40" s="23"/>
      <c r="AQ40" s="23"/>
    </row>
    <row r="41" spans="1:43" s="1692" customFormat="1" ht="17.25" customHeight="1">
      <c r="A41" s="547">
        <v>15</v>
      </c>
      <c r="B41" s="153" t="s">
        <v>455</v>
      </c>
      <c r="C41" s="561" t="s">
        <v>99</v>
      </c>
      <c r="D41" s="563" t="s">
        <v>25</v>
      </c>
      <c r="E41" s="210" t="s">
        <v>667</v>
      </c>
      <c r="F41" s="562" t="s">
        <v>34</v>
      </c>
      <c r="G41" s="547">
        <v>1</v>
      </c>
      <c r="H41" s="563" t="s">
        <v>102</v>
      </c>
      <c r="I41" s="563" t="s">
        <v>103</v>
      </c>
      <c r="J41" s="564">
        <v>1</v>
      </c>
      <c r="K41" s="554">
        <v>17697</v>
      </c>
      <c r="L41" s="565">
        <v>8</v>
      </c>
      <c r="M41" s="554">
        <f t="shared" si="4"/>
        <v>0.44444444444444442</v>
      </c>
      <c r="N41" s="997" t="s">
        <v>152</v>
      </c>
      <c r="O41" s="1014">
        <v>4.75</v>
      </c>
      <c r="P41" s="7">
        <f>'расчеты к штатному '!P41-'расчеты к старое'!P41</f>
        <v>0</v>
      </c>
      <c r="Q41" s="556"/>
      <c r="R41" s="568"/>
      <c r="S41" s="554"/>
      <c r="T41" s="554">
        <v>0.1</v>
      </c>
      <c r="U41" s="7">
        <f>'расчеты к штатному '!U41-'расчеты к старое'!U41</f>
        <v>1868.0166666666664</v>
      </c>
      <c r="V41" s="569"/>
      <c r="W41" s="554"/>
      <c r="X41" s="10">
        <f>'расчеты к штатному '!X41-'расчеты к старое'!X41</f>
        <v>20548.183333333334</v>
      </c>
      <c r="Y41" s="1691">
        <f t="shared" si="5"/>
        <v>0</v>
      </c>
      <c r="Z41" s="1691">
        <f t="shared" si="5"/>
        <v>0</v>
      </c>
      <c r="AA41" s="23">
        <f t="shared" si="2"/>
        <v>246578.2</v>
      </c>
      <c r="AB41" s="24">
        <f t="shared" si="6"/>
        <v>39232.80827366747</v>
      </c>
      <c r="AC41" s="24">
        <f t="shared" si="7"/>
        <v>308222.75</v>
      </c>
      <c r="AD41" s="24">
        <f t="shared" si="8"/>
        <v>49041.010342084337</v>
      </c>
      <c r="AK41" s="1782"/>
      <c r="AL41" s="1782"/>
      <c r="AM41" s="1782"/>
      <c r="AN41" s="1782"/>
      <c r="AO41" s="1782"/>
      <c r="AP41" s="1782"/>
      <c r="AQ41" s="1782"/>
    </row>
    <row r="42" spans="1:43" s="24" customFormat="1" ht="17.25" customHeight="1">
      <c r="A42" s="560">
        <v>16</v>
      </c>
      <c r="B42" s="153" t="s">
        <v>227</v>
      </c>
      <c r="C42" s="561" t="s">
        <v>99</v>
      </c>
      <c r="D42" s="560" t="s">
        <v>25</v>
      </c>
      <c r="E42" s="562" t="s">
        <v>741</v>
      </c>
      <c r="F42" s="562" t="s">
        <v>669</v>
      </c>
      <c r="G42" s="547">
        <v>1</v>
      </c>
      <c r="H42" s="580" t="s">
        <v>102</v>
      </c>
      <c r="I42" s="580" t="s">
        <v>103</v>
      </c>
      <c r="J42" s="574">
        <v>2</v>
      </c>
      <c r="K42" s="554">
        <v>17697</v>
      </c>
      <c r="L42" s="565">
        <v>4</v>
      </c>
      <c r="M42" s="554">
        <f t="shared" si="4"/>
        <v>0.22222222222222221</v>
      </c>
      <c r="N42" s="1014" t="s">
        <v>104</v>
      </c>
      <c r="O42" s="1014">
        <v>4.09</v>
      </c>
      <c r="P42" s="7">
        <f>'расчеты к штатному '!P42-'расчеты к старое'!P42</f>
        <v>4021.1516666666648</v>
      </c>
      <c r="Q42" s="556"/>
      <c r="R42" s="568"/>
      <c r="S42" s="554"/>
      <c r="T42" s="554">
        <v>0.1</v>
      </c>
      <c r="U42" s="7">
        <f>'расчеты к штатному '!U42-'расчеты к старое'!U42</f>
        <v>1407.4030833333331</v>
      </c>
      <c r="V42" s="569"/>
      <c r="W42" s="554"/>
      <c r="X42" s="10">
        <f>'расчеты к штатному '!X42-'расчеты к старое'!X42</f>
        <v>15481.433916666661</v>
      </c>
      <c r="Y42" s="10">
        <f t="shared" si="5"/>
        <v>0</v>
      </c>
      <c r="Z42" s="10">
        <f t="shared" si="5"/>
        <v>0</v>
      </c>
      <c r="AA42" s="23">
        <f t="shared" si="2"/>
        <v>185777.20699999994</v>
      </c>
      <c r="AB42" s="24">
        <f t="shared" si="6"/>
        <v>29558.823707239448</v>
      </c>
      <c r="AC42" s="24">
        <f t="shared" si="7"/>
        <v>232221.50874999992</v>
      </c>
      <c r="AD42" s="24">
        <f t="shared" si="8"/>
        <v>36948.529634049315</v>
      </c>
      <c r="AK42" s="23"/>
      <c r="AL42" s="23"/>
      <c r="AM42" s="23"/>
      <c r="AN42" s="23"/>
      <c r="AO42" s="23"/>
      <c r="AP42" s="23"/>
      <c r="AQ42" s="23"/>
    </row>
    <row r="43" spans="1:43" s="24" customFormat="1" ht="17.25" customHeight="1">
      <c r="A43" s="547">
        <v>17</v>
      </c>
      <c r="B43" s="153" t="s">
        <v>138</v>
      </c>
      <c r="C43" s="561" t="s">
        <v>99</v>
      </c>
      <c r="D43" s="563" t="s">
        <v>25</v>
      </c>
      <c r="E43" s="562" t="s">
        <v>671</v>
      </c>
      <c r="F43" s="562" t="s">
        <v>476</v>
      </c>
      <c r="G43" s="547">
        <v>1</v>
      </c>
      <c r="H43" s="563" t="s">
        <v>102</v>
      </c>
      <c r="I43" s="563" t="s">
        <v>103</v>
      </c>
      <c r="J43" s="1584">
        <v>3</v>
      </c>
      <c r="K43" s="554">
        <v>17697</v>
      </c>
      <c r="L43" s="565">
        <v>18</v>
      </c>
      <c r="M43" s="554">
        <f t="shared" si="4"/>
        <v>1</v>
      </c>
      <c r="N43" s="1585" t="s">
        <v>109</v>
      </c>
      <c r="O43" s="1014">
        <v>4.07</v>
      </c>
      <c r="P43" s="7">
        <f>'расчеты к штатному '!P45-'расчеты к старое'!P43</f>
        <v>9379.4099999999744</v>
      </c>
      <c r="Q43" s="556"/>
      <c r="R43" s="568"/>
      <c r="S43" s="554"/>
      <c r="T43" s="554">
        <v>0.1</v>
      </c>
      <c r="U43" s="7">
        <f>'расчеты к штатному '!U45-'расчеты к старое'!U43</f>
        <v>5008.2509999999975</v>
      </c>
      <c r="V43" s="569"/>
      <c r="W43" s="554"/>
      <c r="X43" s="10">
        <f>'расчеты к штатному '!X45-'расчеты к старое'!X43</f>
        <v>55090.760999999969</v>
      </c>
      <c r="Y43" s="7"/>
      <c r="Z43" s="7"/>
      <c r="AA43" s="23">
        <f t="shared" si="2"/>
        <v>661089.13199999963</v>
      </c>
      <c r="AB43" s="24">
        <f t="shared" si="6"/>
        <v>105185.2238663484</v>
      </c>
      <c r="AC43" s="24">
        <f t="shared" si="7"/>
        <v>826361.41499999957</v>
      </c>
      <c r="AD43" s="24">
        <f t="shared" si="8"/>
        <v>131481.52983293551</v>
      </c>
      <c r="AK43" s="23"/>
      <c r="AL43" s="23"/>
      <c r="AM43" s="23"/>
      <c r="AN43" s="23"/>
      <c r="AO43" s="23"/>
      <c r="AP43" s="23"/>
      <c r="AQ43" s="23"/>
    </row>
    <row r="44" spans="1:43" s="24" customFormat="1" ht="18" customHeight="1">
      <c r="A44" s="560">
        <v>18</v>
      </c>
      <c r="B44" s="153" t="s">
        <v>58</v>
      </c>
      <c r="C44" s="561" t="s">
        <v>99</v>
      </c>
      <c r="D44" s="563" t="s">
        <v>25</v>
      </c>
      <c r="E44" s="562" t="s">
        <v>608</v>
      </c>
      <c r="F44" s="562" t="s">
        <v>366</v>
      </c>
      <c r="G44" s="547">
        <v>1</v>
      </c>
      <c r="H44" s="563" t="s">
        <v>102</v>
      </c>
      <c r="I44" s="563" t="s">
        <v>103</v>
      </c>
      <c r="J44" s="581">
        <v>2</v>
      </c>
      <c r="K44" s="554">
        <v>17697</v>
      </c>
      <c r="L44" s="565">
        <v>14</v>
      </c>
      <c r="M44" s="554">
        <f t="shared" si="4"/>
        <v>0.77777777777777779</v>
      </c>
      <c r="N44" s="1014" t="s">
        <v>104</v>
      </c>
      <c r="O44" s="1014">
        <v>4.4400000000000004</v>
      </c>
      <c r="P44" s="7">
        <f>'расчеты к штатному '!P46-'расчеты к старое'!P44</f>
        <v>13095.779999999999</v>
      </c>
      <c r="Q44" s="556"/>
      <c r="R44" s="568"/>
      <c r="S44" s="554"/>
      <c r="T44" s="554">
        <v>0.1</v>
      </c>
      <c r="U44" s="7">
        <f>'расчеты к штатному '!U46-'расчеты к старое'!U44</f>
        <v>5020.049</v>
      </c>
      <c r="V44" s="569"/>
      <c r="W44" s="554"/>
      <c r="X44" s="10">
        <f>'расчеты к штатному '!X46-'расчеты к старое'!X44</f>
        <v>55220.539000000004</v>
      </c>
      <c r="Y44" s="10">
        <f t="shared" si="5"/>
        <v>0</v>
      </c>
      <c r="Z44" s="10">
        <f t="shared" si="5"/>
        <v>0</v>
      </c>
      <c r="AA44" s="23">
        <f t="shared" si="2"/>
        <v>662646.46800000011</v>
      </c>
      <c r="AB44" s="24">
        <f t="shared" si="6"/>
        <v>105433.01002386637</v>
      </c>
      <c r="AC44" s="24">
        <f t="shared" si="7"/>
        <v>828308.0850000002</v>
      </c>
      <c r="AD44" s="24">
        <f t="shared" si="8"/>
        <v>131791.26252983298</v>
      </c>
      <c r="AK44" s="23"/>
      <c r="AL44" s="23"/>
      <c r="AM44" s="23"/>
      <c r="AN44" s="23"/>
      <c r="AO44" s="23"/>
      <c r="AP44" s="23"/>
      <c r="AQ44" s="23"/>
    </row>
    <row r="45" spans="1:43" s="24" customFormat="1" ht="17.25" customHeight="1">
      <c r="A45" s="547">
        <v>19</v>
      </c>
      <c r="B45" s="153" t="s">
        <v>145</v>
      </c>
      <c r="C45" s="561" t="s">
        <v>99</v>
      </c>
      <c r="D45" s="563" t="s">
        <v>25</v>
      </c>
      <c r="E45" s="562" t="s">
        <v>672</v>
      </c>
      <c r="F45" s="562" t="s">
        <v>476</v>
      </c>
      <c r="G45" s="547">
        <v>1</v>
      </c>
      <c r="H45" s="563" t="s">
        <v>102</v>
      </c>
      <c r="I45" s="563" t="s">
        <v>103</v>
      </c>
      <c r="J45" s="581">
        <v>2</v>
      </c>
      <c r="K45" s="554">
        <v>17697</v>
      </c>
      <c r="L45" s="565">
        <v>12</v>
      </c>
      <c r="M45" s="554">
        <f t="shared" si="4"/>
        <v>0.66666666666666663</v>
      </c>
      <c r="N45" s="1581" t="s">
        <v>104</v>
      </c>
      <c r="O45" s="1014">
        <v>4.09</v>
      </c>
      <c r="P45" s="7">
        <f>'расчеты к штатному '!P47-'расчеты к старое'!P45</f>
        <v>825.86000000000058</v>
      </c>
      <c r="Q45" s="556"/>
      <c r="R45" s="568"/>
      <c r="S45" s="554"/>
      <c r="T45" s="554">
        <v>0.1</v>
      </c>
      <c r="U45" s="7">
        <f>'расчеты к штатному '!U47-'расчеты к старое'!U45</f>
        <v>2536.5700000000006</v>
      </c>
      <c r="V45" s="569"/>
      <c r="W45" s="554"/>
      <c r="X45" s="10">
        <f>'расчеты к штатному '!X47-'расчеты к старое'!X45</f>
        <v>27902.270000000011</v>
      </c>
      <c r="Y45" s="10">
        <f t="shared" si="5"/>
        <v>0</v>
      </c>
      <c r="Z45" s="10">
        <f t="shared" si="5"/>
        <v>0</v>
      </c>
      <c r="AA45" s="23">
        <f t="shared" si="2"/>
        <v>334827.24000000011</v>
      </c>
      <c r="AB45" s="24">
        <f t="shared" si="6"/>
        <v>53274.023866348463</v>
      </c>
      <c r="AC45" s="24">
        <f t="shared" si="7"/>
        <v>418534.05000000016</v>
      </c>
      <c r="AD45" s="24">
        <f t="shared" si="8"/>
        <v>66592.529832935601</v>
      </c>
      <c r="AK45" s="23"/>
      <c r="AL45" s="23"/>
      <c r="AM45" s="23"/>
      <c r="AN45" s="23"/>
      <c r="AO45" s="23"/>
      <c r="AP45" s="23"/>
      <c r="AQ45" s="23"/>
    </row>
    <row r="46" spans="1:43" s="24" customFormat="1" ht="17.25" customHeight="1">
      <c r="A46" s="560">
        <v>20</v>
      </c>
      <c r="B46" s="153" t="s">
        <v>143</v>
      </c>
      <c r="C46" s="561" t="s">
        <v>99</v>
      </c>
      <c r="D46" s="563" t="s">
        <v>25</v>
      </c>
      <c r="E46" s="562" t="s">
        <v>674</v>
      </c>
      <c r="F46" s="562" t="s">
        <v>239</v>
      </c>
      <c r="G46" s="547">
        <v>1</v>
      </c>
      <c r="H46" s="563" t="s">
        <v>102</v>
      </c>
      <c r="I46" s="563" t="s">
        <v>103</v>
      </c>
      <c r="J46" s="581">
        <v>1</v>
      </c>
      <c r="K46" s="554">
        <v>17697</v>
      </c>
      <c r="L46" s="565">
        <v>28</v>
      </c>
      <c r="M46" s="554">
        <f t="shared" si="4"/>
        <v>1.5555555555555556</v>
      </c>
      <c r="N46" s="574" t="s">
        <v>152</v>
      </c>
      <c r="O46" s="1014">
        <v>4.49</v>
      </c>
      <c r="P46" s="7">
        <f>'расчеты к штатному '!P48-'расчеты к старое'!P46</f>
        <v>4414.4183333333349</v>
      </c>
      <c r="Q46" s="556"/>
      <c r="R46" s="568"/>
      <c r="S46" s="554"/>
      <c r="T46" s="554">
        <v>0.1</v>
      </c>
      <c r="U46" s="7">
        <f>'расчеты к штатному '!U48-'расчеты к старое'!U46</f>
        <v>6842.3484166666676</v>
      </c>
      <c r="V46" s="569"/>
      <c r="W46" s="554"/>
      <c r="X46" s="10">
        <f>'расчеты к штатному '!X48-'расчеты к старое'!X46</f>
        <v>75265.832583333307</v>
      </c>
      <c r="Y46" s="10">
        <f t="shared" si="5"/>
        <v>0</v>
      </c>
      <c r="Z46" s="10">
        <f t="shared" si="5"/>
        <v>0</v>
      </c>
      <c r="AA46" s="23">
        <f t="shared" si="2"/>
        <v>903189.99099999969</v>
      </c>
      <c r="AB46" s="24">
        <f t="shared" si="6"/>
        <v>143705.64693715191</v>
      </c>
      <c r="AC46" s="24">
        <f t="shared" si="7"/>
        <v>1128987.4887499996</v>
      </c>
      <c r="AD46" s="24">
        <f t="shared" si="8"/>
        <v>179632.05867143988</v>
      </c>
      <c r="AK46" s="23"/>
      <c r="AL46" s="23"/>
      <c r="AM46" s="23"/>
      <c r="AN46" s="23"/>
      <c r="AO46" s="23"/>
      <c r="AP46" s="23"/>
      <c r="AQ46" s="23"/>
    </row>
    <row r="47" spans="1:43" s="24" customFormat="1" ht="17.25" customHeight="1">
      <c r="A47" s="547">
        <v>21</v>
      </c>
      <c r="B47" s="153" t="s">
        <v>447</v>
      </c>
      <c r="C47" s="561" t="s">
        <v>99</v>
      </c>
      <c r="D47" s="563" t="s">
        <v>75</v>
      </c>
      <c r="E47" s="1586" t="s">
        <v>806</v>
      </c>
      <c r="F47" s="1586" t="s">
        <v>602</v>
      </c>
      <c r="G47" s="547">
        <v>1</v>
      </c>
      <c r="H47" s="563" t="s">
        <v>102</v>
      </c>
      <c r="I47" s="563" t="s">
        <v>118</v>
      </c>
      <c r="J47" s="581">
        <v>4</v>
      </c>
      <c r="K47" s="554">
        <v>17697</v>
      </c>
      <c r="L47" s="565">
        <v>10</v>
      </c>
      <c r="M47" s="554">
        <f t="shared" si="4"/>
        <v>0.55555555555555558</v>
      </c>
      <c r="N47" s="574" t="s">
        <v>112</v>
      </c>
      <c r="O47" s="1014">
        <v>3.36</v>
      </c>
      <c r="P47" s="7">
        <f>'расчеты к штатному '!P49-'расчеты к старое'!P47</f>
        <v>-6606.880000000001</v>
      </c>
      <c r="Q47" s="556"/>
      <c r="R47" s="568"/>
      <c r="S47" s="554"/>
      <c r="T47" s="554">
        <v>0.1</v>
      </c>
      <c r="U47" s="7">
        <f>'расчеты к штатному '!U49-'расчеты к старое'!U47</f>
        <v>660.68799999999965</v>
      </c>
      <c r="V47" s="569"/>
      <c r="W47" s="554"/>
      <c r="X47" s="10">
        <f>'расчеты к штатному '!X49-'расчеты к старое'!X47</f>
        <v>7267.567999999992</v>
      </c>
      <c r="Y47" s="10">
        <f t="shared" si="5"/>
        <v>0</v>
      </c>
      <c r="Z47" s="10">
        <f t="shared" si="5"/>
        <v>0</v>
      </c>
      <c r="AA47" s="23">
        <f t="shared" si="2"/>
        <v>87210.815999999904</v>
      </c>
      <c r="AB47" s="24">
        <f t="shared" si="6"/>
        <v>13876.024821002373</v>
      </c>
      <c r="AC47" s="24">
        <f t="shared" si="7"/>
        <v>109013.51999999987</v>
      </c>
      <c r="AD47" s="24">
        <f t="shared" si="8"/>
        <v>17345.031026252964</v>
      </c>
      <c r="AK47" s="23"/>
      <c r="AL47" s="23"/>
      <c r="AM47" s="23"/>
      <c r="AN47" s="23"/>
      <c r="AO47" s="23"/>
      <c r="AP47" s="23"/>
      <c r="AQ47" s="23"/>
    </row>
    <row r="48" spans="1:43" s="24" customFormat="1" ht="17.25" customHeight="1">
      <c r="A48" s="560">
        <v>22</v>
      </c>
      <c r="B48" s="998" t="s">
        <v>803</v>
      </c>
      <c r="C48" s="873" t="s">
        <v>99</v>
      </c>
      <c r="D48" s="1002" t="s">
        <v>25</v>
      </c>
      <c r="E48" s="1586" t="s">
        <v>807</v>
      </c>
      <c r="F48" s="1586" t="s">
        <v>34</v>
      </c>
      <c r="G48" s="547">
        <v>1</v>
      </c>
      <c r="H48" s="563" t="s">
        <v>102</v>
      </c>
      <c r="I48" s="563" t="s">
        <v>103</v>
      </c>
      <c r="J48" s="581">
        <v>1</v>
      </c>
      <c r="K48" s="554">
        <v>17697</v>
      </c>
      <c r="L48" s="1540">
        <v>12</v>
      </c>
      <c r="M48" s="554">
        <f t="shared" si="4"/>
        <v>0.66666666666666663</v>
      </c>
      <c r="N48" s="698" t="s">
        <v>152</v>
      </c>
      <c r="O48" s="1157">
        <v>4.75</v>
      </c>
      <c r="P48" s="7" t="e">
        <f>'расчеты к штатному '!#REF!-'расчеты к старое'!P48</f>
        <v>#REF!</v>
      </c>
      <c r="Q48" s="556"/>
      <c r="R48" s="1538"/>
      <c r="S48" s="700"/>
      <c r="T48" s="554">
        <v>0.1</v>
      </c>
      <c r="U48" s="7" t="e">
        <f>'расчеты к штатному '!#REF!-'расчеты к старое'!U48</f>
        <v>#REF!</v>
      </c>
      <c r="V48" s="699"/>
      <c r="W48" s="700"/>
      <c r="X48" s="10" t="e">
        <f>'расчеты к штатному '!#REF!-'расчеты к старое'!X48</f>
        <v>#REF!</v>
      </c>
      <c r="Y48" s="1547"/>
      <c r="Z48" s="1547"/>
      <c r="AA48" s="23"/>
      <c r="AK48" s="23"/>
      <c r="AL48" s="23"/>
      <c r="AM48" s="23"/>
      <c r="AN48" s="23"/>
      <c r="AO48" s="23"/>
      <c r="AP48" s="23"/>
      <c r="AQ48" s="23"/>
    </row>
    <row r="49" spans="1:43" s="24" customFormat="1" ht="17.25" customHeight="1">
      <c r="A49" s="547">
        <v>23</v>
      </c>
      <c r="B49" s="153" t="s">
        <v>147</v>
      </c>
      <c r="C49" s="561" t="s">
        <v>148</v>
      </c>
      <c r="D49" s="563" t="s">
        <v>25</v>
      </c>
      <c r="E49" s="562" t="s">
        <v>676</v>
      </c>
      <c r="F49" s="562" t="s">
        <v>51</v>
      </c>
      <c r="G49" s="547">
        <v>1</v>
      </c>
      <c r="H49" s="563" t="s">
        <v>102</v>
      </c>
      <c r="I49" s="563" t="s">
        <v>103</v>
      </c>
      <c r="J49" s="564">
        <v>3</v>
      </c>
      <c r="K49" s="554">
        <v>17697</v>
      </c>
      <c r="L49" s="565">
        <v>34</v>
      </c>
      <c r="M49" s="554">
        <f t="shared" si="4"/>
        <v>1.8888888888888888</v>
      </c>
      <c r="N49" s="566" t="s">
        <v>109</v>
      </c>
      <c r="O49" s="1014">
        <v>4.43</v>
      </c>
      <c r="P49" s="7">
        <f>'расчеты к штатному '!P50-'расчеты к старое'!P49</f>
        <v>11188.436666666676</v>
      </c>
      <c r="Q49" s="556"/>
      <c r="R49" s="568"/>
      <c r="S49" s="554"/>
      <c r="T49" s="554">
        <v>0.1</v>
      </c>
      <c r="U49" s="7">
        <f>'расчеты к штатному '!U50-'расчеты к старое'!U49</f>
        <v>9082.4936666666672</v>
      </c>
      <c r="V49" s="569"/>
      <c r="W49" s="554"/>
      <c r="X49" s="10">
        <f>'расчеты к штатному '!X50-'расчеты к старое'!X49</f>
        <v>99907.430333333352</v>
      </c>
      <c r="Y49" s="10">
        <f t="shared" si="5"/>
        <v>0</v>
      </c>
      <c r="Z49" s="10">
        <f t="shared" si="5"/>
        <v>0</v>
      </c>
      <c r="AA49" s="23">
        <f t="shared" si="2"/>
        <v>1198889.1640000003</v>
      </c>
      <c r="AB49" s="24">
        <f t="shared" si="6"/>
        <v>190754.04359586322</v>
      </c>
      <c r="AC49" s="24">
        <f t="shared" si="7"/>
        <v>1498611.4550000005</v>
      </c>
      <c r="AD49" s="24">
        <f t="shared" si="8"/>
        <v>238442.55449482906</v>
      </c>
      <c r="AK49" s="23"/>
      <c r="AL49" s="23"/>
      <c r="AM49" s="23"/>
      <c r="AN49" s="23"/>
      <c r="AO49" s="23"/>
      <c r="AP49" s="23"/>
      <c r="AQ49" s="23"/>
    </row>
    <row r="50" spans="1:43" s="24" customFormat="1" ht="17.25" customHeight="1">
      <c r="A50" s="560">
        <v>24</v>
      </c>
      <c r="B50" s="153" t="s">
        <v>91</v>
      </c>
      <c r="C50" s="561" t="s">
        <v>99</v>
      </c>
      <c r="D50" s="563" t="s">
        <v>25</v>
      </c>
      <c r="E50" s="562" t="s">
        <v>677</v>
      </c>
      <c r="F50" s="562" t="s">
        <v>93</v>
      </c>
      <c r="G50" s="547">
        <v>1</v>
      </c>
      <c r="H50" s="563" t="s">
        <v>102</v>
      </c>
      <c r="I50" s="563" t="s">
        <v>103</v>
      </c>
      <c r="J50" s="581">
        <v>1</v>
      </c>
      <c r="K50" s="554">
        <v>17697</v>
      </c>
      <c r="L50" s="565">
        <v>9</v>
      </c>
      <c r="M50" s="554">
        <f t="shared" si="4"/>
        <v>0.5</v>
      </c>
      <c r="N50" s="574" t="s">
        <v>152</v>
      </c>
      <c r="O50" s="1014">
        <v>4.62</v>
      </c>
      <c r="P50" s="7">
        <f>'расчеты к штатному '!P51-'расчеты к старое'!P50</f>
        <v>619.39500000001135</v>
      </c>
      <c r="Q50" s="556"/>
      <c r="R50" s="568"/>
      <c r="S50" s="554"/>
      <c r="T50" s="554">
        <v>0.1</v>
      </c>
      <c r="U50" s="7">
        <f>'расчеты к штатному '!U51-'расчеты к старое'!U50</f>
        <v>2136.9127500000013</v>
      </c>
      <c r="V50" s="569"/>
      <c r="W50" s="554"/>
      <c r="X50" s="10">
        <f>'расчеты к штатному '!X51-'расчеты к старое'!X50</f>
        <v>23506.04025000002</v>
      </c>
      <c r="Y50" s="10">
        <f t="shared" si="5"/>
        <v>0</v>
      </c>
      <c r="Z50" s="10">
        <f t="shared" si="5"/>
        <v>0</v>
      </c>
      <c r="AA50" s="23">
        <f t="shared" si="2"/>
        <v>282072.48300000024</v>
      </c>
      <c r="AB50" s="24">
        <f t="shared" si="6"/>
        <v>44880.267780429633</v>
      </c>
      <c r="AC50" s="24">
        <f t="shared" si="7"/>
        <v>352590.6037500003</v>
      </c>
      <c r="AD50" s="24">
        <f t="shared" si="8"/>
        <v>56100.334725537046</v>
      </c>
      <c r="AK50" s="23"/>
      <c r="AL50" s="23"/>
      <c r="AM50" s="23"/>
      <c r="AN50" s="23"/>
      <c r="AO50" s="23"/>
      <c r="AP50" s="23"/>
      <c r="AQ50" s="23"/>
    </row>
    <row r="51" spans="1:43" s="24" customFormat="1" ht="17.25" customHeight="1">
      <c r="A51" s="547">
        <v>25</v>
      </c>
      <c r="B51" s="153" t="s">
        <v>150</v>
      </c>
      <c r="C51" s="561" t="s">
        <v>99</v>
      </c>
      <c r="D51" s="563" t="s">
        <v>25</v>
      </c>
      <c r="E51" s="562" t="s">
        <v>680</v>
      </c>
      <c r="F51" s="562" t="s">
        <v>34</v>
      </c>
      <c r="G51" s="547">
        <v>1</v>
      </c>
      <c r="H51" s="563" t="s">
        <v>102</v>
      </c>
      <c r="I51" s="563" t="s">
        <v>103</v>
      </c>
      <c r="J51" s="564">
        <v>1</v>
      </c>
      <c r="K51" s="554">
        <v>17697</v>
      </c>
      <c r="L51" s="565">
        <v>26</v>
      </c>
      <c r="M51" s="554">
        <f t="shared" si="4"/>
        <v>1.4444444444444444</v>
      </c>
      <c r="N51" s="997" t="s">
        <v>152</v>
      </c>
      <c r="O51" s="1014">
        <v>4.75</v>
      </c>
      <c r="P51" s="7">
        <f>'расчеты к штатному '!P52-'расчеты к старое'!P51</f>
        <v>4670.0416666666715</v>
      </c>
      <c r="Q51" s="556"/>
      <c r="R51" s="568"/>
      <c r="S51" s="554"/>
      <c r="T51" s="554">
        <v>0.1</v>
      </c>
      <c r="U51" s="7">
        <f>'расчеты к штатному '!U52-'расчеты к старое'!U51</f>
        <v>6771.560416666669</v>
      </c>
      <c r="V51" s="569"/>
      <c r="W51" s="554"/>
      <c r="X51" s="10">
        <f>'расчеты к штатному '!X52-'расчеты к старое'!X51</f>
        <v>150141.83958333338</v>
      </c>
      <c r="Y51" s="7">
        <f t="shared" si="5"/>
        <v>0</v>
      </c>
      <c r="Z51" s="7">
        <f t="shared" si="5"/>
        <v>0</v>
      </c>
      <c r="AA51" s="23">
        <f t="shared" si="2"/>
        <v>1801702.0750000007</v>
      </c>
      <c r="AB51" s="24">
        <f t="shared" si="6"/>
        <v>286666.9968178203</v>
      </c>
      <c r="AC51" s="24">
        <f t="shared" si="7"/>
        <v>2252127.5937500009</v>
      </c>
      <c r="AD51" s="24">
        <f t="shared" si="8"/>
        <v>358333.74602227547</v>
      </c>
      <c r="AK51" s="23"/>
      <c r="AL51" s="23"/>
      <c r="AM51" s="23"/>
      <c r="AN51" s="23"/>
      <c r="AO51" s="23"/>
      <c r="AP51" s="23"/>
      <c r="AQ51" s="23"/>
    </row>
    <row r="52" spans="1:43" s="24" customFormat="1" ht="17.25" customHeight="1">
      <c r="A52" s="560">
        <v>26</v>
      </c>
      <c r="B52" s="998" t="s">
        <v>153</v>
      </c>
      <c r="C52" s="549" t="s">
        <v>99</v>
      </c>
      <c r="D52" s="874" t="s">
        <v>25</v>
      </c>
      <c r="E52" s="874" t="s">
        <v>818</v>
      </c>
      <c r="F52" s="562" t="s">
        <v>819</v>
      </c>
      <c r="G52" s="874">
        <v>1</v>
      </c>
      <c r="H52" s="874" t="s">
        <v>102</v>
      </c>
      <c r="I52" s="874" t="s">
        <v>103</v>
      </c>
      <c r="J52" s="1647">
        <v>1</v>
      </c>
      <c r="K52" s="554">
        <v>17697</v>
      </c>
      <c r="L52" s="1540">
        <v>10</v>
      </c>
      <c r="M52" s="554">
        <f t="shared" si="4"/>
        <v>0.55555555555555558</v>
      </c>
      <c r="N52" s="1004" t="s">
        <v>152</v>
      </c>
      <c r="O52" s="1157">
        <v>4.75</v>
      </c>
      <c r="P52" s="7">
        <f>'расчеты к штатному '!P53-'расчеты к старое'!P52</f>
        <v>0</v>
      </c>
      <c r="Q52" s="556"/>
      <c r="R52" s="1538"/>
      <c r="S52" s="700"/>
      <c r="T52" s="554">
        <v>0.1</v>
      </c>
      <c r="U52" s="7">
        <f>'расчеты к штатному '!U53-'расчеты к старое'!U52</f>
        <v>2335.020833333333</v>
      </c>
      <c r="V52" s="699"/>
      <c r="W52" s="700"/>
      <c r="X52" s="10">
        <f>'расчеты к штатному '!X53-'расчеты к старое'!X52</f>
        <v>25685.229166666664</v>
      </c>
      <c r="Y52" s="882"/>
      <c r="Z52" s="882"/>
      <c r="AA52" s="23"/>
      <c r="AK52" s="23"/>
      <c r="AL52" s="23"/>
      <c r="AM52" s="23"/>
      <c r="AN52" s="23"/>
      <c r="AO52" s="23"/>
      <c r="AP52" s="23"/>
      <c r="AQ52" s="23"/>
    </row>
    <row r="53" spans="1:43" s="24" customFormat="1" ht="17.25" customHeight="1">
      <c r="A53" s="547">
        <v>27</v>
      </c>
      <c r="B53" s="153" t="s">
        <v>157</v>
      </c>
      <c r="C53" s="561" t="s">
        <v>99</v>
      </c>
      <c r="D53" s="563" t="s">
        <v>75</v>
      </c>
      <c r="E53" s="562" t="s">
        <v>681</v>
      </c>
      <c r="F53" s="562" t="s">
        <v>108</v>
      </c>
      <c r="G53" s="547">
        <v>1</v>
      </c>
      <c r="H53" s="563" t="s">
        <v>102</v>
      </c>
      <c r="I53" s="563" t="s">
        <v>118</v>
      </c>
      <c r="J53" s="564">
        <v>4</v>
      </c>
      <c r="K53" s="554">
        <v>17697</v>
      </c>
      <c r="L53" s="565">
        <v>26</v>
      </c>
      <c r="M53" s="554">
        <f t="shared" si="4"/>
        <v>1.4444444444444444</v>
      </c>
      <c r="N53" s="997" t="s">
        <v>112</v>
      </c>
      <c r="O53" s="1014">
        <v>3.41</v>
      </c>
      <c r="P53" s="7">
        <f>'расчеты к штатному '!P54-'расчеты к старое'!P53</f>
        <v>20892.291666666672</v>
      </c>
      <c r="Q53" s="556"/>
      <c r="R53" s="568"/>
      <c r="S53" s="554"/>
      <c r="T53" s="554">
        <v>0.1</v>
      </c>
      <c r="U53" s="7">
        <f>'расчеты к штатному '!U54-'расчеты к старое'!U53</f>
        <v>7492.2215833333357</v>
      </c>
      <c r="V53" s="569"/>
      <c r="W53" s="554"/>
      <c r="X53" s="10">
        <f>'расчеты к штатному '!X54-'расчеты к старое'!X53</f>
        <v>131041.36916666667</v>
      </c>
      <c r="Y53" s="10">
        <f t="shared" si="5"/>
        <v>0</v>
      </c>
      <c r="Z53" s="10">
        <f t="shared" si="5"/>
        <v>0</v>
      </c>
      <c r="AA53" s="23">
        <f t="shared" si="2"/>
        <v>1572496.4300000002</v>
      </c>
      <c r="AB53" s="24">
        <f t="shared" si="6"/>
        <v>250198.31821797939</v>
      </c>
      <c r="AC53" s="24">
        <f t="shared" si="7"/>
        <v>1965620.5375000001</v>
      </c>
      <c r="AD53" s="24">
        <f t="shared" si="8"/>
        <v>312747.89777247416</v>
      </c>
      <c r="AK53" s="23"/>
      <c r="AL53" s="23"/>
      <c r="AM53" s="23"/>
      <c r="AN53" s="23"/>
      <c r="AO53" s="23"/>
      <c r="AP53" s="23"/>
      <c r="AQ53" s="23"/>
    </row>
    <row r="54" spans="1:43" s="24" customFormat="1" ht="17.25" customHeight="1">
      <c r="A54" s="560">
        <v>28</v>
      </c>
      <c r="B54" s="153" t="s">
        <v>160</v>
      </c>
      <c r="C54" s="561" t="s">
        <v>148</v>
      </c>
      <c r="D54" s="563" t="s">
        <v>25</v>
      </c>
      <c r="E54" s="562" t="s">
        <v>682</v>
      </c>
      <c r="F54" s="562" t="s">
        <v>34</v>
      </c>
      <c r="G54" s="547">
        <v>1</v>
      </c>
      <c r="H54" s="563" t="s">
        <v>102</v>
      </c>
      <c r="I54" s="563" t="s">
        <v>103</v>
      </c>
      <c r="J54" s="564">
        <v>2</v>
      </c>
      <c r="K54" s="554">
        <v>17697</v>
      </c>
      <c r="L54" s="565">
        <v>29</v>
      </c>
      <c r="M54" s="554">
        <f t="shared" si="4"/>
        <v>1.6111111111111112</v>
      </c>
      <c r="N54" s="566" t="s">
        <v>104</v>
      </c>
      <c r="O54" s="1014">
        <v>4.51</v>
      </c>
      <c r="P54" s="7">
        <f>'расчеты к штатному '!P55-'расчеты к старое'!P54</f>
        <v>4434.0816666666651</v>
      </c>
      <c r="Q54" s="556"/>
      <c r="R54" s="568"/>
      <c r="S54" s="554"/>
      <c r="T54" s="554">
        <v>0.1</v>
      </c>
      <c r="U54" s="7">
        <f>'расчеты к штатному '!U55-'расчеты к старое'!U54</f>
        <v>7094.5306666666693</v>
      </c>
      <c r="V54" s="569"/>
      <c r="W54" s="554"/>
      <c r="X54" s="10">
        <f>'расчеты к штатному '!X55-'расчеты к старое'!X54</f>
        <v>78039.837333333329</v>
      </c>
      <c r="Y54" s="10">
        <f>V54+R54</f>
        <v>0</v>
      </c>
      <c r="Z54" s="10">
        <f>W54+S54</f>
        <v>0</v>
      </c>
      <c r="AA54" s="23">
        <f t="shared" si="2"/>
        <v>936478.04799999995</v>
      </c>
      <c r="AB54" s="24">
        <f t="shared" si="6"/>
        <v>149002.07605409707</v>
      </c>
      <c r="AC54" s="24">
        <f t="shared" si="7"/>
        <v>1170597.56</v>
      </c>
      <c r="AD54" s="24">
        <f t="shared" si="8"/>
        <v>186252.59506762135</v>
      </c>
      <c r="AK54" s="23"/>
      <c r="AL54" s="23"/>
      <c r="AM54" s="23"/>
      <c r="AN54" s="23"/>
      <c r="AO54" s="23"/>
      <c r="AP54" s="23"/>
      <c r="AQ54" s="23"/>
    </row>
    <row r="55" spans="1:43" s="24" customFormat="1" ht="17.25" customHeight="1">
      <c r="A55" s="547">
        <v>29</v>
      </c>
      <c r="B55" s="153" t="s">
        <v>162</v>
      </c>
      <c r="C55" s="561" t="s">
        <v>99</v>
      </c>
      <c r="D55" s="563" t="s">
        <v>25</v>
      </c>
      <c r="E55" s="582" t="s">
        <v>503</v>
      </c>
      <c r="F55" s="562" t="s">
        <v>77</v>
      </c>
      <c r="G55" s="547">
        <v>1</v>
      </c>
      <c r="H55" s="563" t="s">
        <v>102</v>
      </c>
      <c r="I55" s="563" t="s">
        <v>103</v>
      </c>
      <c r="J55" s="581">
        <v>4</v>
      </c>
      <c r="K55" s="554">
        <v>17697</v>
      </c>
      <c r="L55" s="565">
        <v>30</v>
      </c>
      <c r="M55" s="554">
        <f t="shared" si="4"/>
        <v>1.6666666666666667</v>
      </c>
      <c r="N55" s="574" t="s">
        <v>112</v>
      </c>
      <c r="O55" s="1014">
        <v>3.71</v>
      </c>
      <c r="P55" s="7">
        <f>'расчеты к штатному '!P57-'расчеты к старое'!P55</f>
        <v>0</v>
      </c>
      <c r="Q55" s="556"/>
      <c r="R55" s="568"/>
      <c r="S55" s="554"/>
      <c r="T55" s="554">
        <v>0.1</v>
      </c>
      <c r="U55" s="7">
        <f>'расчеты к штатному '!U57-'расчеты к старое'!U55</f>
        <v>5471.3224999999984</v>
      </c>
      <c r="V55" s="569"/>
      <c r="W55" s="554"/>
      <c r="X55" s="10">
        <f>'расчеты к штатному '!X57-'расчеты к старое'!X55</f>
        <v>60184.547499999986</v>
      </c>
      <c r="Y55" s="10">
        <f t="shared" si="5"/>
        <v>0</v>
      </c>
      <c r="Z55" s="10">
        <f t="shared" si="5"/>
        <v>0</v>
      </c>
      <c r="AA55" s="23">
        <f t="shared" si="2"/>
        <v>722214.56999999983</v>
      </c>
      <c r="AB55" s="24">
        <f t="shared" si="6"/>
        <v>114910.83054892598</v>
      </c>
      <c r="AC55" s="24">
        <f t="shared" si="7"/>
        <v>902768.21249999979</v>
      </c>
      <c r="AD55" s="24">
        <f t="shared" si="8"/>
        <v>143638.53818615747</v>
      </c>
      <c r="AK55" s="23"/>
      <c r="AL55" s="23"/>
      <c r="AM55" s="23"/>
      <c r="AN55" s="23"/>
      <c r="AO55" s="23"/>
      <c r="AP55" s="23"/>
      <c r="AQ55" s="23"/>
    </row>
    <row r="56" spans="1:43" s="24" customFormat="1" ht="17.25" customHeight="1">
      <c r="A56" s="560">
        <v>30</v>
      </c>
      <c r="B56" s="153" t="s">
        <v>166</v>
      </c>
      <c r="C56" s="561" t="s">
        <v>99</v>
      </c>
      <c r="D56" s="563" t="s">
        <v>25</v>
      </c>
      <c r="E56" s="562" t="s">
        <v>684</v>
      </c>
      <c r="F56" s="562" t="s">
        <v>239</v>
      </c>
      <c r="G56" s="547">
        <v>1</v>
      </c>
      <c r="H56" s="563" t="s">
        <v>102</v>
      </c>
      <c r="I56" s="563" t="s">
        <v>103</v>
      </c>
      <c r="J56" s="581">
        <v>1</v>
      </c>
      <c r="K56" s="554">
        <v>17697</v>
      </c>
      <c r="L56" s="565">
        <v>36</v>
      </c>
      <c r="M56" s="554">
        <f t="shared" si="4"/>
        <v>2</v>
      </c>
      <c r="N56" s="574" t="s">
        <v>152</v>
      </c>
      <c r="O56" s="1582">
        <v>4.49</v>
      </c>
      <c r="P56" s="7">
        <f>'расчеты к штатному '!P58-'расчеты к старое'!P56</f>
        <v>0</v>
      </c>
      <c r="Q56" s="556"/>
      <c r="R56" s="568"/>
      <c r="S56" s="554"/>
      <c r="T56" s="554">
        <v>0.1</v>
      </c>
      <c r="U56" s="7">
        <f>'расчеты к штатному '!U58-'расчеты к старое'!U56</f>
        <v>7945.9529999999995</v>
      </c>
      <c r="V56" s="569"/>
      <c r="W56" s="554"/>
      <c r="X56" s="10">
        <f>'расчеты к штатному '!X58-'расчеты к старое'!X56</f>
        <v>87405.483000000037</v>
      </c>
      <c r="Y56" s="10">
        <f t="shared" si="5"/>
        <v>0</v>
      </c>
      <c r="Z56" s="10">
        <f t="shared" si="5"/>
        <v>0</v>
      </c>
      <c r="AA56" s="23">
        <f t="shared" si="2"/>
        <v>1048865.7960000006</v>
      </c>
      <c r="AB56" s="24">
        <f t="shared" si="6"/>
        <v>166883.9770883056</v>
      </c>
      <c r="AC56" s="24">
        <f t="shared" si="7"/>
        <v>1311082.2450000006</v>
      </c>
      <c r="AD56" s="24">
        <f t="shared" si="8"/>
        <v>208604.97136038198</v>
      </c>
      <c r="AK56" s="23"/>
      <c r="AL56" s="23"/>
      <c r="AM56" s="23"/>
      <c r="AN56" s="23"/>
      <c r="AO56" s="23"/>
      <c r="AP56" s="23"/>
      <c r="AQ56" s="23"/>
    </row>
    <row r="57" spans="1:43" s="24" customFormat="1" ht="17.25" customHeight="1">
      <c r="A57" s="547">
        <v>31</v>
      </c>
      <c r="B57" s="998" t="s">
        <v>739</v>
      </c>
      <c r="C57" s="873" t="s">
        <v>99</v>
      </c>
      <c r="D57" s="1002" t="s">
        <v>25</v>
      </c>
      <c r="E57" s="1539" t="s">
        <v>707</v>
      </c>
      <c r="F57" s="1539" t="s">
        <v>159</v>
      </c>
      <c r="G57" s="547">
        <v>1</v>
      </c>
      <c r="H57" s="563" t="s">
        <v>102</v>
      </c>
      <c r="I57" s="563" t="s">
        <v>103</v>
      </c>
      <c r="J57" s="581">
        <v>4</v>
      </c>
      <c r="K57" s="554">
        <v>17697</v>
      </c>
      <c r="L57" s="1540">
        <v>4</v>
      </c>
      <c r="M57" s="554">
        <f t="shared" si="4"/>
        <v>0.22222222222222221</v>
      </c>
      <c r="N57" s="698" t="s">
        <v>112</v>
      </c>
      <c r="O57" s="1582">
        <v>3.71</v>
      </c>
      <c r="P57" s="7">
        <f>'расчеты к штатному '!P59-'расчеты к старое'!P57</f>
        <v>10942.645</v>
      </c>
      <c r="Q57" s="556"/>
      <c r="R57" s="1538"/>
      <c r="S57" s="700"/>
      <c r="T57" s="554">
        <v>0.1</v>
      </c>
      <c r="U57" s="7">
        <f>'расчеты к штатному '!U59-'расчеты к старое'!U57</f>
        <v>2370.9064166666667</v>
      </c>
      <c r="V57" s="699"/>
      <c r="W57" s="700"/>
      <c r="X57" s="10">
        <f>'расчеты к штатному '!X59-'расчеты к старое'!X57</f>
        <v>26079.970583333336</v>
      </c>
      <c r="Y57" s="1547"/>
      <c r="Z57" s="1547"/>
      <c r="AA57" s="23"/>
      <c r="AK57" s="23"/>
      <c r="AL57" s="23"/>
      <c r="AM57" s="23"/>
      <c r="AN57" s="23"/>
      <c r="AO57" s="23"/>
      <c r="AP57" s="23"/>
      <c r="AQ57" s="23"/>
    </row>
    <row r="58" spans="1:43" s="24" customFormat="1" ht="17.25" customHeight="1">
      <c r="A58" s="560">
        <v>32</v>
      </c>
      <c r="B58" s="998" t="s">
        <v>804</v>
      </c>
      <c r="C58" s="873" t="s">
        <v>99</v>
      </c>
      <c r="D58" s="1002" t="s">
        <v>75</v>
      </c>
      <c r="E58" s="1539" t="s">
        <v>738</v>
      </c>
      <c r="F58" s="1539" t="s">
        <v>108</v>
      </c>
      <c r="G58" s="547">
        <v>1</v>
      </c>
      <c r="H58" s="563" t="s">
        <v>102</v>
      </c>
      <c r="I58" s="563" t="s">
        <v>118</v>
      </c>
      <c r="J58" s="581">
        <v>4</v>
      </c>
      <c r="K58" s="554">
        <v>17697</v>
      </c>
      <c r="L58" s="1540">
        <v>18</v>
      </c>
      <c r="M58" s="554">
        <f t="shared" si="4"/>
        <v>1</v>
      </c>
      <c r="N58" s="698" t="s">
        <v>112</v>
      </c>
      <c r="O58" s="1582">
        <v>3.36</v>
      </c>
      <c r="P58" s="7">
        <f>'расчеты к штатному '!P60-'расчеты к старое'!P58</f>
        <v>-6606.8799999999974</v>
      </c>
      <c r="Q58" s="556"/>
      <c r="R58" s="1538"/>
      <c r="S58" s="700"/>
      <c r="T58" s="554">
        <v>0.1</v>
      </c>
      <c r="U58" s="7">
        <f>'расчеты к штатному '!U60-'расчеты к старое'!U58</f>
        <v>1982.0640000000003</v>
      </c>
      <c r="V58" s="699"/>
      <c r="W58" s="700"/>
      <c r="X58" s="10">
        <f>'расчеты к штатному '!X60-'расчеты к старое'!X58</f>
        <v>21802.703999999991</v>
      </c>
      <c r="Y58" s="1547"/>
      <c r="Z58" s="1547"/>
      <c r="AA58" s="23"/>
      <c r="AK58" s="23"/>
      <c r="AL58" s="23"/>
      <c r="AM58" s="23"/>
      <c r="AN58" s="23"/>
      <c r="AO58" s="23"/>
      <c r="AP58" s="23"/>
      <c r="AQ58" s="23"/>
    </row>
    <row r="59" spans="1:43" s="24" customFormat="1" ht="17.25" customHeight="1">
      <c r="A59" s="547">
        <v>33</v>
      </c>
      <c r="B59" s="153" t="s">
        <v>168</v>
      </c>
      <c r="C59" s="561" t="s">
        <v>99</v>
      </c>
      <c r="D59" s="563" t="s">
        <v>25</v>
      </c>
      <c r="E59" s="562" t="s">
        <v>690</v>
      </c>
      <c r="F59" s="562" t="s">
        <v>73</v>
      </c>
      <c r="G59" s="547">
        <v>1</v>
      </c>
      <c r="H59" s="563" t="s">
        <v>102</v>
      </c>
      <c r="I59" s="563" t="s">
        <v>103</v>
      </c>
      <c r="J59" s="1584">
        <v>2</v>
      </c>
      <c r="K59" s="554">
        <v>17697</v>
      </c>
      <c r="L59" s="565">
        <v>32</v>
      </c>
      <c r="M59" s="554">
        <f t="shared" si="4"/>
        <v>1.7777777777777777</v>
      </c>
      <c r="N59" s="566" t="s">
        <v>104</v>
      </c>
      <c r="O59" s="1014">
        <v>4.16</v>
      </c>
      <c r="P59" s="7">
        <f>'расчеты к штатному '!P61-'расчеты к старое'!P59</f>
        <v>4089.9733333333279</v>
      </c>
      <c r="Q59" s="556"/>
      <c r="R59" s="568"/>
      <c r="S59" s="554"/>
      <c r="T59" s="554">
        <v>0.1</v>
      </c>
      <c r="U59" s="7">
        <f>'расчеты к штатному '!U61-'расчеты к старое'!U59</f>
        <v>7157.4533333333347</v>
      </c>
      <c r="V59" s="569"/>
      <c r="W59" s="554"/>
      <c r="X59" s="10">
        <f>'расчеты к штатному '!X61-'расчеты к старое'!X59</f>
        <v>78731.986666666664</v>
      </c>
      <c r="Y59" s="7">
        <f t="shared" si="5"/>
        <v>0</v>
      </c>
      <c r="Z59" s="7">
        <f t="shared" si="5"/>
        <v>0</v>
      </c>
      <c r="AA59" s="23">
        <f t="shared" si="2"/>
        <v>944783.84</v>
      </c>
      <c r="AB59" s="24">
        <f t="shared" si="6"/>
        <v>150323.60222752584</v>
      </c>
      <c r="AC59" s="24">
        <f t="shared" si="7"/>
        <v>1180979.8</v>
      </c>
      <c r="AD59" s="24">
        <f t="shared" si="8"/>
        <v>187904.50278440735</v>
      </c>
      <c r="AK59" s="23"/>
      <c r="AL59" s="23"/>
      <c r="AM59" s="23"/>
      <c r="AN59" s="23"/>
      <c r="AO59" s="23"/>
      <c r="AP59" s="23"/>
      <c r="AQ59" s="23"/>
    </row>
    <row r="60" spans="1:43" s="24" customFormat="1" ht="17.25" customHeight="1">
      <c r="A60" s="560">
        <v>34</v>
      </c>
      <c r="B60" s="153" t="s">
        <v>89</v>
      </c>
      <c r="C60" s="561" t="s">
        <v>170</v>
      </c>
      <c r="D60" s="563" t="s">
        <v>25</v>
      </c>
      <c r="E60" s="562" t="s">
        <v>697</v>
      </c>
      <c r="F60" s="562" t="s">
        <v>73</v>
      </c>
      <c r="G60" s="547">
        <v>1</v>
      </c>
      <c r="H60" s="563" t="s">
        <v>102</v>
      </c>
      <c r="I60" s="563" t="s">
        <v>103</v>
      </c>
      <c r="J60" s="564">
        <v>3</v>
      </c>
      <c r="K60" s="554">
        <v>17697</v>
      </c>
      <c r="L60" s="565">
        <v>15</v>
      </c>
      <c r="M60" s="554">
        <f t="shared" si="4"/>
        <v>0.83333333333333337</v>
      </c>
      <c r="N60" s="566" t="s">
        <v>109</v>
      </c>
      <c r="O60" s="1014">
        <v>4.21</v>
      </c>
      <c r="P60" s="7">
        <f>'расчеты к штатному '!P62-'расчеты к старое'!P60</f>
        <v>8278.263333333336</v>
      </c>
      <c r="Q60" s="556"/>
      <c r="R60" s="568"/>
      <c r="S60" s="554"/>
      <c r="T60" s="554">
        <v>0.1</v>
      </c>
      <c r="U60" s="7">
        <f>'расчеты к штатному '!U62-'расчеты к старое'!U60</f>
        <v>4346.0882499999998</v>
      </c>
      <c r="V60" s="569"/>
      <c r="W60" s="554"/>
      <c r="X60" s="10">
        <f>'расчеты к штатному '!X62-'расчеты к старое'!X60</f>
        <v>47806.970749999993</v>
      </c>
      <c r="Y60" s="10">
        <f t="shared" si="5"/>
        <v>0</v>
      </c>
      <c r="Z60" s="10">
        <f t="shared" si="5"/>
        <v>0</v>
      </c>
      <c r="AA60" s="23">
        <f t="shared" si="2"/>
        <v>573683.64899999998</v>
      </c>
      <c r="AB60" s="24">
        <f t="shared" si="6"/>
        <v>91278.225775656334</v>
      </c>
      <c r="AC60" s="24">
        <f t="shared" si="7"/>
        <v>717104.56125000003</v>
      </c>
      <c r="AD60" s="24">
        <f t="shared" si="8"/>
        <v>114097.78221957042</v>
      </c>
      <c r="AK60" s="23"/>
      <c r="AL60" s="23"/>
      <c r="AM60" s="23"/>
      <c r="AN60" s="23"/>
      <c r="AO60" s="23"/>
      <c r="AP60" s="23"/>
      <c r="AQ60" s="23"/>
    </row>
    <row r="61" spans="1:43" s="24" customFormat="1" ht="15.75">
      <c r="A61" s="547">
        <v>35</v>
      </c>
      <c r="B61" s="153" t="s">
        <v>171</v>
      </c>
      <c r="C61" s="561" t="s">
        <v>99</v>
      </c>
      <c r="D61" s="563" t="s">
        <v>25</v>
      </c>
      <c r="E61" s="562" t="s">
        <v>691</v>
      </c>
      <c r="F61" s="562" t="s">
        <v>34</v>
      </c>
      <c r="G61" s="547">
        <v>1</v>
      </c>
      <c r="H61" s="563" t="s">
        <v>102</v>
      </c>
      <c r="I61" s="563" t="s">
        <v>103</v>
      </c>
      <c r="J61" s="581">
        <v>1</v>
      </c>
      <c r="K61" s="554">
        <v>17697</v>
      </c>
      <c r="L61" s="565">
        <v>34</v>
      </c>
      <c r="M61" s="554">
        <f t="shared" si="4"/>
        <v>1.8888888888888888</v>
      </c>
      <c r="N61" s="574" t="s">
        <v>152</v>
      </c>
      <c r="O61" s="1014">
        <v>4.75</v>
      </c>
      <c r="P61" s="7">
        <f>'расчеты к штатному '!P63-'расчеты к старое'!P61</f>
        <v>9340.0833333333139</v>
      </c>
      <c r="Q61" s="556"/>
      <c r="R61" s="568"/>
      <c r="S61" s="554"/>
      <c r="T61" s="554">
        <v>0.1</v>
      </c>
      <c r="U61" s="7">
        <f>'расчеты к штатному '!U63-'расчеты к старое'!U61</f>
        <v>9340.0833333333321</v>
      </c>
      <c r="V61" s="569"/>
      <c r="W61" s="554"/>
      <c r="X61" s="10">
        <f>'расчеты к штатному '!X63-'расчеты к старое'!X61</f>
        <v>102740.91666666663</v>
      </c>
      <c r="Y61" s="10"/>
      <c r="Z61" s="10"/>
      <c r="AA61" s="23">
        <f t="shared" si="2"/>
        <v>1232890.9999999995</v>
      </c>
      <c r="AB61" s="24">
        <f t="shared" si="6"/>
        <v>196164.04136833723</v>
      </c>
      <c r="AC61" s="24">
        <f t="shared" si="7"/>
        <v>1541113.7499999995</v>
      </c>
      <c r="AD61" s="24">
        <f t="shared" si="8"/>
        <v>245205.05171042163</v>
      </c>
      <c r="AK61" s="23"/>
      <c r="AL61" s="23"/>
      <c r="AM61" s="23"/>
      <c r="AN61" s="23"/>
      <c r="AO61" s="23"/>
      <c r="AP61" s="23"/>
      <c r="AQ61" s="23"/>
    </row>
    <row r="62" spans="1:43" s="24" customFormat="1" ht="16.5" customHeight="1">
      <c r="A62" s="560">
        <v>36</v>
      </c>
      <c r="B62" s="153" t="s">
        <v>173</v>
      </c>
      <c r="C62" s="561" t="s">
        <v>99</v>
      </c>
      <c r="D62" s="563" t="s">
        <v>25</v>
      </c>
      <c r="E62" s="562" t="s">
        <v>693</v>
      </c>
      <c r="F62" s="562" t="s">
        <v>66</v>
      </c>
      <c r="G62" s="547">
        <v>1</v>
      </c>
      <c r="H62" s="563" t="s">
        <v>102</v>
      </c>
      <c r="I62" s="563" t="s">
        <v>103</v>
      </c>
      <c r="J62" s="581">
        <v>1</v>
      </c>
      <c r="K62" s="554">
        <v>17697</v>
      </c>
      <c r="L62" s="565">
        <v>32</v>
      </c>
      <c r="M62" s="554">
        <f t="shared" si="4"/>
        <v>1.7777777777777777</v>
      </c>
      <c r="N62" s="574" t="s">
        <v>152</v>
      </c>
      <c r="O62" s="1587">
        <v>4.55</v>
      </c>
      <c r="P62" s="7">
        <f>'расчеты к штатному '!P64-'расчеты к старое'!P62</f>
        <v>4473.4083333333256</v>
      </c>
      <c r="Q62" s="556"/>
      <c r="R62" s="568"/>
      <c r="S62" s="554"/>
      <c r="T62" s="554">
        <v>0.1</v>
      </c>
      <c r="U62" s="7">
        <f>'расчеты к штатному '!U64-'расчеты к старое'!U62</f>
        <v>7828.4645833333307</v>
      </c>
      <c r="V62" s="569"/>
      <c r="W62" s="554"/>
      <c r="X62" s="10">
        <f>'расчеты к штатному '!X64-'расчеты к старое'!X62</f>
        <v>86113.110416666634</v>
      </c>
      <c r="Y62" s="10">
        <f t="shared" si="5"/>
        <v>0</v>
      </c>
      <c r="Z62" s="10">
        <f t="shared" si="5"/>
        <v>0</v>
      </c>
      <c r="AA62" s="23">
        <f t="shared" si="2"/>
        <v>1033357.3249999996</v>
      </c>
      <c r="AB62" s="24">
        <f t="shared" si="6"/>
        <v>164416.43993635636</v>
      </c>
      <c r="AC62" s="24">
        <f t="shared" si="7"/>
        <v>1291696.6562499995</v>
      </c>
      <c r="AD62" s="24">
        <f t="shared" si="8"/>
        <v>205520.54992044545</v>
      </c>
      <c r="AK62" s="23"/>
      <c r="AL62" s="23"/>
      <c r="AM62" s="23"/>
      <c r="AN62" s="23"/>
      <c r="AO62" s="23"/>
      <c r="AP62" s="23"/>
      <c r="AQ62" s="23"/>
    </row>
    <row r="63" spans="1:43" s="24" customFormat="1" ht="17.25" customHeight="1">
      <c r="A63" s="547">
        <v>37</v>
      </c>
      <c r="B63" s="153" t="s">
        <v>175</v>
      </c>
      <c r="C63" s="561" t="s">
        <v>99</v>
      </c>
      <c r="D63" s="563" t="s">
        <v>25</v>
      </c>
      <c r="E63" s="562" t="s">
        <v>610</v>
      </c>
      <c r="F63" s="562" t="s">
        <v>114</v>
      </c>
      <c r="G63" s="547">
        <v>1</v>
      </c>
      <c r="H63" s="563" t="s">
        <v>102</v>
      </c>
      <c r="I63" s="563" t="s">
        <v>103</v>
      </c>
      <c r="J63" s="564">
        <v>1</v>
      </c>
      <c r="K63" s="554">
        <v>17697</v>
      </c>
      <c r="L63" s="565">
        <v>4</v>
      </c>
      <c r="M63" s="554">
        <f t="shared" si="4"/>
        <v>0.22222222222222221</v>
      </c>
      <c r="N63" s="997" t="s">
        <v>152</v>
      </c>
      <c r="O63" s="1014">
        <v>4.75</v>
      </c>
      <c r="P63" s="7" t="e">
        <f>'расчеты к штатному '!#REF!-'расчеты к старое'!P63</f>
        <v>#REF!</v>
      </c>
      <c r="Q63" s="556"/>
      <c r="R63" s="568"/>
      <c r="S63" s="554"/>
      <c r="T63" s="554">
        <v>0.1</v>
      </c>
      <c r="U63" s="7" t="e">
        <f>'расчеты к штатному '!#REF!-'расчеты к старое'!U63</f>
        <v>#REF!</v>
      </c>
      <c r="V63" s="569"/>
      <c r="W63" s="554"/>
      <c r="X63" s="10" t="e">
        <f>'расчеты к штатному '!#REF!-'расчеты к старое'!X63</f>
        <v>#REF!</v>
      </c>
      <c r="Y63" s="7">
        <f t="shared" si="5"/>
        <v>0</v>
      </c>
      <c r="Z63" s="7">
        <f t="shared" si="5"/>
        <v>0</v>
      </c>
      <c r="AA63" s="23" t="e">
        <f t="shared" si="2"/>
        <v>#REF!</v>
      </c>
      <c r="AB63" s="24" t="e">
        <f t="shared" si="6"/>
        <v>#REF!</v>
      </c>
      <c r="AC63" s="24" t="e">
        <f t="shared" si="7"/>
        <v>#REF!</v>
      </c>
      <c r="AD63" s="24" t="e">
        <f t="shared" si="8"/>
        <v>#REF!</v>
      </c>
      <c r="AK63" s="23"/>
      <c r="AL63" s="23"/>
      <c r="AM63" s="23"/>
      <c r="AN63" s="23"/>
      <c r="AO63" s="23"/>
      <c r="AP63" s="23"/>
      <c r="AQ63" s="23"/>
    </row>
    <row r="64" spans="1:43" s="916" customFormat="1" ht="17.25" customHeight="1">
      <c r="A64" s="560">
        <v>38</v>
      </c>
      <c r="B64" s="153" t="s">
        <v>177</v>
      </c>
      <c r="C64" s="561" t="s">
        <v>99</v>
      </c>
      <c r="D64" s="563" t="s">
        <v>178</v>
      </c>
      <c r="E64" s="562" t="s">
        <v>695</v>
      </c>
      <c r="F64" s="562" t="s">
        <v>366</v>
      </c>
      <c r="G64" s="547">
        <v>1</v>
      </c>
      <c r="H64" s="563" t="s">
        <v>102</v>
      </c>
      <c r="I64" s="563" t="s">
        <v>103</v>
      </c>
      <c r="J64" s="581">
        <v>2</v>
      </c>
      <c r="K64" s="554">
        <v>17697</v>
      </c>
      <c r="L64" s="565">
        <v>28</v>
      </c>
      <c r="M64" s="554">
        <f t="shared" si="4"/>
        <v>1.5555555555555556</v>
      </c>
      <c r="N64" s="1583" t="s">
        <v>104</v>
      </c>
      <c r="O64" s="1157">
        <v>4.4400000000000004</v>
      </c>
      <c r="P64" s="7">
        <f>'расчеты к штатному '!P65-'расчеты к старое'!P64</f>
        <v>8730.5200000000041</v>
      </c>
      <c r="Q64" s="556"/>
      <c r="R64" s="1538"/>
      <c r="S64" s="700"/>
      <c r="T64" s="554">
        <v>0.1</v>
      </c>
      <c r="U64" s="7">
        <f>'расчеты к штатному '!U65-'расчеты к старое'!U64</f>
        <v>7420.9420000000009</v>
      </c>
      <c r="V64" s="699"/>
      <c r="W64" s="700"/>
      <c r="X64" s="10">
        <f>'расчеты к штатному '!X65-'расчеты к старое'!X64</f>
        <v>81630.362000000023</v>
      </c>
      <c r="Y64" s="1693"/>
      <c r="Z64" s="1693"/>
      <c r="AA64" s="23">
        <f t="shared" si="2"/>
        <v>979564.34400000027</v>
      </c>
      <c r="AB64" s="24">
        <f t="shared" si="6"/>
        <v>155857.493078759</v>
      </c>
      <c r="AC64" s="24">
        <f t="shared" si="7"/>
        <v>1224455.4300000004</v>
      </c>
      <c r="AD64" s="24">
        <f t="shared" si="8"/>
        <v>194821.86634844876</v>
      </c>
      <c r="AK64" s="1783"/>
      <c r="AL64" s="1783"/>
      <c r="AM64" s="1783"/>
      <c r="AN64" s="1783"/>
      <c r="AO64" s="1783"/>
      <c r="AP64" s="1783"/>
      <c r="AQ64" s="1783"/>
    </row>
    <row r="65" spans="1:43" s="916" customFormat="1" ht="17.25" customHeight="1">
      <c r="A65" s="547">
        <v>39</v>
      </c>
      <c r="B65" s="998" t="s">
        <v>808</v>
      </c>
      <c r="C65" s="873" t="s">
        <v>99</v>
      </c>
      <c r="D65" s="1002" t="s">
        <v>152</v>
      </c>
      <c r="E65" s="1539" t="s">
        <v>809</v>
      </c>
      <c r="F65" s="1539" t="s">
        <v>34</v>
      </c>
      <c r="G65" s="547">
        <v>1</v>
      </c>
      <c r="H65" s="563" t="s">
        <v>102</v>
      </c>
      <c r="I65" s="563" t="s">
        <v>103</v>
      </c>
      <c r="J65" s="581">
        <v>3</v>
      </c>
      <c r="K65" s="554">
        <v>17697</v>
      </c>
      <c r="L65" s="1540">
        <v>28</v>
      </c>
      <c r="M65" s="554">
        <f t="shared" si="4"/>
        <v>1.5555555555555556</v>
      </c>
      <c r="N65" s="1583" t="s">
        <v>109</v>
      </c>
      <c r="O65" s="1157">
        <v>4.5</v>
      </c>
      <c r="P65" s="7">
        <f>'расчеты к штатному '!P66-'расчеты к старое'!P65</f>
        <v>-44242.5</v>
      </c>
      <c r="Q65" s="556"/>
      <c r="R65" s="1538"/>
      <c r="S65" s="700"/>
      <c r="T65" s="554">
        <v>0.1</v>
      </c>
      <c r="U65" s="7">
        <f>'расчеты к штатному '!U66-'расчеты к старое'!U65</f>
        <v>-442.42500000000109</v>
      </c>
      <c r="V65" s="699"/>
      <c r="W65" s="700"/>
      <c r="X65" s="10">
        <f>'расчеты к штатному '!X66-'расчеты к старое'!X65</f>
        <v>-4866.6749999999884</v>
      </c>
      <c r="Y65" s="1693"/>
      <c r="Z65" s="1693"/>
      <c r="AA65" s="23"/>
      <c r="AB65" s="24"/>
      <c r="AC65" s="24"/>
      <c r="AD65" s="24"/>
      <c r="AK65" s="1783"/>
      <c r="AL65" s="1783"/>
      <c r="AM65" s="1783"/>
      <c r="AN65" s="1783"/>
      <c r="AO65" s="1783"/>
      <c r="AP65" s="1783"/>
      <c r="AQ65" s="1783"/>
    </row>
    <row r="66" spans="1:43" s="916" customFormat="1" ht="17.25" customHeight="1">
      <c r="A66" s="560">
        <v>40</v>
      </c>
      <c r="B66" s="153" t="s">
        <v>182</v>
      </c>
      <c r="C66" s="561" t="s">
        <v>99</v>
      </c>
      <c r="D66" s="563" t="s">
        <v>25</v>
      </c>
      <c r="E66" s="562" t="s">
        <v>701</v>
      </c>
      <c r="F66" s="562" t="s">
        <v>51</v>
      </c>
      <c r="G66" s="547">
        <v>1</v>
      </c>
      <c r="H66" s="563" t="s">
        <v>102</v>
      </c>
      <c r="I66" s="563" t="s">
        <v>103</v>
      </c>
      <c r="J66" s="581">
        <v>1</v>
      </c>
      <c r="K66" s="554">
        <v>17697</v>
      </c>
      <c r="L66" s="1540">
        <v>32</v>
      </c>
      <c r="M66" s="554">
        <f t="shared" si="4"/>
        <v>1.7777777777777777</v>
      </c>
      <c r="N66" s="1583" t="s">
        <v>104</v>
      </c>
      <c r="O66" s="1157">
        <v>4.6900000000000004</v>
      </c>
      <c r="P66" s="7">
        <f>'расчеты к штатному '!P67-'расчеты к старое'!P66</f>
        <v>0</v>
      </c>
      <c r="Q66" s="556"/>
      <c r="R66" s="1538"/>
      <c r="S66" s="700"/>
      <c r="T66" s="554">
        <v>0.1</v>
      </c>
      <c r="U66" s="7">
        <f>'расчеты к штатному '!U67-'расчеты к старое'!U66</f>
        <v>7377.6826666666711</v>
      </c>
      <c r="V66" s="699"/>
      <c r="W66" s="700"/>
      <c r="X66" s="10">
        <f>'расчеты к штатному '!X67-'расчеты к старое'!X66</f>
        <v>81154.50933333335</v>
      </c>
      <c r="Y66" s="1693"/>
      <c r="Z66" s="1693"/>
      <c r="AA66" s="23"/>
      <c r="AB66" s="24"/>
      <c r="AC66" s="24"/>
      <c r="AD66" s="24"/>
      <c r="AK66" s="1783"/>
      <c r="AL66" s="1783"/>
      <c r="AM66" s="1783"/>
      <c r="AN66" s="1783"/>
      <c r="AO66" s="1783"/>
      <c r="AP66" s="1783"/>
      <c r="AQ66" s="1783"/>
    </row>
    <row r="67" spans="1:43" s="916" customFormat="1" ht="17.25" customHeight="1">
      <c r="A67" s="547">
        <v>41</v>
      </c>
      <c r="B67" s="153" t="s">
        <v>184</v>
      </c>
      <c r="C67" s="561" t="s">
        <v>99</v>
      </c>
      <c r="D67" s="563" t="s">
        <v>25</v>
      </c>
      <c r="E67" s="586" t="s">
        <v>702</v>
      </c>
      <c r="F67" s="562" t="s">
        <v>27</v>
      </c>
      <c r="G67" s="547">
        <v>1</v>
      </c>
      <c r="H67" s="563" t="s">
        <v>102</v>
      </c>
      <c r="I67" s="563" t="s">
        <v>103</v>
      </c>
      <c r="J67" s="581">
        <v>1</v>
      </c>
      <c r="K67" s="554">
        <v>17697</v>
      </c>
      <c r="L67" s="565">
        <v>32</v>
      </c>
      <c r="M67" s="554">
        <f t="shared" si="4"/>
        <v>1.7777777777777777</v>
      </c>
      <c r="N67" s="574" t="s">
        <v>152</v>
      </c>
      <c r="O67" s="1014">
        <v>4.75</v>
      </c>
      <c r="P67" s="7">
        <f>'расчеты к штатному '!P68-'расчеты к старое'!P67</f>
        <v>0</v>
      </c>
      <c r="Q67" s="556"/>
      <c r="R67" s="568"/>
      <c r="S67" s="554"/>
      <c r="T67" s="554">
        <v>0.1</v>
      </c>
      <c r="U67" s="7">
        <f>'расчеты к штатному '!U68-'расчеты к старое'!U67</f>
        <v>7472.0666666666657</v>
      </c>
      <c r="V67" s="569"/>
      <c r="W67" s="554"/>
      <c r="X67" s="10">
        <f>'расчеты к штатному '!X68-'расчеты к старое'!X67</f>
        <v>82192.733333333337</v>
      </c>
      <c r="Y67" s="152"/>
      <c r="Z67" s="152"/>
      <c r="AA67" s="23">
        <f t="shared" si="2"/>
        <v>986312.8</v>
      </c>
      <c r="AB67" s="24">
        <f t="shared" si="6"/>
        <v>156931.23309466988</v>
      </c>
      <c r="AC67" s="24">
        <f t="shared" si="7"/>
        <v>1232891</v>
      </c>
      <c r="AD67" s="24">
        <f t="shared" si="8"/>
        <v>196164.04136833735</v>
      </c>
      <c r="AK67" s="1783"/>
      <c r="AL67" s="1783"/>
      <c r="AM67" s="1783"/>
      <c r="AN67" s="1783"/>
      <c r="AO67" s="1783"/>
      <c r="AP67" s="1783"/>
      <c r="AQ67" s="1783"/>
    </row>
    <row r="68" spans="1:43" s="24" customFormat="1" ht="17.25" customHeight="1">
      <c r="A68" s="560">
        <v>42</v>
      </c>
      <c r="B68" s="153" t="s">
        <v>186</v>
      </c>
      <c r="C68" s="561" t="s">
        <v>99</v>
      </c>
      <c r="D68" s="563" t="s">
        <v>25</v>
      </c>
      <c r="E68" s="562" t="s">
        <v>703</v>
      </c>
      <c r="F68" s="562" t="s">
        <v>27</v>
      </c>
      <c r="G68" s="547">
        <v>1</v>
      </c>
      <c r="H68" s="563" t="s">
        <v>102</v>
      </c>
      <c r="I68" s="563" t="s">
        <v>103</v>
      </c>
      <c r="J68" s="581">
        <v>1</v>
      </c>
      <c r="K68" s="554">
        <v>17697</v>
      </c>
      <c r="L68" s="565">
        <v>26</v>
      </c>
      <c r="M68" s="554">
        <f t="shared" si="4"/>
        <v>1.4444444444444444</v>
      </c>
      <c r="N68" s="574" t="s">
        <v>152</v>
      </c>
      <c r="O68" s="1014">
        <v>4.75</v>
      </c>
      <c r="P68" s="7">
        <f>'расчеты к штатному '!P69-'расчеты к старое'!P68</f>
        <v>0</v>
      </c>
      <c r="Q68" s="556"/>
      <c r="R68" s="568"/>
      <c r="S68" s="554"/>
      <c r="T68" s="554">
        <v>0.1</v>
      </c>
      <c r="U68" s="7">
        <f>'расчеты к штатному '!U69-'расчеты к старое'!U68</f>
        <v>6071.0541666666668</v>
      </c>
      <c r="V68" s="569"/>
      <c r="W68" s="554"/>
      <c r="X68" s="10">
        <f>'расчеты к штатному '!X69-'расчеты к старое'!X68</f>
        <v>66781.595833333326</v>
      </c>
      <c r="Y68" s="10">
        <f t="shared" si="5"/>
        <v>0</v>
      </c>
      <c r="Z68" s="10">
        <f t="shared" si="5"/>
        <v>0</v>
      </c>
      <c r="AA68" s="23">
        <f t="shared" si="2"/>
        <v>801379.14999999991</v>
      </c>
      <c r="AB68" s="24">
        <f t="shared" si="6"/>
        <v>127506.62688941925</v>
      </c>
      <c r="AC68" s="24">
        <f t="shared" si="7"/>
        <v>1001723.9374999999</v>
      </c>
      <c r="AD68" s="24">
        <f t="shared" si="8"/>
        <v>159383.28361177404</v>
      </c>
      <c r="AK68" s="23"/>
      <c r="AL68" s="23"/>
      <c r="AM68" s="23"/>
      <c r="AN68" s="23"/>
      <c r="AO68" s="23"/>
      <c r="AP68" s="23"/>
      <c r="AQ68" s="23"/>
    </row>
    <row r="69" spans="1:43" s="24" customFormat="1" ht="17.25" customHeight="1">
      <c r="A69" s="547">
        <v>43</v>
      </c>
      <c r="B69" s="998" t="s">
        <v>810</v>
      </c>
      <c r="C69" s="873" t="s">
        <v>99</v>
      </c>
      <c r="D69" s="1002" t="s">
        <v>25</v>
      </c>
      <c r="E69" s="1539" t="s">
        <v>811</v>
      </c>
      <c r="F69" s="1539" t="s">
        <v>34</v>
      </c>
      <c r="G69" s="547">
        <v>1</v>
      </c>
      <c r="H69" s="563" t="s">
        <v>102</v>
      </c>
      <c r="I69" s="563" t="s">
        <v>103</v>
      </c>
      <c r="J69" s="581">
        <v>1</v>
      </c>
      <c r="K69" s="554">
        <v>17697</v>
      </c>
      <c r="L69" s="565">
        <v>22</v>
      </c>
      <c r="M69" s="554">
        <f t="shared" si="4"/>
        <v>1.2222222222222223</v>
      </c>
      <c r="N69" s="574" t="s">
        <v>152</v>
      </c>
      <c r="O69" s="1014">
        <v>4.75</v>
      </c>
      <c r="P69" s="7">
        <f>'расчеты к штатному '!P70-'расчеты к старое'!P69</f>
        <v>0</v>
      </c>
      <c r="Q69" s="556"/>
      <c r="R69" s="568"/>
      <c r="S69" s="554"/>
      <c r="T69" s="554">
        <v>0.1</v>
      </c>
      <c r="U69" s="7">
        <f>'расчеты к штатному '!U70-'расчеты к старое'!U69</f>
        <v>5137.0458333333336</v>
      </c>
      <c r="V69" s="569"/>
      <c r="W69" s="554"/>
      <c r="X69" s="10">
        <f>'расчеты к штатному '!X70-'расчеты к старое'!X69</f>
        <v>56507.50416666668</v>
      </c>
      <c r="Y69" s="10">
        <f t="shared" si="5"/>
        <v>0</v>
      </c>
      <c r="Z69" s="10">
        <f t="shared" si="5"/>
        <v>0</v>
      </c>
      <c r="AA69" s="23">
        <f t="shared" si="2"/>
        <v>678090.05000000016</v>
      </c>
      <c r="AB69" s="24">
        <f t="shared" si="6"/>
        <v>107890.22275258556</v>
      </c>
      <c r="AC69" s="24">
        <f t="shared" si="7"/>
        <v>847612.56250000023</v>
      </c>
      <c r="AD69" s="24">
        <f t="shared" si="8"/>
        <v>134862.77844073196</v>
      </c>
      <c r="AK69" s="23"/>
      <c r="AL69" s="23"/>
      <c r="AM69" s="23"/>
      <c r="AN69" s="23"/>
      <c r="AO69" s="23"/>
      <c r="AP69" s="23"/>
      <c r="AQ69" s="23"/>
    </row>
    <row r="70" spans="1:43" s="24" customFormat="1" ht="17.25" customHeight="1">
      <c r="A70" s="560">
        <v>44</v>
      </c>
      <c r="B70" s="587" t="s">
        <v>188</v>
      </c>
      <c r="C70" s="588" t="s">
        <v>99</v>
      </c>
      <c r="D70" s="589" t="s">
        <v>25</v>
      </c>
      <c r="E70" s="590" t="s">
        <v>708</v>
      </c>
      <c r="F70" s="591" t="s">
        <v>51</v>
      </c>
      <c r="G70" s="547">
        <v>1</v>
      </c>
      <c r="H70" s="589" t="s">
        <v>102</v>
      </c>
      <c r="I70" s="589" t="s">
        <v>103</v>
      </c>
      <c r="J70" s="581">
        <v>1</v>
      </c>
      <c r="K70" s="554">
        <v>17697</v>
      </c>
      <c r="L70" s="1540">
        <v>34</v>
      </c>
      <c r="M70" s="554">
        <f t="shared" si="4"/>
        <v>1.8888888888888888</v>
      </c>
      <c r="N70" s="698" t="s">
        <v>152</v>
      </c>
      <c r="O70" s="1157">
        <v>4.75</v>
      </c>
      <c r="P70" s="7">
        <f>'расчеты к штатному '!P71-'расчеты к старое'!P70</f>
        <v>-2005.6600000000035</v>
      </c>
      <c r="Q70" s="556"/>
      <c r="R70" s="1538"/>
      <c r="S70" s="700"/>
      <c r="T70" s="554">
        <v>0.1</v>
      </c>
      <c r="U70" s="7">
        <f>'расчеты к штатному '!U71-'расчеты к старое'!U70</f>
        <v>7638.2218333333331</v>
      </c>
      <c r="V70" s="699"/>
      <c r="W70" s="700"/>
      <c r="X70" s="10">
        <f>'расчеты к штатному '!X71-'расчеты к старое'!X70</f>
        <v>84020.440166666667</v>
      </c>
      <c r="Y70" s="1547"/>
      <c r="Z70" s="1547"/>
      <c r="AA70" s="23"/>
      <c r="AK70" s="23"/>
      <c r="AL70" s="23"/>
      <c r="AM70" s="23"/>
      <c r="AN70" s="23"/>
      <c r="AO70" s="23"/>
      <c r="AP70" s="23"/>
      <c r="AQ70" s="23"/>
    </row>
    <row r="71" spans="1:43" s="24" customFormat="1" ht="17.25" customHeight="1">
      <c r="A71" s="547">
        <v>45</v>
      </c>
      <c r="B71" s="587" t="s">
        <v>450</v>
      </c>
      <c r="C71" s="588" t="s">
        <v>99</v>
      </c>
      <c r="D71" s="589" t="s">
        <v>25</v>
      </c>
      <c r="E71" s="590" t="s">
        <v>802</v>
      </c>
      <c r="F71" s="591" t="s">
        <v>34</v>
      </c>
      <c r="G71" s="547">
        <v>1</v>
      </c>
      <c r="H71" s="589" t="s">
        <v>102</v>
      </c>
      <c r="I71" s="589" t="s">
        <v>103</v>
      </c>
      <c r="J71" s="564">
        <v>1</v>
      </c>
      <c r="K71" s="593">
        <v>17697</v>
      </c>
      <c r="L71" s="594">
        <v>24</v>
      </c>
      <c r="M71" s="554">
        <f t="shared" si="4"/>
        <v>1.3333333333333333</v>
      </c>
      <c r="N71" s="574" t="s">
        <v>152</v>
      </c>
      <c r="O71" s="1588">
        <v>4.75</v>
      </c>
      <c r="P71" s="7">
        <f>'расчеты к штатному '!P72-'расчеты к старое'!P71</f>
        <v>4670.0416666666715</v>
      </c>
      <c r="Q71" s="556"/>
      <c r="R71" s="597"/>
      <c r="S71" s="593"/>
      <c r="T71" s="593">
        <v>0.1</v>
      </c>
      <c r="U71" s="7">
        <f>'расчеты к штатному '!U72-'расчеты к старое'!U71</f>
        <v>6304.5562499999996</v>
      </c>
      <c r="V71" s="598"/>
      <c r="W71" s="593"/>
      <c r="X71" s="10">
        <f>'расчеты к штатному '!X72-'расчеты к старое'!X71</f>
        <v>69350.118749999994</v>
      </c>
      <c r="Y71" s="10">
        <f t="shared" si="5"/>
        <v>0</v>
      </c>
      <c r="Z71" s="10">
        <f t="shared" si="5"/>
        <v>0</v>
      </c>
      <c r="AA71" s="23">
        <f t="shared" si="2"/>
        <v>832201.42499999993</v>
      </c>
      <c r="AB71" s="24">
        <f t="shared" si="6"/>
        <v>132410.72792362768</v>
      </c>
      <c r="AC71" s="24">
        <f t="shared" si="7"/>
        <v>1040251.7812499999</v>
      </c>
      <c r="AD71" s="24">
        <f t="shared" si="8"/>
        <v>165513.40990453458</v>
      </c>
      <c r="AK71" s="23"/>
      <c r="AL71" s="23"/>
      <c r="AM71" s="23"/>
      <c r="AN71" s="23"/>
      <c r="AO71" s="23"/>
      <c r="AP71" s="23"/>
      <c r="AQ71" s="23"/>
    </row>
    <row r="72" spans="1:43" s="24" customFormat="1" ht="17.25" customHeight="1">
      <c r="A72" s="560">
        <v>46</v>
      </c>
      <c r="B72" s="153" t="s">
        <v>193</v>
      </c>
      <c r="C72" s="561" t="s">
        <v>99</v>
      </c>
      <c r="D72" s="563" t="s">
        <v>64</v>
      </c>
      <c r="E72" s="210" t="s">
        <v>716</v>
      </c>
      <c r="F72" s="562" t="s">
        <v>403</v>
      </c>
      <c r="G72" s="547">
        <v>1</v>
      </c>
      <c r="H72" s="563" t="s">
        <v>102</v>
      </c>
      <c r="I72" s="563" t="s">
        <v>118</v>
      </c>
      <c r="J72" s="581">
        <v>3</v>
      </c>
      <c r="K72" s="593">
        <v>17697</v>
      </c>
      <c r="L72" s="594">
        <v>34</v>
      </c>
      <c r="M72" s="554">
        <f t="shared" si="4"/>
        <v>1.8888888888888888</v>
      </c>
      <c r="N72" s="1004" t="s">
        <v>152</v>
      </c>
      <c r="O72" s="1020">
        <v>3.97</v>
      </c>
      <c r="P72" s="7">
        <f>'расчеты к штатному '!P74-'расчеты к старое'!P72</f>
        <v>3903.1716666666616</v>
      </c>
      <c r="Q72" s="556"/>
      <c r="R72" s="1006"/>
      <c r="S72" s="887"/>
      <c r="T72" s="887">
        <v>0.1</v>
      </c>
      <c r="U72" s="7">
        <f>'расчеты к штатному '!U74-'расчеты к старое'!U72</f>
        <v>7220.8675833333346</v>
      </c>
      <c r="V72" s="1007"/>
      <c r="W72" s="887"/>
      <c r="X72" s="10">
        <f>'расчеты к штатному '!X74-'расчеты к старое'!X72</f>
        <v>79429.543416666682</v>
      </c>
      <c r="Y72" s="7">
        <f t="shared" si="5"/>
        <v>0</v>
      </c>
      <c r="Z72" s="7">
        <f t="shared" si="5"/>
        <v>0</v>
      </c>
      <c r="AA72" s="23">
        <f t="shared" si="2"/>
        <v>953154.52100000018</v>
      </c>
      <c r="AB72" s="24">
        <f t="shared" si="6"/>
        <v>151655.45282418461</v>
      </c>
      <c r="AC72" s="24">
        <f t="shared" si="7"/>
        <v>1191443.1512500001</v>
      </c>
      <c r="AD72" s="24">
        <f t="shared" si="8"/>
        <v>189569.31603023072</v>
      </c>
      <c r="AK72" s="23"/>
      <c r="AL72" s="23"/>
      <c r="AM72" s="23"/>
      <c r="AN72" s="23"/>
      <c r="AO72" s="23"/>
      <c r="AP72" s="23"/>
      <c r="AQ72" s="23"/>
    </row>
    <row r="73" spans="1:43" s="24" customFormat="1" ht="15.75">
      <c r="A73" s="547">
        <v>47</v>
      </c>
      <c r="B73" s="153" t="s">
        <v>197</v>
      </c>
      <c r="C73" s="561" t="s">
        <v>99</v>
      </c>
      <c r="D73" s="563" t="s">
        <v>25</v>
      </c>
      <c r="E73" s="210" t="s">
        <v>717</v>
      </c>
      <c r="F73" s="562" t="s">
        <v>34</v>
      </c>
      <c r="G73" s="547">
        <v>1</v>
      </c>
      <c r="H73" s="563" t="s">
        <v>102</v>
      </c>
      <c r="I73" s="563" t="s">
        <v>103</v>
      </c>
      <c r="J73" s="564">
        <v>1</v>
      </c>
      <c r="K73" s="554">
        <v>17697</v>
      </c>
      <c r="L73" s="565">
        <v>32</v>
      </c>
      <c r="M73" s="554">
        <f t="shared" si="4"/>
        <v>1.7777777777777777</v>
      </c>
      <c r="N73" s="1583" t="s">
        <v>109</v>
      </c>
      <c r="O73" s="1157">
        <v>4.75</v>
      </c>
      <c r="P73" s="7">
        <f>'расчеты к штатному '!P75-'расчеты к старое'!P73</f>
        <v>-9340.083333333343</v>
      </c>
      <c r="Q73" s="556"/>
      <c r="R73" s="1538"/>
      <c r="S73" s="700"/>
      <c r="T73" s="700">
        <v>0.1</v>
      </c>
      <c r="U73" s="7">
        <f>'расчеты к штатному '!U75-'расчеты к старое'!U73</f>
        <v>6071.054166666665</v>
      </c>
      <c r="V73" s="699"/>
      <c r="W73" s="700"/>
      <c r="X73" s="10">
        <f>'расчеты к штатному '!X75-'расчеты к старое'!X73</f>
        <v>66781.595833333326</v>
      </c>
      <c r="Y73" s="35"/>
      <c r="Z73" s="35"/>
      <c r="AA73" s="23">
        <f t="shared" ref="AA73:AA75" si="9">X73*12</f>
        <v>801379.14999999991</v>
      </c>
      <c r="AB73" s="24">
        <f t="shared" si="6"/>
        <v>127506.62688941925</v>
      </c>
      <c r="AC73" s="24">
        <f t="shared" si="7"/>
        <v>1001723.9374999999</v>
      </c>
      <c r="AD73" s="24">
        <f t="shared" si="8"/>
        <v>159383.28361177404</v>
      </c>
      <c r="AK73" s="23"/>
      <c r="AL73" s="23"/>
      <c r="AM73" s="23"/>
      <c r="AN73" s="23"/>
      <c r="AO73" s="23"/>
      <c r="AP73" s="23"/>
      <c r="AQ73" s="23"/>
    </row>
    <row r="74" spans="1:43" s="24" customFormat="1" ht="15.75">
      <c r="A74" s="560">
        <v>48</v>
      </c>
      <c r="B74" s="1008" t="s">
        <v>199</v>
      </c>
      <c r="C74" s="1009" t="s">
        <v>99</v>
      </c>
      <c r="D74" s="563" t="s">
        <v>64</v>
      </c>
      <c r="E74" s="210" t="s">
        <v>721</v>
      </c>
      <c r="F74" s="562" t="s">
        <v>722</v>
      </c>
      <c r="G74" s="547">
        <v>1</v>
      </c>
      <c r="H74" s="563" t="s">
        <v>102</v>
      </c>
      <c r="I74" s="563" t="s">
        <v>118</v>
      </c>
      <c r="J74" s="581">
        <v>4</v>
      </c>
      <c r="K74" s="554">
        <v>17697</v>
      </c>
      <c r="L74" s="565">
        <v>21</v>
      </c>
      <c r="M74" s="554">
        <f t="shared" si="4"/>
        <v>1.1666666666666667</v>
      </c>
      <c r="N74" s="1004" t="s">
        <v>152</v>
      </c>
      <c r="O74" s="1157">
        <v>3.41</v>
      </c>
      <c r="P74" s="7">
        <f>'расчеты к штатному '!P76-'расчеты к старое'!P74</f>
        <v>30202.880000000005</v>
      </c>
      <c r="Q74" s="556"/>
      <c r="R74" s="1538"/>
      <c r="S74" s="700"/>
      <c r="T74" s="700">
        <v>0.1</v>
      </c>
      <c r="U74" s="7">
        <f>'расчеты к штатному '!U76-'расчеты к старое'!U74</f>
        <v>8050.6602500000008</v>
      </c>
      <c r="V74" s="699"/>
      <c r="W74" s="700"/>
      <c r="X74" s="10">
        <f>'расчеты к штатному '!X76-'расчеты к старое'!X74</f>
        <v>133830.61300000004</v>
      </c>
      <c r="Y74" s="34">
        <f t="shared" ref="Y74:Z74" si="10">V74+R74</f>
        <v>0</v>
      </c>
      <c r="Z74" s="34">
        <f t="shared" si="10"/>
        <v>0</v>
      </c>
      <c r="AA74" s="23">
        <f t="shared" si="9"/>
        <v>1605967.3560000006</v>
      </c>
      <c r="AB74" s="24">
        <f t="shared" si="6"/>
        <v>255523.84343675428</v>
      </c>
      <c r="AC74" s="24">
        <f t="shared" si="7"/>
        <v>2007459.1950000008</v>
      </c>
      <c r="AD74" s="24">
        <f t="shared" si="8"/>
        <v>319404.80429594289</v>
      </c>
      <c r="AK74" s="23"/>
      <c r="AL74" s="23"/>
      <c r="AM74" s="23"/>
      <c r="AN74" s="23"/>
      <c r="AO74" s="23"/>
      <c r="AP74" s="23"/>
      <c r="AQ74" s="23"/>
    </row>
    <row r="75" spans="1:43" s="24" customFormat="1" ht="17.25" customHeight="1">
      <c r="A75" s="547">
        <v>49</v>
      </c>
      <c r="B75" s="1008" t="s">
        <v>812</v>
      </c>
      <c r="C75" s="1009" t="s">
        <v>99</v>
      </c>
      <c r="D75" s="1002" t="s">
        <v>25</v>
      </c>
      <c r="E75" s="1589" t="s">
        <v>813</v>
      </c>
      <c r="F75" s="1539" t="s">
        <v>34</v>
      </c>
      <c r="G75" s="874">
        <v>1</v>
      </c>
      <c r="H75" s="1002" t="s">
        <v>102</v>
      </c>
      <c r="I75" s="1002" t="s">
        <v>103</v>
      </c>
      <c r="J75" s="1590">
        <v>2</v>
      </c>
      <c r="K75" s="888">
        <v>17697</v>
      </c>
      <c r="L75" s="1010">
        <v>14</v>
      </c>
      <c r="M75" s="554">
        <f t="shared" si="4"/>
        <v>0.77777777777777779</v>
      </c>
      <c r="N75" s="698" t="s">
        <v>104</v>
      </c>
      <c r="O75" s="1021">
        <v>4.51</v>
      </c>
      <c r="P75" s="7">
        <f>'расчеты к штатному '!P80-'расчеты к старое'!P75</f>
        <v>17736.32666666666</v>
      </c>
      <c r="Q75" s="556"/>
      <c r="R75" s="1011"/>
      <c r="S75" s="888"/>
      <c r="T75" s="605">
        <v>0.1</v>
      </c>
      <c r="U75" s="7">
        <f>'расчеты к штатному '!U80-'расчеты к старое'!U75</f>
        <v>5764.3061666666663</v>
      </c>
      <c r="V75" s="1012"/>
      <c r="W75" s="888"/>
      <c r="X75" s="10">
        <f>'расчеты к штатному '!X80-'расчеты к старое'!X75</f>
        <v>63407.367833333323</v>
      </c>
      <c r="Y75" s="885"/>
      <c r="Z75" s="885"/>
      <c r="AA75" s="23">
        <f t="shared" si="9"/>
        <v>760888.41399999987</v>
      </c>
      <c r="AB75" s="24">
        <f t="shared" si="6"/>
        <v>121064.18679395385</v>
      </c>
      <c r="AC75" s="24">
        <f t="shared" si="7"/>
        <v>951110.51749999984</v>
      </c>
      <c r="AD75" s="24">
        <f t="shared" si="8"/>
        <v>151330.23349244232</v>
      </c>
      <c r="AK75" s="23"/>
      <c r="AL75" s="23"/>
      <c r="AM75" s="23"/>
      <c r="AN75" s="23"/>
      <c r="AO75" s="23"/>
      <c r="AP75" s="23"/>
      <c r="AQ75" s="23"/>
    </row>
    <row r="76" spans="1:43" s="24" customFormat="1" ht="17.25" customHeight="1">
      <c r="A76" s="1730">
        <v>50</v>
      </c>
      <c r="B76" s="1008" t="s">
        <v>202</v>
      </c>
      <c r="C76" s="1009" t="s">
        <v>99</v>
      </c>
      <c r="D76" s="1592" t="s">
        <v>75</v>
      </c>
      <c r="E76" s="1694" t="s">
        <v>720</v>
      </c>
      <c r="F76" s="1586" t="s">
        <v>66</v>
      </c>
      <c r="G76" s="1695">
        <v>1</v>
      </c>
      <c r="H76" s="1592" t="s">
        <v>102</v>
      </c>
      <c r="I76" s="1592" t="s">
        <v>103</v>
      </c>
      <c r="J76" s="1696">
        <v>2</v>
      </c>
      <c r="K76" s="888">
        <v>17697</v>
      </c>
      <c r="L76" s="1010">
        <v>31</v>
      </c>
      <c r="M76" s="888">
        <f t="shared" si="4"/>
        <v>1.7222222222222223</v>
      </c>
      <c r="N76" s="1594" t="s">
        <v>104</v>
      </c>
      <c r="O76" s="1021">
        <v>4.37</v>
      </c>
      <c r="P76" s="885">
        <f>'расчеты к штатному '!P81-'расчеты к старое'!P76</f>
        <v>12889.315000000002</v>
      </c>
      <c r="Q76" s="1013"/>
      <c r="R76" s="1011"/>
      <c r="S76" s="888"/>
      <c r="T76" s="888">
        <v>0.1</v>
      </c>
      <c r="U76" s="885">
        <f>'расчеты к штатному '!U81-'расчеты к старое'!U76</f>
        <v>8592.8766666666688</v>
      </c>
      <c r="V76" s="1012"/>
      <c r="W76" s="888"/>
      <c r="X76" s="1690">
        <f>'расчеты к штатному '!X81-'расчеты к старое'!X76</f>
        <v>94521.64333333337</v>
      </c>
      <c r="Y76" s="885"/>
      <c r="Z76" s="885"/>
      <c r="AA76" s="23"/>
      <c r="AK76" s="23"/>
      <c r="AL76" s="23"/>
      <c r="AM76" s="23"/>
      <c r="AN76" s="23"/>
      <c r="AO76" s="23"/>
      <c r="AP76" s="23"/>
      <c r="AQ76" s="23"/>
    </row>
    <row r="77" spans="1:43" s="377" customFormat="1" ht="17.25" customHeight="1">
      <c r="A77" s="1823"/>
      <c r="B77" s="1824"/>
      <c r="C77" s="1825"/>
      <c r="D77" s="1847"/>
      <c r="E77" s="1860"/>
      <c r="F77" s="1827"/>
      <c r="G77" s="1823"/>
      <c r="H77" s="1847"/>
      <c r="I77" s="1847"/>
      <c r="J77" s="1861"/>
      <c r="K77" s="1830"/>
      <c r="L77" s="1862">
        <f>SUM(L27:L76)</f>
        <v>1099</v>
      </c>
      <c r="M77" s="1830"/>
      <c r="N77" s="1831"/>
      <c r="O77" s="1831"/>
      <c r="P77" s="1863">
        <f>'расчеты к штатному '!P82-'расчеты к старое'!P77</f>
        <v>0</v>
      </c>
      <c r="Q77" s="1503"/>
      <c r="R77" s="1832"/>
      <c r="S77" s="1830"/>
      <c r="T77" s="1830"/>
      <c r="U77" s="1863">
        <f>'расчеты к штатному '!U82-'расчеты к старое'!U77</f>
        <v>0</v>
      </c>
      <c r="V77" s="1864"/>
      <c r="W77" s="1830"/>
      <c r="X77" s="1865"/>
      <c r="Y77" s="1576"/>
      <c r="Z77" s="437"/>
      <c r="AA77" s="375">
        <f>X77*12</f>
        <v>0</v>
      </c>
      <c r="AB77" s="377">
        <f>AA77/12/29.33*56</f>
        <v>0</v>
      </c>
      <c r="AC77" s="377">
        <f>AA77*1.25</f>
        <v>0</v>
      </c>
      <c r="AD77" s="377">
        <f>AC77/12/29.33*56</f>
        <v>0</v>
      </c>
      <c r="AK77" s="23"/>
      <c r="AL77" s="23"/>
      <c r="AM77" s="23"/>
      <c r="AN77" s="23"/>
      <c r="AO77" s="23"/>
      <c r="AP77" s="23"/>
      <c r="AQ77" s="23"/>
    </row>
    <row r="78" spans="1:43" s="377" customFormat="1" ht="17.25" customHeight="1">
      <c r="A78" s="1823"/>
      <c r="B78" s="1866" t="s">
        <v>789</v>
      </c>
      <c r="C78" s="1825"/>
      <c r="D78" s="1847"/>
      <c r="E78" s="1827"/>
      <c r="F78" s="1827"/>
      <c r="G78" s="1823"/>
      <c r="H78" s="1847"/>
      <c r="I78" s="1847"/>
      <c r="J78" s="1861"/>
      <c r="K78" s="1830"/>
      <c r="L78" s="1862"/>
      <c r="M78" s="1830"/>
      <c r="N78" s="1831"/>
      <c r="O78" s="1831"/>
      <c r="P78" s="1863">
        <f>'расчеты к штатному '!P83-'расчеты к старое'!P78</f>
        <v>0</v>
      </c>
      <c r="Q78" s="1503"/>
      <c r="R78" s="1832"/>
      <c r="S78" s="1830"/>
      <c r="T78" s="1830"/>
      <c r="U78" s="1863">
        <f>'расчеты к штатному '!U83-'расчеты к старое'!U78</f>
        <v>0</v>
      </c>
      <c r="V78" s="1864"/>
      <c r="W78" s="1830"/>
      <c r="X78" s="1865"/>
      <c r="Y78" s="1576"/>
      <c r="Z78" s="1544"/>
      <c r="AA78" s="375"/>
      <c r="AK78" s="23"/>
      <c r="AL78" s="23"/>
      <c r="AM78" s="23"/>
      <c r="AN78" s="23"/>
      <c r="AO78" s="23"/>
      <c r="AP78" s="23"/>
      <c r="AQ78" s="23"/>
    </row>
    <row r="79" spans="1:43" s="24" customFormat="1" ht="17.25" customHeight="1">
      <c r="A79" s="547">
        <v>1</v>
      </c>
      <c r="B79" s="548" t="s">
        <v>215</v>
      </c>
      <c r="C79" s="549" t="s">
        <v>99</v>
      </c>
      <c r="D79" s="577" t="s">
        <v>25</v>
      </c>
      <c r="E79" s="583" t="s">
        <v>653</v>
      </c>
      <c r="F79" s="583" t="s">
        <v>217</v>
      </c>
      <c r="G79" s="1668">
        <v>1</v>
      </c>
      <c r="H79" s="1669" t="s">
        <v>102</v>
      </c>
      <c r="I79" s="1669" t="s">
        <v>103</v>
      </c>
      <c r="J79" s="1670">
        <v>1</v>
      </c>
      <c r="K79" s="552">
        <v>17697</v>
      </c>
      <c r="L79" s="1671">
        <v>20</v>
      </c>
      <c r="M79" s="552">
        <f>L79/18</f>
        <v>1.1111111111111112</v>
      </c>
      <c r="N79" s="1670" t="s">
        <v>152</v>
      </c>
      <c r="O79" s="1672">
        <v>4.6900000000000004</v>
      </c>
      <c r="P79" s="7">
        <f>'расчеты к штатному '!P84-'расчеты к старое'!P79</f>
        <v>0</v>
      </c>
      <c r="Q79" s="556">
        <f>X79-U79</f>
        <v>46110.516666666677</v>
      </c>
      <c r="R79" s="557"/>
      <c r="S79" s="552"/>
      <c r="T79" s="552">
        <v>0.1</v>
      </c>
      <c r="U79" s="7">
        <f>'расчеты к штатному '!U84-'расчеты к старое'!U79</f>
        <v>4611.0516666666681</v>
      </c>
      <c r="V79" s="1673"/>
      <c r="W79" s="552"/>
      <c r="X79" s="10">
        <f>'расчеты к штатному '!X84-'расчеты к старое'!X79</f>
        <v>50721.568333333344</v>
      </c>
      <c r="Y79" s="10"/>
      <c r="Z79" s="10"/>
      <c r="AA79" s="23" t="e">
        <f>#REF!*12</f>
        <v>#REF!</v>
      </c>
      <c r="AB79" s="24" t="e">
        <f t="shared" si="6"/>
        <v>#REF!</v>
      </c>
      <c r="AC79" s="24" t="e">
        <f t="shared" si="7"/>
        <v>#REF!</v>
      </c>
      <c r="AD79" s="24" t="e">
        <f t="shared" si="8"/>
        <v>#REF!</v>
      </c>
      <c r="AK79" s="906"/>
      <c r="AL79" s="23"/>
      <c r="AM79" s="23"/>
      <c r="AN79" s="23"/>
      <c r="AO79" s="23"/>
      <c r="AP79" s="23"/>
      <c r="AQ79" s="23"/>
    </row>
    <row r="80" spans="1:43" s="24" customFormat="1" ht="18" customHeight="1">
      <c r="A80" s="560">
        <v>2</v>
      </c>
      <c r="B80" s="153" t="s">
        <v>222</v>
      </c>
      <c r="C80" s="561" t="s">
        <v>148</v>
      </c>
      <c r="D80" s="563" t="s">
        <v>25</v>
      </c>
      <c r="E80" s="562" t="s">
        <v>654</v>
      </c>
      <c r="F80" s="562" t="s">
        <v>224</v>
      </c>
      <c r="G80" s="571">
        <v>1</v>
      </c>
      <c r="H80" s="580" t="s">
        <v>102</v>
      </c>
      <c r="I80" s="580" t="s">
        <v>103</v>
      </c>
      <c r="J80" s="574">
        <v>2</v>
      </c>
      <c r="K80" s="554">
        <v>17697</v>
      </c>
      <c r="L80" s="1643">
        <v>31</v>
      </c>
      <c r="M80" s="552">
        <f t="shared" ref="M80:M99" si="11">L80/18</f>
        <v>1.7222222222222223</v>
      </c>
      <c r="N80" s="566" t="s">
        <v>104</v>
      </c>
      <c r="O80" s="1015">
        <v>4.16</v>
      </c>
      <c r="P80" s="7">
        <f>'расчеты к штатному '!P85-'расчеты к старое'!P80</f>
        <v>12269.919999999984</v>
      </c>
      <c r="Q80" s="556">
        <f t="shared" ref="Q80:Q99" si="12">X80-U80</f>
        <v>81799.466666666631</v>
      </c>
      <c r="R80" s="568"/>
      <c r="S80" s="554"/>
      <c r="T80" s="552">
        <v>0.1</v>
      </c>
      <c r="U80" s="7">
        <f>'расчеты к штатному '!U85-'расчеты к старое'!U80</f>
        <v>8179.9466666666667</v>
      </c>
      <c r="V80" s="19"/>
      <c r="W80" s="554"/>
      <c r="X80" s="10">
        <f>'расчеты к штатному '!X85-'расчеты к старое'!X80</f>
        <v>89979.413333333301</v>
      </c>
      <c r="Y80" s="10">
        <f t="shared" ref="Y80:Z82" si="13">V79+R79</f>
        <v>0</v>
      </c>
      <c r="Z80" s="10">
        <f t="shared" si="13"/>
        <v>0</v>
      </c>
      <c r="AA80" s="23">
        <f>X79*12</f>
        <v>608658.82000000007</v>
      </c>
      <c r="AB80" s="24">
        <f t="shared" si="6"/>
        <v>96843.089896579171</v>
      </c>
      <c r="AC80" s="24">
        <f t="shared" si="7"/>
        <v>760823.52500000014</v>
      </c>
      <c r="AD80" s="24">
        <f t="shared" si="8"/>
        <v>121053.86237072397</v>
      </c>
      <c r="AK80" s="23"/>
      <c r="AL80" s="23"/>
      <c r="AM80" s="23"/>
      <c r="AN80" s="23"/>
      <c r="AO80" s="23"/>
      <c r="AP80" s="23"/>
      <c r="AQ80" s="23"/>
    </row>
    <row r="81" spans="1:43" s="24" customFormat="1" ht="16.5" customHeight="1">
      <c r="A81" s="547">
        <v>3</v>
      </c>
      <c r="B81" s="153" t="s">
        <v>124</v>
      </c>
      <c r="C81" s="561" t="s">
        <v>125</v>
      </c>
      <c r="D81" s="560" t="s">
        <v>75</v>
      </c>
      <c r="E81" s="582" t="s">
        <v>590</v>
      </c>
      <c r="F81" s="562" t="s">
        <v>108</v>
      </c>
      <c r="G81" s="571">
        <v>1</v>
      </c>
      <c r="H81" s="563" t="s">
        <v>102</v>
      </c>
      <c r="I81" s="563" t="s">
        <v>118</v>
      </c>
      <c r="J81" s="581">
        <v>3</v>
      </c>
      <c r="K81" s="554">
        <v>17697</v>
      </c>
      <c r="L81" s="1014">
        <v>11</v>
      </c>
      <c r="M81" s="552">
        <f t="shared" si="11"/>
        <v>0.61111111111111116</v>
      </c>
      <c r="N81" s="574" t="s">
        <v>109</v>
      </c>
      <c r="O81" s="1014">
        <v>3.85</v>
      </c>
      <c r="P81" s="7">
        <f>'расчеты к штатному '!P86-'расчеты к старое'!P81</f>
        <v>0</v>
      </c>
      <c r="Q81" s="556">
        <f t="shared" si="12"/>
        <v>20818.554166666669</v>
      </c>
      <c r="R81" s="568"/>
      <c r="S81" s="554"/>
      <c r="T81" s="552">
        <v>0.1</v>
      </c>
      <c r="U81" s="7">
        <f>'расчеты к штатному '!U86-'расчеты к старое'!U81</f>
        <v>2081.8554166666663</v>
      </c>
      <c r="V81" s="19"/>
      <c r="W81" s="554"/>
      <c r="X81" s="10">
        <f>'расчеты к штатному '!X86-'расчеты к старое'!X81</f>
        <v>22900.409583333334</v>
      </c>
      <c r="Y81" s="10">
        <f t="shared" si="13"/>
        <v>0</v>
      </c>
      <c r="Z81" s="10">
        <f t="shared" si="13"/>
        <v>0</v>
      </c>
      <c r="AA81" s="23">
        <f>X80*12</f>
        <v>1079752.9599999995</v>
      </c>
      <c r="AB81" s="24">
        <f t="shared" si="6"/>
        <v>171798.40254574377</v>
      </c>
      <c r="AC81" s="24">
        <f t="shared" si="7"/>
        <v>1349691.1999999993</v>
      </c>
      <c r="AD81" s="24">
        <f t="shared" si="8"/>
        <v>214748.0031821797</v>
      </c>
      <c r="AK81" s="23"/>
      <c r="AL81" s="23"/>
      <c r="AM81" s="23"/>
      <c r="AN81" s="23"/>
      <c r="AO81" s="23"/>
      <c r="AP81" s="23"/>
      <c r="AQ81" s="23"/>
    </row>
    <row r="82" spans="1:43" s="24" customFormat="1" ht="17.25" customHeight="1">
      <c r="A82" s="560">
        <v>4</v>
      </c>
      <c r="B82" s="153" t="s">
        <v>618</v>
      </c>
      <c r="C82" s="561" t="s">
        <v>99</v>
      </c>
      <c r="D82" s="560" t="s">
        <v>25</v>
      </c>
      <c r="E82" s="550" t="s">
        <v>794</v>
      </c>
      <c r="F82" s="562" t="s">
        <v>795</v>
      </c>
      <c r="G82" s="571">
        <v>1</v>
      </c>
      <c r="H82" s="580" t="s">
        <v>102</v>
      </c>
      <c r="I82" s="580" t="s">
        <v>103</v>
      </c>
      <c r="J82" s="574">
        <v>3</v>
      </c>
      <c r="K82" s="554">
        <v>17697</v>
      </c>
      <c r="L82" s="1014">
        <v>27</v>
      </c>
      <c r="M82" s="552">
        <f t="shared" si="11"/>
        <v>1.5</v>
      </c>
      <c r="N82" s="698" t="s">
        <v>109</v>
      </c>
      <c r="O82" s="1157">
        <v>4.3600000000000003</v>
      </c>
      <c r="P82" s="7">
        <f>'расчеты к штатному '!P87-'расчеты к старое'!P82</f>
        <v>17451.208333333328</v>
      </c>
      <c r="Q82" s="556">
        <f t="shared" si="12"/>
        <v>153970.53637500003</v>
      </c>
      <c r="R82" s="1538"/>
      <c r="S82" s="700"/>
      <c r="T82" s="552">
        <v>0.1</v>
      </c>
      <c r="U82" s="7">
        <f>'расчеты к штатному '!U87-'расчеты к старое'!U82</f>
        <v>8404.6002499999995</v>
      </c>
      <c r="V82" s="19"/>
      <c r="W82" s="554"/>
      <c r="X82" s="10">
        <f>'расчеты к штатному '!X87-'расчеты к старое'!X82</f>
        <v>162375.13662500001</v>
      </c>
      <c r="Y82" s="10">
        <f t="shared" si="13"/>
        <v>0</v>
      </c>
      <c r="Z82" s="10">
        <f t="shared" si="13"/>
        <v>0</v>
      </c>
      <c r="AA82" s="23">
        <f>X81*12</f>
        <v>274804.91500000004</v>
      </c>
      <c r="AB82" s="24">
        <f t="shared" si="6"/>
        <v>43723.932378679412</v>
      </c>
      <c r="AC82" s="24">
        <f t="shared" si="7"/>
        <v>343506.14375000005</v>
      </c>
      <c r="AD82" s="24">
        <f t="shared" si="8"/>
        <v>54654.915473349247</v>
      </c>
      <c r="AK82" s="23"/>
      <c r="AL82" s="23"/>
      <c r="AM82" s="23"/>
      <c r="AN82" s="23"/>
      <c r="AO82" s="23"/>
      <c r="AP82" s="23"/>
      <c r="AQ82" s="23"/>
    </row>
    <row r="83" spans="1:43" s="24" customFormat="1" ht="17.25" customHeight="1">
      <c r="A83" s="547">
        <v>5</v>
      </c>
      <c r="B83" s="153" t="s">
        <v>127</v>
      </c>
      <c r="C83" s="561" t="s">
        <v>99</v>
      </c>
      <c r="D83" s="560" t="s">
        <v>25</v>
      </c>
      <c r="E83" s="562" t="s">
        <v>661</v>
      </c>
      <c r="F83" s="562" t="s">
        <v>34</v>
      </c>
      <c r="G83" s="571">
        <v>1</v>
      </c>
      <c r="H83" s="563" t="s">
        <v>102</v>
      </c>
      <c r="I83" s="563" t="s">
        <v>103</v>
      </c>
      <c r="J83" s="564">
        <v>1</v>
      </c>
      <c r="K83" s="554">
        <v>17697</v>
      </c>
      <c r="L83" s="1014">
        <v>4</v>
      </c>
      <c r="M83" s="552">
        <f t="shared" si="11"/>
        <v>0.22222222222222221</v>
      </c>
      <c r="N83" s="574" t="s">
        <v>152</v>
      </c>
      <c r="O83" s="1014">
        <v>4.75</v>
      </c>
      <c r="P83" s="7">
        <f>'расчеты к штатному '!P88-'расчеты к старое'!P83</f>
        <v>0</v>
      </c>
      <c r="Q83" s="556">
        <f t="shared" si="12"/>
        <v>9340.0833333333339</v>
      </c>
      <c r="R83" s="568"/>
      <c r="S83" s="554"/>
      <c r="T83" s="552">
        <v>0.1</v>
      </c>
      <c r="U83" s="7">
        <f>'расчеты к штатному '!U88-'расчеты к старое'!U83</f>
        <v>934.00833333333321</v>
      </c>
      <c r="V83" s="19"/>
      <c r="W83" s="554"/>
      <c r="X83" s="10">
        <f>'расчеты к штатному '!X88-'расчеты к старое'!X83</f>
        <v>10274.091666666667</v>
      </c>
      <c r="Y83" s="1547"/>
      <c r="Z83" s="1547"/>
      <c r="AA83" s="23"/>
      <c r="AK83" s="23"/>
      <c r="AL83" s="23"/>
      <c r="AM83" s="23"/>
      <c r="AN83" s="23"/>
      <c r="AO83" s="23"/>
      <c r="AP83" s="23"/>
      <c r="AQ83" s="23"/>
    </row>
    <row r="84" spans="1:43" s="24" customFormat="1" ht="17.25" customHeight="1">
      <c r="A84" s="560">
        <v>6</v>
      </c>
      <c r="B84" s="998" t="s">
        <v>791</v>
      </c>
      <c r="C84" s="873" t="s">
        <v>99</v>
      </c>
      <c r="D84" s="874" t="s">
        <v>75</v>
      </c>
      <c r="E84" s="583" t="s">
        <v>796</v>
      </c>
      <c r="F84" s="1539" t="s">
        <v>797</v>
      </c>
      <c r="G84" s="571">
        <v>1</v>
      </c>
      <c r="H84" s="580" t="s">
        <v>102</v>
      </c>
      <c r="I84" s="580" t="s">
        <v>118</v>
      </c>
      <c r="J84" s="574">
        <v>3</v>
      </c>
      <c r="K84" s="554">
        <v>17697</v>
      </c>
      <c r="L84" s="1157">
        <v>21</v>
      </c>
      <c r="M84" s="552">
        <f t="shared" si="11"/>
        <v>1.1666666666666667</v>
      </c>
      <c r="N84" s="698" t="s">
        <v>109</v>
      </c>
      <c r="O84" s="1157">
        <v>3.97</v>
      </c>
      <c r="P84" s="7">
        <f>'расчеты к штатному '!P89-'расчеты к старое'!P84</f>
        <v>5417.2483333333512</v>
      </c>
      <c r="Q84" s="556">
        <f t="shared" si="12"/>
        <v>94985.698000000062</v>
      </c>
      <c r="R84" s="1538"/>
      <c r="S84" s="700"/>
      <c r="T84" s="552">
        <v>0.1</v>
      </c>
      <c r="U84" s="7">
        <f>'расчеты к штатному '!U89-'расчеты к старое'!U84</f>
        <v>4910.9175000000032</v>
      </c>
      <c r="V84" s="1541"/>
      <c r="W84" s="700"/>
      <c r="X84" s="10">
        <f>'расчеты к штатному '!X89-'расчеты к старое'!X84</f>
        <v>99896.615500000058</v>
      </c>
      <c r="Y84" s="10">
        <f>V83+R83</f>
        <v>0</v>
      </c>
      <c r="Z84" s="10">
        <f>W83+S83</f>
        <v>0</v>
      </c>
      <c r="AA84" s="23">
        <f>X83*12</f>
        <v>123289.1</v>
      </c>
      <c r="AB84" s="24">
        <f>AA84/12/29.33*56</f>
        <v>19616.404136833735</v>
      </c>
      <c r="AC84" s="24">
        <f>AA84*1.25</f>
        <v>154111.375</v>
      </c>
      <c r="AD84" s="24">
        <f>AC84/12/29.33*56</f>
        <v>24520.505171042169</v>
      </c>
      <c r="AK84" s="23"/>
      <c r="AL84" s="23"/>
      <c r="AM84" s="23"/>
      <c r="AN84" s="23"/>
      <c r="AO84" s="23"/>
      <c r="AP84" s="23"/>
      <c r="AQ84" s="23"/>
    </row>
    <row r="85" spans="1:43" s="24" customFormat="1" ht="17.25" customHeight="1">
      <c r="A85" s="547">
        <v>7</v>
      </c>
      <c r="B85" s="153" t="s">
        <v>227</v>
      </c>
      <c r="C85" s="561" t="s">
        <v>99</v>
      </c>
      <c r="D85" s="560" t="s">
        <v>25</v>
      </c>
      <c r="E85" s="562" t="s">
        <v>741</v>
      </c>
      <c r="F85" s="562" t="s">
        <v>669</v>
      </c>
      <c r="G85" s="571">
        <v>1</v>
      </c>
      <c r="H85" s="580" t="s">
        <v>102</v>
      </c>
      <c r="I85" s="580" t="s">
        <v>103</v>
      </c>
      <c r="J85" s="574">
        <v>2</v>
      </c>
      <c r="K85" s="554">
        <v>17697</v>
      </c>
      <c r="L85" s="1643">
        <v>20</v>
      </c>
      <c r="M85" s="552">
        <f t="shared" si="11"/>
        <v>1.1111111111111112</v>
      </c>
      <c r="N85" s="566" t="s">
        <v>104</v>
      </c>
      <c r="O85" s="1015">
        <v>4.09</v>
      </c>
      <c r="P85" s="7">
        <f>'расчеты к штатному '!P90-'расчеты к старое'!P85</f>
        <v>-12063.454999999987</v>
      </c>
      <c r="Q85" s="556">
        <f t="shared" si="12"/>
        <v>22116.334166666693</v>
      </c>
      <c r="R85" s="568"/>
      <c r="S85" s="554"/>
      <c r="T85" s="552">
        <v>0.1</v>
      </c>
      <c r="U85" s="7">
        <f>'расчеты к штатному '!U90-'расчеты к старое'!U85</f>
        <v>2211.6334166666675</v>
      </c>
      <c r="V85" s="19"/>
      <c r="W85" s="554"/>
      <c r="X85" s="10">
        <f>'расчеты к штатному '!X90-'расчеты к старое'!X85</f>
        <v>24327.96758333336</v>
      </c>
      <c r="Y85" s="1547"/>
      <c r="Z85" s="1547"/>
      <c r="AA85" s="23"/>
      <c r="AK85" s="23"/>
      <c r="AL85" s="23"/>
      <c r="AM85" s="23"/>
      <c r="AN85" s="23"/>
      <c r="AO85" s="23"/>
      <c r="AP85" s="23"/>
      <c r="AQ85" s="23"/>
    </row>
    <row r="86" spans="1:43" s="24" customFormat="1" ht="17.25" customHeight="1">
      <c r="A86" s="560">
        <v>8</v>
      </c>
      <c r="B86" s="153" t="s">
        <v>230</v>
      </c>
      <c r="C86" s="561" t="s">
        <v>99</v>
      </c>
      <c r="D86" s="560" t="s">
        <v>25</v>
      </c>
      <c r="E86" s="582" t="s">
        <v>736</v>
      </c>
      <c r="F86" s="562" t="s">
        <v>217</v>
      </c>
      <c r="G86" s="571">
        <v>1</v>
      </c>
      <c r="H86" s="580" t="s">
        <v>232</v>
      </c>
      <c r="I86" s="580" t="s">
        <v>233</v>
      </c>
      <c r="J86" s="574">
        <v>1</v>
      </c>
      <c r="K86" s="554">
        <v>17697</v>
      </c>
      <c r="L86" s="1643">
        <v>36</v>
      </c>
      <c r="M86" s="552">
        <f t="shared" si="11"/>
        <v>2</v>
      </c>
      <c r="N86" s="574" t="s">
        <v>152</v>
      </c>
      <c r="O86" s="1014">
        <v>4.75</v>
      </c>
      <c r="P86" s="7">
        <f>'расчеты к штатному '!P91-'расчеты к старое'!P86</f>
        <v>0</v>
      </c>
      <c r="Q86" s="556">
        <f t="shared" si="12"/>
        <v>84060.749999999985</v>
      </c>
      <c r="R86" s="568"/>
      <c r="S86" s="554"/>
      <c r="T86" s="552">
        <v>0.1</v>
      </c>
      <c r="U86" s="7">
        <f>'расчеты к штатному '!U91-'расчеты к старое'!U86</f>
        <v>8406.0750000000007</v>
      </c>
      <c r="V86" s="19"/>
      <c r="W86" s="554"/>
      <c r="X86" s="10">
        <f>'расчеты к штатному '!X91-'расчеты к старое'!X86</f>
        <v>92466.824999999983</v>
      </c>
      <c r="Y86" s="10">
        <f>V85+R85</f>
        <v>0</v>
      </c>
      <c r="Z86" s="10">
        <f>W85+S85</f>
        <v>0</v>
      </c>
      <c r="AA86" s="23">
        <f>X85*12</f>
        <v>291935.61100000032</v>
      </c>
      <c r="AB86" s="24">
        <f>AA86/12/29.33*56</f>
        <v>46449.580111376345</v>
      </c>
      <c r="AC86" s="24">
        <f>AA86*1.25</f>
        <v>364919.51375000039</v>
      </c>
      <c r="AD86" s="24">
        <f>AC86/12/29.33*56</f>
        <v>58061.975139220427</v>
      </c>
      <c r="AK86" s="23"/>
      <c r="AL86" s="23"/>
      <c r="AM86" s="23"/>
      <c r="AN86" s="23"/>
      <c r="AO86" s="23"/>
      <c r="AP86" s="23"/>
      <c r="AQ86" s="23"/>
    </row>
    <row r="87" spans="1:43" s="24" customFormat="1" ht="17.25" customHeight="1">
      <c r="A87" s="547">
        <v>9</v>
      </c>
      <c r="B87" s="153" t="s">
        <v>360</v>
      </c>
      <c r="C87" s="561" t="s">
        <v>99</v>
      </c>
      <c r="D87" s="563" t="s">
        <v>25</v>
      </c>
      <c r="E87" s="562" t="s">
        <v>683</v>
      </c>
      <c r="F87" s="562" t="s">
        <v>362</v>
      </c>
      <c r="G87" s="571">
        <v>1</v>
      </c>
      <c r="H87" s="580" t="s">
        <v>102</v>
      </c>
      <c r="I87" s="580" t="s">
        <v>103</v>
      </c>
      <c r="J87" s="574">
        <v>1</v>
      </c>
      <c r="K87" s="554">
        <v>17697</v>
      </c>
      <c r="L87" s="1643">
        <v>24</v>
      </c>
      <c r="M87" s="552">
        <f t="shared" si="11"/>
        <v>1.3333333333333333</v>
      </c>
      <c r="N87" s="566" t="s">
        <v>152</v>
      </c>
      <c r="O87" s="1015">
        <v>4.55</v>
      </c>
      <c r="P87" s="7">
        <f>'расчеты к штатному '!P92-'расчеты к старое'!P87</f>
        <v>0</v>
      </c>
      <c r="Q87" s="556">
        <f t="shared" si="12"/>
        <v>53680.899999999994</v>
      </c>
      <c r="R87" s="568"/>
      <c r="S87" s="554"/>
      <c r="T87" s="552">
        <v>0.1</v>
      </c>
      <c r="U87" s="7">
        <f>'расчеты к штатному '!U92-'расчеты к старое'!U87</f>
        <v>5368.0899999999983</v>
      </c>
      <c r="V87" s="19"/>
      <c r="W87" s="554"/>
      <c r="X87" s="10">
        <f>'расчеты к штатному '!X92-'расчеты к старое'!X87</f>
        <v>59048.989999999991</v>
      </c>
      <c r="Y87" s="10">
        <f>V86+R86</f>
        <v>0</v>
      </c>
      <c r="Z87" s="10">
        <f>W86+S86</f>
        <v>0</v>
      </c>
      <c r="AA87" s="23">
        <f>X86*12</f>
        <v>1109601.8999999999</v>
      </c>
      <c r="AB87" s="24">
        <f>AA87/12/29.33*56</f>
        <v>176547.63723150358</v>
      </c>
      <c r="AC87" s="24">
        <f>AA87*1.25</f>
        <v>1387002.375</v>
      </c>
      <c r="AD87" s="24">
        <f>AC87/12/29.33*56</f>
        <v>220684.54653937949</v>
      </c>
      <c r="AK87" s="23"/>
      <c r="AL87" s="23"/>
      <c r="AM87" s="23"/>
      <c r="AN87" s="23"/>
      <c r="AO87" s="23"/>
      <c r="AP87" s="23"/>
      <c r="AQ87" s="23"/>
    </row>
    <row r="88" spans="1:43" s="24" customFormat="1" ht="15.75">
      <c r="A88" s="560">
        <v>10</v>
      </c>
      <c r="B88" s="153" t="s">
        <v>743</v>
      </c>
      <c r="C88" s="561" t="s">
        <v>744</v>
      </c>
      <c r="D88" s="628" t="s">
        <v>25</v>
      </c>
      <c r="E88" s="586" t="s">
        <v>745</v>
      </c>
      <c r="F88" s="562" t="s">
        <v>403</v>
      </c>
      <c r="G88" s="571">
        <v>1</v>
      </c>
      <c r="H88" s="563" t="s">
        <v>102</v>
      </c>
      <c r="I88" s="563" t="s">
        <v>103</v>
      </c>
      <c r="J88" s="629">
        <v>3</v>
      </c>
      <c r="K88" s="554">
        <v>17697</v>
      </c>
      <c r="L88" s="1643">
        <v>24</v>
      </c>
      <c r="M88" s="552">
        <f t="shared" si="11"/>
        <v>1.3333333333333333</v>
      </c>
      <c r="N88" s="574" t="s">
        <v>109</v>
      </c>
      <c r="O88" s="1015">
        <v>4.1399999999999997</v>
      </c>
      <c r="P88" s="7">
        <f>'расчеты к штатному '!P93-'расчеты к старое'!P88</f>
        <v>0</v>
      </c>
      <c r="Q88" s="556">
        <f t="shared" si="12"/>
        <v>48843.72</v>
      </c>
      <c r="R88" s="568"/>
      <c r="S88" s="554"/>
      <c r="T88" s="552">
        <v>0.1</v>
      </c>
      <c r="U88" s="7">
        <f>'расчеты к штатному '!U93-'расчеты к старое'!U88</f>
        <v>4884.3719999999994</v>
      </c>
      <c r="V88" s="19"/>
      <c r="W88" s="554"/>
      <c r="X88" s="10">
        <f>'расчеты к штатному '!X93-'расчеты к старое'!X88</f>
        <v>53728.092000000004</v>
      </c>
      <c r="Y88" s="10"/>
      <c r="Z88" s="10"/>
      <c r="AA88" s="23">
        <f>X87*12</f>
        <v>708587.87999999989</v>
      </c>
      <c r="AB88" s="24">
        <f>AA88/12/29.33*56</f>
        <v>112742.70167064438</v>
      </c>
      <c r="AC88" s="24">
        <f>AA88*1.25</f>
        <v>885734.84999999986</v>
      </c>
      <c r="AD88" s="24">
        <f>AC88/12/29.33*56</f>
        <v>140928.37708830548</v>
      </c>
      <c r="AK88" s="23"/>
      <c r="AL88" s="23"/>
      <c r="AM88" s="23"/>
      <c r="AN88" s="23"/>
      <c r="AO88" s="23"/>
      <c r="AP88" s="23"/>
      <c r="AQ88" s="23"/>
    </row>
    <row r="89" spans="1:43" s="24" customFormat="1" ht="17.25" customHeight="1">
      <c r="A89" s="547">
        <v>11</v>
      </c>
      <c r="B89" s="998" t="s">
        <v>678</v>
      </c>
      <c r="C89" s="873" t="s">
        <v>99</v>
      </c>
      <c r="D89" s="1002" t="s">
        <v>75</v>
      </c>
      <c r="E89" s="583" t="s">
        <v>738</v>
      </c>
      <c r="F89" s="1539" t="s">
        <v>602</v>
      </c>
      <c r="G89" s="571">
        <v>1</v>
      </c>
      <c r="H89" s="580" t="s">
        <v>102</v>
      </c>
      <c r="I89" s="580" t="s">
        <v>118</v>
      </c>
      <c r="J89" s="574">
        <v>4</v>
      </c>
      <c r="K89" s="554">
        <v>17697</v>
      </c>
      <c r="L89" s="1648">
        <v>11</v>
      </c>
      <c r="M89" s="552">
        <f t="shared" si="11"/>
        <v>0.61111111111111116</v>
      </c>
      <c r="N89" s="1583" t="s">
        <v>112</v>
      </c>
      <c r="O89" s="1591">
        <v>3.36</v>
      </c>
      <c r="P89" s="7">
        <f>'расчеты к штатному '!P94-'расчеты к старое'!P89</f>
        <v>0</v>
      </c>
      <c r="Q89" s="556">
        <f t="shared" si="12"/>
        <v>18168.920000000006</v>
      </c>
      <c r="R89" s="1538"/>
      <c r="S89" s="700"/>
      <c r="T89" s="552">
        <v>0.1</v>
      </c>
      <c r="U89" s="7">
        <f>'расчеты к штатному '!U94-'расчеты к старое'!U89</f>
        <v>1816.8920000000007</v>
      </c>
      <c r="V89" s="1541"/>
      <c r="W89" s="700"/>
      <c r="X89" s="10">
        <f>'расчеты к штатному '!X94-'расчеты к старое'!X89</f>
        <v>19985.812000000005</v>
      </c>
      <c r="Y89" s="10"/>
      <c r="Z89" s="10"/>
      <c r="AA89" s="23"/>
      <c r="AK89" s="23"/>
      <c r="AL89" s="23"/>
      <c r="AM89" s="23"/>
      <c r="AN89" s="23"/>
      <c r="AO89" s="23"/>
      <c r="AP89" s="23"/>
      <c r="AQ89" s="23"/>
    </row>
    <row r="90" spans="1:43" s="24" customFormat="1" ht="15.75">
      <c r="A90" s="560">
        <v>12</v>
      </c>
      <c r="B90" s="998" t="s">
        <v>207</v>
      </c>
      <c r="C90" s="873" t="s">
        <v>817</v>
      </c>
      <c r="D90" s="1002" t="s">
        <v>25</v>
      </c>
      <c r="E90" s="1539" t="s">
        <v>588</v>
      </c>
      <c r="F90" s="1539" t="s">
        <v>362</v>
      </c>
      <c r="G90" s="1689">
        <v>1</v>
      </c>
      <c r="H90" s="874" t="s">
        <v>102</v>
      </c>
      <c r="I90" s="874" t="s">
        <v>103</v>
      </c>
      <c r="J90" s="1647">
        <v>1</v>
      </c>
      <c r="K90" s="700">
        <v>17697</v>
      </c>
      <c r="L90" s="1157">
        <v>26</v>
      </c>
      <c r="M90" s="552">
        <f t="shared" si="11"/>
        <v>1.4444444444444444</v>
      </c>
      <c r="N90" s="1583" t="s">
        <v>152</v>
      </c>
      <c r="O90" s="1591">
        <v>4.55</v>
      </c>
      <c r="P90" s="7">
        <f>'расчеты к штатному '!P95-'расчеты к старое'!P90</f>
        <v>4473.4083333333401</v>
      </c>
      <c r="Q90" s="556">
        <f t="shared" si="12"/>
        <v>64864.420833333315</v>
      </c>
      <c r="R90" s="1538"/>
      <c r="S90" s="700"/>
      <c r="T90" s="552">
        <v>0.1</v>
      </c>
      <c r="U90" s="7">
        <f>'расчеты к штатному '!U95-'расчеты к старое'!U90</f>
        <v>6486.4420833333334</v>
      </c>
      <c r="V90" s="1541"/>
      <c r="W90" s="700"/>
      <c r="X90" s="10">
        <f>'расчеты к штатному '!X95-'расчеты к старое'!X90</f>
        <v>71350.862916666651</v>
      </c>
      <c r="Y90" s="1547"/>
      <c r="Z90" s="1547"/>
      <c r="AA90" s="23"/>
      <c r="AK90" s="23"/>
      <c r="AL90" s="23"/>
      <c r="AM90" s="23"/>
      <c r="AN90" s="23"/>
      <c r="AO90" s="23"/>
      <c r="AP90" s="23"/>
      <c r="AQ90" s="23"/>
    </row>
    <row r="91" spans="1:43" s="24" customFormat="1" ht="15.75">
      <c r="A91" s="547">
        <v>13</v>
      </c>
      <c r="B91" s="153" t="s">
        <v>281</v>
      </c>
      <c r="C91" s="561" t="s">
        <v>99</v>
      </c>
      <c r="D91" s="628" t="s">
        <v>25</v>
      </c>
      <c r="E91" s="586" t="s">
        <v>698</v>
      </c>
      <c r="F91" s="562" t="s">
        <v>40</v>
      </c>
      <c r="G91" s="571">
        <v>1</v>
      </c>
      <c r="H91" s="563" t="s">
        <v>102</v>
      </c>
      <c r="I91" s="563" t="s">
        <v>103</v>
      </c>
      <c r="J91" s="629">
        <v>1</v>
      </c>
      <c r="K91" s="554">
        <v>17697</v>
      </c>
      <c r="L91" s="1643">
        <v>6</v>
      </c>
      <c r="M91" s="552">
        <f t="shared" si="11"/>
        <v>0.33333333333333331</v>
      </c>
      <c r="N91" s="574" t="s">
        <v>152</v>
      </c>
      <c r="O91" s="1015">
        <v>4.75</v>
      </c>
      <c r="P91" s="7">
        <f>'расчеты к штатному '!P96-'расчеты к старое'!P91</f>
        <v>0</v>
      </c>
      <c r="Q91" s="556">
        <f t="shared" si="12"/>
        <v>14010.124999999996</v>
      </c>
      <c r="R91" s="568"/>
      <c r="S91" s="554"/>
      <c r="T91" s="552">
        <v>0.1</v>
      </c>
      <c r="U91" s="7">
        <f>'расчеты к штатному '!U96-'расчеты к старое'!U91</f>
        <v>1401.0125000000003</v>
      </c>
      <c r="V91" s="19"/>
      <c r="W91" s="554"/>
      <c r="X91" s="10">
        <f>'расчеты к штатному '!X96-'расчеты к старое'!X91</f>
        <v>15411.137499999997</v>
      </c>
      <c r="Y91" s="1547"/>
      <c r="Z91" s="1547"/>
      <c r="AA91" s="23"/>
      <c r="AK91" s="23"/>
      <c r="AL91" s="23"/>
      <c r="AM91" s="23"/>
      <c r="AN91" s="23"/>
      <c r="AO91" s="23"/>
      <c r="AP91" s="23"/>
      <c r="AQ91" s="23"/>
    </row>
    <row r="92" spans="1:43" s="24" customFormat="1" ht="17.25" customHeight="1">
      <c r="A92" s="560">
        <v>14</v>
      </c>
      <c r="B92" s="153" t="s">
        <v>243</v>
      </c>
      <c r="C92" s="561" t="s">
        <v>99</v>
      </c>
      <c r="D92" s="563" t="s">
        <v>25</v>
      </c>
      <c r="E92" s="562" t="s">
        <v>705</v>
      </c>
      <c r="F92" s="562" t="s">
        <v>239</v>
      </c>
      <c r="G92" s="571">
        <v>1</v>
      </c>
      <c r="H92" s="580" t="s">
        <v>102</v>
      </c>
      <c r="I92" s="580" t="s">
        <v>103</v>
      </c>
      <c r="J92" s="574">
        <v>2</v>
      </c>
      <c r="K92" s="554">
        <v>17697</v>
      </c>
      <c r="L92" s="1643">
        <v>32</v>
      </c>
      <c r="M92" s="552">
        <f t="shared" si="11"/>
        <v>1.7777777777777777</v>
      </c>
      <c r="N92" s="566" t="s">
        <v>596</v>
      </c>
      <c r="O92" s="1015">
        <v>4.2300000000000004</v>
      </c>
      <c r="P92" s="7">
        <f>'расчеты к штатному '!P97-'расчеты к старое'!P92</f>
        <v>25837.619999999966</v>
      </c>
      <c r="Q92" s="556">
        <f t="shared" si="12"/>
        <v>200648.58599999998</v>
      </c>
      <c r="R92" s="568"/>
      <c r="S92" s="554"/>
      <c r="T92" s="552">
        <v>0.1</v>
      </c>
      <c r="U92" s="7">
        <f>'расчеты к штатному '!U97-'расчеты к старое'!U92</f>
        <v>10529.714999999997</v>
      </c>
      <c r="V92" s="19"/>
      <c r="W92" s="554"/>
      <c r="X92" s="10">
        <f>'расчеты к штатному '!X97-'расчеты к старое'!X92</f>
        <v>211178.30099999998</v>
      </c>
      <c r="Y92" s="10">
        <f>V91+R91</f>
        <v>0</v>
      </c>
      <c r="Z92" s="10">
        <f>W91+S91</f>
        <v>0</v>
      </c>
      <c r="AA92" s="23">
        <f>X91*12</f>
        <v>184933.64999999997</v>
      </c>
      <c r="AB92" s="24">
        <f t="shared" ref="AB92:AB94" si="14">AA92/12/29.33*56</f>
        <v>29424.606205250591</v>
      </c>
      <c r="AC92" s="24">
        <f t="shared" ref="AC92:AC94" si="15">AA92*1.25</f>
        <v>231167.06249999994</v>
      </c>
      <c r="AD92" s="24">
        <f t="shared" ref="AD92:AD94" si="16">AC92/12/29.33*56</f>
        <v>36780.757756563238</v>
      </c>
      <c r="AK92" s="23"/>
      <c r="AL92" s="23"/>
      <c r="AM92" s="23"/>
      <c r="AN92" s="23"/>
      <c r="AO92" s="23"/>
      <c r="AP92" s="23"/>
      <c r="AQ92" s="23"/>
    </row>
    <row r="93" spans="1:43" s="24" customFormat="1" ht="17.25" customHeight="1">
      <c r="A93" s="547">
        <v>15</v>
      </c>
      <c r="B93" s="153" t="s">
        <v>245</v>
      </c>
      <c r="C93" s="561" t="s">
        <v>99</v>
      </c>
      <c r="D93" s="563" t="s">
        <v>25</v>
      </c>
      <c r="E93" s="562" t="s">
        <v>461</v>
      </c>
      <c r="F93" s="1586" t="s">
        <v>40</v>
      </c>
      <c r="G93" s="571">
        <v>1</v>
      </c>
      <c r="H93" s="580" t="s">
        <v>102</v>
      </c>
      <c r="I93" s="580" t="s">
        <v>103</v>
      </c>
      <c r="J93" s="574">
        <v>1</v>
      </c>
      <c r="K93" s="554">
        <v>17697</v>
      </c>
      <c r="L93" s="1643">
        <v>36</v>
      </c>
      <c r="M93" s="552">
        <f t="shared" si="11"/>
        <v>2</v>
      </c>
      <c r="N93" s="574" t="s">
        <v>152</v>
      </c>
      <c r="O93" s="1591">
        <v>4.75</v>
      </c>
      <c r="P93" s="7">
        <f>'расчеты к штатному '!P98-'расчеты к старое'!P93</f>
        <v>0</v>
      </c>
      <c r="Q93" s="556">
        <f t="shared" si="12"/>
        <v>84060.749999999985</v>
      </c>
      <c r="R93" s="1538"/>
      <c r="S93" s="700"/>
      <c r="T93" s="552">
        <v>0.1</v>
      </c>
      <c r="U93" s="7">
        <f>'расчеты к штатному '!U98-'расчеты к старое'!U93</f>
        <v>8406.0750000000007</v>
      </c>
      <c r="V93" s="19"/>
      <c r="W93" s="554"/>
      <c r="X93" s="10">
        <f>'расчеты к штатному '!X98-'расчеты к старое'!X93</f>
        <v>92466.824999999983</v>
      </c>
      <c r="Y93" s="10">
        <f>V92+R92</f>
        <v>0</v>
      </c>
      <c r="Z93" s="10">
        <f>W92+S92</f>
        <v>0</v>
      </c>
      <c r="AA93" s="23">
        <f>X92*12</f>
        <v>2534139.6119999997</v>
      </c>
      <c r="AB93" s="24">
        <f t="shared" si="14"/>
        <v>403204.39331742242</v>
      </c>
      <c r="AC93" s="24">
        <f t="shared" si="15"/>
        <v>3167674.5149999997</v>
      </c>
      <c r="AD93" s="24">
        <f t="shared" si="16"/>
        <v>504005.49164677801</v>
      </c>
      <c r="AK93" s="23"/>
      <c r="AL93" s="23"/>
      <c r="AM93" s="23"/>
      <c r="AN93" s="23"/>
      <c r="AO93" s="23"/>
      <c r="AP93" s="23"/>
      <c r="AQ93" s="23"/>
    </row>
    <row r="94" spans="1:43" s="24" customFormat="1" ht="17.25" customHeight="1">
      <c r="A94" s="560">
        <v>16</v>
      </c>
      <c r="B94" s="153" t="s">
        <v>586</v>
      </c>
      <c r="C94" s="561" t="s">
        <v>99</v>
      </c>
      <c r="D94" s="563" t="s">
        <v>25</v>
      </c>
      <c r="E94" s="712" t="s">
        <v>710</v>
      </c>
      <c r="F94" s="562" t="s">
        <v>259</v>
      </c>
      <c r="G94" s="571">
        <v>1</v>
      </c>
      <c r="H94" s="580" t="s">
        <v>102</v>
      </c>
      <c r="I94" s="580" t="s">
        <v>103</v>
      </c>
      <c r="J94" s="574">
        <v>3</v>
      </c>
      <c r="K94" s="554">
        <v>17697</v>
      </c>
      <c r="L94" s="1643">
        <v>32</v>
      </c>
      <c r="M94" s="552">
        <f t="shared" si="11"/>
        <v>1.7777777777777777</v>
      </c>
      <c r="N94" s="566" t="s">
        <v>109</v>
      </c>
      <c r="O94" s="1015">
        <v>4.1399999999999997</v>
      </c>
      <c r="P94" s="7">
        <f>'расчеты к штатному '!P99-'расчеты к старое'!P94</f>
        <v>-20351.550000000003</v>
      </c>
      <c r="Q94" s="556">
        <f t="shared" si="12"/>
        <v>34597.63499999998</v>
      </c>
      <c r="R94" s="568"/>
      <c r="S94" s="554"/>
      <c r="T94" s="552">
        <v>0.1</v>
      </c>
      <c r="U94" s="7">
        <f>'расчеты к штатному '!U99-'расчеты к старое'!U94</f>
        <v>3459.7634999999973</v>
      </c>
      <c r="V94" s="19"/>
      <c r="W94" s="554"/>
      <c r="X94" s="10">
        <f>'расчеты к штатному '!X99-'расчеты к старое'!X94</f>
        <v>38057.398499999981</v>
      </c>
      <c r="Y94" s="1547"/>
      <c r="Z94" s="1547"/>
      <c r="AA94" s="23">
        <f>X93*12</f>
        <v>1109601.8999999999</v>
      </c>
      <c r="AB94" s="24">
        <f t="shared" si="14"/>
        <v>176547.63723150358</v>
      </c>
      <c r="AC94" s="24">
        <f t="shared" si="15"/>
        <v>1387002.375</v>
      </c>
      <c r="AD94" s="24">
        <f t="shared" si="16"/>
        <v>220684.54653937949</v>
      </c>
      <c r="AK94" s="23"/>
      <c r="AL94" s="23"/>
      <c r="AM94" s="23"/>
      <c r="AN94" s="23"/>
      <c r="AO94" s="23"/>
      <c r="AP94" s="23"/>
      <c r="AQ94" s="23"/>
    </row>
    <row r="95" spans="1:43" s="24" customFormat="1" ht="17.25" customHeight="1">
      <c r="A95" s="547">
        <v>17</v>
      </c>
      <c r="B95" s="998" t="s">
        <v>253</v>
      </c>
      <c r="C95" s="873" t="s">
        <v>148</v>
      </c>
      <c r="D95" s="1002" t="s">
        <v>25</v>
      </c>
      <c r="E95" s="1539" t="s">
        <v>712</v>
      </c>
      <c r="F95" s="1539" t="s">
        <v>712</v>
      </c>
      <c r="G95" s="1689">
        <v>1</v>
      </c>
      <c r="H95" s="563" t="s">
        <v>102</v>
      </c>
      <c r="I95" s="563" t="s">
        <v>103</v>
      </c>
      <c r="J95" s="629">
        <v>1</v>
      </c>
      <c r="K95" s="554">
        <v>17697</v>
      </c>
      <c r="L95" s="1648">
        <v>28</v>
      </c>
      <c r="M95" s="552">
        <f t="shared" si="11"/>
        <v>1.5555555555555556</v>
      </c>
      <c r="N95" s="1583" t="s">
        <v>152</v>
      </c>
      <c r="O95" s="1591">
        <v>4.75</v>
      </c>
      <c r="P95" s="7">
        <f>'расчеты к штатному '!P100-'расчеты к старое'!P95</f>
        <v>37360.333333333328</v>
      </c>
      <c r="Q95" s="556">
        <f t="shared" si="12"/>
        <v>121421.08333333331</v>
      </c>
      <c r="R95" s="1538"/>
      <c r="S95" s="700"/>
      <c r="T95" s="552">
        <v>0.1</v>
      </c>
      <c r="U95" s="7">
        <f>'расчеты к штатному '!U100-'расчеты к старое'!U95</f>
        <v>12142.108333333334</v>
      </c>
      <c r="V95" s="1541"/>
      <c r="W95" s="700"/>
      <c r="X95" s="10">
        <f>'расчеты к штатному '!X100-'расчеты к старое'!X95</f>
        <v>133563.19166666665</v>
      </c>
      <c r="Y95" s="1547"/>
      <c r="Z95" s="1547"/>
      <c r="AA95" s="23"/>
      <c r="AK95" s="23"/>
      <c r="AL95" s="23"/>
      <c r="AM95" s="23"/>
      <c r="AN95" s="23"/>
      <c r="AO95" s="23"/>
      <c r="AP95" s="23"/>
      <c r="AQ95" s="23"/>
    </row>
    <row r="96" spans="1:43" s="24" customFormat="1" ht="17.25" customHeight="1">
      <c r="A96" s="560">
        <v>18</v>
      </c>
      <c r="B96" s="998" t="s">
        <v>792</v>
      </c>
      <c r="C96" s="873" t="s">
        <v>99</v>
      </c>
      <c r="D96" s="1002" t="s">
        <v>25</v>
      </c>
      <c r="E96" s="706" t="s">
        <v>793</v>
      </c>
      <c r="F96" s="1539" t="s">
        <v>463</v>
      </c>
      <c r="G96" s="571">
        <v>1</v>
      </c>
      <c r="H96" s="580" t="s">
        <v>102</v>
      </c>
      <c r="I96" s="580" t="s">
        <v>103</v>
      </c>
      <c r="J96" s="574">
        <v>3</v>
      </c>
      <c r="K96" s="554">
        <v>17697</v>
      </c>
      <c r="L96" s="1648">
        <v>18</v>
      </c>
      <c r="M96" s="552">
        <f t="shared" si="11"/>
        <v>1</v>
      </c>
      <c r="N96" s="1583" t="s">
        <v>109</v>
      </c>
      <c r="O96" s="1591">
        <v>4.28</v>
      </c>
      <c r="P96" s="7" t="e">
        <f>'расчеты к штатному '!#REF!-'расчеты к старое'!P96</f>
        <v>#REF!</v>
      </c>
      <c r="Q96" s="556" t="e">
        <f t="shared" si="12"/>
        <v>#REF!</v>
      </c>
      <c r="R96" s="1538"/>
      <c r="S96" s="700"/>
      <c r="T96" s="552">
        <v>0.1</v>
      </c>
      <c r="U96" s="7" t="e">
        <f>'расчеты к штатному '!#REF!-'расчеты к старое'!U96</f>
        <v>#REF!</v>
      </c>
      <c r="V96" s="1541"/>
      <c r="W96" s="700"/>
      <c r="X96" s="10" t="e">
        <f>'расчеты к штатному '!#REF!-'расчеты к старое'!X96</f>
        <v>#REF!</v>
      </c>
      <c r="Y96" s="1547"/>
      <c r="Z96" s="1547"/>
      <c r="AA96" s="23"/>
      <c r="AK96" s="23"/>
      <c r="AL96" s="23"/>
      <c r="AM96" s="23"/>
      <c r="AN96" s="23"/>
      <c r="AO96" s="23"/>
      <c r="AP96" s="23"/>
      <c r="AQ96" s="23"/>
    </row>
    <row r="97" spans="1:44" s="24" customFormat="1" ht="17.25" customHeight="1">
      <c r="A97" s="547">
        <v>19</v>
      </c>
      <c r="B97" s="1008" t="s">
        <v>255</v>
      </c>
      <c r="C97" s="1009" t="s">
        <v>99</v>
      </c>
      <c r="D97" s="1592" t="s">
        <v>25</v>
      </c>
      <c r="E97" s="1586" t="s">
        <v>714</v>
      </c>
      <c r="F97" s="1586" t="s">
        <v>40</v>
      </c>
      <c r="G97" s="571">
        <v>1</v>
      </c>
      <c r="H97" s="1593" t="s">
        <v>102</v>
      </c>
      <c r="I97" s="1593" t="s">
        <v>103</v>
      </c>
      <c r="J97" s="1594">
        <v>1</v>
      </c>
      <c r="K97" s="554">
        <v>17697</v>
      </c>
      <c r="L97" s="1649">
        <v>34</v>
      </c>
      <c r="M97" s="552">
        <f t="shared" si="11"/>
        <v>1.8888888888888888</v>
      </c>
      <c r="N97" s="574" t="s">
        <v>152</v>
      </c>
      <c r="O97" s="1016">
        <v>4.75</v>
      </c>
      <c r="P97" s="7">
        <f>'расчеты к штатному '!P101-'расчеты к старое'!P97</f>
        <v>-9340.083333333343</v>
      </c>
      <c r="Q97" s="556">
        <f t="shared" si="12"/>
        <v>65380.583333333328</v>
      </c>
      <c r="R97" s="608"/>
      <c r="S97" s="605"/>
      <c r="T97" s="552">
        <v>0.1</v>
      </c>
      <c r="U97" s="7">
        <f>'расчеты к штатному '!U101-'расчеты к старое'!U97</f>
        <v>6538.0583333333307</v>
      </c>
      <c r="V97" s="19"/>
      <c r="W97" s="554"/>
      <c r="X97" s="10">
        <f>'расчеты к штатному '!X101-'расчеты к старое'!X97</f>
        <v>71918.641666666663</v>
      </c>
      <c r="Y97" s="1547"/>
      <c r="Z97" s="1547"/>
      <c r="AA97" s="23"/>
      <c r="AK97" s="23"/>
      <c r="AL97" s="23"/>
      <c r="AM97" s="23"/>
      <c r="AN97" s="23"/>
      <c r="AO97" s="23"/>
      <c r="AP97" s="23"/>
      <c r="AQ97" s="23"/>
    </row>
    <row r="98" spans="1:44" s="24" customFormat="1" ht="16.5" customHeight="1">
      <c r="A98" s="560">
        <v>20</v>
      </c>
      <c r="B98" s="153" t="s">
        <v>257</v>
      </c>
      <c r="C98" s="561" t="s">
        <v>99</v>
      </c>
      <c r="D98" s="563" t="s">
        <v>25</v>
      </c>
      <c r="E98" s="562" t="s">
        <v>715</v>
      </c>
      <c r="F98" s="562" t="s">
        <v>239</v>
      </c>
      <c r="G98" s="571">
        <v>1</v>
      </c>
      <c r="H98" s="580" t="s">
        <v>102</v>
      </c>
      <c r="I98" s="580" t="s">
        <v>103</v>
      </c>
      <c r="J98" s="574">
        <v>2</v>
      </c>
      <c r="K98" s="888">
        <v>17697</v>
      </c>
      <c r="L98" s="1649">
        <v>27</v>
      </c>
      <c r="M98" s="552">
        <f t="shared" si="11"/>
        <v>1.5</v>
      </c>
      <c r="N98" s="1583" t="s">
        <v>104</v>
      </c>
      <c r="O98" s="1595">
        <v>4.2300000000000004</v>
      </c>
      <c r="P98" s="7">
        <f>'расчеты к штатному '!P102-'расчеты к старое'!P98</f>
        <v>29111.565000000002</v>
      </c>
      <c r="Q98" s="556">
        <f t="shared" si="12"/>
        <v>99811.080000000016</v>
      </c>
      <c r="R98" s="1011"/>
      <c r="S98" s="888"/>
      <c r="T98" s="552">
        <v>0.1</v>
      </c>
      <c r="U98" s="7">
        <f>'расчеты к штатному '!U102-'расчеты к старое'!U98</f>
        <v>9981.108000000002</v>
      </c>
      <c r="V98" s="19"/>
      <c r="W98" s="554"/>
      <c r="X98" s="10">
        <f>'расчеты к штатному '!X102-'расчеты к старое'!X98</f>
        <v>109792.18800000002</v>
      </c>
      <c r="Y98" s="35">
        <f>V97+R97</f>
        <v>0</v>
      </c>
      <c r="Z98" s="35">
        <f>W97+S97</f>
        <v>0</v>
      </c>
      <c r="AA98" s="23">
        <f>X97*12</f>
        <v>863023.7</v>
      </c>
      <c r="AB98" s="24">
        <f>AA98/12/29.33*56</f>
        <v>137314.82895783611</v>
      </c>
      <c r="AC98" s="24">
        <f>AA98*1.25</f>
        <v>1078779.625</v>
      </c>
      <c r="AD98" s="24">
        <f>AC98/12/29.33*56</f>
        <v>171643.53619729515</v>
      </c>
      <c r="AK98" s="23"/>
      <c r="AL98" s="23"/>
      <c r="AM98" s="23"/>
      <c r="AN98" s="23"/>
      <c r="AO98" s="23"/>
      <c r="AP98" s="23"/>
      <c r="AQ98" s="23"/>
    </row>
    <row r="99" spans="1:44" s="24" customFormat="1" ht="16.5" customHeight="1">
      <c r="A99" s="547">
        <v>21</v>
      </c>
      <c r="B99" s="153" t="s">
        <v>388</v>
      </c>
      <c r="C99" s="561" t="s">
        <v>99</v>
      </c>
      <c r="D99" s="563" t="s">
        <v>189</v>
      </c>
      <c r="E99" s="562" t="s">
        <v>718</v>
      </c>
      <c r="F99" s="562" t="s">
        <v>34</v>
      </c>
      <c r="G99" s="571">
        <v>1</v>
      </c>
      <c r="H99" s="580" t="s">
        <v>102</v>
      </c>
      <c r="I99" s="580" t="s">
        <v>103</v>
      </c>
      <c r="J99" s="574">
        <v>1</v>
      </c>
      <c r="K99" s="554">
        <v>17697</v>
      </c>
      <c r="L99" s="1643">
        <v>9</v>
      </c>
      <c r="M99" s="552">
        <f t="shared" si="11"/>
        <v>0.5</v>
      </c>
      <c r="N99" s="574" t="s">
        <v>152</v>
      </c>
      <c r="O99" s="1015">
        <v>4.75</v>
      </c>
      <c r="P99" s="7">
        <f>'расчеты к штатному '!P103-'расчеты к старое'!P99</f>
        <v>0</v>
      </c>
      <c r="Q99" s="556">
        <f t="shared" si="12"/>
        <v>21015.187499999996</v>
      </c>
      <c r="R99" s="568"/>
      <c r="S99" s="554"/>
      <c r="T99" s="552">
        <v>0.1</v>
      </c>
      <c r="U99" s="7">
        <f>'расчеты к штатному '!U103-'расчеты к старое'!U99</f>
        <v>2101.5187500000002</v>
      </c>
      <c r="V99" s="19"/>
      <c r="W99" s="554"/>
      <c r="X99" s="10">
        <f>'расчеты к штатному '!X103-'расчеты к старое'!X99</f>
        <v>23116.706249999996</v>
      </c>
      <c r="Y99" s="1690"/>
      <c r="Z99" s="1690"/>
      <c r="AA99" s="23">
        <f>X98*12</f>
        <v>1317506.2560000003</v>
      </c>
      <c r="AB99" s="24">
        <f>AA99/12/29.33*56</f>
        <v>209627.08926014326</v>
      </c>
      <c r="AC99" s="24">
        <f>AA99*1.25</f>
        <v>1646882.8200000003</v>
      </c>
      <c r="AD99" s="24">
        <f>AC99/12/29.33*56</f>
        <v>262033.86157517903</v>
      </c>
      <c r="AK99" s="23"/>
      <c r="AL99" s="23"/>
      <c r="AM99" s="23"/>
      <c r="AN99" s="23"/>
      <c r="AO99" s="23"/>
      <c r="AP99" s="23"/>
      <c r="AQ99" s="23"/>
    </row>
    <row r="100" spans="1:44" s="486" customFormat="1" ht="17.25" customHeight="1">
      <c r="A100" s="1823"/>
      <c r="B100" s="1824" t="s">
        <v>798</v>
      </c>
      <c r="C100" s="1825"/>
      <c r="D100" s="1823"/>
      <c r="E100" s="1826"/>
      <c r="F100" s="1827"/>
      <c r="G100" s="1823"/>
      <c r="H100" s="1828"/>
      <c r="I100" s="1828"/>
      <c r="J100" s="1829"/>
      <c r="K100" s="1830"/>
      <c r="L100" s="1831">
        <f>SUM(L79:L99)</f>
        <v>477</v>
      </c>
      <c r="M100" s="1830"/>
      <c r="N100" s="1829"/>
      <c r="O100" s="1831"/>
      <c r="P100" s="1509">
        <f>'расчеты к штатному '!P104-'расчеты к старое'!P100</f>
        <v>0</v>
      </c>
      <c r="Q100" s="1503"/>
      <c r="R100" s="1832"/>
      <c r="S100" s="1830"/>
      <c r="T100" s="1830"/>
      <c r="U100" s="1509">
        <f>'расчеты к штатному '!U104-'расчеты к старое'!U100</f>
        <v>0</v>
      </c>
      <c r="V100" s="1833"/>
      <c r="W100" s="1830"/>
      <c r="X100" s="1511"/>
      <c r="Y100" s="406">
        <f>V99+R99</f>
        <v>0</v>
      </c>
      <c r="Z100" s="1545">
        <f>W99+S99</f>
        <v>0</v>
      </c>
      <c r="AA100" s="375">
        <f>X99*12</f>
        <v>277400.47499999998</v>
      </c>
      <c r="AB100" s="377">
        <f>AA100/12/29.33*56</f>
        <v>44136.909307875896</v>
      </c>
      <c r="AC100" s="377">
        <f>AA100*1.25</f>
        <v>346750.59375</v>
      </c>
      <c r="AD100" s="377">
        <f>AC100/12/29.33*56</f>
        <v>55171.136634844872</v>
      </c>
      <c r="AE100" s="375"/>
      <c r="AF100" s="375"/>
      <c r="AG100" s="375"/>
      <c r="AH100" s="375"/>
      <c r="AI100" s="375"/>
      <c r="AJ100" s="375"/>
      <c r="AK100" s="23"/>
      <c r="AL100" s="23"/>
      <c r="AM100" s="23"/>
      <c r="AN100" s="23"/>
      <c r="AO100" s="23"/>
      <c r="AP100" s="23"/>
      <c r="AQ100" s="23"/>
      <c r="AR100" s="1546"/>
    </row>
    <row r="101" spans="1:44" s="24" customFormat="1" ht="17.25" customHeight="1">
      <c r="A101" s="1494"/>
      <c r="B101" s="1834" t="s">
        <v>788</v>
      </c>
      <c r="C101" s="1835"/>
      <c r="D101" s="1836"/>
      <c r="E101" s="1837"/>
      <c r="F101" s="1837"/>
      <c r="G101" s="1838"/>
      <c r="H101" s="1839"/>
      <c r="I101" s="1839"/>
      <c r="J101" s="1840"/>
      <c r="K101" s="1499"/>
      <c r="L101" s="1841"/>
      <c r="M101" s="1499"/>
      <c r="N101" s="1840"/>
      <c r="O101" s="1842"/>
      <c r="P101" s="1509">
        <f>'расчеты к штатному '!P105-'расчеты к старое'!P101</f>
        <v>0</v>
      </c>
      <c r="Q101" s="1843"/>
      <c r="R101" s="1844"/>
      <c r="S101" s="1844"/>
      <c r="T101" s="1844"/>
      <c r="U101" s="1509">
        <f>'расчеты к штатному '!U105-'расчеты к старое'!U101</f>
        <v>0</v>
      </c>
      <c r="V101" s="1844"/>
      <c r="W101" s="1844"/>
      <c r="X101" s="1511"/>
      <c r="Y101" s="1547"/>
      <c r="Z101" s="1547"/>
      <c r="AA101" s="23"/>
      <c r="AK101" s="23"/>
      <c r="AL101" s="23"/>
      <c r="AM101" s="23"/>
      <c r="AN101" s="23"/>
      <c r="AO101" s="23"/>
      <c r="AP101" s="23"/>
      <c r="AQ101" s="23"/>
    </row>
    <row r="102" spans="1:44" s="24" customFormat="1" ht="17.25" customHeight="1">
      <c r="A102" s="547">
        <v>1</v>
      </c>
      <c r="B102" s="640" t="s">
        <v>36</v>
      </c>
      <c r="C102" s="641" t="s">
        <v>99</v>
      </c>
      <c r="D102" s="642" t="s">
        <v>25</v>
      </c>
      <c r="E102" s="643" t="s">
        <v>649</v>
      </c>
      <c r="F102" s="583" t="s">
        <v>40</v>
      </c>
      <c r="G102" s="547">
        <v>1</v>
      </c>
      <c r="H102" s="577" t="s">
        <v>102</v>
      </c>
      <c r="I102" s="577" t="s">
        <v>103</v>
      </c>
      <c r="J102" s="644">
        <v>1</v>
      </c>
      <c r="K102" s="552">
        <v>17697</v>
      </c>
      <c r="L102" s="645">
        <v>9</v>
      </c>
      <c r="M102" s="552">
        <f>L102/18</f>
        <v>0.5</v>
      </c>
      <c r="N102" s="574" t="s">
        <v>152</v>
      </c>
      <c r="O102" s="1597">
        <v>4.75</v>
      </c>
      <c r="P102" s="7">
        <f>'расчеты к штатному '!P106-'расчеты к старое'!P102</f>
        <v>0</v>
      </c>
      <c r="Q102" s="556"/>
      <c r="R102" s="557"/>
      <c r="S102" s="552"/>
      <c r="T102" s="552">
        <v>0.1</v>
      </c>
      <c r="U102" s="7">
        <f>'расчеты к штатному '!U106-'расчеты к старое'!U102</f>
        <v>2101.5187500000002</v>
      </c>
      <c r="V102" s="19"/>
      <c r="W102" s="552"/>
      <c r="X102" s="10">
        <f>'расчеты к штатному '!X106-'расчеты к старое'!X102</f>
        <v>23116.706249999996</v>
      </c>
      <c r="Y102" s="10"/>
      <c r="Z102" s="10"/>
      <c r="AA102" s="23">
        <f>X101*12</f>
        <v>0</v>
      </c>
      <c r="AB102" s="24">
        <f t="shared" ref="AB102:AB122" si="17">AA102/12/29.33*56</f>
        <v>0</v>
      </c>
      <c r="AC102" s="24">
        <f t="shared" ref="AC102:AC122" si="18">AA102*1.25</f>
        <v>0</v>
      </c>
      <c r="AD102" s="24">
        <f t="shared" ref="AD102:AD122" si="19">AC102/12/29.33*56</f>
        <v>0</v>
      </c>
      <c r="AK102" s="23"/>
      <c r="AL102" s="23"/>
      <c r="AM102" s="23"/>
      <c r="AN102" s="23"/>
      <c r="AO102" s="23"/>
      <c r="AP102" s="23"/>
      <c r="AQ102" s="23"/>
    </row>
    <row r="103" spans="1:44" s="24" customFormat="1" ht="17.25" customHeight="1">
      <c r="A103" s="547">
        <v>2</v>
      </c>
      <c r="B103" s="646" t="s">
        <v>261</v>
      </c>
      <c r="C103" s="647" t="s">
        <v>99</v>
      </c>
      <c r="D103" s="628" t="s">
        <v>25</v>
      </c>
      <c r="E103" s="586" t="s">
        <v>652</v>
      </c>
      <c r="F103" s="562" t="s">
        <v>614</v>
      </c>
      <c r="G103" s="560">
        <v>1</v>
      </c>
      <c r="H103" s="563" t="s">
        <v>102</v>
      </c>
      <c r="I103" s="563" t="s">
        <v>103</v>
      </c>
      <c r="J103" s="629">
        <v>1</v>
      </c>
      <c r="K103" s="554">
        <v>17697</v>
      </c>
      <c r="L103" s="645">
        <v>31</v>
      </c>
      <c r="M103" s="552">
        <f t="shared" ref="M103:M122" si="20">L103/18</f>
        <v>1.7222222222222223</v>
      </c>
      <c r="N103" s="574" t="s">
        <v>152</v>
      </c>
      <c r="O103" s="1598">
        <v>4.55</v>
      </c>
      <c r="P103" s="7">
        <f>'расчеты к штатному '!P107-'расчеты к старое'!P103</f>
        <v>0</v>
      </c>
      <c r="Q103" s="556"/>
      <c r="R103" s="568"/>
      <c r="S103" s="554"/>
      <c r="T103" s="554">
        <v>0.1</v>
      </c>
      <c r="U103" s="7">
        <f>'расчеты к штатному '!U107-'расчеты к старое'!U103</f>
        <v>6933.782916666667</v>
      </c>
      <c r="V103" s="19"/>
      <c r="W103" s="552"/>
      <c r="X103" s="10">
        <f>'расчеты к штатному '!X107-'расчеты к старое'!X103</f>
        <v>76271.612083333341</v>
      </c>
      <c r="Y103" s="70">
        <f>V102+R102</f>
        <v>0</v>
      </c>
      <c r="Z103" s="70">
        <f>W102+S102</f>
        <v>0</v>
      </c>
      <c r="AA103" s="23">
        <f>X102*12</f>
        <v>277400.47499999998</v>
      </c>
      <c r="AB103" s="24">
        <f t="shared" si="17"/>
        <v>44136.909307875896</v>
      </c>
      <c r="AC103" s="24">
        <f t="shared" si="18"/>
        <v>346750.59375</v>
      </c>
      <c r="AD103" s="24">
        <f t="shared" si="19"/>
        <v>55171.136634844872</v>
      </c>
      <c r="AK103" s="23"/>
      <c r="AL103" s="23"/>
      <c r="AM103" s="23"/>
      <c r="AN103" s="23"/>
      <c r="AO103" s="23"/>
      <c r="AP103" s="23"/>
      <c r="AQ103" s="23"/>
    </row>
    <row r="104" spans="1:44" s="24" customFormat="1" ht="17.25" customHeight="1">
      <c r="A104" s="547">
        <v>3</v>
      </c>
      <c r="B104" s="872" t="s">
        <v>760</v>
      </c>
      <c r="C104" s="692" t="s">
        <v>99</v>
      </c>
      <c r="D104" s="875" t="s">
        <v>25</v>
      </c>
      <c r="E104" s="1599" t="s">
        <v>761</v>
      </c>
      <c r="F104" s="1539" t="s">
        <v>403</v>
      </c>
      <c r="G104" s="560">
        <v>1</v>
      </c>
      <c r="H104" s="563" t="s">
        <v>102</v>
      </c>
      <c r="I104" s="563" t="s">
        <v>103</v>
      </c>
      <c r="J104" s="629">
        <v>3</v>
      </c>
      <c r="K104" s="554">
        <v>17697</v>
      </c>
      <c r="L104" s="645">
        <v>26</v>
      </c>
      <c r="M104" s="552">
        <f t="shared" si="20"/>
        <v>1.4444444444444444</v>
      </c>
      <c r="N104" s="698" t="s">
        <v>109</v>
      </c>
      <c r="O104" s="1600">
        <v>4.1399999999999997</v>
      </c>
      <c r="P104" s="7">
        <f>'расчеты к штатному '!P108-'расчеты к старое'!P104</f>
        <v>28492.17</v>
      </c>
      <c r="Q104" s="556"/>
      <c r="R104" s="1538"/>
      <c r="S104" s="700"/>
      <c r="T104" s="554">
        <v>0.1</v>
      </c>
      <c r="U104" s="7">
        <f>'расчеты к штатному '!U108-'расчеты к старое'!U104</f>
        <v>9565.2284999999993</v>
      </c>
      <c r="V104" s="1541"/>
      <c r="W104" s="552"/>
      <c r="X104" s="10">
        <f>'расчеты к штатному '!X108-'расчеты к старое'!X104</f>
        <v>105217.5135</v>
      </c>
      <c r="Y104" s="10">
        <f>V103+R103</f>
        <v>0</v>
      </c>
      <c r="Z104" s="10">
        <f>W103+S103</f>
        <v>0</v>
      </c>
      <c r="AA104" s="23">
        <f>X103*12</f>
        <v>915259.34500000009</v>
      </c>
      <c r="AB104" s="24">
        <f t="shared" si="17"/>
        <v>145625.98965791569</v>
      </c>
      <c r="AC104" s="24">
        <f t="shared" si="18"/>
        <v>1144074.1812500001</v>
      </c>
      <c r="AD104" s="24">
        <f t="shared" si="19"/>
        <v>182032.48707239464</v>
      </c>
      <c r="AK104" s="23"/>
      <c r="AL104" s="23"/>
      <c r="AM104" s="23"/>
      <c r="AN104" s="23"/>
      <c r="AO104" s="23"/>
      <c r="AP104" s="23"/>
      <c r="AQ104" s="23"/>
    </row>
    <row r="105" spans="1:44" s="24" customFormat="1" ht="17.25" customHeight="1">
      <c r="A105" s="547">
        <v>4</v>
      </c>
      <c r="B105" s="872" t="s">
        <v>263</v>
      </c>
      <c r="C105" s="692" t="s">
        <v>99</v>
      </c>
      <c r="D105" s="875" t="s">
        <v>25</v>
      </c>
      <c r="E105" s="1599" t="s">
        <v>655</v>
      </c>
      <c r="F105" s="582" t="s">
        <v>271</v>
      </c>
      <c r="G105" s="874">
        <v>1</v>
      </c>
      <c r="H105" s="563" t="s">
        <v>102</v>
      </c>
      <c r="I105" s="563" t="s">
        <v>103</v>
      </c>
      <c r="J105" s="629">
        <v>2</v>
      </c>
      <c r="K105" s="554">
        <v>17697</v>
      </c>
      <c r="L105" s="645">
        <v>18</v>
      </c>
      <c r="M105" s="552">
        <f t="shared" si="20"/>
        <v>1</v>
      </c>
      <c r="N105" s="698" t="s">
        <v>104</v>
      </c>
      <c r="O105" s="1600">
        <v>4.37</v>
      </c>
      <c r="P105" s="7">
        <f>'расчеты к штатному '!P109-'расчеты к старое'!P105</f>
        <v>0</v>
      </c>
      <c r="Q105" s="556"/>
      <c r="R105" s="1538"/>
      <c r="S105" s="700"/>
      <c r="T105" s="554">
        <v>0.1</v>
      </c>
      <c r="U105" s="7">
        <f>'расчеты к штатному '!U109-'расчеты к старое'!U105</f>
        <v>3866.7945</v>
      </c>
      <c r="V105" s="1541"/>
      <c r="W105" s="552"/>
      <c r="X105" s="10">
        <f>'расчеты к штатному '!X109-'расчеты к старое'!X105</f>
        <v>42534.739499999996</v>
      </c>
      <c r="Y105" s="1547"/>
      <c r="Z105" s="1547"/>
      <c r="AA105" s="23"/>
      <c r="AK105" s="23"/>
      <c r="AL105" s="23"/>
      <c r="AM105" s="23"/>
      <c r="AN105" s="23"/>
      <c r="AO105" s="23"/>
      <c r="AP105" s="23"/>
      <c r="AQ105" s="23"/>
    </row>
    <row r="106" spans="1:44" s="24" customFormat="1" ht="17.25" customHeight="1">
      <c r="A106" s="547">
        <v>5</v>
      </c>
      <c r="B106" s="647" t="s">
        <v>264</v>
      </c>
      <c r="C106" s="647" t="s">
        <v>99</v>
      </c>
      <c r="D106" s="628" t="s">
        <v>25</v>
      </c>
      <c r="E106" s="586" t="s">
        <v>658</v>
      </c>
      <c r="F106" s="562" t="s">
        <v>40</v>
      </c>
      <c r="G106" s="560">
        <v>1</v>
      </c>
      <c r="H106" s="563" t="s">
        <v>102</v>
      </c>
      <c r="I106" s="563" t="s">
        <v>103</v>
      </c>
      <c r="J106" s="629">
        <v>1</v>
      </c>
      <c r="K106" s="554">
        <v>17697</v>
      </c>
      <c r="L106" s="645">
        <v>32</v>
      </c>
      <c r="M106" s="552">
        <f t="shared" si="20"/>
        <v>1.7777777777777777</v>
      </c>
      <c r="N106" s="574" t="s">
        <v>152</v>
      </c>
      <c r="O106" s="1598">
        <v>4.75</v>
      </c>
      <c r="P106" s="7">
        <f>'расчеты к штатному '!P110-'расчеты к старое'!P106</f>
        <v>0</v>
      </c>
      <c r="Q106" s="556"/>
      <c r="R106" s="568"/>
      <c r="S106" s="554"/>
      <c r="T106" s="554">
        <v>0.1</v>
      </c>
      <c r="U106" s="7">
        <f>'расчеты к штатному '!U110-'расчеты к старое'!U106</f>
        <v>7472.0666666666657</v>
      </c>
      <c r="V106" s="19"/>
      <c r="W106" s="552"/>
      <c r="X106" s="10">
        <f>'расчеты к штатному '!X110-'расчеты к старое'!X106</f>
        <v>82192.733333333337</v>
      </c>
      <c r="Y106" s="1547"/>
      <c r="Z106" s="1547"/>
      <c r="AA106" s="23"/>
      <c r="AK106" s="23"/>
      <c r="AL106" s="23"/>
      <c r="AM106" s="23"/>
      <c r="AN106" s="23"/>
      <c r="AO106" s="23"/>
      <c r="AP106" s="23"/>
      <c r="AQ106" s="23"/>
    </row>
    <row r="107" spans="1:44" s="24" customFormat="1" ht="16.5" customHeight="1">
      <c r="A107" s="547">
        <v>7</v>
      </c>
      <c r="B107" s="647" t="s">
        <v>268</v>
      </c>
      <c r="C107" s="647" t="s">
        <v>99</v>
      </c>
      <c r="D107" s="628" t="s">
        <v>25</v>
      </c>
      <c r="E107" s="586" t="s">
        <v>664</v>
      </c>
      <c r="F107" s="562" t="s">
        <v>40</v>
      </c>
      <c r="G107" s="560">
        <v>1</v>
      </c>
      <c r="H107" s="563" t="s">
        <v>102</v>
      </c>
      <c r="I107" s="563" t="s">
        <v>103</v>
      </c>
      <c r="J107" s="629">
        <v>1</v>
      </c>
      <c r="K107" s="554">
        <v>17697</v>
      </c>
      <c r="L107" s="645">
        <v>32</v>
      </c>
      <c r="M107" s="552">
        <f t="shared" si="20"/>
        <v>1.7777777777777777</v>
      </c>
      <c r="N107" s="574" t="s">
        <v>152</v>
      </c>
      <c r="O107" s="1598">
        <v>4.75</v>
      </c>
      <c r="P107" s="7">
        <f>'расчеты к штатному '!P111-'расчеты к старое'!P107</f>
        <v>4670.041666666657</v>
      </c>
      <c r="Q107" s="556"/>
      <c r="R107" s="568"/>
      <c r="S107" s="554"/>
      <c r="T107" s="554">
        <v>0.1</v>
      </c>
      <c r="U107" s="7">
        <f>'расчеты к штатному '!U111-'расчеты к старое'!U107</f>
        <v>8172.5729166666679</v>
      </c>
      <c r="V107" s="19"/>
      <c r="W107" s="552"/>
      <c r="X107" s="10">
        <f>'расчеты к штатному '!X111-'расчеты к старое'!X107</f>
        <v>89898.302083333314</v>
      </c>
      <c r="Y107" s="1547"/>
      <c r="Z107" s="1547"/>
      <c r="AA107" s="23"/>
      <c r="AK107" s="23"/>
      <c r="AL107" s="23"/>
      <c r="AM107" s="23"/>
      <c r="AN107" s="23"/>
      <c r="AO107" s="23"/>
      <c r="AP107" s="23"/>
      <c r="AQ107" s="23"/>
    </row>
    <row r="108" spans="1:44" s="24" customFormat="1" ht="17.25" customHeight="1">
      <c r="A108" s="547">
        <v>8</v>
      </c>
      <c r="B108" s="647" t="s">
        <v>269</v>
      </c>
      <c r="C108" s="647" t="s">
        <v>99</v>
      </c>
      <c r="D108" s="628" t="s">
        <v>25</v>
      </c>
      <c r="E108" s="586" t="s">
        <v>670</v>
      </c>
      <c r="F108" s="582" t="s">
        <v>271</v>
      </c>
      <c r="G108" s="560">
        <v>1</v>
      </c>
      <c r="H108" s="563" t="s">
        <v>102</v>
      </c>
      <c r="I108" s="563" t="s">
        <v>103</v>
      </c>
      <c r="J108" s="629">
        <v>1</v>
      </c>
      <c r="K108" s="554">
        <v>17697</v>
      </c>
      <c r="L108" s="645">
        <v>34</v>
      </c>
      <c r="M108" s="552">
        <f t="shared" si="20"/>
        <v>1.8888888888888888</v>
      </c>
      <c r="N108" s="574" t="s">
        <v>152</v>
      </c>
      <c r="O108" s="1598">
        <v>4.62</v>
      </c>
      <c r="P108" s="7">
        <f>'расчеты к штатному '!P112-'расчеты к старое'!P108</f>
        <v>4542.2300000000105</v>
      </c>
      <c r="Q108" s="556"/>
      <c r="R108" s="568"/>
      <c r="S108" s="554"/>
      <c r="T108" s="554">
        <v>0.1</v>
      </c>
      <c r="U108" s="7">
        <f>'расчеты к штатному '!U112-'расчеты к старое'!U108</f>
        <v>8403.1255000000019</v>
      </c>
      <c r="V108" s="19"/>
      <c r="W108" s="552"/>
      <c r="X108" s="10">
        <f>'расчеты к штатному '!X112-'расчеты к старое'!X108</f>
        <v>92434.380499999999</v>
      </c>
      <c r="Y108" s="10">
        <f>V107+R107</f>
        <v>0</v>
      </c>
      <c r="Z108" s="10">
        <f>W107+S107</f>
        <v>0</v>
      </c>
      <c r="AA108" s="23">
        <f>X107*12</f>
        <v>1078779.6249999998</v>
      </c>
      <c r="AB108" s="24">
        <f t="shared" si="17"/>
        <v>171643.53619729512</v>
      </c>
      <c r="AC108" s="24">
        <f t="shared" si="18"/>
        <v>1348474.5312499998</v>
      </c>
      <c r="AD108" s="24">
        <f t="shared" si="19"/>
        <v>214554.42024661889</v>
      </c>
      <c r="AK108" s="23"/>
      <c r="AL108" s="23"/>
      <c r="AM108" s="23"/>
      <c r="AN108" s="23"/>
      <c r="AO108" s="23"/>
      <c r="AP108" s="23"/>
      <c r="AQ108" s="23"/>
    </row>
    <row r="109" spans="1:44" s="24" customFormat="1" ht="16.5" customHeight="1">
      <c r="A109" s="547">
        <v>9</v>
      </c>
      <c r="B109" s="647" t="s">
        <v>391</v>
      </c>
      <c r="C109" s="647" t="s">
        <v>99</v>
      </c>
      <c r="D109" s="563" t="s">
        <v>25</v>
      </c>
      <c r="E109" s="586" t="s">
        <v>673</v>
      </c>
      <c r="F109" s="582" t="s">
        <v>77</v>
      </c>
      <c r="G109" s="560">
        <v>1</v>
      </c>
      <c r="H109" s="563" t="s">
        <v>102</v>
      </c>
      <c r="I109" s="563" t="s">
        <v>103</v>
      </c>
      <c r="J109" s="629">
        <v>4</v>
      </c>
      <c r="K109" s="554">
        <v>17697</v>
      </c>
      <c r="L109" s="645">
        <v>24</v>
      </c>
      <c r="M109" s="552">
        <f t="shared" si="20"/>
        <v>1.3333333333333333</v>
      </c>
      <c r="N109" s="1601" t="s">
        <v>112</v>
      </c>
      <c r="O109" s="1602">
        <v>3.71</v>
      </c>
      <c r="P109" s="7">
        <f>'расчеты к штатному '!P113-'расчеты к старое'!P109</f>
        <v>6842.8399999999965</v>
      </c>
      <c r="Q109" s="556"/>
      <c r="R109" s="568"/>
      <c r="S109" s="554"/>
      <c r="T109" s="554">
        <v>0.1</v>
      </c>
      <c r="U109" s="7">
        <f>'расчеты к штатному '!U113-'расчеты к старое'!U109</f>
        <v>5403.4840000000004</v>
      </c>
      <c r="V109" s="19"/>
      <c r="W109" s="552"/>
      <c r="X109" s="10">
        <f>'расчеты к штатному '!X113-'расчеты к старое'!X109</f>
        <v>101911.124</v>
      </c>
      <c r="Y109" s="10">
        <f>V108+R108</f>
        <v>0</v>
      </c>
      <c r="Z109" s="10">
        <f>W108+S108</f>
        <v>0</v>
      </c>
      <c r="AA109" s="23">
        <f>X108*12</f>
        <v>1109212.5660000001</v>
      </c>
      <c r="AB109" s="24">
        <f t="shared" si="17"/>
        <v>176485.69069212413</v>
      </c>
      <c r="AC109" s="24">
        <f t="shared" si="18"/>
        <v>1386515.7075</v>
      </c>
      <c r="AD109" s="24">
        <f t="shared" si="19"/>
        <v>220607.11336515515</v>
      </c>
      <c r="AK109" s="23"/>
      <c r="AL109" s="23"/>
      <c r="AM109" s="23"/>
      <c r="AN109" s="23"/>
      <c r="AO109" s="23"/>
      <c r="AP109" s="23"/>
      <c r="AQ109" s="23"/>
    </row>
    <row r="110" spans="1:44" s="24" customFormat="1" ht="16.5" customHeight="1">
      <c r="A110" s="547">
        <v>10</v>
      </c>
      <c r="B110" s="998" t="s">
        <v>803</v>
      </c>
      <c r="C110" s="873" t="s">
        <v>99</v>
      </c>
      <c r="D110" s="1002" t="s">
        <v>25</v>
      </c>
      <c r="E110" s="1586" t="s">
        <v>807</v>
      </c>
      <c r="F110" s="1586" t="s">
        <v>34</v>
      </c>
      <c r="G110" s="547">
        <v>1</v>
      </c>
      <c r="H110" s="563" t="s">
        <v>102</v>
      </c>
      <c r="I110" s="563" t="s">
        <v>103</v>
      </c>
      <c r="J110" s="581">
        <v>1</v>
      </c>
      <c r="K110" s="554">
        <v>17697</v>
      </c>
      <c r="L110" s="1540">
        <v>6</v>
      </c>
      <c r="M110" s="552">
        <f t="shared" si="20"/>
        <v>0.33333333333333331</v>
      </c>
      <c r="N110" s="698" t="s">
        <v>152</v>
      </c>
      <c r="O110" s="1157">
        <v>4.75</v>
      </c>
      <c r="P110" s="7">
        <f>'расчеты к штатному '!P114-'расчеты к старое'!P110</f>
        <v>-9340.0833333333321</v>
      </c>
      <c r="Q110" s="556"/>
      <c r="R110" s="1538"/>
      <c r="S110" s="700"/>
      <c r="T110" s="554">
        <v>0.1</v>
      </c>
      <c r="U110" s="7">
        <f>'расчеты к штатному '!U114-'расчеты к старое'!U110</f>
        <v>0</v>
      </c>
      <c r="V110" s="1541"/>
      <c r="W110" s="552"/>
      <c r="X110" s="10">
        <f>'расчеты к штатному '!X114-'расчеты к старое'!X110</f>
        <v>0</v>
      </c>
      <c r="Y110" s="1547"/>
      <c r="Z110" s="1547"/>
      <c r="AA110" s="23"/>
      <c r="AK110" s="23"/>
      <c r="AL110" s="23"/>
      <c r="AM110" s="23"/>
      <c r="AN110" s="23"/>
      <c r="AO110" s="23"/>
      <c r="AP110" s="23"/>
      <c r="AQ110" s="23"/>
    </row>
    <row r="111" spans="1:44" s="24" customFormat="1" ht="17.25" customHeight="1">
      <c r="A111" s="547">
        <v>11</v>
      </c>
      <c r="B111" s="647" t="s">
        <v>272</v>
      </c>
      <c r="C111" s="647" t="s">
        <v>617</v>
      </c>
      <c r="D111" s="628" t="s">
        <v>25</v>
      </c>
      <c r="E111" s="586" t="s">
        <v>685</v>
      </c>
      <c r="F111" s="582" t="s">
        <v>434</v>
      </c>
      <c r="G111" s="560">
        <v>1</v>
      </c>
      <c r="H111" s="563" t="s">
        <v>102</v>
      </c>
      <c r="I111" s="563" t="s">
        <v>103</v>
      </c>
      <c r="J111" s="629">
        <v>1</v>
      </c>
      <c r="K111" s="554">
        <v>17697</v>
      </c>
      <c r="L111" s="645">
        <v>32</v>
      </c>
      <c r="M111" s="552">
        <f t="shared" si="20"/>
        <v>1.7777777777777777</v>
      </c>
      <c r="N111" s="574" t="s">
        <v>152</v>
      </c>
      <c r="O111" s="1598">
        <v>4.6900000000000004</v>
      </c>
      <c r="P111" s="7">
        <f>'расчеты к штатному '!P115-'расчеты к старое'!P111</f>
        <v>18444.206666666665</v>
      </c>
      <c r="Q111" s="556"/>
      <c r="R111" s="568"/>
      <c r="S111" s="554"/>
      <c r="T111" s="554">
        <v>0.1</v>
      </c>
      <c r="U111" s="7">
        <f>'расчеты к штатному '!U115-'расчеты к старое'!U111</f>
        <v>10144.313666666669</v>
      </c>
      <c r="V111" s="19"/>
      <c r="W111" s="552"/>
      <c r="X111" s="10">
        <f>'расчеты к штатному '!X115-'расчеты к старое'!X111</f>
        <v>111587.45033333334</v>
      </c>
      <c r="Y111" s="10">
        <f>V109+R109</f>
        <v>0</v>
      </c>
      <c r="Z111" s="10">
        <f>W109+S109</f>
        <v>0</v>
      </c>
      <c r="AA111" s="23">
        <f>X109*12</f>
        <v>1222933.4879999999</v>
      </c>
      <c r="AB111" s="24">
        <f>AA111/12/29.33*56</f>
        <v>194579.71169451074</v>
      </c>
      <c r="AC111" s="24">
        <f>AA111*1.25</f>
        <v>1528666.8599999999</v>
      </c>
      <c r="AD111" s="24">
        <f>AC111/12/29.33*56</f>
        <v>243224.63961813843</v>
      </c>
      <c r="AK111" s="23"/>
      <c r="AL111" s="23"/>
      <c r="AM111" s="23"/>
      <c r="AN111" s="23"/>
      <c r="AO111" s="23"/>
      <c r="AP111" s="23"/>
      <c r="AQ111" s="23"/>
    </row>
    <row r="112" spans="1:44" s="24" customFormat="1" ht="17.25" customHeight="1">
      <c r="A112" s="547">
        <v>12</v>
      </c>
      <c r="B112" s="646" t="s">
        <v>274</v>
      </c>
      <c r="C112" s="647" t="s">
        <v>99</v>
      </c>
      <c r="D112" s="628" t="s">
        <v>25</v>
      </c>
      <c r="E112" s="586" t="s">
        <v>686</v>
      </c>
      <c r="F112" s="562" t="s">
        <v>239</v>
      </c>
      <c r="G112" s="560">
        <v>1</v>
      </c>
      <c r="H112" s="563" t="s">
        <v>102</v>
      </c>
      <c r="I112" s="563" t="s">
        <v>103</v>
      </c>
      <c r="J112" s="629">
        <v>2</v>
      </c>
      <c r="K112" s="554">
        <v>17697</v>
      </c>
      <c r="L112" s="645">
        <v>23</v>
      </c>
      <c r="M112" s="552">
        <f t="shared" si="20"/>
        <v>1.2777777777777777</v>
      </c>
      <c r="N112" s="698" t="s">
        <v>104</v>
      </c>
      <c r="O112" s="1598">
        <v>4.2300000000000004</v>
      </c>
      <c r="P112" s="7">
        <f>'расчеты к штатному '!P116-'расчеты к старое'!P112</f>
        <v>5879.3366666666407</v>
      </c>
      <c r="Q112" s="556"/>
      <c r="R112" s="568"/>
      <c r="S112" s="554"/>
      <c r="T112" s="554">
        <v>0.1</v>
      </c>
      <c r="U112" s="7">
        <f>'расчеты к штатному '!U116-'расчеты к старое'!U112</f>
        <v>5664.5147499999966</v>
      </c>
      <c r="V112" s="19"/>
      <c r="W112" s="552"/>
      <c r="X112" s="10">
        <f>'расчеты к штатному '!X116-'расчеты к старое'!X112</f>
        <v>123228.63524999998</v>
      </c>
      <c r="Y112" s="10"/>
      <c r="Z112" s="10"/>
      <c r="AA112" s="23">
        <f>X111*12</f>
        <v>1339049.4040000001</v>
      </c>
      <c r="AB112" s="24">
        <f t="shared" si="17"/>
        <v>213054.79777247418</v>
      </c>
      <c r="AC112" s="24">
        <f t="shared" si="18"/>
        <v>1673811.7550000001</v>
      </c>
      <c r="AD112" s="24">
        <f t="shared" si="19"/>
        <v>266318.49721559271</v>
      </c>
      <c r="AK112" s="23"/>
      <c r="AL112" s="23"/>
      <c r="AM112" s="23"/>
      <c r="AN112" s="23"/>
      <c r="AO112" s="23"/>
      <c r="AP112" s="23"/>
      <c r="AQ112" s="23"/>
    </row>
    <row r="113" spans="1:43" s="24" customFormat="1" ht="17.25" customHeight="1">
      <c r="A113" s="547">
        <v>13</v>
      </c>
      <c r="B113" s="646" t="s">
        <v>420</v>
      </c>
      <c r="C113" s="647" t="s">
        <v>99</v>
      </c>
      <c r="D113" s="628" t="s">
        <v>25</v>
      </c>
      <c r="E113" s="586" t="s">
        <v>687</v>
      </c>
      <c r="F113" s="562" t="s">
        <v>239</v>
      </c>
      <c r="G113" s="560">
        <v>1</v>
      </c>
      <c r="H113" s="563" t="s">
        <v>102</v>
      </c>
      <c r="I113" s="563" t="s">
        <v>103</v>
      </c>
      <c r="J113" s="629">
        <v>3</v>
      </c>
      <c r="K113" s="554">
        <v>17697</v>
      </c>
      <c r="L113" s="645">
        <v>20</v>
      </c>
      <c r="M113" s="552">
        <f t="shared" si="20"/>
        <v>1.1111111111111112</v>
      </c>
      <c r="N113" s="1601" t="s">
        <v>109</v>
      </c>
      <c r="O113" s="1598">
        <v>4.21</v>
      </c>
      <c r="P113" s="7">
        <f>'расчеты к штатному '!P117-'расчеты к старое'!P113</f>
        <v>16556.526666666658</v>
      </c>
      <c r="Q113" s="556"/>
      <c r="R113" s="568"/>
      <c r="S113" s="554"/>
      <c r="T113" s="554">
        <v>0.1</v>
      </c>
      <c r="U113" s="7">
        <f>'расчеты к штатному '!U117-'расчеты к старое'!U113</f>
        <v>6622.6106666666656</v>
      </c>
      <c r="V113" s="19"/>
      <c r="W113" s="552"/>
      <c r="X113" s="10">
        <f>'расчеты к штатному '!X117-'расчеты к старое'!X113</f>
        <v>72848.717333333334</v>
      </c>
      <c r="Y113" s="10">
        <f t="shared" ref="Y113:Z115" si="21">V112+R112</f>
        <v>0</v>
      </c>
      <c r="Z113" s="10">
        <f t="shared" si="21"/>
        <v>0</v>
      </c>
      <c r="AA113" s="23">
        <f>X112*12</f>
        <v>1478743.6229999997</v>
      </c>
      <c r="AB113" s="24">
        <f>AA113/12/29.33*56</f>
        <v>235281.40381861571</v>
      </c>
      <c r="AC113" s="24">
        <f>AA113*1.25</f>
        <v>1848429.5287499996</v>
      </c>
      <c r="AD113" s="24">
        <f>AC113/12/29.33*56</f>
        <v>294101.75477326964</v>
      </c>
      <c r="AK113" s="23"/>
      <c r="AL113" s="23"/>
      <c r="AM113" s="23"/>
      <c r="AN113" s="23"/>
      <c r="AO113" s="23"/>
      <c r="AP113" s="23"/>
      <c r="AQ113" s="23"/>
    </row>
    <row r="114" spans="1:43" s="24" customFormat="1" ht="17.25" customHeight="1">
      <c r="A114" s="547">
        <v>14</v>
      </c>
      <c r="B114" s="153" t="s">
        <v>175</v>
      </c>
      <c r="C114" s="647" t="s">
        <v>617</v>
      </c>
      <c r="D114" s="563" t="s">
        <v>25</v>
      </c>
      <c r="E114" s="562" t="s">
        <v>737</v>
      </c>
      <c r="F114" s="562" t="s">
        <v>114</v>
      </c>
      <c r="G114" s="560">
        <v>1</v>
      </c>
      <c r="H114" s="563" t="s">
        <v>102</v>
      </c>
      <c r="I114" s="563" t="s">
        <v>103</v>
      </c>
      <c r="J114" s="564">
        <v>1</v>
      </c>
      <c r="K114" s="554">
        <v>17697</v>
      </c>
      <c r="L114" s="645">
        <v>16</v>
      </c>
      <c r="M114" s="552">
        <f t="shared" si="20"/>
        <v>0.88888888888888884</v>
      </c>
      <c r="N114" s="574" t="s">
        <v>152</v>
      </c>
      <c r="O114" s="1014">
        <v>4.75</v>
      </c>
      <c r="P114" s="7" t="e">
        <f>'расчеты к штатному '!#REF!-'расчеты к старое'!P114</f>
        <v>#REF!</v>
      </c>
      <c r="Q114" s="556"/>
      <c r="R114" s="568"/>
      <c r="S114" s="554"/>
      <c r="T114" s="554">
        <v>0.1</v>
      </c>
      <c r="U114" s="7" t="e">
        <f>'расчеты к штатному '!#REF!-'расчеты к старое'!U114</f>
        <v>#REF!</v>
      </c>
      <c r="V114" s="19"/>
      <c r="W114" s="552"/>
      <c r="X114" s="10" t="e">
        <f>'расчеты к штатному '!#REF!-'расчеты к старое'!X114</f>
        <v>#REF!</v>
      </c>
      <c r="Y114" s="10">
        <f t="shared" si="21"/>
        <v>0</v>
      </c>
      <c r="Z114" s="10">
        <f t="shared" si="21"/>
        <v>0</v>
      </c>
      <c r="AA114" s="23">
        <f>X113*12</f>
        <v>874184.60800000001</v>
      </c>
      <c r="AB114" s="24">
        <f>AA114/12/29.33*56</f>
        <v>139090.62975338107</v>
      </c>
      <c r="AC114" s="24">
        <f>AA114*1.25</f>
        <v>1092730.76</v>
      </c>
      <c r="AD114" s="24">
        <f>AC114/12/29.33*56</f>
        <v>173863.28719172633</v>
      </c>
      <c r="AK114" s="23"/>
      <c r="AL114" s="23"/>
      <c r="AM114" s="23"/>
      <c r="AN114" s="23"/>
      <c r="AO114" s="23"/>
      <c r="AP114" s="23"/>
      <c r="AQ114" s="23"/>
    </row>
    <row r="115" spans="1:43" s="24" customFormat="1" ht="17.25" customHeight="1">
      <c r="A115" s="547">
        <v>15</v>
      </c>
      <c r="B115" s="647" t="s">
        <v>281</v>
      </c>
      <c r="C115" s="647" t="s">
        <v>99</v>
      </c>
      <c r="D115" s="628" t="s">
        <v>25</v>
      </c>
      <c r="E115" s="586" t="s">
        <v>694</v>
      </c>
      <c r="F115" s="562" t="s">
        <v>40</v>
      </c>
      <c r="G115" s="560">
        <v>1</v>
      </c>
      <c r="H115" s="563" t="s">
        <v>102</v>
      </c>
      <c r="I115" s="563" t="s">
        <v>103</v>
      </c>
      <c r="J115" s="1603">
        <v>1</v>
      </c>
      <c r="K115" s="554">
        <v>17697</v>
      </c>
      <c r="L115" s="645">
        <v>12</v>
      </c>
      <c r="M115" s="552">
        <f t="shared" si="20"/>
        <v>0.66666666666666663</v>
      </c>
      <c r="N115" s="574" t="s">
        <v>152</v>
      </c>
      <c r="O115" s="1598">
        <v>4.75</v>
      </c>
      <c r="P115" s="7">
        <f>'расчеты к штатному '!P118-'расчеты к старое'!P115</f>
        <v>0</v>
      </c>
      <c r="Q115" s="556"/>
      <c r="R115" s="568"/>
      <c r="S115" s="554"/>
      <c r="T115" s="554">
        <v>0.1</v>
      </c>
      <c r="U115" s="7">
        <f>'расчеты к штатному '!U118-'расчеты к старое'!U115</f>
        <v>2802.0250000000005</v>
      </c>
      <c r="V115" s="19"/>
      <c r="W115" s="552"/>
      <c r="X115" s="10">
        <f>'расчеты к штатному '!X118-'расчеты к старое'!X115</f>
        <v>30822.274999999994</v>
      </c>
      <c r="Y115" s="7">
        <f t="shared" si="21"/>
        <v>0</v>
      </c>
      <c r="Z115" s="7">
        <f t="shared" si="21"/>
        <v>0</v>
      </c>
      <c r="AA115" s="23" t="e">
        <f>X114*12</f>
        <v>#REF!</v>
      </c>
      <c r="AB115" s="24" t="e">
        <f t="shared" si="17"/>
        <v>#REF!</v>
      </c>
      <c r="AC115" s="24" t="e">
        <f t="shared" si="18"/>
        <v>#REF!</v>
      </c>
      <c r="AD115" s="24" t="e">
        <f t="shared" si="19"/>
        <v>#REF!</v>
      </c>
      <c r="AK115" s="23"/>
      <c r="AL115" s="23"/>
      <c r="AM115" s="23"/>
      <c r="AN115" s="23"/>
      <c r="AO115" s="23"/>
      <c r="AP115" s="23"/>
      <c r="AQ115" s="23"/>
    </row>
    <row r="116" spans="1:43" s="24" customFormat="1" ht="17.25" customHeight="1">
      <c r="A116" s="547">
        <v>16</v>
      </c>
      <c r="B116" s="692" t="s">
        <v>762</v>
      </c>
      <c r="C116" s="692" t="s">
        <v>763</v>
      </c>
      <c r="D116" s="1002" t="s">
        <v>152</v>
      </c>
      <c r="E116" s="1599" t="s">
        <v>764</v>
      </c>
      <c r="F116" s="1539" t="s">
        <v>367</v>
      </c>
      <c r="G116" s="874"/>
      <c r="H116" s="563" t="s">
        <v>102</v>
      </c>
      <c r="I116" s="563" t="s">
        <v>103</v>
      </c>
      <c r="J116" s="1603">
        <v>3</v>
      </c>
      <c r="K116" s="554">
        <v>17697</v>
      </c>
      <c r="L116" s="645">
        <v>26</v>
      </c>
      <c r="M116" s="552">
        <f t="shared" si="20"/>
        <v>1.4444444444444444</v>
      </c>
      <c r="N116" s="1604" t="s">
        <v>109</v>
      </c>
      <c r="O116" s="1605">
        <v>4.3600000000000003</v>
      </c>
      <c r="P116" s="7">
        <f>'расчеты к штатному '!P123-'расчеты к старое'!P116</f>
        <v>25719.64</v>
      </c>
      <c r="Q116" s="556"/>
      <c r="R116" s="1538"/>
      <c r="S116" s="700"/>
      <c r="T116" s="554">
        <v>0.1</v>
      </c>
      <c r="U116" s="7">
        <f>'расчеты к штатному '!U123-'расчеты к старое'!U116</f>
        <v>9430.5346666666701</v>
      </c>
      <c r="V116" s="1541"/>
      <c r="W116" s="552"/>
      <c r="X116" s="10">
        <f>'расчеты к штатному '!X123-'расчеты к старое'!X116</f>
        <v>103735.88133333335</v>
      </c>
      <c r="Y116" s="7"/>
      <c r="Z116" s="7"/>
      <c r="AA116" s="23">
        <f>X115*12</f>
        <v>369867.29999999993</v>
      </c>
      <c r="AB116" s="24">
        <f t="shared" si="17"/>
        <v>58849.212410501183</v>
      </c>
      <c r="AC116" s="24">
        <f t="shared" si="18"/>
        <v>462334.12499999988</v>
      </c>
      <c r="AD116" s="24">
        <f t="shared" si="19"/>
        <v>73561.515513126476</v>
      </c>
      <c r="AK116" s="23"/>
      <c r="AL116" s="23"/>
      <c r="AM116" s="23"/>
      <c r="AN116" s="23"/>
      <c r="AO116" s="23"/>
      <c r="AP116" s="23"/>
      <c r="AQ116" s="23"/>
    </row>
    <row r="117" spans="1:43" s="24" customFormat="1" ht="17.25" customHeight="1">
      <c r="A117" s="547">
        <v>17</v>
      </c>
      <c r="B117" s="647" t="s">
        <v>282</v>
      </c>
      <c r="C117" s="647" t="s">
        <v>617</v>
      </c>
      <c r="D117" s="628" t="s">
        <v>25</v>
      </c>
      <c r="E117" s="586" t="s">
        <v>699</v>
      </c>
      <c r="F117" s="562" t="s">
        <v>40</v>
      </c>
      <c r="G117" s="560">
        <v>1</v>
      </c>
      <c r="H117" s="563" t="s">
        <v>102</v>
      </c>
      <c r="I117" s="563" t="s">
        <v>103</v>
      </c>
      <c r="J117" s="1603">
        <v>1</v>
      </c>
      <c r="K117" s="554">
        <v>17697</v>
      </c>
      <c r="L117" s="645">
        <v>34</v>
      </c>
      <c r="M117" s="552">
        <f t="shared" si="20"/>
        <v>1.8888888888888888</v>
      </c>
      <c r="N117" s="574" t="s">
        <v>152</v>
      </c>
      <c r="O117" s="1598">
        <v>4.75</v>
      </c>
      <c r="P117" s="7">
        <f>'расчеты к штатному '!P119-'расчеты к старое'!P117</f>
        <v>9340.0833333333139</v>
      </c>
      <c r="Q117" s="556"/>
      <c r="R117" s="568"/>
      <c r="S117" s="554"/>
      <c r="T117" s="554">
        <v>0.1</v>
      </c>
      <c r="U117" s="7">
        <f>'расчеты к штатному '!U119-'расчеты к старое'!U117</f>
        <v>9340.0833333333321</v>
      </c>
      <c r="V117" s="19"/>
      <c r="W117" s="552"/>
      <c r="X117" s="10">
        <f>'расчеты к штатному '!X119-'расчеты к старое'!X117</f>
        <v>102740.91666666663</v>
      </c>
      <c r="Y117" s="1547"/>
      <c r="Z117" s="1547"/>
      <c r="AA117" s="23"/>
      <c r="AK117" s="23"/>
      <c r="AL117" s="23"/>
      <c r="AM117" s="23"/>
      <c r="AN117" s="23"/>
      <c r="AO117" s="23"/>
      <c r="AP117" s="23"/>
      <c r="AQ117" s="23"/>
    </row>
    <row r="118" spans="1:43" s="24" customFormat="1" ht="16.5" customHeight="1">
      <c r="A118" s="547">
        <v>18</v>
      </c>
      <c r="B118" s="647" t="s">
        <v>392</v>
      </c>
      <c r="C118" s="647" t="s">
        <v>99</v>
      </c>
      <c r="D118" s="628" t="s">
        <v>25</v>
      </c>
      <c r="E118" s="586" t="s">
        <v>700</v>
      </c>
      <c r="F118" s="582" t="s">
        <v>434</v>
      </c>
      <c r="G118" s="560">
        <v>1</v>
      </c>
      <c r="H118" s="563" t="s">
        <v>102</v>
      </c>
      <c r="I118" s="563" t="s">
        <v>103</v>
      </c>
      <c r="J118" s="1584">
        <v>2</v>
      </c>
      <c r="K118" s="554">
        <v>17697</v>
      </c>
      <c r="L118" s="645">
        <v>24</v>
      </c>
      <c r="M118" s="552">
        <f t="shared" si="20"/>
        <v>1.3333333333333333</v>
      </c>
      <c r="N118" s="698" t="s">
        <v>104</v>
      </c>
      <c r="O118" s="1602">
        <v>4.4400000000000004</v>
      </c>
      <c r="P118" s="7">
        <f>'расчеты к штатному '!P120-'расчеты к старое'!P118</f>
        <v>-8730.5200000000041</v>
      </c>
      <c r="Q118" s="556"/>
      <c r="R118" s="568"/>
      <c r="S118" s="554"/>
      <c r="T118" s="554">
        <v>0.1</v>
      </c>
      <c r="U118" s="7">
        <f>'расчеты к штатному '!U120-'расчеты к старое'!U118</f>
        <v>3928.7340000000004</v>
      </c>
      <c r="V118" s="19"/>
      <c r="W118" s="552"/>
      <c r="X118" s="10">
        <f>'расчеты к штатному '!X120-'расчеты к старое'!X118</f>
        <v>43216.074000000022</v>
      </c>
      <c r="Y118" s="7">
        <f>V117+R117</f>
        <v>0</v>
      </c>
      <c r="Z118" s="7">
        <f>W117+S117</f>
        <v>0</v>
      </c>
      <c r="AA118" s="23">
        <f>X117*12</f>
        <v>1232890.9999999995</v>
      </c>
      <c r="AB118" s="24">
        <f t="shared" si="17"/>
        <v>196164.04136833723</v>
      </c>
      <c r="AC118" s="24">
        <f t="shared" si="18"/>
        <v>1541113.7499999995</v>
      </c>
      <c r="AD118" s="24">
        <f t="shared" si="19"/>
        <v>245205.05171042163</v>
      </c>
      <c r="AK118" s="23"/>
      <c r="AL118" s="23"/>
      <c r="AM118" s="23"/>
      <c r="AN118" s="23"/>
      <c r="AO118" s="23"/>
      <c r="AP118" s="23"/>
      <c r="AQ118" s="23"/>
    </row>
    <row r="119" spans="1:43" s="24" customFormat="1" ht="17.25" customHeight="1">
      <c r="A119" s="547">
        <v>19</v>
      </c>
      <c r="B119" s="647" t="s">
        <v>184</v>
      </c>
      <c r="C119" s="647" t="s">
        <v>99</v>
      </c>
      <c r="D119" s="628" t="s">
        <v>25</v>
      </c>
      <c r="E119" s="586" t="s">
        <v>265</v>
      </c>
      <c r="F119" s="562" t="s">
        <v>40</v>
      </c>
      <c r="G119" s="560">
        <v>1</v>
      </c>
      <c r="H119" s="563" t="s">
        <v>102</v>
      </c>
      <c r="I119" s="563" t="s">
        <v>103</v>
      </c>
      <c r="J119" s="629">
        <v>1</v>
      </c>
      <c r="K119" s="554">
        <v>17697</v>
      </c>
      <c r="L119" s="645">
        <v>4</v>
      </c>
      <c r="M119" s="552">
        <f t="shared" si="20"/>
        <v>0.22222222222222221</v>
      </c>
      <c r="N119" s="574" t="s">
        <v>152</v>
      </c>
      <c r="O119" s="1600">
        <v>4.75</v>
      </c>
      <c r="P119" s="7">
        <f>'расчеты к штатному '!P121-'расчеты к старое'!P119</f>
        <v>0</v>
      </c>
      <c r="Q119" s="556"/>
      <c r="R119" s="1538"/>
      <c r="S119" s="700"/>
      <c r="T119" s="700">
        <v>0.1</v>
      </c>
      <c r="U119" s="7">
        <f>'расчеты к штатному '!U121-'расчеты к старое'!U119</f>
        <v>934.00833333333321</v>
      </c>
      <c r="V119" s="1541"/>
      <c r="W119" s="552"/>
      <c r="X119" s="10">
        <f>'расчеты к штатному '!X121-'расчеты к старое'!X119</f>
        <v>10274.091666666667</v>
      </c>
      <c r="Y119" s="7">
        <f>V118+R118</f>
        <v>0</v>
      </c>
      <c r="Z119" s="7">
        <f>W118+S118</f>
        <v>0</v>
      </c>
      <c r="AA119" s="23">
        <f>X118*12</f>
        <v>518592.88800000027</v>
      </c>
      <c r="AB119" s="24">
        <f>AA119/12/29.33*56</f>
        <v>82512.790453460664</v>
      </c>
      <c r="AC119" s="24">
        <f>AA119*1.25</f>
        <v>648241.11000000034</v>
      </c>
      <c r="AD119" s="24">
        <f>AC119/12/29.33*56</f>
        <v>103140.98806682584</v>
      </c>
      <c r="AK119" s="23"/>
      <c r="AL119" s="23"/>
      <c r="AM119" s="23"/>
      <c r="AN119" s="23"/>
      <c r="AO119" s="23"/>
      <c r="AP119" s="23"/>
      <c r="AQ119" s="23"/>
    </row>
    <row r="120" spans="1:43" s="24" customFormat="1" ht="17.25" customHeight="1">
      <c r="A120" s="547">
        <v>20</v>
      </c>
      <c r="B120" s="692" t="s">
        <v>706</v>
      </c>
      <c r="C120" s="692" t="s">
        <v>99</v>
      </c>
      <c r="D120" s="1002" t="s">
        <v>75</v>
      </c>
      <c r="E120" s="1599" t="s">
        <v>707</v>
      </c>
      <c r="F120" s="1539" t="s">
        <v>159</v>
      </c>
      <c r="G120" s="874">
        <v>1</v>
      </c>
      <c r="H120" s="1002" t="s">
        <v>102</v>
      </c>
      <c r="I120" s="563" t="s">
        <v>118</v>
      </c>
      <c r="J120" s="1603">
        <v>4</v>
      </c>
      <c r="K120" s="554">
        <v>17697</v>
      </c>
      <c r="L120" s="645">
        <v>15</v>
      </c>
      <c r="M120" s="552">
        <f t="shared" si="20"/>
        <v>0.83333333333333337</v>
      </c>
      <c r="N120" s="1601" t="s">
        <v>112</v>
      </c>
      <c r="O120" s="1605">
        <v>3.32</v>
      </c>
      <c r="P120" s="7">
        <f>'расчеты к штатному '!P122-'расчеты к старое'!P120</f>
        <v>5161.6250000000073</v>
      </c>
      <c r="Q120" s="556"/>
      <c r="R120" s="1538"/>
      <c r="S120" s="700"/>
      <c r="T120" s="554">
        <v>0.1</v>
      </c>
      <c r="U120" s="7">
        <f>'расчеты к штатному '!U122-'расчеты к старое'!U120</f>
        <v>3222.3287499999997</v>
      </c>
      <c r="V120" s="1541"/>
      <c r="W120" s="552"/>
      <c r="X120" s="10">
        <f>'расчеты к штатному '!X122-'расчеты к старое'!X120</f>
        <v>59801.112499999996</v>
      </c>
      <c r="Y120" s="882"/>
      <c r="Z120" s="882"/>
      <c r="AA120" s="23">
        <f>X119*12</f>
        <v>123289.1</v>
      </c>
      <c r="AB120" s="24">
        <f t="shared" si="17"/>
        <v>19616.404136833735</v>
      </c>
      <c r="AC120" s="24">
        <f t="shared" si="18"/>
        <v>154111.375</v>
      </c>
      <c r="AD120" s="24">
        <f t="shared" si="19"/>
        <v>24520.505171042169</v>
      </c>
      <c r="AK120" s="23"/>
      <c r="AL120" s="23"/>
      <c r="AM120" s="23"/>
      <c r="AN120" s="23"/>
      <c r="AO120" s="23"/>
      <c r="AP120" s="23"/>
      <c r="AQ120" s="23"/>
    </row>
    <row r="121" spans="1:43" s="24" customFormat="1" ht="17.25" customHeight="1">
      <c r="A121" s="547">
        <v>21</v>
      </c>
      <c r="B121" s="647" t="s">
        <v>287</v>
      </c>
      <c r="C121" s="647" t="s">
        <v>99</v>
      </c>
      <c r="D121" s="628" t="s">
        <v>25</v>
      </c>
      <c r="E121" s="586" t="s">
        <v>711</v>
      </c>
      <c r="F121" s="562" t="s">
        <v>40</v>
      </c>
      <c r="G121" s="560">
        <v>1</v>
      </c>
      <c r="H121" s="563" t="s">
        <v>102</v>
      </c>
      <c r="I121" s="563" t="s">
        <v>103</v>
      </c>
      <c r="J121" s="1603">
        <v>1</v>
      </c>
      <c r="K121" s="554">
        <v>17697</v>
      </c>
      <c r="L121" s="645">
        <v>24</v>
      </c>
      <c r="M121" s="552">
        <f t="shared" si="20"/>
        <v>1.3333333333333333</v>
      </c>
      <c r="N121" s="574" t="s">
        <v>152</v>
      </c>
      <c r="O121" s="1598">
        <v>4.75</v>
      </c>
      <c r="P121" s="7">
        <f>'расчеты к штатному '!P124-'расчеты к старое'!P121</f>
        <v>9340.083333333343</v>
      </c>
      <c r="Q121" s="556"/>
      <c r="R121" s="568"/>
      <c r="S121" s="554"/>
      <c r="T121" s="554">
        <v>0.1</v>
      </c>
      <c r="U121" s="7">
        <f>'расчеты к штатному '!U124-'расчеты к старое'!U121</f>
        <v>7005.0625000000018</v>
      </c>
      <c r="V121" s="19"/>
      <c r="W121" s="552"/>
      <c r="X121" s="10">
        <f>'расчеты к штатному '!X124-'расчеты к старое'!X121</f>
        <v>77055.6875</v>
      </c>
      <c r="Y121" s="1547"/>
      <c r="Z121" s="1547"/>
      <c r="AA121" s="23"/>
      <c r="AK121" s="23"/>
      <c r="AL121" s="23"/>
      <c r="AM121" s="23"/>
      <c r="AN121" s="23"/>
      <c r="AO121" s="23"/>
      <c r="AP121" s="23"/>
      <c r="AQ121" s="23"/>
    </row>
    <row r="122" spans="1:43" s="24" customFormat="1" ht="17.25" customHeight="1">
      <c r="A122" s="547">
        <v>22</v>
      </c>
      <c r="B122" s="647" t="s">
        <v>289</v>
      </c>
      <c r="C122" s="647" t="s">
        <v>99</v>
      </c>
      <c r="D122" s="563" t="s">
        <v>64</v>
      </c>
      <c r="E122" s="586" t="s">
        <v>713</v>
      </c>
      <c r="F122" s="582" t="s">
        <v>77</v>
      </c>
      <c r="G122" s="560">
        <v>1</v>
      </c>
      <c r="H122" s="563" t="s">
        <v>102</v>
      </c>
      <c r="I122" s="563" t="s">
        <v>118</v>
      </c>
      <c r="J122" s="1603">
        <v>4</v>
      </c>
      <c r="K122" s="554">
        <v>17697</v>
      </c>
      <c r="L122" s="645">
        <v>18</v>
      </c>
      <c r="M122" s="552">
        <f t="shared" si="20"/>
        <v>1</v>
      </c>
      <c r="N122" s="1601" t="s">
        <v>112</v>
      </c>
      <c r="O122" s="1602">
        <v>3.45</v>
      </c>
      <c r="P122" s="7">
        <f>'расчеты к штатному '!P125-'расчеты к старое'!P122</f>
        <v>-16959.625</v>
      </c>
      <c r="Q122" s="556"/>
      <c r="R122" s="568"/>
      <c r="S122" s="554"/>
      <c r="T122" s="554">
        <v>0.1</v>
      </c>
      <c r="U122" s="7">
        <f>'расчеты к штатному '!U125-'расчеты к старое'!U122</f>
        <v>508.78875000000062</v>
      </c>
      <c r="V122" s="19"/>
      <c r="W122" s="552"/>
      <c r="X122" s="10">
        <f>'расчеты к штатному '!X125-'расчеты к старое'!X122</f>
        <v>5596.6762500000041</v>
      </c>
      <c r="Y122" s="7">
        <f>V121+R121</f>
        <v>0</v>
      </c>
      <c r="Z122" s="7">
        <f>W121+S121</f>
        <v>0</v>
      </c>
      <c r="AA122" s="23">
        <f>X121*12</f>
        <v>924668.25</v>
      </c>
      <c r="AB122" s="24">
        <f t="shared" si="17"/>
        <v>147123.03102625298</v>
      </c>
      <c r="AC122" s="24">
        <f t="shared" si="18"/>
        <v>1155835.3125</v>
      </c>
      <c r="AD122" s="24">
        <f t="shared" si="19"/>
        <v>183903.78878281623</v>
      </c>
      <c r="AK122" s="23"/>
      <c r="AL122" s="23"/>
      <c r="AM122" s="23"/>
      <c r="AN122" s="23"/>
      <c r="AO122" s="23"/>
      <c r="AP122" s="23"/>
      <c r="AQ122" s="23"/>
    </row>
    <row r="123" spans="1:43" s="377" customFormat="1" ht="17.25" customHeight="1">
      <c r="A123" s="1845"/>
      <c r="B123" s="1846"/>
      <c r="C123" s="1846"/>
      <c r="D123" s="1847"/>
      <c r="E123" s="1848"/>
      <c r="F123" s="1849"/>
      <c r="G123" s="1823"/>
      <c r="H123" s="1847"/>
      <c r="I123" s="1847"/>
      <c r="J123" s="1850"/>
      <c r="K123" s="1830"/>
      <c r="L123" s="1851">
        <f>SUM(L102:L122)</f>
        <v>460</v>
      </c>
      <c r="M123" s="1852"/>
      <c r="N123" s="1853"/>
      <c r="O123" s="1854"/>
      <c r="P123" s="1509">
        <f>'расчеты к штатному '!P126-'расчеты к старое'!P123</f>
        <v>0</v>
      </c>
      <c r="Q123" s="1855"/>
      <c r="R123" s="1832"/>
      <c r="S123" s="1830"/>
      <c r="T123" s="1830"/>
      <c r="U123" s="1509">
        <f>'расчеты к штатному '!U126-'расчеты к старое'!U123</f>
        <v>0</v>
      </c>
      <c r="V123" s="1833"/>
      <c r="W123" s="1852"/>
      <c r="X123" s="1511"/>
      <c r="Y123" s="359">
        <f>V122+R122</f>
        <v>0</v>
      </c>
      <c r="Z123" s="359">
        <f>W122+S122</f>
        <v>0</v>
      </c>
      <c r="AA123" s="375">
        <f>X122*12</f>
        <v>67160.115000000049</v>
      </c>
      <c r="AB123" s="377">
        <f>AA123/12/29.33*56</f>
        <v>10685.778042959435</v>
      </c>
      <c r="AC123" s="377">
        <f>AA123*1.25</f>
        <v>83950.143750000061</v>
      </c>
      <c r="AD123" s="377">
        <f>AC123/12/29.33*56</f>
        <v>13357.222553699296</v>
      </c>
      <c r="AK123" s="23"/>
      <c r="AL123" s="23"/>
      <c r="AM123" s="23"/>
      <c r="AN123" s="23"/>
      <c r="AO123" s="23"/>
      <c r="AP123" s="23"/>
      <c r="AQ123" s="23"/>
    </row>
    <row r="124" spans="1:43" s="1346" customFormat="1" ht="17.25" customHeight="1">
      <c r="A124" s="560">
        <v>1</v>
      </c>
      <c r="B124" s="661" t="s">
        <v>516</v>
      </c>
      <c r="C124" s="647" t="s">
        <v>99</v>
      </c>
      <c r="D124" s="663" t="s">
        <v>25</v>
      </c>
      <c r="E124" s="664" t="s">
        <v>594</v>
      </c>
      <c r="F124" s="664" t="s">
        <v>40</v>
      </c>
      <c r="G124" s="177">
        <v>1</v>
      </c>
      <c r="H124" s="177" t="s">
        <v>102</v>
      </c>
      <c r="I124" s="177" t="s">
        <v>103</v>
      </c>
      <c r="J124" s="178">
        <v>1</v>
      </c>
      <c r="K124" s="554">
        <v>17697</v>
      </c>
      <c r="L124" s="665">
        <v>18</v>
      </c>
      <c r="M124" s="567">
        <f>L124/18</f>
        <v>1</v>
      </c>
      <c r="N124" s="574" t="s">
        <v>152</v>
      </c>
      <c r="O124" s="1608">
        <v>4.75</v>
      </c>
      <c r="P124" s="7">
        <f>'расчеты к штатному '!P127-'расчеты к старое'!P124</f>
        <v>-4670.041666666657</v>
      </c>
      <c r="Q124" s="697"/>
      <c r="R124" s="666"/>
      <c r="S124" s="554">
        <f>(P124+Q124)*R124</f>
        <v>0</v>
      </c>
      <c r="T124" s="554">
        <v>0.1</v>
      </c>
      <c r="U124" s="7">
        <f>'расчеты к штатному '!U127-'расчеты к старое'!U124</f>
        <v>4378.1640625000036</v>
      </c>
      <c r="V124" s="19"/>
      <c r="W124" s="554"/>
      <c r="X124" s="10">
        <f>'расчеты к штатному '!X127-'расчеты к старое'!X124</f>
        <v>48159.804687500029</v>
      </c>
      <c r="Y124" s="1347"/>
      <c r="Z124" s="1347"/>
      <c r="AA124" s="1345"/>
      <c r="AK124" s="23"/>
      <c r="AL124" s="23"/>
      <c r="AM124" s="23"/>
      <c r="AN124" s="23"/>
      <c r="AO124" s="23"/>
      <c r="AP124" s="23"/>
      <c r="AQ124" s="23"/>
    </row>
    <row r="125" spans="1:43" s="225" customFormat="1" ht="17.25" customHeight="1">
      <c r="A125" s="560">
        <v>2</v>
      </c>
      <c r="B125" s="661" t="s">
        <v>38</v>
      </c>
      <c r="C125" s="647" t="s">
        <v>99</v>
      </c>
      <c r="D125" s="663" t="s">
        <v>25</v>
      </c>
      <c r="E125" s="664" t="s">
        <v>663</v>
      </c>
      <c r="F125" s="664" t="s">
        <v>40</v>
      </c>
      <c r="G125" s="177">
        <v>1</v>
      </c>
      <c r="H125" s="177" t="s">
        <v>102</v>
      </c>
      <c r="I125" s="177" t="s">
        <v>103</v>
      </c>
      <c r="J125" s="178">
        <v>1</v>
      </c>
      <c r="K125" s="554">
        <v>17697</v>
      </c>
      <c r="L125" s="665">
        <v>9</v>
      </c>
      <c r="M125" s="567">
        <f t="shared" ref="M125:M137" si="22">L125/18</f>
        <v>0.5</v>
      </c>
      <c r="N125" s="997" t="s">
        <v>152</v>
      </c>
      <c r="O125" s="1608">
        <v>4.75</v>
      </c>
      <c r="P125" s="7">
        <f>'расчеты к штатному '!P128-'расчеты к старое'!P125</f>
        <v>0</v>
      </c>
      <c r="Q125" s="697"/>
      <c r="R125" s="666"/>
      <c r="S125" s="554">
        <f t="shared" ref="S125:S137" si="23">(P125+Q125)*R125</f>
        <v>0</v>
      </c>
      <c r="T125" s="554">
        <v>0.1</v>
      </c>
      <c r="U125" s="7">
        <f>'расчеты к штатному '!U128-'расчеты к старое'!U125</f>
        <v>2626.8984375</v>
      </c>
      <c r="V125" s="19"/>
      <c r="W125" s="554"/>
      <c r="X125" s="10">
        <f>'расчеты к штатному '!X128-'расчеты к старое'!X125</f>
        <v>28895.8828125</v>
      </c>
      <c r="Y125" s="238"/>
      <c r="Z125" s="238"/>
      <c r="AA125" s="1370">
        <f t="shared" ref="AA125:AA132" si="24">X124*12</f>
        <v>577917.65625000035</v>
      </c>
      <c r="AB125" s="225">
        <f>AA125/12/29.33*56</f>
        <v>91951.894391408176</v>
      </c>
      <c r="AC125" s="225">
        <f>AA125*1.25</f>
        <v>722397.07031250047</v>
      </c>
      <c r="AD125" s="225">
        <f>AC125/12/29.33*56</f>
        <v>114939.86798926022</v>
      </c>
      <c r="AK125" s="23"/>
      <c r="AL125" s="23"/>
      <c r="AM125" s="23"/>
      <c r="AN125" s="23"/>
      <c r="AO125" s="23"/>
      <c r="AP125" s="23"/>
      <c r="AQ125" s="23"/>
    </row>
    <row r="126" spans="1:43" s="377" customFormat="1" ht="15.75">
      <c r="A126" s="560">
        <v>3</v>
      </c>
      <c r="B126" s="669" t="s">
        <v>306</v>
      </c>
      <c r="C126" s="647" t="s">
        <v>99</v>
      </c>
      <c r="D126" s="663" t="s">
        <v>25</v>
      </c>
      <c r="E126" s="1609" t="s">
        <v>666</v>
      </c>
      <c r="F126" s="670" t="s">
        <v>68</v>
      </c>
      <c r="G126" s="177">
        <v>1</v>
      </c>
      <c r="H126" s="177" t="s">
        <v>102</v>
      </c>
      <c r="I126" s="177" t="s">
        <v>103</v>
      </c>
      <c r="J126" s="182">
        <v>4</v>
      </c>
      <c r="K126" s="554">
        <v>17697</v>
      </c>
      <c r="L126" s="665">
        <v>31</v>
      </c>
      <c r="M126" s="567">
        <f t="shared" si="22"/>
        <v>1.7222222222222223</v>
      </c>
      <c r="N126" s="997" t="s">
        <v>112</v>
      </c>
      <c r="O126" s="1610">
        <v>3.64</v>
      </c>
      <c r="P126" s="7">
        <f>'расчеты к штатному '!P129-'расчеты к старое'!P126</f>
        <v>0</v>
      </c>
      <c r="Q126" s="697"/>
      <c r="R126" s="666"/>
      <c r="S126" s="554">
        <f t="shared" si="23"/>
        <v>0</v>
      </c>
      <c r="T126" s="554">
        <v>0.1</v>
      </c>
      <c r="U126" s="7">
        <f>'расчеты к штатному '!U129-'расчеты к старое'!U126</f>
        <v>6933.7829166666706</v>
      </c>
      <c r="V126" s="19"/>
      <c r="W126" s="554"/>
      <c r="X126" s="10">
        <f>'расчеты к штатному '!X129-'расчеты к старое'!X126</f>
        <v>76271.61208333337</v>
      </c>
      <c r="Y126" s="406">
        <f>V125+T125+R125</f>
        <v>0.1</v>
      </c>
      <c r="Z126" s="406">
        <f>W125+U125+S125</f>
        <v>2626.8984375</v>
      </c>
      <c r="AA126" s="375">
        <f t="shared" si="24"/>
        <v>346750.59375</v>
      </c>
      <c r="AB126" s="377">
        <f>AA126/12/29.33*56</f>
        <v>55171.136634844872</v>
      </c>
      <c r="AC126" s="377">
        <f>AA126*1.25</f>
        <v>433438.2421875</v>
      </c>
      <c r="AD126" s="377">
        <f>AC126/12/29.33*56</f>
        <v>68963.920793556084</v>
      </c>
      <c r="AK126" s="23"/>
      <c r="AL126" s="23"/>
      <c r="AM126" s="23"/>
      <c r="AN126" s="23"/>
      <c r="AO126" s="23"/>
      <c r="AP126" s="23"/>
      <c r="AQ126" s="23"/>
    </row>
    <row r="127" spans="1:43" s="377" customFormat="1" ht="17.25" customHeight="1">
      <c r="A127" s="560">
        <v>4</v>
      </c>
      <c r="B127" s="661" t="s">
        <v>309</v>
      </c>
      <c r="C127" s="647" t="s">
        <v>99</v>
      </c>
      <c r="D127" s="663" t="s">
        <v>25</v>
      </c>
      <c r="E127" s="664" t="s">
        <v>668</v>
      </c>
      <c r="F127" s="664" t="s">
        <v>40</v>
      </c>
      <c r="G127" s="177">
        <v>1</v>
      </c>
      <c r="H127" s="177" t="s">
        <v>102</v>
      </c>
      <c r="I127" s="177" t="s">
        <v>103</v>
      </c>
      <c r="J127" s="178">
        <v>1</v>
      </c>
      <c r="K127" s="554">
        <v>17697</v>
      </c>
      <c r="L127" s="665">
        <v>24</v>
      </c>
      <c r="M127" s="567">
        <f t="shared" si="22"/>
        <v>1.3333333333333333</v>
      </c>
      <c r="N127" s="997" t="s">
        <v>152</v>
      </c>
      <c r="O127" s="1608">
        <v>4.75</v>
      </c>
      <c r="P127" s="7">
        <f>'расчеты к штатному '!P130-'расчеты к старое'!P127</f>
        <v>0</v>
      </c>
      <c r="Q127" s="697"/>
      <c r="R127" s="666"/>
      <c r="S127" s="554">
        <f t="shared" si="23"/>
        <v>0</v>
      </c>
      <c r="T127" s="554">
        <v>0.1</v>
      </c>
      <c r="U127" s="7">
        <f>'расчеты к штатному '!U130-'расчеты к старое'!U127</f>
        <v>7005.0625</v>
      </c>
      <c r="V127" s="19"/>
      <c r="W127" s="554"/>
      <c r="X127" s="10">
        <f>'расчеты к штатному '!X130-'расчеты к старое'!X127</f>
        <v>77055.6875</v>
      </c>
      <c r="Y127" s="406">
        <f>V126+R126</f>
        <v>0</v>
      </c>
      <c r="Z127" s="406">
        <f>W126+S126</f>
        <v>0</v>
      </c>
      <c r="AA127" s="375">
        <f t="shared" si="24"/>
        <v>915259.34500000044</v>
      </c>
      <c r="AB127" s="377">
        <f>AA127/12/29.33*56</f>
        <v>145625.98965791575</v>
      </c>
      <c r="AC127" s="377">
        <f>AA127*1.25</f>
        <v>1144074.1812500006</v>
      </c>
      <c r="AD127" s="377">
        <f>AC127/12/29.33*56</f>
        <v>182032.48707239467</v>
      </c>
      <c r="AK127" s="23"/>
      <c r="AL127" s="23"/>
      <c r="AM127" s="23"/>
      <c r="AN127" s="23"/>
      <c r="AO127" s="23"/>
      <c r="AP127" s="23"/>
      <c r="AQ127" s="23"/>
    </row>
    <row r="128" spans="1:43" s="377" customFormat="1" ht="22.5" customHeight="1">
      <c r="A128" s="560">
        <v>5</v>
      </c>
      <c r="B128" s="153" t="s">
        <v>145</v>
      </c>
      <c r="C128" s="561" t="s">
        <v>99</v>
      </c>
      <c r="D128" s="563" t="s">
        <v>25</v>
      </c>
      <c r="E128" s="562" t="s">
        <v>672</v>
      </c>
      <c r="F128" s="562" t="s">
        <v>476</v>
      </c>
      <c r="G128" s="547">
        <v>1</v>
      </c>
      <c r="H128" s="563" t="s">
        <v>102</v>
      </c>
      <c r="I128" s="563" t="s">
        <v>103</v>
      </c>
      <c r="J128" s="581">
        <v>2</v>
      </c>
      <c r="K128" s="554">
        <v>17697</v>
      </c>
      <c r="L128" s="665">
        <v>16</v>
      </c>
      <c r="M128" s="567">
        <f t="shared" si="22"/>
        <v>0.88888888888888884</v>
      </c>
      <c r="N128" s="574" t="s">
        <v>385</v>
      </c>
      <c r="O128" s="1608">
        <v>4.09</v>
      </c>
      <c r="P128" s="7">
        <f>'расчеты к штатному '!P131-'расчеты к старое'!P128</f>
        <v>-15258.746666666666</v>
      </c>
      <c r="Q128" s="697"/>
      <c r="R128" s="666"/>
      <c r="S128" s="554">
        <f t="shared" si="23"/>
        <v>0</v>
      </c>
      <c r="T128" s="554">
        <v>0.1</v>
      </c>
      <c r="U128" s="7">
        <f>'расчеты к штатному '!U131-'расчеты к старое'!U128</f>
        <v>1160.1366666666672</v>
      </c>
      <c r="V128" s="19"/>
      <c r="W128" s="554"/>
      <c r="X128" s="10">
        <f>'расчеты к штатному '!X131-'расчеты к старое'!X128</f>
        <v>12761.503333333356</v>
      </c>
      <c r="Y128" s="359">
        <f t="shared" ref="Y128:Z130" si="25">V127+T127+R127</f>
        <v>0.1</v>
      </c>
      <c r="Z128" s="359">
        <f t="shared" si="25"/>
        <v>7005.0625</v>
      </c>
      <c r="AA128" s="375">
        <f t="shared" si="24"/>
        <v>924668.25</v>
      </c>
      <c r="AB128" s="377">
        <f t="shared" ref="AB128" si="26">AA128/12/29.33*56</f>
        <v>147123.03102625298</v>
      </c>
      <c r="AC128" s="377">
        <f t="shared" ref="AC128" si="27">AA128*1.25</f>
        <v>1155835.3125</v>
      </c>
      <c r="AD128" s="377">
        <f t="shared" ref="AD128" si="28">AC128/12/29.33*56</f>
        <v>183903.78878281623</v>
      </c>
      <c r="AK128" s="23"/>
      <c r="AL128" s="23"/>
      <c r="AM128" s="23"/>
      <c r="AN128" s="23"/>
      <c r="AO128" s="23"/>
      <c r="AP128" s="23"/>
      <c r="AQ128" s="23"/>
    </row>
    <row r="129" spans="1:43" s="986" customFormat="1" ht="17.25" customHeight="1">
      <c r="A129" s="560">
        <v>6</v>
      </c>
      <c r="B129" s="491" t="s">
        <v>447</v>
      </c>
      <c r="C129" s="647" t="s">
        <v>99</v>
      </c>
      <c r="D129" s="663" t="s">
        <v>300</v>
      </c>
      <c r="E129" s="664" t="s">
        <v>738</v>
      </c>
      <c r="F129" s="664" t="s">
        <v>602</v>
      </c>
      <c r="G129" s="177">
        <v>1</v>
      </c>
      <c r="H129" s="177" t="s">
        <v>102</v>
      </c>
      <c r="I129" s="177" t="s">
        <v>118</v>
      </c>
      <c r="J129" s="178">
        <v>4</v>
      </c>
      <c r="K129" s="554">
        <v>17697</v>
      </c>
      <c r="L129" s="665">
        <v>10</v>
      </c>
      <c r="M129" s="567">
        <f t="shared" si="22"/>
        <v>0.55555555555555558</v>
      </c>
      <c r="N129" s="997" t="s">
        <v>112</v>
      </c>
      <c r="O129" s="1608">
        <v>3.36</v>
      </c>
      <c r="P129" s="7">
        <f>'расчеты к штатному '!P132-'расчеты к старое'!P129</f>
        <v>0</v>
      </c>
      <c r="Q129" s="697"/>
      <c r="R129" s="666"/>
      <c r="S129" s="554">
        <f t="shared" si="23"/>
        <v>0</v>
      </c>
      <c r="T129" s="554">
        <v>0.1</v>
      </c>
      <c r="U129" s="7">
        <f>'расчеты к штатному '!U132-'расчеты к старое'!U129</f>
        <v>2064.6500000000005</v>
      </c>
      <c r="V129" s="19"/>
      <c r="W129" s="554"/>
      <c r="X129" s="10">
        <f>'расчеты к штатному '!X132-'расчеты к старое'!X129</f>
        <v>22711.150000000009</v>
      </c>
      <c r="Y129" s="984">
        <f t="shared" si="25"/>
        <v>0.1</v>
      </c>
      <c r="Z129" s="984">
        <f t="shared" si="25"/>
        <v>1160.1366666666672</v>
      </c>
      <c r="AA129" s="81">
        <f t="shared" si="24"/>
        <v>153138.04000000027</v>
      </c>
      <c r="AB129" s="80">
        <f>AA129/12/29.33*56</f>
        <v>24365.638822593519</v>
      </c>
      <c r="AC129" s="80">
        <f>AA129*1.25</f>
        <v>191422.55000000034</v>
      </c>
      <c r="AD129" s="80">
        <f>AC129/12/29.33*56</f>
        <v>30457.048528241899</v>
      </c>
      <c r="AK129" s="23"/>
      <c r="AL129" s="23"/>
      <c r="AM129" s="23"/>
      <c r="AN129" s="23"/>
      <c r="AO129" s="23"/>
      <c r="AP129" s="23"/>
      <c r="AQ129" s="23"/>
    </row>
    <row r="130" spans="1:43" s="377" customFormat="1" ht="17.25" customHeight="1">
      <c r="A130" s="560">
        <v>7</v>
      </c>
      <c r="B130" s="662" t="s">
        <v>319</v>
      </c>
      <c r="C130" s="647" t="s">
        <v>99</v>
      </c>
      <c r="D130" s="663" t="s">
        <v>25</v>
      </c>
      <c r="E130" s="664" t="s">
        <v>684</v>
      </c>
      <c r="F130" s="664" t="s">
        <v>239</v>
      </c>
      <c r="G130" s="177">
        <v>1</v>
      </c>
      <c r="H130" s="177" t="s">
        <v>232</v>
      </c>
      <c r="I130" s="177" t="s">
        <v>233</v>
      </c>
      <c r="J130" s="178">
        <v>3</v>
      </c>
      <c r="K130" s="554">
        <v>17697</v>
      </c>
      <c r="L130" s="665">
        <v>21</v>
      </c>
      <c r="M130" s="567">
        <f t="shared" si="22"/>
        <v>1.1666666666666667</v>
      </c>
      <c r="N130" s="1583" t="s">
        <v>109</v>
      </c>
      <c r="O130" s="1611">
        <v>4.21</v>
      </c>
      <c r="P130" s="7">
        <f>'расчеты к штатному '!P133-'расчеты к старое'!P130</f>
        <v>0</v>
      </c>
      <c r="Q130" s="697"/>
      <c r="R130" s="666"/>
      <c r="S130" s="554">
        <f t="shared" si="23"/>
        <v>0</v>
      </c>
      <c r="T130" s="554">
        <v>0.1</v>
      </c>
      <c r="U130" s="7">
        <f>'расчеты к штатному '!U133-'расчеты к старое'!U130</f>
        <v>5432.6103124999991</v>
      </c>
      <c r="V130" s="19"/>
      <c r="W130" s="554"/>
      <c r="X130" s="10">
        <f>'расчеты к штатному '!X133-'расчеты к старое'!X130</f>
        <v>59758.713437499988</v>
      </c>
      <c r="Y130" s="359">
        <f t="shared" si="25"/>
        <v>0.1</v>
      </c>
      <c r="Z130" s="359">
        <f t="shared" si="25"/>
        <v>2064.6500000000005</v>
      </c>
      <c r="AA130" s="375">
        <f t="shared" si="24"/>
        <v>272533.8000000001</v>
      </c>
      <c r="AB130" s="377">
        <f t="shared" ref="AB130" si="29">AA130/12/29.33*56</f>
        <v>43362.577565632477</v>
      </c>
      <c r="AC130" s="377">
        <f t="shared" ref="AC130" si="30">AA130*1.25</f>
        <v>340667.25000000012</v>
      </c>
      <c r="AD130" s="377">
        <f t="shared" ref="AD130" si="31">AC130/12/29.33*56</f>
        <v>54203.221957040601</v>
      </c>
      <c r="AK130" s="23"/>
      <c r="AL130" s="23"/>
      <c r="AM130" s="23"/>
      <c r="AN130" s="23"/>
      <c r="AO130" s="23"/>
      <c r="AP130" s="23"/>
      <c r="AQ130" s="23"/>
    </row>
    <row r="131" spans="1:43" s="377" customFormat="1" ht="17.25" customHeight="1">
      <c r="A131" s="560">
        <v>8</v>
      </c>
      <c r="B131" s="153" t="s">
        <v>274</v>
      </c>
      <c r="C131" s="647" t="s">
        <v>99</v>
      </c>
      <c r="D131" s="663" t="s">
        <v>25</v>
      </c>
      <c r="E131" s="586" t="s">
        <v>686</v>
      </c>
      <c r="F131" s="562" t="s">
        <v>239</v>
      </c>
      <c r="G131" s="177">
        <v>1</v>
      </c>
      <c r="H131" s="177" t="s">
        <v>102</v>
      </c>
      <c r="I131" s="177" t="s">
        <v>103</v>
      </c>
      <c r="J131" s="178">
        <v>2</v>
      </c>
      <c r="K131" s="554">
        <v>17697</v>
      </c>
      <c r="L131" s="665">
        <v>12</v>
      </c>
      <c r="M131" s="567">
        <f t="shared" si="22"/>
        <v>0.66666666666666663</v>
      </c>
      <c r="N131" s="698" t="s">
        <v>104</v>
      </c>
      <c r="O131" s="1612">
        <v>4.2300000000000004</v>
      </c>
      <c r="P131" s="7">
        <f>'расчеты к штатному '!P134-'расчеты к старое'!P131</f>
        <v>3067.4799999999886</v>
      </c>
      <c r="Q131" s="697"/>
      <c r="R131" s="666"/>
      <c r="S131" s="554">
        <f t="shared" si="23"/>
        <v>0</v>
      </c>
      <c r="T131" s="554">
        <v>0.1</v>
      </c>
      <c r="U131" s="7">
        <f>'расчеты к штатному '!U134-'расчеты к старое'!U131</f>
        <v>3694.2487500000007</v>
      </c>
      <c r="V131" s="19"/>
      <c r="W131" s="554"/>
      <c r="X131" s="10">
        <f>'расчеты к штатному '!X134-'расчеты к старое'!X131</f>
        <v>80366.501250000016</v>
      </c>
      <c r="Y131" s="919"/>
      <c r="Z131" s="919"/>
      <c r="AA131" s="375">
        <f t="shared" si="24"/>
        <v>717104.5612499998</v>
      </c>
      <c r="AB131" s="377">
        <f>AA131/12/29.33*56</f>
        <v>114097.78221957038</v>
      </c>
      <c r="AC131" s="377">
        <f>AA131*1.25</f>
        <v>896380.70156249974</v>
      </c>
      <c r="AD131" s="377">
        <f>AC131/12/29.33*56</f>
        <v>142622.22777446295</v>
      </c>
      <c r="AK131" s="23"/>
      <c r="AL131" s="23"/>
      <c r="AM131" s="23"/>
      <c r="AN131" s="23"/>
      <c r="AO131" s="23"/>
      <c r="AP131" s="23"/>
      <c r="AQ131" s="23"/>
    </row>
    <row r="132" spans="1:43" s="377" customFormat="1" ht="17.25" customHeight="1">
      <c r="A132" s="560">
        <v>9</v>
      </c>
      <c r="B132" s="662" t="s">
        <v>739</v>
      </c>
      <c r="C132" s="647" t="s">
        <v>99</v>
      </c>
      <c r="D132" s="663" t="s">
        <v>25</v>
      </c>
      <c r="E132" s="664" t="s">
        <v>503</v>
      </c>
      <c r="F132" s="664" t="s">
        <v>77</v>
      </c>
      <c r="G132" s="177">
        <v>1</v>
      </c>
      <c r="H132" s="177" t="s">
        <v>102</v>
      </c>
      <c r="I132" s="177" t="s">
        <v>103</v>
      </c>
      <c r="J132" s="182">
        <v>4</v>
      </c>
      <c r="K132" s="554">
        <v>17697</v>
      </c>
      <c r="L132" s="665">
        <v>10</v>
      </c>
      <c r="M132" s="567">
        <f t="shared" si="22"/>
        <v>0.55555555555555558</v>
      </c>
      <c r="N132" s="997" t="s">
        <v>112</v>
      </c>
      <c r="O132" s="1610">
        <v>3.71</v>
      </c>
      <c r="P132" s="7">
        <f>'расчеты к штатному '!P135-'расчеты к старое'!P132</f>
        <v>0</v>
      </c>
      <c r="Q132" s="697"/>
      <c r="R132" s="666"/>
      <c r="S132" s="554">
        <f t="shared" si="23"/>
        <v>0</v>
      </c>
      <c r="T132" s="554">
        <v>0.1</v>
      </c>
      <c r="U132" s="7">
        <f>'расчеты к штатному '!U135-'расчеты к старое'!U132</f>
        <v>2279.7177083333327</v>
      </c>
      <c r="V132" s="19"/>
      <c r="W132" s="554"/>
      <c r="X132" s="10">
        <f>'расчеты к штатному '!X135-'расчеты к старое'!X132</f>
        <v>25076.894791666651</v>
      </c>
      <c r="Y132" s="919"/>
      <c r="Z132" s="919"/>
      <c r="AA132" s="375">
        <f t="shared" si="24"/>
        <v>964398.01500000013</v>
      </c>
      <c r="AB132" s="377">
        <f>AA132/12/29.33*56</f>
        <v>153444.39379474943</v>
      </c>
      <c r="AC132" s="377">
        <f>AA132*1.25</f>
        <v>1205497.5187500003</v>
      </c>
      <c r="AD132" s="377">
        <f>AC132/12/29.33*56</f>
        <v>191805.49224343681</v>
      </c>
      <c r="AK132" s="23"/>
      <c r="AL132" s="23"/>
      <c r="AM132" s="23"/>
      <c r="AN132" s="23"/>
      <c r="AO132" s="23"/>
      <c r="AP132" s="23"/>
      <c r="AQ132" s="23"/>
    </row>
    <row r="133" spans="1:43" s="377" customFormat="1" ht="17.25" customHeight="1">
      <c r="A133" s="560">
        <v>10</v>
      </c>
      <c r="B133" s="701" t="s">
        <v>758</v>
      </c>
      <c r="C133" s="647" t="s">
        <v>99</v>
      </c>
      <c r="D133" s="693" t="s">
        <v>25</v>
      </c>
      <c r="E133" s="694" t="s">
        <v>816</v>
      </c>
      <c r="F133" s="664" t="s">
        <v>366</v>
      </c>
      <c r="G133" s="177">
        <v>1</v>
      </c>
      <c r="H133" s="563" t="s">
        <v>102</v>
      </c>
      <c r="I133" s="563" t="s">
        <v>103</v>
      </c>
      <c r="J133" s="581">
        <v>4</v>
      </c>
      <c r="K133" s="554">
        <v>17697</v>
      </c>
      <c r="L133" s="1607">
        <v>34</v>
      </c>
      <c r="M133" s="567">
        <f t="shared" si="22"/>
        <v>1.8888888888888888</v>
      </c>
      <c r="N133" s="1004" t="s">
        <v>112</v>
      </c>
      <c r="O133" s="1612">
        <v>4.12</v>
      </c>
      <c r="P133" s="7">
        <f>'расчеты к штатному '!P137-'расчеты к старое'!P133</f>
        <v>-81012.933333333334</v>
      </c>
      <c r="Q133" s="697"/>
      <c r="R133" s="666"/>
      <c r="S133" s="554">
        <f t="shared" si="23"/>
        <v>0</v>
      </c>
      <c r="T133" s="554">
        <v>0.1</v>
      </c>
      <c r="U133" s="7">
        <f>'расчеты к штатному '!U137-'расчеты к старое'!U133</f>
        <v>-6582.3008333333346</v>
      </c>
      <c r="V133" s="1541"/>
      <c r="W133" s="552"/>
      <c r="X133" s="10">
        <f>'расчеты к штатному '!X137-'расчеты к старое'!X133</f>
        <v>-72405.309166666688</v>
      </c>
      <c r="Y133" s="406"/>
      <c r="Z133" s="406"/>
      <c r="AA133" s="375"/>
      <c r="AK133" s="23"/>
      <c r="AL133" s="23"/>
      <c r="AM133" s="23"/>
      <c r="AN133" s="23"/>
      <c r="AO133" s="23"/>
      <c r="AP133" s="23"/>
      <c r="AQ133" s="23"/>
    </row>
    <row r="134" spans="1:43" s="377" customFormat="1" ht="17.25" customHeight="1">
      <c r="A134" s="560">
        <v>11</v>
      </c>
      <c r="B134" s="1018" t="s">
        <v>519</v>
      </c>
      <c r="C134" s="647" t="s">
        <v>99</v>
      </c>
      <c r="D134" s="663" t="s">
        <v>25</v>
      </c>
      <c r="E134" s="664" t="s">
        <v>815</v>
      </c>
      <c r="F134" s="664" t="s">
        <v>34</v>
      </c>
      <c r="G134" s="177">
        <v>1</v>
      </c>
      <c r="H134" s="177" t="s">
        <v>102</v>
      </c>
      <c r="I134" s="177" t="s">
        <v>103</v>
      </c>
      <c r="J134" s="178">
        <v>1</v>
      </c>
      <c r="K134" s="554">
        <v>17697</v>
      </c>
      <c r="L134" s="665">
        <v>18</v>
      </c>
      <c r="M134" s="567">
        <f t="shared" si="22"/>
        <v>1</v>
      </c>
      <c r="N134" s="698" t="s">
        <v>152</v>
      </c>
      <c r="O134" s="1612">
        <v>4.75</v>
      </c>
      <c r="P134" s="7">
        <f>'расчеты к штатному '!P138-'расчеты к старое'!P134</f>
        <v>-4670.041666666657</v>
      </c>
      <c r="Q134" s="697"/>
      <c r="R134" s="666"/>
      <c r="S134" s="554">
        <f t="shared" si="23"/>
        <v>0</v>
      </c>
      <c r="T134" s="554">
        <v>0.1</v>
      </c>
      <c r="U134" s="7">
        <f>'расчеты к штатному '!U138-'расчеты к старое'!U134</f>
        <v>4378.1640625000036</v>
      </c>
      <c r="V134" s="19"/>
      <c r="W134" s="554"/>
      <c r="X134" s="10">
        <f>'расчеты к штатному '!X138-'расчеты к старое'!X134</f>
        <v>48159.804687500029</v>
      </c>
      <c r="Y134" s="1175"/>
      <c r="Z134" s="1175"/>
      <c r="AA134" s="375"/>
      <c r="AK134" s="23"/>
      <c r="AL134" s="23"/>
      <c r="AM134" s="23"/>
      <c r="AN134" s="23"/>
      <c r="AO134" s="23"/>
      <c r="AP134" s="23"/>
      <c r="AQ134" s="23"/>
    </row>
    <row r="135" spans="1:43" s="986" customFormat="1" ht="17.25" customHeight="1">
      <c r="A135" s="560">
        <v>12</v>
      </c>
      <c r="B135" s="1606" t="s">
        <v>706</v>
      </c>
      <c r="C135" s="647" t="s">
        <v>99</v>
      </c>
      <c r="D135" s="693" t="s">
        <v>75</v>
      </c>
      <c r="E135" s="694" t="s">
        <v>707</v>
      </c>
      <c r="F135" s="694" t="s">
        <v>159</v>
      </c>
      <c r="G135" s="177">
        <v>1</v>
      </c>
      <c r="H135" s="1002" t="s">
        <v>102</v>
      </c>
      <c r="I135" s="563" t="s">
        <v>118</v>
      </c>
      <c r="J135" s="1603">
        <v>4</v>
      </c>
      <c r="K135" s="554">
        <v>17697</v>
      </c>
      <c r="L135" s="1607">
        <v>8</v>
      </c>
      <c r="M135" s="567">
        <f t="shared" si="22"/>
        <v>0.44444444444444442</v>
      </c>
      <c r="N135" s="698" t="s">
        <v>112</v>
      </c>
      <c r="O135" s="1612">
        <v>3.32</v>
      </c>
      <c r="P135" s="7">
        <f>'расчеты к штатному '!P139-'расчеты к старое'!P135</f>
        <v>2752.8666666666686</v>
      </c>
      <c r="Q135" s="697"/>
      <c r="R135" s="666"/>
      <c r="S135" s="554">
        <f t="shared" si="23"/>
        <v>0</v>
      </c>
      <c r="T135" s="554">
        <v>0.1</v>
      </c>
      <c r="U135" s="7">
        <f>'расчеты к штатному '!U139-'расчеты к старое'!U135</f>
        <v>2148.2191666666677</v>
      </c>
      <c r="V135" s="1541"/>
      <c r="W135" s="552"/>
      <c r="X135" s="10">
        <f>'расчеты к штатному '!X139-'расчеты к старое'!X135</f>
        <v>39867.40833333334</v>
      </c>
      <c r="Y135" s="988"/>
      <c r="Z135" s="988"/>
      <c r="AA135" s="81">
        <f>X134*12</f>
        <v>577917.65625000035</v>
      </c>
      <c r="AB135" s="80">
        <f>AA135/12/29.33*56</f>
        <v>91951.894391408176</v>
      </c>
      <c r="AC135" s="80">
        <f>AA135*1.25</f>
        <v>722397.07031250047</v>
      </c>
      <c r="AD135" s="80">
        <f>AC135/12/29.33*56</f>
        <v>114939.86798926022</v>
      </c>
      <c r="AK135" s="23"/>
      <c r="AL135" s="23"/>
      <c r="AM135" s="23"/>
      <c r="AN135" s="23"/>
      <c r="AO135" s="23"/>
      <c r="AP135" s="23"/>
      <c r="AQ135" s="23"/>
    </row>
    <row r="136" spans="1:43" s="986" customFormat="1" ht="17.25" customHeight="1">
      <c r="A136" s="560">
        <v>13</v>
      </c>
      <c r="B136" s="662" t="s">
        <v>524</v>
      </c>
      <c r="C136" s="647" t="s">
        <v>99</v>
      </c>
      <c r="D136" s="663" t="s">
        <v>25</v>
      </c>
      <c r="E136" s="664" t="s">
        <v>814</v>
      </c>
      <c r="F136" s="664" t="s">
        <v>366</v>
      </c>
      <c r="G136" s="177">
        <v>1</v>
      </c>
      <c r="H136" s="177" t="s">
        <v>102</v>
      </c>
      <c r="I136" s="177" t="s">
        <v>103</v>
      </c>
      <c r="J136" s="178">
        <v>1</v>
      </c>
      <c r="K136" s="554">
        <v>17697</v>
      </c>
      <c r="L136" s="665">
        <v>17</v>
      </c>
      <c r="M136" s="567">
        <f t="shared" si="22"/>
        <v>0.94444444444444442</v>
      </c>
      <c r="N136" s="997" t="s">
        <v>152</v>
      </c>
      <c r="O136" s="1608">
        <v>4.6900000000000004</v>
      </c>
      <c r="P136" s="7">
        <f>'расчеты к штатному '!P141-'расчеты к старое'!P136</f>
        <v>0</v>
      </c>
      <c r="Q136" s="697"/>
      <c r="R136" s="666"/>
      <c r="S136" s="554">
        <f t="shared" si="23"/>
        <v>0</v>
      </c>
      <c r="T136" s="554">
        <v>0.1</v>
      </c>
      <c r="U136" s="7">
        <f>'расчеты к штатному '!U141-'расчеты к старое'!U136</f>
        <v>4899.2423958333329</v>
      </c>
      <c r="V136" s="19"/>
      <c r="W136" s="554"/>
      <c r="X136" s="10">
        <f>'расчеты к штатному '!X141-'расчеты к старое'!X136</f>
        <v>53891.666354166679</v>
      </c>
      <c r="Y136" s="988"/>
      <c r="Z136" s="988"/>
      <c r="AA136" s="81"/>
      <c r="AB136" s="80"/>
      <c r="AC136" s="80"/>
      <c r="AD136" s="80"/>
      <c r="AK136" s="23"/>
      <c r="AL136" s="23"/>
      <c r="AM136" s="23"/>
      <c r="AN136" s="23"/>
      <c r="AO136" s="23"/>
      <c r="AP136" s="23"/>
      <c r="AQ136" s="23"/>
    </row>
    <row r="137" spans="1:43" s="986" customFormat="1" ht="17.25" customHeight="1">
      <c r="A137" s="560">
        <v>14</v>
      </c>
      <c r="B137" s="1613" t="s">
        <v>329</v>
      </c>
      <c r="C137" s="647" t="s">
        <v>99</v>
      </c>
      <c r="D137" s="693" t="s">
        <v>75</v>
      </c>
      <c r="E137" s="694" t="s">
        <v>684</v>
      </c>
      <c r="F137" s="694" t="s">
        <v>239</v>
      </c>
      <c r="G137" s="177">
        <v>1</v>
      </c>
      <c r="H137" s="563" t="s">
        <v>102</v>
      </c>
      <c r="I137" s="563" t="s">
        <v>118</v>
      </c>
      <c r="J137" s="564">
        <v>3</v>
      </c>
      <c r="K137" s="554">
        <v>17697</v>
      </c>
      <c r="L137" s="696">
        <v>18</v>
      </c>
      <c r="M137" s="567">
        <f t="shared" si="22"/>
        <v>1</v>
      </c>
      <c r="N137" s="698" t="s">
        <v>109</v>
      </c>
      <c r="O137" s="1612">
        <v>4.03</v>
      </c>
      <c r="P137" s="7">
        <f>'расчеты к штатному '!P142-'расчеты к старое'!P137</f>
        <v>0</v>
      </c>
      <c r="Q137" s="697"/>
      <c r="R137" s="666"/>
      <c r="S137" s="554">
        <f t="shared" si="23"/>
        <v>0</v>
      </c>
      <c r="T137" s="554">
        <v>0.1</v>
      </c>
      <c r="U137" s="7">
        <f>'расчеты к штатному '!U142-'расчеты к старое'!U137</f>
        <v>4457.4318750000002</v>
      </c>
      <c r="V137" s="1541"/>
      <c r="W137" s="700"/>
      <c r="X137" s="10">
        <f>'расчеты к штатному '!X142-'расчеты к старое'!X137</f>
        <v>49029.940625000003</v>
      </c>
      <c r="Y137" s="985">
        <f>V136+T136+R136</f>
        <v>0.1</v>
      </c>
      <c r="Z137" s="985">
        <f>W136+U136+S136</f>
        <v>4899.2423958333329</v>
      </c>
      <c r="AA137" s="81">
        <f>X136*12</f>
        <v>646699.99625000008</v>
      </c>
      <c r="AB137" s="80">
        <f>AA137/12/29.33*56</f>
        <v>102895.78301511538</v>
      </c>
      <c r="AC137" s="80">
        <f>AA137*1.25</f>
        <v>808374.99531250005</v>
      </c>
      <c r="AD137" s="80">
        <f>AC137/12/29.33*56</f>
        <v>128619.72876889422</v>
      </c>
      <c r="AK137" s="23"/>
      <c r="AL137" s="23"/>
      <c r="AM137" s="23"/>
      <c r="AN137" s="23"/>
      <c r="AO137" s="23"/>
      <c r="AP137" s="23"/>
      <c r="AQ137" s="23"/>
    </row>
    <row r="138" spans="1:43" s="377" customFormat="1" ht="15.75">
      <c r="A138" s="1494"/>
      <c r="B138" s="1495"/>
      <c r="C138" s="1495"/>
      <c r="D138" s="1496"/>
      <c r="E138" s="1496"/>
      <c r="F138" s="1495"/>
      <c r="G138" s="1497"/>
      <c r="H138" s="1497"/>
      <c r="I138" s="1497"/>
      <c r="J138" s="1498"/>
      <c r="K138" s="1499"/>
      <c r="L138" s="1644">
        <f>SUM(L124:L137)</f>
        <v>246</v>
      </c>
      <c r="M138" s="1501"/>
      <c r="N138" s="1502"/>
      <c r="O138" s="1496"/>
      <c r="P138" s="1509">
        <f>'расчеты к штатному '!P143-'расчеты к старое'!P138</f>
        <v>0</v>
      </c>
      <c r="Q138" s="1503"/>
      <c r="R138" s="1504"/>
      <c r="S138" s="1499"/>
      <c r="T138" s="1499"/>
      <c r="U138" s="1509">
        <f>'расчеты к штатному '!U143-'расчеты к старое'!U138</f>
        <v>0</v>
      </c>
      <c r="V138" s="1505"/>
      <c r="W138" s="1499"/>
      <c r="X138" s="1511"/>
      <c r="Y138" s="1175"/>
      <c r="Z138" s="1175"/>
      <c r="AA138" s="375"/>
      <c r="AK138" s="906"/>
      <c r="AL138" s="23"/>
      <c r="AM138" s="23"/>
      <c r="AN138" s="23"/>
      <c r="AO138" s="23"/>
      <c r="AP138" s="23"/>
      <c r="AQ138" s="23"/>
    </row>
    <row r="139" spans="1:43" s="24" customFormat="1" ht="17.25" customHeight="1">
      <c r="A139" s="703">
        <v>130</v>
      </c>
      <c r="B139" s="548" t="s">
        <v>605</v>
      </c>
      <c r="C139" s="647" t="s">
        <v>338</v>
      </c>
      <c r="D139" s="547" t="s">
        <v>64</v>
      </c>
      <c r="E139" s="704"/>
      <c r="F139" s="705"/>
      <c r="G139" s="1019">
        <v>1.5</v>
      </c>
      <c r="H139" s="577"/>
      <c r="I139" s="707"/>
      <c r="J139" s="577">
        <v>2</v>
      </c>
      <c r="K139" s="552">
        <v>17697</v>
      </c>
      <c r="L139" s="552"/>
      <c r="M139" s="556">
        <v>1.5</v>
      </c>
      <c r="N139" s="552"/>
      <c r="O139" s="552">
        <v>2.81</v>
      </c>
      <c r="P139" s="7">
        <f>'расчеты к штатному '!P144-'расчеты к старое'!P139</f>
        <v>2920.0050000000047</v>
      </c>
      <c r="Q139" s="556"/>
      <c r="R139" s="552"/>
      <c r="S139" s="557"/>
      <c r="T139" s="708">
        <v>0.1</v>
      </c>
      <c r="U139" s="7">
        <f>'расчеты к штатному '!U144-'расчеты к старое'!U139</f>
        <v>292.0005000000001</v>
      </c>
      <c r="V139" s="552"/>
      <c r="W139" s="558"/>
      <c r="X139" s="10">
        <f>'расчеты к штатному '!X144-'расчеты к старое'!X139</f>
        <v>3212.0055000000139</v>
      </c>
      <c r="Y139" s="104"/>
      <c r="Z139" s="104"/>
      <c r="AA139" s="81" t="e">
        <f>SUM(AA27:AA138)</f>
        <v>#REF!</v>
      </c>
      <c r="AC139" s="24" t="e">
        <f>SUM(AC27:AC138)</f>
        <v>#REF!</v>
      </c>
      <c r="AD139" s="24" t="e">
        <f>SUM(AD27:AD138)</f>
        <v>#REF!</v>
      </c>
      <c r="AK139" s="23"/>
      <c r="AL139" s="23"/>
      <c r="AM139" s="23"/>
      <c r="AN139" s="23"/>
      <c r="AO139" s="23"/>
      <c r="AP139" s="23"/>
      <c r="AQ139" s="23"/>
    </row>
    <row r="140" spans="1:43" s="1459" customFormat="1" ht="18" customHeight="1">
      <c r="A140" s="709">
        <v>131</v>
      </c>
      <c r="B140" s="153" t="s">
        <v>332</v>
      </c>
      <c r="C140" s="647" t="s">
        <v>338</v>
      </c>
      <c r="D140" s="560" t="s">
        <v>64</v>
      </c>
      <c r="E140" s="710"/>
      <c r="F140" s="711"/>
      <c r="G140" s="717">
        <v>0.5</v>
      </c>
      <c r="H140" s="563"/>
      <c r="I140" s="689"/>
      <c r="J140" s="563">
        <v>2</v>
      </c>
      <c r="K140" s="554">
        <v>17697</v>
      </c>
      <c r="L140" s="554"/>
      <c r="M140" s="552">
        <v>0.5</v>
      </c>
      <c r="N140" s="554"/>
      <c r="O140" s="552">
        <v>2.81</v>
      </c>
      <c r="P140" s="7">
        <f>'расчеты к штатному '!P145-'расчеты к старое'!P140</f>
        <v>0</v>
      </c>
      <c r="Q140" s="556"/>
      <c r="R140" s="552"/>
      <c r="S140" s="568"/>
      <c r="T140" s="708">
        <v>0.1</v>
      </c>
      <c r="U140" s="7">
        <f>'расчеты к штатному '!U145-'расчеты к старое'!U140</f>
        <v>0</v>
      </c>
      <c r="V140" s="554"/>
      <c r="W140" s="554"/>
      <c r="X140" s="10">
        <f>'расчеты к штатному '!X145-'расчеты к старое'!X140</f>
        <v>0</v>
      </c>
      <c r="Y140" s="1276">
        <f t="shared" ref="Y140:Y165" si="32">R139+V139+X139</f>
        <v>3212.0055000000139</v>
      </c>
      <c r="Z140" s="1276">
        <f t="shared" ref="Z140:Z165" si="33">S139+W139+Y140</f>
        <v>3212.0055000000139</v>
      </c>
      <c r="AA140" s="1277">
        <f t="shared" ref="AA140:AA165" si="34">X139*12</f>
        <v>38544.066000000166</v>
      </c>
      <c r="AB140" s="1458">
        <f>AA140/12/29.33*24</f>
        <v>2628.3031708148765</v>
      </c>
      <c r="AC140" s="1458"/>
      <c r="AD140" s="1458"/>
      <c r="AE140" s="1458"/>
      <c r="AF140" s="1458"/>
      <c r="AG140" s="1458"/>
      <c r="AH140" s="1458"/>
      <c r="AI140" s="1458"/>
      <c r="AJ140" s="1458"/>
      <c r="AK140" s="914"/>
      <c r="AL140" s="914"/>
      <c r="AM140" s="914"/>
      <c r="AN140" s="914"/>
      <c r="AO140" s="914"/>
      <c r="AP140" s="914"/>
      <c r="AQ140" s="914"/>
    </row>
    <row r="141" spans="1:43" s="1459" customFormat="1" ht="15.75" customHeight="1">
      <c r="A141" s="703">
        <v>132</v>
      </c>
      <c r="B141" s="153" t="s">
        <v>735</v>
      </c>
      <c r="C141" s="647" t="s">
        <v>338</v>
      </c>
      <c r="D141" s="560" t="s">
        <v>64</v>
      </c>
      <c r="E141" s="710"/>
      <c r="F141" s="560"/>
      <c r="G141" s="717">
        <v>0.5</v>
      </c>
      <c r="H141" s="563"/>
      <c r="I141" s="689"/>
      <c r="J141" s="563">
        <v>2</v>
      </c>
      <c r="K141" s="554">
        <v>17697</v>
      </c>
      <c r="L141" s="554"/>
      <c r="M141" s="554">
        <v>0.5</v>
      </c>
      <c r="N141" s="554"/>
      <c r="O141" s="554">
        <v>2.81</v>
      </c>
      <c r="P141" s="7">
        <f>'расчеты к штатному '!P146-'расчеты к старое'!P141</f>
        <v>0</v>
      </c>
      <c r="Q141" s="556"/>
      <c r="R141" s="552"/>
      <c r="S141" s="554"/>
      <c r="T141" s="708">
        <v>0.1</v>
      </c>
      <c r="U141" s="7">
        <f>'расчеты к штатному '!U146-'расчеты к старое'!U141</f>
        <v>0</v>
      </c>
      <c r="V141" s="554"/>
      <c r="W141" s="554"/>
      <c r="X141" s="10">
        <f>'расчеты к штатному '!X146-'расчеты к старое'!X141</f>
        <v>0</v>
      </c>
      <c r="Y141" s="1276">
        <f t="shared" si="32"/>
        <v>0</v>
      </c>
      <c r="Z141" s="1276">
        <f t="shared" si="33"/>
        <v>0</v>
      </c>
      <c r="AA141" s="1277">
        <f t="shared" si="34"/>
        <v>0</v>
      </c>
      <c r="AB141" s="1458">
        <f t="shared" ref="AB141:AB165" si="35">AA141/12/29.33*24</f>
        <v>0</v>
      </c>
      <c r="AC141" s="1458"/>
      <c r="AD141" s="1458"/>
      <c r="AE141" s="1458"/>
      <c r="AF141" s="1458"/>
      <c r="AG141" s="1458"/>
      <c r="AH141" s="1458"/>
      <c r="AI141" s="1458"/>
      <c r="AJ141" s="1458"/>
      <c r="AK141" s="914"/>
      <c r="AL141" s="914"/>
      <c r="AM141" s="914"/>
      <c r="AN141" s="914"/>
      <c r="AO141" s="914"/>
      <c r="AP141" s="914"/>
      <c r="AQ141" s="914"/>
    </row>
    <row r="142" spans="1:43" s="1278" customFormat="1" ht="15">
      <c r="A142" s="709">
        <v>133</v>
      </c>
      <c r="B142" s="153" t="s">
        <v>335</v>
      </c>
      <c r="C142" s="561" t="s">
        <v>336</v>
      </c>
      <c r="D142" s="560" t="s">
        <v>64</v>
      </c>
      <c r="E142" s="710"/>
      <c r="F142" s="560"/>
      <c r="G142" s="717">
        <v>1.5</v>
      </c>
      <c r="H142" s="563"/>
      <c r="I142" s="689"/>
      <c r="J142" s="563">
        <v>4</v>
      </c>
      <c r="K142" s="554">
        <v>17697</v>
      </c>
      <c r="L142" s="554"/>
      <c r="M142" s="554">
        <v>1.5</v>
      </c>
      <c r="N142" s="554"/>
      <c r="O142" s="554">
        <v>2.89</v>
      </c>
      <c r="P142" s="7">
        <f>'расчеты к штатному '!P147-'расчеты к старое'!P142</f>
        <v>0</v>
      </c>
      <c r="Q142" s="556"/>
      <c r="R142" s="552"/>
      <c r="S142" s="554"/>
      <c r="T142" s="708">
        <v>0.1</v>
      </c>
      <c r="U142" s="7">
        <f>'расчеты к штатному '!U147-'расчеты к старое'!U142</f>
        <v>0</v>
      </c>
      <c r="V142" s="554"/>
      <c r="W142" s="554"/>
      <c r="X142" s="10">
        <f>'расчеты к штатному '!X147-'расчеты к старое'!X142</f>
        <v>0</v>
      </c>
      <c r="Y142" s="1276">
        <f t="shared" si="32"/>
        <v>0</v>
      </c>
      <c r="Z142" s="1276">
        <f t="shared" si="33"/>
        <v>0</v>
      </c>
      <c r="AA142" s="1277">
        <f t="shared" si="34"/>
        <v>0</v>
      </c>
      <c r="AB142" s="1458">
        <f t="shared" si="35"/>
        <v>0</v>
      </c>
      <c r="AK142" s="23"/>
      <c r="AL142" s="23"/>
      <c r="AM142" s="23"/>
      <c r="AN142" s="23"/>
      <c r="AO142" s="23"/>
      <c r="AP142" s="23"/>
      <c r="AQ142" s="23"/>
    </row>
    <row r="143" spans="1:43" s="1278" customFormat="1" ht="19.5" customHeight="1">
      <c r="A143" s="703">
        <v>134</v>
      </c>
      <c r="B143" s="646" t="s">
        <v>337</v>
      </c>
      <c r="C143" s="647" t="s">
        <v>338</v>
      </c>
      <c r="D143" s="628" t="s">
        <v>64</v>
      </c>
      <c r="E143" s="713"/>
      <c r="F143" s="628"/>
      <c r="G143" s="628">
        <v>0.5</v>
      </c>
      <c r="H143" s="714"/>
      <c r="I143" s="715"/>
      <c r="J143" s="628">
        <v>2</v>
      </c>
      <c r="K143" s="715">
        <v>17697</v>
      </c>
      <c r="L143" s="715"/>
      <c r="M143" s="554">
        <v>0.5</v>
      </c>
      <c r="N143" s="554"/>
      <c r="O143" s="552">
        <v>2.81</v>
      </c>
      <c r="P143" s="7">
        <f>'расчеты к штатному '!P148-'расчеты к старое'!P143</f>
        <v>0</v>
      </c>
      <c r="Q143" s="556"/>
      <c r="R143" s="552"/>
      <c r="S143" s="554"/>
      <c r="T143" s="708">
        <v>0.1</v>
      </c>
      <c r="U143" s="7">
        <f>'расчеты к штатному '!U148-'расчеты к старое'!U143</f>
        <v>0</v>
      </c>
      <c r="V143" s="554"/>
      <c r="W143" s="554"/>
      <c r="X143" s="10">
        <f>'расчеты к штатному '!X148-'расчеты к старое'!X143</f>
        <v>0</v>
      </c>
      <c r="Y143" s="1276">
        <f t="shared" si="32"/>
        <v>0</v>
      </c>
      <c r="Z143" s="1276">
        <f t="shared" si="33"/>
        <v>0</v>
      </c>
      <c r="AA143" s="1277">
        <f t="shared" si="34"/>
        <v>0</v>
      </c>
      <c r="AB143" s="1458">
        <f t="shared" si="35"/>
        <v>0</v>
      </c>
      <c r="AK143" s="23"/>
      <c r="AL143" s="906"/>
      <c r="AM143" s="906"/>
      <c r="AN143" s="23"/>
      <c r="AO143" s="23"/>
      <c r="AP143" s="23"/>
      <c r="AQ143" s="23"/>
    </row>
    <row r="144" spans="1:43" s="1469" customFormat="1" ht="15.75">
      <c r="A144" s="709">
        <v>135</v>
      </c>
      <c r="B144" s="646" t="s">
        <v>382</v>
      </c>
      <c r="C144" s="647" t="s">
        <v>338</v>
      </c>
      <c r="D144" s="560" t="s">
        <v>64</v>
      </c>
      <c r="E144" s="713"/>
      <c r="F144" s="646"/>
      <c r="G144" s="628">
        <v>0.5</v>
      </c>
      <c r="H144" s="714"/>
      <c r="I144" s="715"/>
      <c r="J144" s="628">
        <v>2</v>
      </c>
      <c r="K144" s="715">
        <v>17697</v>
      </c>
      <c r="L144" s="715"/>
      <c r="M144" s="554">
        <v>0.5</v>
      </c>
      <c r="N144" s="554"/>
      <c r="O144" s="552">
        <v>2.81</v>
      </c>
      <c r="P144" s="7">
        <f>'расчеты к штатному '!P149-'расчеты к старое'!P144</f>
        <v>0</v>
      </c>
      <c r="Q144" s="556"/>
      <c r="R144" s="552"/>
      <c r="S144" s="554"/>
      <c r="T144" s="708">
        <v>0.1</v>
      </c>
      <c r="U144" s="7">
        <f>'расчеты к штатному '!U149-'расчеты к старое'!U144</f>
        <v>0</v>
      </c>
      <c r="V144" s="554"/>
      <c r="W144" s="554"/>
      <c r="X144" s="10">
        <f>'расчеты к штатному '!X149-'расчеты к старое'!X144</f>
        <v>0</v>
      </c>
      <c r="Y144" s="1276">
        <f t="shared" si="32"/>
        <v>0</v>
      </c>
      <c r="Z144" s="1276">
        <f t="shared" si="33"/>
        <v>0</v>
      </c>
      <c r="AA144" s="1277">
        <f t="shared" si="34"/>
        <v>0</v>
      </c>
      <c r="AB144" s="1458">
        <f t="shared" si="35"/>
        <v>0</v>
      </c>
      <c r="AK144" s="1778"/>
      <c r="AL144" s="1778"/>
      <c r="AM144" s="1778"/>
      <c r="AN144" s="1778"/>
      <c r="AO144" s="1778"/>
      <c r="AP144" s="1778"/>
      <c r="AQ144" s="1778"/>
    </row>
    <row r="145" spans="1:43" s="1469" customFormat="1" ht="15.75">
      <c r="A145" s="703">
        <v>136</v>
      </c>
      <c r="B145" s="646" t="s">
        <v>383</v>
      </c>
      <c r="C145" s="647" t="s">
        <v>338</v>
      </c>
      <c r="D145" s="560" t="s">
        <v>75</v>
      </c>
      <c r="E145" s="713"/>
      <c r="F145" s="716"/>
      <c r="G145" s="628">
        <v>1</v>
      </c>
      <c r="H145" s="714"/>
      <c r="I145" s="715"/>
      <c r="J145" s="628">
        <v>2</v>
      </c>
      <c r="K145" s="715">
        <v>17697</v>
      </c>
      <c r="L145" s="715"/>
      <c r="M145" s="554">
        <v>1</v>
      </c>
      <c r="N145" s="554"/>
      <c r="O145" s="552">
        <v>2.81</v>
      </c>
      <c r="P145" s="7">
        <f>'расчеты к штатному '!P150-'расчеты к старое'!P145</f>
        <v>0</v>
      </c>
      <c r="Q145" s="556"/>
      <c r="R145" s="552"/>
      <c r="S145" s="554"/>
      <c r="T145" s="708">
        <v>0.1</v>
      </c>
      <c r="U145" s="7">
        <f>'расчеты к штатному '!U150-'расчеты к старое'!U145</f>
        <v>0</v>
      </c>
      <c r="V145" s="554"/>
      <c r="W145" s="554"/>
      <c r="X145" s="10">
        <f>'расчеты к штатному '!X150-'расчеты к старое'!X145</f>
        <v>0</v>
      </c>
      <c r="Y145" s="1276">
        <f t="shared" si="32"/>
        <v>0</v>
      </c>
      <c r="Z145" s="1276">
        <f t="shared" si="33"/>
        <v>0</v>
      </c>
      <c r="AA145" s="1277">
        <f t="shared" si="34"/>
        <v>0</v>
      </c>
      <c r="AB145" s="1458">
        <f t="shared" si="35"/>
        <v>0</v>
      </c>
      <c r="AK145" s="1778"/>
      <c r="AL145" s="1778"/>
      <c r="AM145" s="1778"/>
      <c r="AN145" s="1778"/>
      <c r="AO145" s="1778"/>
      <c r="AP145" s="1778"/>
      <c r="AQ145" s="1778"/>
    </row>
    <row r="146" spans="1:43" s="1469" customFormat="1" ht="15.75">
      <c r="A146" s="709">
        <v>137</v>
      </c>
      <c r="B146" s="153" t="s">
        <v>339</v>
      </c>
      <c r="C146" s="647" t="s">
        <v>340</v>
      </c>
      <c r="D146" s="560" t="s">
        <v>64</v>
      </c>
      <c r="E146" s="563"/>
      <c r="F146" s="711"/>
      <c r="G146" s="712">
        <v>1</v>
      </c>
      <c r="H146" s="563"/>
      <c r="I146" s="689"/>
      <c r="J146" s="563">
        <v>2</v>
      </c>
      <c r="K146" s="554">
        <v>17697</v>
      </c>
      <c r="L146" s="554"/>
      <c r="M146" s="554">
        <v>1</v>
      </c>
      <c r="N146" s="554"/>
      <c r="O146" s="552">
        <v>2.81</v>
      </c>
      <c r="P146" s="7">
        <f>'расчеты к штатному '!P151-'расчеты к старое'!P146</f>
        <v>0</v>
      </c>
      <c r="Q146" s="556"/>
      <c r="R146" s="552"/>
      <c r="S146" s="568"/>
      <c r="T146" s="708">
        <v>0.1</v>
      </c>
      <c r="U146" s="7">
        <f>'расчеты к штатному '!U151-'расчеты к старое'!U146</f>
        <v>0</v>
      </c>
      <c r="V146" s="569">
        <v>0.3</v>
      </c>
      <c r="W146" s="554">
        <f>'расчеты к штатному '!W151-'расчеты к старое'!W146</f>
        <v>0</v>
      </c>
      <c r="X146" s="10">
        <f>'расчеты к штатному '!X151-'расчеты к старое'!X146</f>
        <v>0</v>
      </c>
      <c r="Y146" s="1276">
        <f t="shared" si="32"/>
        <v>0</v>
      </c>
      <c r="Z146" s="1276">
        <f t="shared" si="33"/>
        <v>0</v>
      </c>
      <c r="AA146" s="1277">
        <f t="shared" si="34"/>
        <v>0</v>
      </c>
      <c r="AB146" s="1458">
        <f t="shared" si="35"/>
        <v>0</v>
      </c>
      <c r="AK146" s="1778"/>
      <c r="AL146" s="1778"/>
      <c r="AM146" s="1778"/>
      <c r="AN146" s="1778"/>
      <c r="AO146" s="1778"/>
      <c r="AP146" s="1778"/>
      <c r="AQ146" s="1778"/>
    </row>
    <row r="147" spans="1:43" s="1459" customFormat="1" ht="15">
      <c r="A147" s="703">
        <v>138</v>
      </c>
      <c r="B147" s="153" t="s">
        <v>341</v>
      </c>
      <c r="C147" s="647" t="s">
        <v>340</v>
      </c>
      <c r="D147" s="560" t="s">
        <v>64</v>
      </c>
      <c r="E147" s="563"/>
      <c r="F147" s="711"/>
      <c r="G147" s="712">
        <v>1</v>
      </c>
      <c r="H147" s="563"/>
      <c r="I147" s="689"/>
      <c r="J147" s="563">
        <v>2</v>
      </c>
      <c r="K147" s="554">
        <v>17697</v>
      </c>
      <c r="L147" s="554"/>
      <c r="M147" s="554">
        <v>1</v>
      </c>
      <c r="N147" s="554"/>
      <c r="O147" s="552">
        <v>2.81</v>
      </c>
      <c r="P147" s="7">
        <f>'расчеты к штатному '!P152-'расчеты к старое'!P147</f>
        <v>0</v>
      </c>
      <c r="Q147" s="556"/>
      <c r="R147" s="552"/>
      <c r="S147" s="568"/>
      <c r="T147" s="708">
        <v>0.1</v>
      </c>
      <c r="U147" s="7">
        <f>'расчеты к штатному '!U152-'расчеты к старое'!U147</f>
        <v>0</v>
      </c>
      <c r="V147" s="569">
        <v>0.3</v>
      </c>
      <c r="W147" s="554">
        <f>'расчеты к штатному '!W152-'расчеты к старое'!W147</f>
        <v>0</v>
      </c>
      <c r="X147" s="10">
        <f>'расчеты к штатному '!X152-'расчеты к старое'!X147</f>
        <v>0</v>
      </c>
      <c r="Y147" s="1276">
        <f t="shared" si="32"/>
        <v>0.3</v>
      </c>
      <c r="Z147" s="1276">
        <f t="shared" si="33"/>
        <v>0.3</v>
      </c>
      <c r="AA147" s="1277">
        <f t="shared" si="34"/>
        <v>0</v>
      </c>
      <c r="AB147" s="1458">
        <f t="shared" si="35"/>
        <v>0</v>
      </c>
      <c r="AC147" s="1458"/>
      <c r="AD147" s="1458"/>
      <c r="AE147" s="1458"/>
      <c r="AF147" s="1458"/>
      <c r="AG147" s="1458"/>
      <c r="AH147" s="1458"/>
      <c r="AI147" s="1458"/>
      <c r="AJ147" s="1458"/>
      <c r="AK147" s="914"/>
      <c r="AL147" s="914"/>
      <c r="AM147" s="914"/>
      <c r="AN147" s="914"/>
      <c r="AO147" s="914"/>
      <c r="AP147" s="914"/>
      <c r="AQ147" s="914"/>
    </row>
    <row r="148" spans="1:43" s="1459" customFormat="1" ht="15">
      <c r="A148" s="709">
        <v>139</v>
      </c>
      <c r="B148" s="153" t="s">
        <v>342</v>
      </c>
      <c r="C148" s="647" t="s">
        <v>340</v>
      </c>
      <c r="D148" s="560" t="s">
        <v>64</v>
      </c>
      <c r="E148" s="563"/>
      <c r="F148" s="711"/>
      <c r="G148" s="712">
        <v>1</v>
      </c>
      <c r="H148" s="563"/>
      <c r="I148" s="689"/>
      <c r="J148" s="563">
        <v>2</v>
      </c>
      <c r="K148" s="554">
        <v>17697</v>
      </c>
      <c r="L148" s="554"/>
      <c r="M148" s="554">
        <v>1</v>
      </c>
      <c r="N148" s="554"/>
      <c r="O148" s="552">
        <v>2.81</v>
      </c>
      <c r="P148" s="7">
        <f>'расчеты к штатному '!P153-'расчеты к старое'!P148</f>
        <v>0</v>
      </c>
      <c r="Q148" s="556"/>
      <c r="R148" s="552"/>
      <c r="S148" s="568"/>
      <c r="T148" s="708">
        <v>0.1</v>
      </c>
      <c r="U148" s="7">
        <f>'расчеты к штатному '!U153-'расчеты к старое'!U148</f>
        <v>0</v>
      </c>
      <c r="V148" s="569">
        <v>0.3</v>
      </c>
      <c r="W148" s="554">
        <f>'расчеты к штатному '!W153-'расчеты к старое'!W148</f>
        <v>0</v>
      </c>
      <c r="X148" s="10">
        <f>'расчеты к штатному '!X153-'расчеты к старое'!X148</f>
        <v>0</v>
      </c>
      <c r="Y148" s="1276">
        <f t="shared" si="32"/>
        <v>0.3</v>
      </c>
      <c r="Z148" s="1276">
        <f t="shared" si="33"/>
        <v>0.3</v>
      </c>
      <c r="AA148" s="1277">
        <f t="shared" si="34"/>
        <v>0</v>
      </c>
      <c r="AB148" s="1458">
        <f t="shared" si="35"/>
        <v>0</v>
      </c>
      <c r="AC148" s="1458"/>
      <c r="AD148" s="1458"/>
      <c r="AE148" s="1458"/>
      <c r="AF148" s="1458"/>
      <c r="AG148" s="1458"/>
      <c r="AH148" s="1458"/>
      <c r="AI148" s="1458"/>
      <c r="AJ148" s="1458"/>
      <c r="AK148" s="914"/>
      <c r="AL148" s="914"/>
      <c r="AM148" s="914"/>
      <c r="AN148" s="914"/>
      <c r="AO148" s="914"/>
      <c r="AP148" s="914"/>
      <c r="AQ148" s="914"/>
    </row>
    <row r="149" spans="1:43" s="1459" customFormat="1" ht="15">
      <c r="A149" s="703">
        <v>140</v>
      </c>
      <c r="B149" s="153" t="s">
        <v>343</v>
      </c>
      <c r="C149" s="647" t="s">
        <v>340</v>
      </c>
      <c r="D149" s="560" t="s">
        <v>64</v>
      </c>
      <c r="E149" s="563"/>
      <c r="F149" s="711"/>
      <c r="G149" s="712">
        <v>1</v>
      </c>
      <c r="H149" s="563"/>
      <c r="I149" s="689"/>
      <c r="J149" s="563">
        <v>2</v>
      </c>
      <c r="K149" s="554">
        <v>17697</v>
      </c>
      <c r="L149" s="554"/>
      <c r="M149" s="554">
        <v>1</v>
      </c>
      <c r="N149" s="554"/>
      <c r="O149" s="552">
        <v>2.81</v>
      </c>
      <c r="P149" s="7">
        <f>'расчеты к штатному '!P154-'расчеты к старое'!P149</f>
        <v>0</v>
      </c>
      <c r="Q149" s="556"/>
      <c r="R149" s="552"/>
      <c r="S149" s="568"/>
      <c r="T149" s="708">
        <v>0.1</v>
      </c>
      <c r="U149" s="7">
        <f>'расчеты к штатному '!U154-'расчеты к старое'!U149</f>
        <v>0</v>
      </c>
      <c r="V149" s="569">
        <v>0.3</v>
      </c>
      <c r="W149" s="554">
        <f>'расчеты к штатному '!W154-'расчеты к старое'!W149</f>
        <v>0</v>
      </c>
      <c r="X149" s="10">
        <f>'расчеты к штатному '!X154-'расчеты к старое'!X149</f>
        <v>0</v>
      </c>
      <c r="Y149" s="1276">
        <f t="shared" si="32"/>
        <v>0.3</v>
      </c>
      <c r="Z149" s="1276">
        <f t="shared" si="33"/>
        <v>0.3</v>
      </c>
      <c r="AA149" s="1277">
        <f t="shared" si="34"/>
        <v>0</v>
      </c>
      <c r="AB149" s="1458">
        <f t="shared" si="35"/>
        <v>0</v>
      </c>
      <c r="AC149" s="1458"/>
      <c r="AD149" s="1458"/>
      <c r="AE149" s="1458"/>
      <c r="AF149" s="1458"/>
      <c r="AG149" s="1458"/>
      <c r="AH149" s="1458"/>
      <c r="AI149" s="1458"/>
      <c r="AJ149" s="1458"/>
      <c r="AK149" s="914"/>
      <c r="AL149" s="914"/>
      <c r="AM149" s="914"/>
      <c r="AN149" s="914"/>
      <c r="AO149" s="914"/>
      <c r="AP149" s="914"/>
      <c r="AQ149" s="914"/>
    </row>
    <row r="150" spans="1:43" s="1459" customFormat="1" ht="15">
      <c r="A150" s="709">
        <v>141</v>
      </c>
      <c r="B150" s="153" t="s">
        <v>734</v>
      </c>
      <c r="C150" s="647" t="s">
        <v>340</v>
      </c>
      <c r="D150" s="560" t="s">
        <v>64</v>
      </c>
      <c r="E150" s="563"/>
      <c r="F150" s="717"/>
      <c r="G150" s="712" t="s">
        <v>409</v>
      </c>
      <c r="H150" s="563"/>
      <c r="I150" s="689"/>
      <c r="J150" s="563">
        <v>2</v>
      </c>
      <c r="K150" s="554">
        <v>17697</v>
      </c>
      <c r="L150" s="554"/>
      <c r="M150" s="554">
        <v>1.5</v>
      </c>
      <c r="N150" s="554"/>
      <c r="O150" s="552">
        <v>2.81</v>
      </c>
      <c r="P150" s="7">
        <f>'расчеты к штатному '!P155-'расчеты к старое'!P150</f>
        <v>0</v>
      </c>
      <c r="Q150" s="556"/>
      <c r="R150" s="552"/>
      <c r="S150" s="554"/>
      <c r="T150" s="708">
        <v>0.1</v>
      </c>
      <c r="U150" s="7">
        <f>'расчеты к штатному '!U155-'расчеты к старое'!U150</f>
        <v>0</v>
      </c>
      <c r="V150" s="569">
        <v>0.3</v>
      </c>
      <c r="W150" s="554">
        <f>'расчеты к штатному '!W155-'расчеты к старое'!W150</f>
        <v>0</v>
      </c>
      <c r="X150" s="10">
        <f>'расчеты к штатному '!X155-'расчеты к старое'!X150</f>
        <v>0</v>
      </c>
      <c r="Y150" s="1276">
        <f t="shared" si="32"/>
        <v>0.3</v>
      </c>
      <c r="Z150" s="1276">
        <f t="shared" si="33"/>
        <v>0.3</v>
      </c>
      <c r="AA150" s="1277">
        <f t="shared" si="34"/>
        <v>0</v>
      </c>
      <c r="AB150" s="1458">
        <f t="shared" si="35"/>
        <v>0</v>
      </c>
      <c r="AC150" s="1458"/>
      <c r="AD150" s="1458"/>
      <c r="AE150" s="1458"/>
      <c r="AF150" s="1458"/>
      <c r="AG150" s="1458"/>
      <c r="AH150" s="1458"/>
      <c r="AI150" s="1458"/>
      <c r="AJ150" s="1458"/>
      <c r="AK150" s="914"/>
      <c r="AL150" s="914"/>
      <c r="AM150" s="914"/>
      <c r="AN150" s="914"/>
      <c r="AO150" s="914"/>
      <c r="AP150" s="914"/>
      <c r="AQ150" s="914"/>
    </row>
    <row r="151" spans="1:43" s="1278" customFormat="1" ht="15">
      <c r="A151" s="709">
        <v>143</v>
      </c>
      <c r="B151" s="153" t="s">
        <v>506</v>
      </c>
      <c r="C151" s="647" t="s">
        <v>340</v>
      </c>
      <c r="D151" s="560" t="s">
        <v>64</v>
      </c>
      <c r="E151" s="563"/>
      <c r="F151" s="711"/>
      <c r="G151" s="712" t="s">
        <v>409</v>
      </c>
      <c r="H151" s="563"/>
      <c r="I151" s="689"/>
      <c r="J151" s="563">
        <v>2</v>
      </c>
      <c r="K151" s="554">
        <v>17697</v>
      </c>
      <c r="L151" s="554"/>
      <c r="M151" s="554">
        <v>1.5</v>
      </c>
      <c r="N151" s="554"/>
      <c r="O151" s="552">
        <v>2.81</v>
      </c>
      <c r="P151" s="7">
        <f>'расчеты к штатному '!P156-'расчеты к старое'!P151</f>
        <v>0</v>
      </c>
      <c r="Q151" s="556"/>
      <c r="R151" s="552"/>
      <c r="S151" s="554"/>
      <c r="T151" s="708">
        <v>0.1</v>
      </c>
      <c r="U151" s="7">
        <f>'расчеты к штатному '!U156-'расчеты к старое'!U151</f>
        <v>0</v>
      </c>
      <c r="V151" s="569">
        <v>0.3</v>
      </c>
      <c r="W151" s="554">
        <f>'расчеты к штатному '!W156-'расчеты к старое'!W151</f>
        <v>0</v>
      </c>
      <c r="X151" s="10">
        <f>'расчеты к штатному '!X156-'расчеты к старое'!X151</f>
        <v>0</v>
      </c>
      <c r="Y151" s="1276">
        <f t="shared" si="32"/>
        <v>0.3</v>
      </c>
      <c r="Z151" s="1276">
        <f t="shared" si="33"/>
        <v>0.3</v>
      </c>
      <c r="AA151" s="1277">
        <f t="shared" si="34"/>
        <v>0</v>
      </c>
      <c r="AB151" s="1458">
        <f t="shared" si="35"/>
        <v>0</v>
      </c>
      <c r="AK151" s="23"/>
      <c r="AL151" s="23"/>
      <c r="AM151" s="23"/>
      <c r="AN151" s="23"/>
      <c r="AO151" s="23"/>
      <c r="AP151" s="23"/>
      <c r="AQ151" s="23"/>
    </row>
    <row r="152" spans="1:43" s="1278" customFormat="1" ht="15">
      <c r="A152" s="703">
        <v>144</v>
      </c>
      <c r="B152" s="646" t="s">
        <v>507</v>
      </c>
      <c r="C152" s="647" t="s">
        <v>340</v>
      </c>
      <c r="D152" s="560" t="s">
        <v>64</v>
      </c>
      <c r="E152" s="713"/>
      <c r="F152" s="628"/>
      <c r="G152" s="712" t="s">
        <v>563</v>
      </c>
      <c r="H152" s="714"/>
      <c r="I152" s="715"/>
      <c r="J152" s="563">
        <v>2</v>
      </c>
      <c r="K152" s="715">
        <v>17697</v>
      </c>
      <c r="L152" s="715"/>
      <c r="M152" s="554">
        <v>1.3</v>
      </c>
      <c r="N152" s="554"/>
      <c r="O152" s="552">
        <v>2.81</v>
      </c>
      <c r="P152" s="7">
        <f>'расчеты к штатному '!P157-'расчеты к старое'!P152</f>
        <v>0</v>
      </c>
      <c r="Q152" s="556"/>
      <c r="R152" s="552"/>
      <c r="S152" s="554"/>
      <c r="T152" s="708">
        <v>0.1</v>
      </c>
      <c r="U152" s="7">
        <f>'расчеты к штатному '!U157-'расчеты к старое'!U152</f>
        <v>0</v>
      </c>
      <c r="V152" s="569">
        <v>0.3</v>
      </c>
      <c r="W152" s="554">
        <f>'расчеты к штатному '!W157-'расчеты к старое'!W152</f>
        <v>0</v>
      </c>
      <c r="X152" s="10">
        <f>'расчеты к штатному '!X157-'расчеты к старое'!X152</f>
        <v>0</v>
      </c>
      <c r="Y152" s="1276">
        <f t="shared" si="32"/>
        <v>0.3</v>
      </c>
      <c r="Z152" s="1276">
        <f t="shared" si="33"/>
        <v>0.3</v>
      </c>
      <c r="AA152" s="1277">
        <f t="shared" si="34"/>
        <v>0</v>
      </c>
      <c r="AB152" s="1458">
        <f t="shared" si="35"/>
        <v>0</v>
      </c>
      <c r="AK152" s="23"/>
      <c r="AL152" s="23"/>
      <c r="AM152" s="23"/>
      <c r="AN152" s="23"/>
      <c r="AO152" s="23"/>
      <c r="AP152" s="23"/>
      <c r="AQ152" s="23"/>
    </row>
    <row r="153" spans="1:43" s="1469" customFormat="1" ht="15.75">
      <c r="A153" s="709">
        <v>145</v>
      </c>
      <c r="B153" s="718" t="s">
        <v>508</v>
      </c>
      <c r="C153" s="719" t="s">
        <v>340</v>
      </c>
      <c r="D153" s="720" t="s">
        <v>75</v>
      </c>
      <c r="E153" s="720"/>
      <c r="F153" s="721"/>
      <c r="G153" s="720">
        <v>1</v>
      </c>
      <c r="H153" s="722"/>
      <c r="I153" s="722"/>
      <c r="J153" s="601">
        <v>2</v>
      </c>
      <c r="K153" s="723">
        <v>17697</v>
      </c>
      <c r="L153" s="723"/>
      <c r="M153" s="554">
        <v>1</v>
      </c>
      <c r="N153" s="723"/>
      <c r="O153" s="552">
        <v>2.81</v>
      </c>
      <c r="P153" s="7">
        <f>'расчеты к штатному '!P158-'расчеты к старое'!P153</f>
        <v>0</v>
      </c>
      <c r="Q153" s="556"/>
      <c r="R153" s="552"/>
      <c r="S153" s="723"/>
      <c r="T153" s="708">
        <v>0.1</v>
      </c>
      <c r="U153" s="7">
        <f>'расчеты к штатному '!U158-'расчеты к старое'!U153</f>
        <v>0</v>
      </c>
      <c r="V153" s="609">
        <v>0.3</v>
      </c>
      <c r="W153" s="554">
        <f>'расчеты к штатному '!W158-'расчеты к старое'!W153</f>
        <v>0</v>
      </c>
      <c r="X153" s="10">
        <f>'расчеты к штатному '!X158-'расчеты к старое'!X153</f>
        <v>0</v>
      </c>
      <c r="Y153" s="1276">
        <f t="shared" si="32"/>
        <v>0.3</v>
      </c>
      <c r="Z153" s="1276">
        <f t="shared" si="33"/>
        <v>0.3</v>
      </c>
      <c r="AA153" s="1277">
        <f t="shared" si="34"/>
        <v>0</v>
      </c>
      <c r="AB153" s="1458">
        <f t="shared" si="35"/>
        <v>0</v>
      </c>
      <c r="AK153" s="1778"/>
      <c r="AL153" s="1778"/>
      <c r="AM153" s="1778"/>
      <c r="AN153" s="1778"/>
      <c r="AO153" s="1778"/>
      <c r="AP153" s="1778"/>
      <c r="AQ153" s="1778"/>
    </row>
    <row r="154" spans="1:43" s="1278" customFormat="1" ht="15.75">
      <c r="A154" s="703">
        <v>146</v>
      </c>
      <c r="B154" s="153" t="s">
        <v>345</v>
      </c>
      <c r="C154" s="561" t="s">
        <v>784</v>
      </c>
      <c r="D154" s="560" t="s">
        <v>64</v>
      </c>
      <c r="E154" s="563"/>
      <c r="F154" s="711"/>
      <c r="G154" s="712">
        <v>1</v>
      </c>
      <c r="H154" s="563"/>
      <c r="I154" s="689"/>
      <c r="J154" s="563">
        <v>1</v>
      </c>
      <c r="K154" s="554">
        <v>17697</v>
      </c>
      <c r="L154" s="554"/>
      <c r="M154" s="723">
        <v>1</v>
      </c>
      <c r="N154" s="554"/>
      <c r="O154" s="554">
        <v>2.77</v>
      </c>
      <c r="P154" s="7">
        <f>'расчеты к штатному '!P159-'расчеты к старое'!P154</f>
        <v>0</v>
      </c>
      <c r="Q154" s="556"/>
      <c r="R154" s="552"/>
      <c r="S154" s="568"/>
      <c r="T154" s="708">
        <v>0.1</v>
      </c>
      <c r="U154" s="7">
        <f>'расчеты к штатному '!U159-'расчеты к старое'!U154</f>
        <v>0</v>
      </c>
      <c r="V154" s="724">
        <v>0.5</v>
      </c>
      <c r="W154" s="554">
        <f>'расчеты к штатному '!W159-'расчеты к старое'!W154</f>
        <v>0</v>
      </c>
      <c r="X154" s="10">
        <f>'расчеты к штатному '!X159-'расчеты к старое'!X154</f>
        <v>0</v>
      </c>
      <c r="Y154" s="1276">
        <f t="shared" si="32"/>
        <v>0.3</v>
      </c>
      <c r="Z154" s="1276">
        <f t="shared" si="33"/>
        <v>0.3</v>
      </c>
      <c r="AA154" s="1277">
        <f t="shared" si="34"/>
        <v>0</v>
      </c>
      <c r="AB154" s="1458">
        <f t="shared" si="35"/>
        <v>0</v>
      </c>
      <c r="AC154" s="1277"/>
      <c r="AD154" s="1277"/>
      <c r="AE154" s="1482"/>
      <c r="AF154" s="1483"/>
      <c r="AG154" s="1277"/>
      <c r="AK154" s="23"/>
      <c r="AL154" s="23"/>
      <c r="AM154" s="23"/>
      <c r="AN154" s="23"/>
      <c r="AO154" s="23"/>
      <c r="AP154" s="23"/>
      <c r="AQ154" s="23"/>
    </row>
    <row r="155" spans="1:43" s="1459" customFormat="1" ht="15.75">
      <c r="A155" s="709">
        <v>147</v>
      </c>
      <c r="B155" s="153" t="s">
        <v>347</v>
      </c>
      <c r="C155" s="561" t="s">
        <v>784</v>
      </c>
      <c r="D155" s="560" t="s">
        <v>25</v>
      </c>
      <c r="E155" s="563"/>
      <c r="F155" s="560"/>
      <c r="G155" s="712">
        <v>1</v>
      </c>
      <c r="H155" s="563"/>
      <c r="I155" s="689"/>
      <c r="J155" s="563">
        <v>1</v>
      </c>
      <c r="K155" s="554">
        <v>17697</v>
      </c>
      <c r="L155" s="554"/>
      <c r="M155" s="554">
        <v>1</v>
      </c>
      <c r="N155" s="554"/>
      <c r="O155" s="554">
        <v>2.77</v>
      </c>
      <c r="P155" s="7">
        <f>'расчеты к штатному '!P160-'расчеты к старое'!P155</f>
        <v>0</v>
      </c>
      <c r="Q155" s="556"/>
      <c r="R155" s="552"/>
      <c r="S155" s="568"/>
      <c r="T155" s="708">
        <v>0.1</v>
      </c>
      <c r="U155" s="7">
        <f>'расчеты к штатному '!U160-'расчеты к старое'!U155</f>
        <v>0</v>
      </c>
      <c r="V155" s="724">
        <v>0.5</v>
      </c>
      <c r="W155" s="554">
        <f>'расчеты к штатному '!W160-'расчеты к старое'!W155</f>
        <v>0</v>
      </c>
      <c r="X155" s="10">
        <f>'расчеты к штатному '!X160-'расчеты к старое'!X155</f>
        <v>0</v>
      </c>
      <c r="Y155" s="1276">
        <f t="shared" si="32"/>
        <v>0.5</v>
      </c>
      <c r="Z155" s="1276">
        <f t="shared" si="33"/>
        <v>0.5</v>
      </c>
      <c r="AA155" s="1277">
        <f t="shared" si="34"/>
        <v>0</v>
      </c>
      <c r="AB155" s="1458">
        <f t="shared" si="35"/>
        <v>0</v>
      </c>
      <c r="AC155" s="1458"/>
      <c r="AD155" s="1458"/>
      <c r="AE155" s="1458"/>
      <c r="AF155" s="1458"/>
      <c r="AG155" s="1458"/>
      <c r="AH155" s="1458"/>
      <c r="AI155" s="1458"/>
      <c r="AJ155" s="1458"/>
      <c r="AK155" s="914"/>
      <c r="AL155" s="914"/>
      <c r="AM155" s="914"/>
      <c r="AN155" s="914"/>
      <c r="AO155" s="914"/>
      <c r="AP155" s="914"/>
      <c r="AQ155" s="914"/>
    </row>
    <row r="156" spans="1:43" s="1459" customFormat="1" ht="15.75">
      <c r="A156" s="703">
        <v>148</v>
      </c>
      <c r="B156" s="153" t="s">
        <v>606</v>
      </c>
      <c r="C156" s="561" t="s">
        <v>784</v>
      </c>
      <c r="D156" s="560" t="s">
        <v>64</v>
      </c>
      <c r="E156" s="563"/>
      <c r="F156" s="560"/>
      <c r="G156" s="712">
        <v>1</v>
      </c>
      <c r="H156" s="563"/>
      <c r="I156" s="689"/>
      <c r="J156" s="563">
        <v>1</v>
      </c>
      <c r="K156" s="554">
        <v>17697</v>
      </c>
      <c r="L156" s="554"/>
      <c r="M156" s="554">
        <v>1</v>
      </c>
      <c r="N156" s="554"/>
      <c r="O156" s="554">
        <v>2.77</v>
      </c>
      <c r="P156" s="7">
        <f>'расчеты к штатному '!P161-'расчеты к старое'!P156</f>
        <v>0</v>
      </c>
      <c r="Q156" s="556"/>
      <c r="R156" s="552"/>
      <c r="S156" s="568"/>
      <c r="T156" s="708">
        <v>0.1</v>
      </c>
      <c r="U156" s="7">
        <f>'расчеты к штатному '!U161-'расчеты к старое'!U156</f>
        <v>0</v>
      </c>
      <c r="V156" s="724">
        <v>0.5</v>
      </c>
      <c r="W156" s="554">
        <f>'расчеты к штатному '!W161-'расчеты к старое'!W156</f>
        <v>0</v>
      </c>
      <c r="X156" s="10">
        <f>'расчеты к штатному '!X161-'расчеты к старое'!X156</f>
        <v>0</v>
      </c>
      <c r="Y156" s="1276">
        <f t="shared" si="32"/>
        <v>0.5</v>
      </c>
      <c r="Z156" s="1276">
        <f t="shared" si="33"/>
        <v>0.5</v>
      </c>
      <c r="AA156" s="1277">
        <f t="shared" si="34"/>
        <v>0</v>
      </c>
      <c r="AB156" s="1458">
        <f t="shared" si="35"/>
        <v>0</v>
      </c>
      <c r="AC156" s="1458"/>
      <c r="AD156" s="1458"/>
      <c r="AE156" s="1458"/>
      <c r="AF156" s="1458"/>
      <c r="AG156" s="1458"/>
      <c r="AH156" s="1458"/>
      <c r="AI156" s="1458"/>
      <c r="AJ156" s="1458"/>
      <c r="AK156" s="914"/>
      <c r="AL156" s="914"/>
      <c r="AM156" s="914"/>
      <c r="AN156" s="914"/>
      <c r="AO156" s="914"/>
      <c r="AP156" s="914"/>
      <c r="AQ156" s="914"/>
    </row>
    <row r="157" spans="1:43" s="1459" customFormat="1" ht="15.75">
      <c r="A157" s="709">
        <v>149</v>
      </c>
      <c r="B157" s="153" t="s">
        <v>735</v>
      </c>
      <c r="C157" s="725" t="s">
        <v>785</v>
      </c>
      <c r="D157" s="560" t="s">
        <v>64</v>
      </c>
      <c r="E157" s="563"/>
      <c r="F157" s="560"/>
      <c r="G157" s="712">
        <v>1</v>
      </c>
      <c r="H157" s="563"/>
      <c r="I157" s="689"/>
      <c r="J157" s="563">
        <v>1</v>
      </c>
      <c r="K157" s="554">
        <v>17697</v>
      </c>
      <c r="L157" s="554"/>
      <c r="M157" s="554">
        <v>1</v>
      </c>
      <c r="N157" s="554"/>
      <c r="O157" s="554">
        <v>2.77</v>
      </c>
      <c r="P157" s="7">
        <f>'расчеты к штатному '!P162-'расчеты к старое'!P157</f>
        <v>0</v>
      </c>
      <c r="Q157" s="556"/>
      <c r="R157" s="552"/>
      <c r="S157" s="554"/>
      <c r="T157" s="708">
        <v>0.1</v>
      </c>
      <c r="U157" s="7">
        <f>'расчеты к штатному '!U162-'расчеты к старое'!U157</f>
        <v>0</v>
      </c>
      <c r="V157" s="724">
        <v>0.5</v>
      </c>
      <c r="W157" s="554">
        <f>'расчеты к штатному '!W162-'расчеты к старое'!W157</f>
        <v>0</v>
      </c>
      <c r="X157" s="10">
        <f>'расчеты к штатному '!X162-'расчеты к старое'!X157</f>
        <v>0</v>
      </c>
      <c r="Y157" s="1276">
        <f t="shared" si="32"/>
        <v>0.5</v>
      </c>
      <c r="Z157" s="1276">
        <f t="shared" si="33"/>
        <v>0.5</v>
      </c>
      <c r="AA157" s="1277">
        <f t="shared" si="34"/>
        <v>0</v>
      </c>
      <c r="AB157" s="1458">
        <f t="shared" si="35"/>
        <v>0</v>
      </c>
      <c r="AC157" s="1458"/>
      <c r="AD157" s="1458"/>
      <c r="AE157" s="1458"/>
      <c r="AF157" s="1458"/>
      <c r="AG157" s="1458"/>
      <c r="AH157" s="1458"/>
      <c r="AI157" s="1458"/>
      <c r="AJ157" s="1458"/>
      <c r="AK157" s="914"/>
      <c r="AL157" s="1787"/>
      <c r="AM157" s="914"/>
      <c r="AN157" s="914"/>
      <c r="AO157" s="914"/>
      <c r="AP157" s="914"/>
      <c r="AQ157" s="914"/>
    </row>
    <row r="158" spans="1:43" s="1278" customFormat="1" ht="15.75">
      <c r="A158" s="703">
        <v>150</v>
      </c>
      <c r="B158" s="153" t="s">
        <v>333</v>
      </c>
      <c r="C158" s="725" t="s">
        <v>785</v>
      </c>
      <c r="D158" s="560" t="s">
        <v>64</v>
      </c>
      <c r="E158" s="563"/>
      <c r="F158" s="560"/>
      <c r="G158" s="712">
        <v>1</v>
      </c>
      <c r="H158" s="563"/>
      <c r="I158" s="689"/>
      <c r="J158" s="563">
        <v>1</v>
      </c>
      <c r="K158" s="554">
        <v>17697</v>
      </c>
      <c r="L158" s="554"/>
      <c r="M158" s="554">
        <v>1</v>
      </c>
      <c r="N158" s="554"/>
      <c r="O158" s="554">
        <v>2.77</v>
      </c>
      <c r="P158" s="7">
        <f>'расчеты к штатному '!P163-'расчеты к старое'!P158</f>
        <v>0</v>
      </c>
      <c r="Q158" s="556"/>
      <c r="R158" s="552"/>
      <c r="S158" s="554"/>
      <c r="T158" s="708">
        <v>0.1</v>
      </c>
      <c r="U158" s="7">
        <f>'расчеты к штатному '!U163-'расчеты к старое'!U158</f>
        <v>0</v>
      </c>
      <c r="V158" s="724">
        <v>0.5</v>
      </c>
      <c r="W158" s="554">
        <f>'расчеты к штатному '!W163-'расчеты к старое'!W158</f>
        <v>0</v>
      </c>
      <c r="X158" s="10">
        <f>'расчеты к штатному '!X163-'расчеты к старое'!X158</f>
        <v>0</v>
      </c>
      <c r="Y158" s="1276">
        <f t="shared" si="32"/>
        <v>0.5</v>
      </c>
      <c r="Z158" s="1276">
        <f t="shared" si="33"/>
        <v>0.5</v>
      </c>
      <c r="AA158" s="1277">
        <f t="shared" si="34"/>
        <v>0</v>
      </c>
      <c r="AB158" s="1458">
        <f t="shared" si="35"/>
        <v>0</v>
      </c>
      <c r="AK158" s="23"/>
      <c r="AL158" s="23"/>
      <c r="AM158" s="23"/>
      <c r="AN158" s="23"/>
      <c r="AO158" s="23"/>
      <c r="AP158" s="23"/>
      <c r="AQ158" s="23"/>
    </row>
    <row r="159" spans="1:43" s="1278" customFormat="1" ht="15.75">
      <c r="A159" s="709">
        <v>151</v>
      </c>
      <c r="B159" s="153" t="s">
        <v>350</v>
      </c>
      <c r="C159" s="725" t="s">
        <v>785</v>
      </c>
      <c r="D159" s="560" t="s">
        <v>64</v>
      </c>
      <c r="E159" s="563"/>
      <c r="F159" s="560"/>
      <c r="G159" s="712">
        <v>1</v>
      </c>
      <c r="H159" s="563"/>
      <c r="I159" s="689"/>
      <c r="J159" s="563">
        <v>1</v>
      </c>
      <c r="K159" s="554">
        <v>17697</v>
      </c>
      <c r="L159" s="554"/>
      <c r="M159" s="554">
        <v>1</v>
      </c>
      <c r="N159" s="554"/>
      <c r="O159" s="554">
        <v>2.77</v>
      </c>
      <c r="P159" s="7">
        <f>'расчеты к штатному '!P164-'расчеты к старое'!P159</f>
        <v>0</v>
      </c>
      <c r="Q159" s="556"/>
      <c r="R159" s="552"/>
      <c r="S159" s="554"/>
      <c r="T159" s="708">
        <v>0.1</v>
      </c>
      <c r="U159" s="7">
        <f>'расчеты к штатному '!U164-'расчеты к старое'!U159</f>
        <v>0</v>
      </c>
      <c r="V159" s="724">
        <v>0.5</v>
      </c>
      <c r="W159" s="554">
        <f>'расчеты к штатному '!W164-'расчеты к старое'!W159</f>
        <v>0</v>
      </c>
      <c r="X159" s="10">
        <f>'расчеты к штатному '!X164-'расчеты к старое'!X159</f>
        <v>0</v>
      </c>
      <c r="Y159" s="1276">
        <f t="shared" si="32"/>
        <v>0.5</v>
      </c>
      <c r="Z159" s="1276">
        <f t="shared" si="33"/>
        <v>0.5</v>
      </c>
      <c r="AA159" s="1277">
        <f t="shared" si="34"/>
        <v>0</v>
      </c>
      <c r="AB159" s="1458">
        <f t="shared" si="35"/>
        <v>0</v>
      </c>
      <c r="AK159" s="23"/>
      <c r="AL159" s="23"/>
      <c r="AM159" s="906"/>
      <c r="AN159" s="906"/>
      <c r="AO159" s="23"/>
      <c r="AP159" s="23"/>
      <c r="AQ159" s="23"/>
    </row>
    <row r="160" spans="1:43" s="1278" customFormat="1" ht="15">
      <c r="A160" s="703">
        <v>152</v>
      </c>
      <c r="B160" s="726" t="s">
        <v>351</v>
      </c>
      <c r="C160" s="662" t="s">
        <v>786</v>
      </c>
      <c r="D160" s="663" t="s">
        <v>75</v>
      </c>
      <c r="E160" s="663"/>
      <c r="F160" s="727"/>
      <c r="G160" s="663">
        <v>1</v>
      </c>
      <c r="H160" s="728"/>
      <c r="I160" s="728"/>
      <c r="J160" s="663">
        <v>1</v>
      </c>
      <c r="K160" s="567">
        <v>17697</v>
      </c>
      <c r="L160" s="567"/>
      <c r="M160" s="554">
        <v>1</v>
      </c>
      <c r="N160" s="567"/>
      <c r="O160" s="554">
        <v>2.77</v>
      </c>
      <c r="P160" s="7">
        <f>'расчеты к штатному '!P165-'расчеты к старое'!P160</f>
        <v>0</v>
      </c>
      <c r="Q160" s="556"/>
      <c r="R160" s="552"/>
      <c r="S160" s="567"/>
      <c r="T160" s="708">
        <v>0.1</v>
      </c>
      <c r="U160" s="7">
        <f>'расчеты к штатному '!U165-'расчеты к старое'!U160</f>
        <v>0</v>
      </c>
      <c r="V160" s="567">
        <v>0</v>
      </c>
      <c r="W160" s="554">
        <f>'расчеты к штатному '!W165-'расчеты к старое'!W160</f>
        <v>0</v>
      </c>
      <c r="X160" s="10">
        <f>'расчеты к штатному '!X165-'расчеты к старое'!X160</f>
        <v>0</v>
      </c>
      <c r="Y160" s="1276">
        <f t="shared" si="32"/>
        <v>0.5</v>
      </c>
      <c r="Z160" s="1276">
        <f t="shared" si="33"/>
        <v>0.5</v>
      </c>
      <c r="AA160" s="1277">
        <f t="shared" si="34"/>
        <v>0</v>
      </c>
      <c r="AB160" s="1458">
        <f t="shared" si="35"/>
        <v>0</v>
      </c>
      <c r="AK160" s="23"/>
      <c r="AL160" s="23"/>
      <c r="AM160" s="906"/>
      <c r="AN160" s="23"/>
      <c r="AO160" s="23"/>
      <c r="AP160" s="23"/>
      <c r="AQ160" s="23"/>
    </row>
    <row r="161" spans="1:44" s="1278" customFormat="1" ht="15">
      <c r="A161" s="709">
        <v>153</v>
      </c>
      <c r="B161" s="726" t="s">
        <v>607</v>
      </c>
      <c r="C161" s="662" t="s">
        <v>786</v>
      </c>
      <c r="D161" s="663" t="s">
        <v>75</v>
      </c>
      <c r="E161" s="663"/>
      <c r="F161" s="727"/>
      <c r="G161" s="663">
        <v>1</v>
      </c>
      <c r="H161" s="728"/>
      <c r="I161" s="728"/>
      <c r="J161" s="663">
        <v>1</v>
      </c>
      <c r="K161" s="567">
        <v>17697</v>
      </c>
      <c r="L161" s="567"/>
      <c r="M161" s="554">
        <v>1</v>
      </c>
      <c r="N161" s="567"/>
      <c r="O161" s="554">
        <v>2.77</v>
      </c>
      <c r="P161" s="7">
        <f>'расчеты к штатному '!P166-'расчеты к старое'!P161</f>
        <v>0</v>
      </c>
      <c r="Q161" s="556"/>
      <c r="R161" s="552"/>
      <c r="S161" s="567"/>
      <c r="T161" s="708">
        <v>0.1</v>
      </c>
      <c r="U161" s="7">
        <f>'расчеты к штатному '!U166-'расчеты к старое'!U161</f>
        <v>0</v>
      </c>
      <c r="V161" s="567">
        <v>0</v>
      </c>
      <c r="W161" s="554">
        <f>'расчеты к штатному '!W166-'расчеты к старое'!W161</f>
        <v>0</v>
      </c>
      <c r="X161" s="10">
        <f>'расчеты к штатному '!X166-'расчеты к старое'!X161</f>
        <v>0</v>
      </c>
      <c r="Y161" s="1276">
        <f t="shared" si="32"/>
        <v>0</v>
      </c>
      <c r="Z161" s="1276">
        <f t="shared" si="33"/>
        <v>0</v>
      </c>
      <c r="AA161" s="1277">
        <f t="shared" si="34"/>
        <v>0</v>
      </c>
      <c r="AB161" s="1458">
        <f t="shared" si="35"/>
        <v>0</v>
      </c>
      <c r="AC161" s="1277"/>
      <c r="AD161" s="1277"/>
      <c r="AE161" s="1482"/>
      <c r="AF161" s="1483"/>
      <c r="AG161" s="1277"/>
      <c r="AK161" s="23"/>
      <c r="AL161" s="23"/>
      <c r="AM161" s="906"/>
      <c r="AN161" s="23"/>
      <c r="AO161" s="23"/>
      <c r="AP161" s="23"/>
      <c r="AQ161" s="23"/>
    </row>
    <row r="162" spans="1:44" s="1278" customFormat="1" ht="15">
      <c r="A162" s="703">
        <v>154</v>
      </c>
      <c r="B162" s="729" t="s">
        <v>354</v>
      </c>
      <c r="C162" s="662" t="s">
        <v>786</v>
      </c>
      <c r="D162" s="663" t="s">
        <v>75</v>
      </c>
      <c r="E162" s="663"/>
      <c r="F162" s="727"/>
      <c r="G162" s="663">
        <v>1</v>
      </c>
      <c r="H162" s="728"/>
      <c r="I162" s="728"/>
      <c r="J162" s="663">
        <v>1</v>
      </c>
      <c r="K162" s="567">
        <v>17697</v>
      </c>
      <c r="L162" s="567"/>
      <c r="M162" s="554">
        <v>1</v>
      </c>
      <c r="N162" s="567"/>
      <c r="O162" s="554">
        <v>2.77</v>
      </c>
      <c r="P162" s="7">
        <f>'расчеты к штатному '!P167-'расчеты к старое'!P162</f>
        <v>0</v>
      </c>
      <c r="Q162" s="556"/>
      <c r="R162" s="552"/>
      <c r="S162" s="567"/>
      <c r="T162" s="708">
        <v>0.1</v>
      </c>
      <c r="U162" s="7">
        <f>'расчеты к штатному '!U167-'расчеты к старое'!U162</f>
        <v>0</v>
      </c>
      <c r="V162" s="567">
        <v>0</v>
      </c>
      <c r="W162" s="554">
        <f>'расчеты к штатному '!W167-'расчеты к старое'!W162</f>
        <v>0</v>
      </c>
      <c r="X162" s="10">
        <f>'расчеты к штатному '!X167-'расчеты к старое'!X162</f>
        <v>0</v>
      </c>
      <c r="Y162" s="1276">
        <f t="shared" si="32"/>
        <v>0</v>
      </c>
      <c r="Z162" s="1276">
        <f t="shared" si="33"/>
        <v>0</v>
      </c>
      <c r="AA162" s="1277">
        <f t="shared" si="34"/>
        <v>0</v>
      </c>
      <c r="AB162" s="1458">
        <f t="shared" si="35"/>
        <v>0</v>
      </c>
      <c r="AC162" s="1277"/>
      <c r="AD162" s="1277"/>
      <c r="AE162" s="1482"/>
      <c r="AF162" s="1483"/>
      <c r="AG162" s="1277"/>
      <c r="AK162" s="23"/>
      <c r="AL162" s="23"/>
      <c r="AM162" s="23"/>
      <c r="AN162" s="23"/>
      <c r="AO162" s="23"/>
      <c r="AP162" s="23"/>
      <c r="AQ162" s="23"/>
    </row>
    <row r="163" spans="1:44" s="1278" customFormat="1" ht="15">
      <c r="A163" s="709">
        <v>155</v>
      </c>
      <c r="B163" s="646" t="s">
        <v>355</v>
      </c>
      <c r="C163" s="647" t="s">
        <v>356</v>
      </c>
      <c r="D163" s="663" t="s">
        <v>75</v>
      </c>
      <c r="E163" s="646"/>
      <c r="F163" s="646"/>
      <c r="G163" s="628">
        <v>1</v>
      </c>
      <c r="H163" s="714"/>
      <c r="I163" s="715"/>
      <c r="J163" s="628">
        <v>1</v>
      </c>
      <c r="K163" s="715">
        <v>17697</v>
      </c>
      <c r="L163" s="715"/>
      <c r="M163" s="554">
        <v>1</v>
      </c>
      <c r="N163" s="554"/>
      <c r="O163" s="554">
        <v>2.77</v>
      </c>
      <c r="P163" s="7">
        <f>'расчеты к штатному '!P168-'расчеты к старое'!P163</f>
        <v>0</v>
      </c>
      <c r="Q163" s="556"/>
      <c r="R163" s="552"/>
      <c r="S163" s="554"/>
      <c r="T163" s="708">
        <v>0.1</v>
      </c>
      <c r="U163" s="7">
        <f>'расчеты к штатному '!U168-'расчеты к старое'!U163</f>
        <v>0</v>
      </c>
      <c r="V163" s="567">
        <v>0</v>
      </c>
      <c r="W163" s="554">
        <f>'расчеты к штатному '!W168-'расчеты к старое'!W163</f>
        <v>0</v>
      </c>
      <c r="X163" s="10">
        <f>'расчеты к штатному '!X168-'расчеты к старое'!X163</f>
        <v>0</v>
      </c>
      <c r="Y163" s="1276">
        <f t="shared" si="32"/>
        <v>0</v>
      </c>
      <c r="Z163" s="1276">
        <f t="shared" si="33"/>
        <v>0</v>
      </c>
      <c r="AA163" s="1277">
        <f t="shared" si="34"/>
        <v>0</v>
      </c>
      <c r="AB163" s="1458">
        <f t="shared" si="35"/>
        <v>0</v>
      </c>
      <c r="AC163" s="1277"/>
      <c r="AD163" s="1277"/>
      <c r="AE163" s="1482"/>
      <c r="AF163" s="1483"/>
      <c r="AG163" s="1277"/>
      <c r="AK163" s="23"/>
      <c r="AL163" s="23"/>
      <c r="AM163" s="23"/>
      <c r="AN163" s="23"/>
      <c r="AO163" s="23"/>
      <c r="AP163" s="23"/>
      <c r="AQ163" s="23"/>
    </row>
    <row r="164" spans="1:44" s="1469" customFormat="1" ht="15.75">
      <c r="A164" s="703">
        <v>156</v>
      </c>
      <c r="B164" s="646" t="s">
        <v>357</v>
      </c>
      <c r="C164" s="561" t="s">
        <v>358</v>
      </c>
      <c r="D164" s="560" t="s">
        <v>64</v>
      </c>
      <c r="E164" s="646"/>
      <c r="F164" s="646"/>
      <c r="G164" s="628">
        <v>1</v>
      </c>
      <c r="H164" s="714"/>
      <c r="I164" s="715"/>
      <c r="J164" s="628">
        <v>1</v>
      </c>
      <c r="K164" s="715">
        <v>17697</v>
      </c>
      <c r="L164" s="715"/>
      <c r="M164" s="554">
        <v>1</v>
      </c>
      <c r="N164" s="554"/>
      <c r="O164" s="554">
        <v>2.77</v>
      </c>
      <c r="P164" s="7">
        <f>'расчеты к штатному '!P169-'расчеты к старое'!P164</f>
        <v>0</v>
      </c>
      <c r="Q164" s="556"/>
      <c r="R164" s="552"/>
      <c r="S164" s="554"/>
      <c r="T164" s="708">
        <v>0.1</v>
      </c>
      <c r="U164" s="7">
        <f>'расчеты к штатному '!U169-'расчеты к старое'!U164</f>
        <v>0</v>
      </c>
      <c r="V164" s="567">
        <v>0</v>
      </c>
      <c r="W164" s="554">
        <f>'расчеты к штатному '!W169-'расчеты к старое'!W164</f>
        <v>0</v>
      </c>
      <c r="X164" s="10">
        <f>'расчеты к штатному '!X169-'расчеты к старое'!X164</f>
        <v>0</v>
      </c>
      <c r="Y164" s="1276">
        <f t="shared" si="32"/>
        <v>0</v>
      </c>
      <c r="Z164" s="1276">
        <f t="shared" si="33"/>
        <v>0</v>
      </c>
      <c r="AA164" s="1277">
        <f t="shared" si="34"/>
        <v>0</v>
      </c>
      <c r="AB164" s="1458">
        <f t="shared" si="35"/>
        <v>0</v>
      </c>
      <c r="AC164" s="1493">
        <f>SUM(X139:X164)</f>
        <v>3212.0055000000139</v>
      </c>
      <c r="AK164" s="1778"/>
      <c r="AL164" s="1778"/>
      <c r="AM164" s="1778"/>
      <c r="AN164" s="1778"/>
      <c r="AO164" s="1778"/>
      <c r="AP164" s="1778"/>
      <c r="AQ164" s="1778"/>
    </row>
    <row r="165" spans="1:44" s="1469" customFormat="1" ht="15.75">
      <c r="A165" s="2321" t="s">
        <v>359</v>
      </c>
      <c r="B165" s="2321"/>
      <c r="C165" s="2321"/>
      <c r="D165" s="2321"/>
      <c r="E165" s="1856"/>
      <c r="F165" s="1856"/>
      <c r="G165" s="1857"/>
      <c r="H165" s="1856"/>
      <c r="I165" s="1856"/>
      <c r="J165" s="1856"/>
      <c r="K165" s="1856"/>
      <c r="L165" s="1858">
        <f>L138+L100+L77+L123</f>
        <v>2282</v>
      </c>
      <c r="M165" s="1859">
        <f>SUM(M6:M164)</f>
        <v>170.57777777777773</v>
      </c>
      <c r="N165" s="1506"/>
      <c r="O165" s="1506"/>
      <c r="P165" s="1506">
        <f>'расчеты к штатному '!P170-'расчеты к старое'!P165</f>
        <v>567041.375</v>
      </c>
      <c r="Q165" s="1506" t="e">
        <f>SUM(Q6:Q164)</f>
        <v>#REF!</v>
      </c>
      <c r="R165" s="1506"/>
      <c r="S165" s="1506">
        <f t="shared" ref="S165" si="36">SUM(S6:S164)</f>
        <v>12763.983749999992</v>
      </c>
      <c r="T165" s="1506"/>
      <c r="U165" s="1506" t="e">
        <f>SUM(U6:U164)</f>
        <v>#REF!</v>
      </c>
      <c r="V165" s="1506"/>
      <c r="W165" s="1506">
        <f>SUM(W6:W164)</f>
        <v>3539.4</v>
      </c>
      <c r="X165" s="1511" t="e">
        <f>SUM(X6:X164)</f>
        <v>#REF!</v>
      </c>
      <c r="Y165" s="1276">
        <f t="shared" si="32"/>
        <v>0</v>
      </c>
      <c r="Z165" s="1276">
        <f t="shared" si="33"/>
        <v>0</v>
      </c>
      <c r="AA165" s="1277">
        <f t="shared" si="34"/>
        <v>0</v>
      </c>
      <c r="AB165" s="1458">
        <f t="shared" si="35"/>
        <v>0</v>
      </c>
      <c r="AK165" s="1778"/>
      <c r="AL165" s="1784"/>
      <c r="AM165" s="1778"/>
      <c r="AN165" s="1778"/>
      <c r="AO165" s="1778"/>
      <c r="AP165" s="1778"/>
      <c r="AQ165" s="1778"/>
    </row>
    <row r="166" spans="1:44" s="84" customFormat="1" ht="22.5" customHeight="1">
      <c r="A166" s="24"/>
      <c r="B166" s="24"/>
      <c r="C166" s="89"/>
      <c r="D166" s="24"/>
      <c r="E166" s="24"/>
      <c r="F166" s="24"/>
      <c r="G166" s="24"/>
      <c r="H166" s="24"/>
      <c r="I166" s="24"/>
      <c r="J166" s="24"/>
      <c r="K166" s="262"/>
      <c r="L166" s="262"/>
      <c r="M166" s="262"/>
      <c r="N166" s="262"/>
      <c r="O166" s="262"/>
      <c r="P166" s="262"/>
      <c r="Q166" s="262"/>
      <c r="R166" s="262"/>
      <c r="S166" s="262"/>
      <c r="T166" s="262"/>
      <c r="U166" s="262"/>
      <c r="V166" s="262"/>
      <c r="W166" s="262"/>
      <c r="X166" s="262"/>
      <c r="Y166" s="141">
        <f>SUM(Y6:Y165)</f>
        <v>1371.0190000000077</v>
      </c>
      <c r="Z166" s="141">
        <f>SUM(Z6:Z165)</f>
        <v>66309.307750000022</v>
      </c>
      <c r="AA166" s="262"/>
      <c r="AB166" s="1026" t="e">
        <f>SUM(AB6:AB165)</f>
        <v>#REF!</v>
      </c>
      <c r="AC166" s="262"/>
      <c r="AD166" s="262" t="e">
        <f>SUM(AD27:AD165)</f>
        <v>#REF!</v>
      </c>
      <c r="AE166" s="262"/>
      <c r="AF166" s="262"/>
      <c r="AG166" s="262"/>
      <c r="AH166" s="262"/>
      <c r="AI166" s="262"/>
      <c r="AJ166" s="262"/>
      <c r="AK166" s="1785"/>
      <c r="AL166" s="1785"/>
      <c r="AM166" s="1786"/>
      <c r="AN166" s="1786"/>
      <c r="AO166" s="1786"/>
      <c r="AP166" s="1786"/>
      <c r="AQ166" s="1786"/>
      <c r="AR166" s="262"/>
    </row>
    <row r="167" spans="1:44" ht="25.5" customHeight="1">
      <c r="M167" s="85"/>
      <c r="N167" s="86"/>
      <c r="O167" s="23"/>
      <c r="P167" s="87"/>
      <c r="Q167" s="87"/>
      <c r="R167" s="88"/>
      <c r="AD167" s="1027">
        <f>SUM(AB6:AB24)</f>
        <v>43465.677207637229</v>
      </c>
      <c r="AL167" s="906"/>
    </row>
    <row r="168" spans="1:44" s="24" customFormat="1">
      <c r="A168" s="1"/>
      <c r="B168" s="1"/>
      <c r="C168" s="1766"/>
      <c r="D168" s="1"/>
      <c r="E168" s="1"/>
      <c r="F168" s="1"/>
      <c r="G168" s="1"/>
      <c r="H168" s="1"/>
      <c r="I168" s="1"/>
      <c r="J168" s="1"/>
      <c r="K168" s="982" t="s">
        <v>604</v>
      </c>
      <c r="L168" s="983">
        <f>SUM(M139:M164)</f>
        <v>26.3</v>
      </c>
      <c r="M168" s="22">
        <f>SUM(X139:X164)</f>
        <v>3212.0055000000139</v>
      </c>
      <c r="N168" s="89"/>
      <c r="R168" s="1"/>
      <c r="S168" s="1"/>
      <c r="T168" s="1"/>
      <c r="U168" s="1"/>
      <c r="V168" s="1"/>
      <c r="W168" s="1"/>
      <c r="X168" s="3"/>
      <c r="Y168" s="3"/>
      <c r="Z168" s="3"/>
      <c r="AB168" s="24">
        <f>SUM(AB140:AB165)</f>
        <v>2628.3031708148765</v>
      </c>
      <c r="AD168" s="24">
        <f>SUM(AB140:AB165)</f>
        <v>2628.3031708148765</v>
      </c>
      <c r="AK168" s="906"/>
      <c r="AL168" s="23"/>
      <c r="AM168" s="23"/>
      <c r="AN168" s="23"/>
      <c r="AO168" s="23"/>
      <c r="AP168" s="23"/>
      <c r="AQ168" s="23"/>
    </row>
    <row r="169" spans="1:44" s="24" customFormat="1">
      <c r="A169" s="1"/>
      <c r="B169" s="1"/>
      <c r="C169" s="1766"/>
      <c r="D169" s="1"/>
      <c r="E169" s="1"/>
      <c r="F169" s="1"/>
      <c r="G169" s="1"/>
      <c r="H169" s="1"/>
      <c r="I169" s="1"/>
      <c r="J169" s="1"/>
      <c r="K169" s="1"/>
      <c r="L169" s="1"/>
      <c r="M169" s="3"/>
      <c r="N169" s="1766"/>
      <c r="O169" s="1"/>
      <c r="P169" s="1"/>
      <c r="Q169" s="1"/>
      <c r="R169" s="1"/>
      <c r="S169" s="1"/>
      <c r="T169" s="1"/>
      <c r="U169" s="1"/>
      <c r="V169" s="3"/>
      <c r="W169" s="3"/>
      <c r="X169" s="3"/>
      <c r="Y169" s="3"/>
      <c r="Z169" s="3"/>
      <c r="AD169" s="24" t="e">
        <f>SUM(AD166:AD168)</f>
        <v>#REF!</v>
      </c>
      <c r="AK169" s="23"/>
      <c r="AL169" s="23"/>
      <c r="AM169" s="23"/>
      <c r="AN169" s="23"/>
      <c r="AO169" s="23"/>
      <c r="AP169" s="23"/>
      <c r="AQ169" s="23"/>
    </row>
    <row r="170" spans="1:44" s="24" customFormat="1">
      <c r="A170" s="1"/>
      <c r="B170" s="1"/>
      <c r="C170" s="1766"/>
      <c r="D170" s="1"/>
      <c r="E170" s="1"/>
      <c r="F170" s="1"/>
      <c r="G170" s="1"/>
      <c r="H170" s="1"/>
      <c r="I170" s="1"/>
      <c r="J170" s="1"/>
      <c r="K170" s="983" t="s">
        <v>638</v>
      </c>
      <c r="L170" s="983">
        <f>SUM(M27:M137)</f>
        <v>126.77777777777773</v>
      </c>
      <c r="M170" s="3">
        <f>SUM(L170)</f>
        <v>126.77777777777773</v>
      </c>
      <c r="N170" s="995" t="e">
        <f>SUM(X27:X137)</f>
        <v>#REF!</v>
      </c>
      <c r="O170" s="1"/>
      <c r="P170" s="1"/>
      <c r="Q170" s="1"/>
      <c r="R170" s="90"/>
      <c r="S170" s="90"/>
      <c r="T170" s="1"/>
      <c r="U170" s="1"/>
      <c r="V170" s="1"/>
      <c r="W170" s="1"/>
      <c r="X170" s="3"/>
      <c r="Y170" s="1"/>
      <c r="Z170" s="1"/>
      <c r="AK170" s="23"/>
      <c r="AL170" s="23"/>
      <c r="AM170" s="23"/>
      <c r="AN170" s="23"/>
      <c r="AO170" s="23"/>
      <c r="AP170" s="23"/>
      <c r="AQ170" s="23"/>
    </row>
    <row r="171" spans="1:44" s="24" customFormat="1">
      <c r="A171" s="1"/>
      <c r="B171" s="1"/>
      <c r="C171" s="1766"/>
      <c r="D171" s="1"/>
      <c r="E171" s="1"/>
      <c r="F171" s="1"/>
      <c r="G171" s="1"/>
      <c r="H171" s="1"/>
      <c r="I171" s="3"/>
      <c r="J171" s="1"/>
      <c r="K171" s="3"/>
      <c r="L171" s="3">
        <f>M26</f>
        <v>0</v>
      </c>
      <c r="M171" s="3"/>
      <c r="N171" s="995"/>
      <c r="O171" s="1"/>
      <c r="P171" s="1"/>
      <c r="Q171" s="3"/>
      <c r="R171" s="996"/>
      <c r="S171" s="1"/>
      <c r="T171" s="1"/>
      <c r="U171" s="1"/>
      <c r="V171" s="1"/>
      <c r="W171" s="1"/>
      <c r="X171" s="3"/>
      <c r="Y171" s="1"/>
      <c r="Z171" s="1"/>
      <c r="AK171" s="23"/>
      <c r="AL171" s="23"/>
      <c r="AM171" s="23"/>
      <c r="AN171" s="23"/>
      <c r="AO171" s="23"/>
      <c r="AP171" s="23"/>
      <c r="AQ171" s="23"/>
    </row>
    <row r="172" spans="1:44" s="24" customFormat="1">
      <c r="A172" s="1"/>
      <c r="B172" s="1"/>
      <c r="C172" s="1766"/>
      <c r="D172" s="1"/>
      <c r="E172" s="1"/>
      <c r="F172" s="1"/>
      <c r="G172" s="1"/>
      <c r="H172" s="1"/>
      <c r="I172" s="1"/>
      <c r="J172" s="1"/>
      <c r="K172" s="3"/>
      <c r="L172" s="3">
        <f>SUM(L168:L171)</f>
        <v>153.07777777777773</v>
      </c>
      <c r="M172" s="3"/>
      <c r="N172" s="176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22"/>
      <c r="AK172" s="23"/>
      <c r="AL172" s="23"/>
      <c r="AM172" s="23"/>
      <c r="AN172" s="23"/>
      <c r="AO172" s="23"/>
      <c r="AP172" s="23"/>
      <c r="AQ172" s="23"/>
    </row>
    <row r="173" spans="1:44">
      <c r="K173" s="3"/>
    </row>
    <row r="174" spans="1:44">
      <c r="K174" s="88"/>
      <c r="L174" s="88"/>
      <c r="M174" s="3"/>
    </row>
    <row r="175" spans="1:44">
      <c r="K175" s="982" t="s">
        <v>564</v>
      </c>
      <c r="L175" s="983">
        <f>SUM(M6:M25)</f>
        <v>17.5</v>
      </c>
      <c r="M175" s="3">
        <f>SUM(X6:X25)</f>
        <v>42494.943749999991</v>
      </c>
      <c r="AA175" s="22"/>
    </row>
    <row r="176" spans="1:44">
      <c r="M176" s="3"/>
      <c r="O176" s="3"/>
      <c r="U176" s="3"/>
    </row>
    <row r="177" spans="1:43" s="24" customFormat="1">
      <c r="A177" s="1"/>
      <c r="B177" s="1"/>
      <c r="C177" s="1766"/>
      <c r="D177" s="1"/>
      <c r="E177" s="1"/>
      <c r="F177" s="1"/>
      <c r="G177" s="1"/>
      <c r="H177" s="1"/>
      <c r="I177" s="1"/>
      <c r="J177" s="1"/>
      <c r="K177" s="1"/>
      <c r="L177" s="3"/>
      <c r="M177" s="3"/>
      <c r="N177" s="176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K177" s="23"/>
      <c r="AL177" s="23"/>
      <c r="AM177" s="23"/>
      <c r="AN177" s="23"/>
      <c r="AO177" s="23"/>
      <c r="AP177" s="23"/>
      <c r="AQ177" s="23"/>
    </row>
    <row r="179" spans="1:43">
      <c r="M179" s="3">
        <f>M175+M168</f>
        <v>45706.949250000005</v>
      </c>
    </row>
  </sheetData>
  <mergeCells count="25">
    <mergeCell ref="Y4:Y5"/>
    <mergeCell ref="Z4:Z5"/>
    <mergeCell ref="A165:D165"/>
    <mergeCell ref="O4:O5"/>
    <mergeCell ref="P4:P5"/>
    <mergeCell ref="R4:S4"/>
    <mergeCell ref="T4:U4"/>
    <mergeCell ref="V4:W4"/>
    <mergeCell ref="X4:X5"/>
    <mergeCell ref="I4:I5"/>
    <mergeCell ref="J4:J5"/>
    <mergeCell ref="K4:K5"/>
    <mergeCell ref="L4:L5"/>
    <mergeCell ref="M4:M5"/>
    <mergeCell ref="N4:N5"/>
    <mergeCell ref="A2:X2"/>
    <mergeCell ref="A3:X3"/>
    <mergeCell ref="A4:A5"/>
    <mergeCell ref="B4:B5"/>
    <mergeCell ref="C4:C5"/>
    <mergeCell ref="D4:D5"/>
    <mergeCell ref="E4:E5"/>
    <mergeCell ref="F4:F5"/>
    <mergeCell ref="G4:G5"/>
    <mergeCell ref="H4:H5"/>
  </mergeCells>
  <pageMargins left="0" right="0" top="0.62992125984251968" bottom="0" header="0.43307086614173229" footer="0.31496062992125984"/>
  <pageSetup paperSize="9" scale="5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2">
    <tabColor rgb="FFFF0000"/>
  </sheetPr>
  <dimension ref="A1:AC37"/>
  <sheetViews>
    <sheetView view="pageBreakPreview" topLeftCell="A13" zoomScaleNormal="100" zoomScaleSheetLayoutView="100" workbookViewId="0">
      <selection activeCell="K24" sqref="K24"/>
    </sheetView>
  </sheetViews>
  <sheetFormatPr defaultRowHeight="12.75"/>
  <cols>
    <col min="1" max="1" width="5" style="745" customWidth="1"/>
    <col min="2" max="2" width="29.85546875" style="749" customWidth="1"/>
    <col min="3" max="3" width="6" style="749" customWidth="1"/>
    <col min="4" max="4" width="5.7109375" style="749" customWidth="1"/>
    <col min="5" max="5" width="5.85546875" style="745" customWidth="1"/>
    <col min="6" max="6" width="12.42578125" style="807" customWidth="1"/>
    <col min="7" max="7" width="6.140625" style="807" customWidth="1"/>
    <col min="8" max="8" width="9.42578125" style="807" customWidth="1"/>
    <col min="9" max="9" width="13.85546875" style="807" customWidth="1"/>
    <col min="10" max="10" width="6.28515625" style="807" customWidth="1"/>
    <col min="11" max="11" width="13.7109375" style="807" customWidth="1"/>
    <col min="12" max="12" width="6.85546875" style="807" customWidth="1"/>
    <col min="13" max="13" width="12.140625" style="807" customWidth="1"/>
    <col min="14" max="14" width="5.7109375" style="807" customWidth="1"/>
    <col min="15" max="15" width="11.140625" style="807" customWidth="1"/>
    <col min="16" max="16" width="15.42578125" style="807" customWidth="1"/>
    <col min="17" max="17" width="16.28515625" style="745" customWidth="1"/>
    <col min="18" max="18" width="16.42578125" style="745" customWidth="1"/>
    <col min="19" max="19" width="15" style="745" customWidth="1"/>
    <col min="20" max="20" width="25.28515625" style="745" customWidth="1"/>
    <col min="21" max="21" width="25.7109375" style="745" customWidth="1"/>
    <col min="22" max="256" width="9.140625" style="745"/>
    <col min="257" max="257" width="5" style="745" customWidth="1"/>
    <col min="258" max="258" width="29.85546875" style="745" customWidth="1"/>
    <col min="259" max="259" width="6" style="745" customWidth="1"/>
    <col min="260" max="260" width="5.7109375" style="745" customWidth="1"/>
    <col min="261" max="261" width="5.85546875" style="745" customWidth="1"/>
    <col min="262" max="262" width="12.42578125" style="745" customWidth="1"/>
    <col min="263" max="263" width="6.140625" style="745" customWidth="1"/>
    <col min="264" max="264" width="9.42578125" style="745" customWidth="1"/>
    <col min="265" max="265" width="12.5703125" style="745" customWidth="1"/>
    <col min="266" max="266" width="6.28515625" style="745" customWidth="1"/>
    <col min="267" max="267" width="11.42578125" style="745" customWidth="1"/>
    <col min="268" max="268" width="6.85546875" style="745" customWidth="1"/>
    <col min="269" max="269" width="12.140625" style="745" customWidth="1"/>
    <col min="270" max="270" width="5.7109375" style="745" customWidth="1"/>
    <col min="271" max="271" width="11.140625" style="745" customWidth="1"/>
    <col min="272" max="272" width="15.42578125" style="745" customWidth="1"/>
    <col min="273" max="273" width="14.7109375" style="745" customWidth="1"/>
    <col min="274" max="274" width="13.42578125" style="745" customWidth="1"/>
    <col min="275" max="275" width="15" style="745" customWidth="1"/>
    <col min="276" max="276" width="25.28515625" style="745" customWidth="1"/>
    <col min="277" max="277" width="25.7109375" style="745" customWidth="1"/>
    <col min="278" max="512" width="9.140625" style="745"/>
    <col min="513" max="513" width="5" style="745" customWidth="1"/>
    <col min="514" max="514" width="29.85546875" style="745" customWidth="1"/>
    <col min="515" max="515" width="6" style="745" customWidth="1"/>
    <col min="516" max="516" width="5.7109375" style="745" customWidth="1"/>
    <col min="517" max="517" width="5.85546875" style="745" customWidth="1"/>
    <col min="518" max="518" width="12.42578125" style="745" customWidth="1"/>
    <col min="519" max="519" width="6.140625" style="745" customWidth="1"/>
    <col min="520" max="520" width="9.42578125" style="745" customWidth="1"/>
    <col min="521" max="521" width="12.5703125" style="745" customWidth="1"/>
    <col min="522" max="522" width="6.28515625" style="745" customWidth="1"/>
    <col min="523" max="523" width="11.42578125" style="745" customWidth="1"/>
    <col min="524" max="524" width="6.85546875" style="745" customWidth="1"/>
    <col min="525" max="525" width="12.140625" style="745" customWidth="1"/>
    <col min="526" max="526" width="5.7109375" style="745" customWidth="1"/>
    <col min="527" max="527" width="11.140625" style="745" customWidth="1"/>
    <col min="528" max="528" width="15.42578125" style="745" customWidth="1"/>
    <col min="529" max="529" width="14.7109375" style="745" customWidth="1"/>
    <col min="530" max="530" width="13.42578125" style="745" customWidth="1"/>
    <col min="531" max="531" width="15" style="745" customWidth="1"/>
    <col min="532" max="532" width="25.28515625" style="745" customWidth="1"/>
    <col min="533" max="533" width="25.7109375" style="745" customWidth="1"/>
    <col min="534" max="768" width="9.140625" style="745"/>
    <col min="769" max="769" width="5" style="745" customWidth="1"/>
    <col min="770" max="770" width="29.85546875" style="745" customWidth="1"/>
    <col min="771" max="771" width="6" style="745" customWidth="1"/>
    <col min="772" max="772" width="5.7109375" style="745" customWidth="1"/>
    <col min="773" max="773" width="5.85546875" style="745" customWidth="1"/>
    <col min="774" max="774" width="12.42578125" style="745" customWidth="1"/>
    <col min="775" max="775" width="6.140625" style="745" customWidth="1"/>
    <col min="776" max="776" width="9.42578125" style="745" customWidth="1"/>
    <col min="777" max="777" width="12.5703125" style="745" customWidth="1"/>
    <col min="778" max="778" width="6.28515625" style="745" customWidth="1"/>
    <col min="779" max="779" width="11.42578125" style="745" customWidth="1"/>
    <col min="780" max="780" width="6.85546875" style="745" customWidth="1"/>
    <col min="781" max="781" width="12.140625" style="745" customWidth="1"/>
    <col min="782" max="782" width="5.7109375" style="745" customWidth="1"/>
    <col min="783" max="783" width="11.140625" style="745" customWidth="1"/>
    <col min="784" max="784" width="15.42578125" style="745" customWidth="1"/>
    <col min="785" max="785" width="14.7109375" style="745" customWidth="1"/>
    <col min="786" max="786" width="13.42578125" style="745" customWidth="1"/>
    <col min="787" max="787" width="15" style="745" customWidth="1"/>
    <col min="788" max="788" width="25.28515625" style="745" customWidth="1"/>
    <col min="789" max="789" width="25.7109375" style="745" customWidth="1"/>
    <col min="790" max="1024" width="9.140625" style="745"/>
    <col min="1025" max="1025" width="5" style="745" customWidth="1"/>
    <col min="1026" max="1026" width="29.85546875" style="745" customWidth="1"/>
    <col min="1027" max="1027" width="6" style="745" customWidth="1"/>
    <col min="1028" max="1028" width="5.7109375" style="745" customWidth="1"/>
    <col min="1029" max="1029" width="5.85546875" style="745" customWidth="1"/>
    <col min="1030" max="1030" width="12.42578125" style="745" customWidth="1"/>
    <col min="1031" max="1031" width="6.140625" style="745" customWidth="1"/>
    <col min="1032" max="1032" width="9.42578125" style="745" customWidth="1"/>
    <col min="1033" max="1033" width="12.5703125" style="745" customWidth="1"/>
    <col min="1034" max="1034" width="6.28515625" style="745" customWidth="1"/>
    <col min="1035" max="1035" width="11.42578125" style="745" customWidth="1"/>
    <col min="1036" max="1036" width="6.85546875" style="745" customWidth="1"/>
    <col min="1037" max="1037" width="12.140625" style="745" customWidth="1"/>
    <col min="1038" max="1038" width="5.7109375" style="745" customWidth="1"/>
    <col min="1039" max="1039" width="11.140625" style="745" customWidth="1"/>
    <col min="1040" max="1040" width="15.42578125" style="745" customWidth="1"/>
    <col min="1041" max="1041" width="14.7109375" style="745" customWidth="1"/>
    <col min="1042" max="1042" width="13.42578125" style="745" customWidth="1"/>
    <col min="1043" max="1043" width="15" style="745" customWidth="1"/>
    <col min="1044" max="1044" width="25.28515625" style="745" customWidth="1"/>
    <col min="1045" max="1045" width="25.7109375" style="745" customWidth="1"/>
    <col min="1046" max="1280" width="9.140625" style="745"/>
    <col min="1281" max="1281" width="5" style="745" customWidth="1"/>
    <col min="1282" max="1282" width="29.85546875" style="745" customWidth="1"/>
    <col min="1283" max="1283" width="6" style="745" customWidth="1"/>
    <col min="1284" max="1284" width="5.7109375" style="745" customWidth="1"/>
    <col min="1285" max="1285" width="5.85546875" style="745" customWidth="1"/>
    <col min="1286" max="1286" width="12.42578125" style="745" customWidth="1"/>
    <col min="1287" max="1287" width="6.140625" style="745" customWidth="1"/>
    <col min="1288" max="1288" width="9.42578125" style="745" customWidth="1"/>
    <col min="1289" max="1289" width="12.5703125" style="745" customWidth="1"/>
    <col min="1290" max="1290" width="6.28515625" style="745" customWidth="1"/>
    <col min="1291" max="1291" width="11.42578125" style="745" customWidth="1"/>
    <col min="1292" max="1292" width="6.85546875" style="745" customWidth="1"/>
    <col min="1293" max="1293" width="12.140625" style="745" customWidth="1"/>
    <col min="1294" max="1294" width="5.7109375" style="745" customWidth="1"/>
    <col min="1295" max="1295" width="11.140625" style="745" customWidth="1"/>
    <col min="1296" max="1296" width="15.42578125" style="745" customWidth="1"/>
    <col min="1297" max="1297" width="14.7109375" style="745" customWidth="1"/>
    <col min="1298" max="1298" width="13.42578125" style="745" customWidth="1"/>
    <col min="1299" max="1299" width="15" style="745" customWidth="1"/>
    <col min="1300" max="1300" width="25.28515625" style="745" customWidth="1"/>
    <col min="1301" max="1301" width="25.7109375" style="745" customWidth="1"/>
    <col min="1302" max="1536" width="9.140625" style="745"/>
    <col min="1537" max="1537" width="5" style="745" customWidth="1"/>
    <col min="1538" max="1538" width="29.85546875" style="745" customWidth="1"/>
    <col min="1539" max="1539" width="6" style="745" customWidth="1"/>
    <col min="1540" max="1540" width="5.7109375" style="745" customWidth="1"/>
    <col min="1541" max="1541" width="5.85546875" style="745" customWidth="1"/>
    <col min="1542" max="1542" width="12.42578125" style="745" customWidth="1"/>
    <col min="1543" max="1543" width="6.140625" style="745" customWidth="1"/>
    <col min="1544" max="1544" width="9.42578125" style="745" customWidth="1"/>
    <col min="1545" max="1545" width="12.5703125" style="745" customWidth="1"/>
    <col min="1546" max="1546" width="6.28515625" style="745" customWidth="1"/>
    <col min="1547" max="1547" width="11.42578125" style="745" customWidth="1"/>
    <col min="1548" max="1548" width="6.85546875" style="745" customWidth="1"/>
    <col min="1549" max="1549" width="12.140625" style="745" customWidth="1"/>
    <col min="1550" max="1550" width="5.7109375" style="745" customWidth="1"/>
    <col min="1551" max="1551" width="11.140625" style="745" customWidth="1"/>
    <col min="1552" max="1552" width="15.42578125" style="745" customWidth="1"/>
    <col min="1553" max="1553" width="14.7109375" style="745" customWidth="1"/>
    <col min="1554" max="1554" width="13.42578125" style="745" customWidth="1"/>
    <col min="1555" max="1555" width="15" style="745" customWidth="1"/>
    <col min="1556" max="1556" width="25.28515625" style="745" customWidth="1"/>
    <col min="1557" max="1557" width="25.7109375" style="745" customWidth="1"/>
    <col min="1558" max="1792" width="9.140625" style="745"/>
    <col min="1793" max="1793" width="5" style="745" customWidth="1"/>
    <col min="1794" max="1794" width="29.85546875" style="745" customWidth="1"/>
    <col min="1795" max="1795" width="6" style="745" customWidth="1"/>
    <col min="1796" max="1796" width="5.7109375" style="745" customWidth="1"/>
    <col min="1797" max="1797" width="5.85546875" style="745" customWidth="1"/>
    <col min="1798" max="1798" width="12.42578125" style="745" customWidth="1"/>
    <col min="1799" max="1799" width="6.140625" style="745" customWidth="1"/>
    <col min="1800" max="1800" width="9.42578125" style="745" customWidth="1"/>
    <col min="1801" max="1801" width="12.5703125" style="745" customWidth="1"/>
    <col min="1802" max="1802" width="6.28515625" style="745" customWidth="1"/>
    <col min="1803" max="1803" width="11.42578125" style="745" customWidth="1"/>
    <col min="1804" max="1804" width="6.85546875" style="745" customWidth="1"/>
    <col min="1805" max="1805" width="12.140625" style="745" customWidth="1"/>
    <col min="1806" max="1806" width="5.7109375" style="745" customWidth="1"/>
    <col min="1807" max="1807" width="11.140625" style="745" customWidth="1"/>
    <col min="1808" max="1808" width="15.42578125" style="745" customWidth="1"/>
    <col min="1809" max="1809" width="14.7109375" style="745" customWidth="1"/>
    <col min="1810" max="1810" width="13.42578125" style="745" customWidth="1"/>
    <col min="1811" max="1811" width="15" style="745" customWidth="1"/>
    <col min="1812" max="1812" width="25.28515625" style="745" customWidth="1"/>
    <col min="1813" max="1813" width="25.7109375" style="745" customWidth="1"/>
    <col min="1814" max="2048" width="9.140625" style="745"/>
    <col min="2049" max="2049" width="5" style="745" customWidth="1"/>
    <col min="2050" max="2050" width="29.85546875" style="745" customWidth="1"/>
    <col min="2051" max="2051" width="6" style="745" customWidth="1"/>
    <col min="2052" max="2052" width="5.7109375" style="745" customWidth="1"/>
    <col min="2053" max="2053" width="5.85546875" style="745" customWidth="1"/>
    <col min="2054" max="2054" width="12.42578125" style="745" customWidth="1"/>
    <col min="2055" max="2055" width="6.140625" style="745" customWidth="1"/>
    <col min="2056" max="2056" width="9.42578125" style="745" customWidth="1"/>
    <col min="2057" max="2057" width="12.5703125" style="745" customWidth="1"/>
    <col min="2058" max="2058" width="6.28515625" style="745" customWidth="1"/>
    <col min="2059" max="2059" width="11.42578125" style="745" customWidth="1"/>
    <col min="2060" max="2060" width="6.85546875" style="745" customWidth="1"/>
    <col min="2061" max="2061" width="12.140625" style="745" customWidth="1"/>
    <col min="2062" max="2062" width="5.7109375" style="745" customWidth="1"/>
    <col min="2063" max="2063" width="11.140625" style="745" customWidth="1"/>
    <col min="2064" max="2064" width="15.42578125" style="745" customWidth="1"/>
    <col min="2065" max="2065" width="14.7109375" style="745" customWidth="1"/>
    <col min="2066" max="2066" width="13.42578125" style="745" customWidth="1"/>
    <col min="2067" max="2067" width="15" style="745" customWidth="1"/>
    <col min="2068" max="2068" width="25.28515625" style="745" customWidth="1"/>
    <col min="2069" max="2069" width="25.7109375" style="745" customWidth="1"/>
    <col min="2070" max="2304" width="9.140625" style="745"/>
    <col min="2305" max="2305" width="5" style="745" customWidth="1"/>
    <col min="2306" max="2306" width="29.85546875" style="745" customWidth="1"/>
    <col min="2307" max="2307" width="6" style="745" customWidth="1"/>
    <col min="2308" max="2308" width="5.7109375" style="745" customWidth="1"/>
    <col min="2309" max="2309" width="5.85546875" style="745" customWidth="1"/>
    <col min="2310" max="2310" width="12.42578125" style="745" customWidth="1"/>
    <col min="2311" max="2311" width="6.140625" style="745" customWidth="1"/>
    <col min="2312" max="2312" width="9.42578125" style="745" customWidth="1"/>
    <col min="2313" max="2313" width="12.5703125" style="745" customWidth="1"/>
    <col min="2314" max="2314" width="6.28515625" style="745" customWidth="1"/>
    <col min="2315" max="2315" width="11.42578125" style="745" customWidth="1"/>
    <col min="2316" max="2316" width="6.85546875" style="745" customWidth="1"/>
    <col min="2317" max="2317" width="12.140625" style="745" customWidth="1"/>
    <col min="2318" max="2318" width="5.7109375" style="745" customWidth="1"/>
    <col min="2319" max="2319" width="11.140625" style="745" customWidth="1"/>
    <col min="2320" max="2320" width="15.42578125" style="745" customWidth="1"/>
    <col min="2321" max="2321" width="14.7109375" style="745" customWidth="1"/>
    <col min="2322" max="2322" width="13.42578125" style="745" customWidth="1"/>
    <col min="2323" max="2323" width="15" style="745" customWidth="1"/>
    <col min="2324" max="2324" width="25.28515625" style="745" customWidth="1"/>
    <col min="2325" max="2325" width="25.7109375" style="745" customWidth="1"/>
    <col min="2326" max="2560" width="9.140625" style="745"/>
    <col min="2561" max="2561" width="5" style="745" customWidth="1"/>
    <col min="2562" max="2562" width="29.85546875" style="745" customWidth="1"/>
    <col min="2563" max="2563" width="6" style="745" customWidth="1"/>
    <col min="2564" max="2564" width="5.7109375" style="745" customWidth="1"/>
    <col min="2565" max="2565" width="5.85546875" style="745" customWidth="1"/>
    <col min="2566" max="2566" width="12.42578125" style="745" customWidth="1"/>
    <col min="2567" max="2567" width="6.140625" style="745" customWidth="1"/>
    <col min="2568" max="2568" width="9.42578125" style="745" customWidth="1"/>
    <col min="2569" max="2569" width="12.5703125" style="745" customWidth="1"/>
    <col min="2570" max="2570" width="6.28515625" style="745" customWidth="1"/>
    <col min="2571" max="2571" width="11.42578125" style="745" customWidth="1"/>
    <col min="2572" max="2572" width="6.85546875" style="745" customWidth="1"/>
    <col min="2573" max="2573" width="12.140625" style="745" customWidth="1"/>
    <col min="2574" max="2574" width="5.7109375" style="745" customWidth="1"/>
    <col min="2575" max="2575" width="11.140625" style="745" customWidth="1"/>
    <col min="2576" max="2576" width="15.42578125" style="745" customWidth="1"/>
    <col min="2577" max="2577" width="14.7109375" style="745" customWidth="1"/>
    <col min="2578" max="2578" width="13.42578125" style="745" customWidth="1"/>
    <col min="2579" max="2579" width="15" style="745" customWidth="1"/>
    <col min="2580" max="2580" width="25.28515625" style="745" customWidth="1"/>
    <col min="2581" max="2581" width="25.7109375" style="745" customWidth="1"/>
    <col min="2582" max="2816" width="9.140625" style="745"/>
    <col min="2817" max="2817" width="5" style="745" customWidth="1"/>
    <col min="2818" max="2818" width="29.85546875" style="745" customWidth="1"/>
    <col min="2819" max="2819" width="6" style="745" customWidth="1"/>
    <col min="2820" max="2820" width="5.7109375" style="745" customWidth="1"/>
    <col min="2821" max="2821" width="5.85546875" style="745" customWidth="1"/>
    <col min="2822" max="2822" width="12.42578125" style="745" customWidth="1"/>
    <col min="2823" max="2823" width="6.140625" style="745" customWidth="1"/>
    <col min="2824" max="2824" width="9.42578125" style="745" customWidth="1"/>
    <col min="2825" max="2825" width="12.5703125" style="745" customWidth="1"/>
    <col min="2826" max="2826" width="6.28515625" style="745" customWidth="1"/>
    <col min="2827" max="2827" width="11.42578125" style="745" customWidth="1"/>
    <col min="2828" max="2828" width="6.85546875" style="745" customWidth="1"/>
    <col min="2829" max="2829" width="12.140625" style="745" customWidth="1"/>
    <col min="2830" max="2830" width="5.7109375" style="745" customWidth="1"/>
    <col min="2831" max="2831" width="11.140625" style="745" customWidth="1"/>
    <col min="2832" max="2832" width="15.42578125" style="745" customWidth="1"/>
    <col min="2833" max="2833" width="14.7109375" style="745" customWidth="1"/>
    <col min="2834" max="2834" width="13.42578125" style="745" customWidth="1"/>
    <col min="2835" max="2835" width="15" style="745" customWidth="1"/>
    <col min="2836" max="2836" width="25.28515625" style="745" customWidth="1"/>
    <col min="2837" max="2837" width="25.7109375" style="745" customWidth="1"/>
    <col min="2838" max="3072" width="9.140625" style="745"/>
    <col min="3073" max="3073" width="5" style="745" customWidth="1"/>
    <col min="3074" max="3074" width="29.85546875" style="745" customWidth="1"/>
    <col min="3075" max="3075" width="6" style="745" customWidth="1"/>
    <col min="3076" max="3076" width="5.7109375" style="745" customWidth="1"/>
    <col min="3077" max="3077" width="5.85546875" style="745" customWidth="1"/>
    <col min="3078" max="3078" width="12.42578125" style="745" customWidth="1"/>
    <col min="3079" max="3079" width="6.140625" style="745" customWidth="1"/>
    <col min="3080" max="3080" width="9.42578125" style="745" customWidth="1"/>
    <col min="3081" max="3081" width="12.5703125" style="745" customWidth="1"/>
    <col min="3082" max="3082" width="6.28515625" style="745" customWidth="1"/>
    <col min="3083" max="3083" width="11.42578125" style="745" customWidth="1"/>
    <col min="3084" max="3084" width="6.85546875" style="745" customWidth="1"/>
    <col min="3085" max="3085" width="12.140625" style="745" customWidth="1"/>
    <col min="3086" max="3086" width="5.7109375" style="745" customWidth="1"/>
    <col min="3087" max="3087" width="11.140625" style="745" customWidth="1"/>
    <col min="3088" max="3088" width="15.42578125" style="745" customWidth="1"/>
    <col min="3089" max="3089" width="14.7109375" style="745" customWidth="1"/>
    <col min="3090" max="3090" width="13.42578125" style="745" customWidth="1"/>
    <col min="3091" max="3091" width="15" style="745" customWidth="1"/>
    <col min="3092" max="3092" width="25.28515625" style="745" customWidth="1"/>
    <col min="3093" max="3093" width="25.7109375" style="745" customWidth="1"/>
    <col min="3094" max="3328" width="9.140625" style="745"/>
    <col min="3329" max="3329" width="5" style="745" customWidth="1"/>
    <col min="3330" max="3330" width="29.85546875" style="745" customWidth="1"/>
    <col min="3331" max="3331" width="6" style="745" customWidth="1"/>
    <col min="3332" max="3332" width="5.7109375" style="745" customWidth="1"/>
    <col min="3333" max="3333" width="5.85546875" style="745" customWidth="1"/>
    <col min="3334" max="3334" width="12.42578125" style="745" customWidth="1"/>
    <col min="3335" max="3335" width="6.140625" style="745" customWidth="1"/>
    <col min="3336" max="3336" width="9.42578125" style="745" customWidth="1"/>
    <col min="3337" max="3337" width="12.5703125" style="745" customWidth="1"/>
    <col min="3338" max="3338" width="6.28515625" style="745" customWidth="1"/>
    <col min="3339" max="3339" width="11.42578125" style="745" customWidth="1"/>
    <col min="3340" max="3340" width="6.85546875" style="745" customWidth="1"/>
    <col min="3341" max="3341" width="12.140625" style="745" customWidth="1"/>
    <col min="3342" max="3342" width="5.7109375" style="745" customWidth="1"/>
    <col min="3343" max="3343" width="11.140625" style="745" customWidth="1"/>
    <col min="3344" max="3344" width="15.42578125" style="745" customWidth="1"/>
    <col min="3345" max="3345" width="14.7109375" style="745" customWidth="1"/>
    <col min="3346" max="3346" width="13.42578125" style="745" customWidth="1"/>
    <col min="3347" max="3347" width="15" style="745" customWidth="1"/>
    <col min="3348" max="3348" width="25.28515625" style="745" customWidth="1"/>
    <col min="3349" max="3349" width="25.7109375" style="745" customWidth="1"/>
    <col min="3350" max="3584" width="9.140625" style="745"/>
    <col min="3585" max="3585" width="5" style="745" customWidth="1"/>
    <col min="3586" max="3586" width="29.85546875" style="745" customWidth="1"/>
    <col min="3587" max="3587" width="6" style="745" customWidth="1"/>
    <col min="3588" max="3588" width="5.7109375" style="745" customWidth="1"/>
    <col min="3589" max="3589" width="5.85546875" style="745" customWidth="1"/>
    <col min="3590" max="3590" width="12.42578125" style="745" customWidth="1"/>
    <col min="3591" max="3591" width="6.140625" style="745" customWidth="1"/>
    <col min="3592" max="3592" width="9.42578125" style="745" customWidth="1"/>
    <col min="3593" max="3593" width="12.5703125" style="745" customWidth="1"/>
    <col min="3594" max="3594" width="6.28515625" style="745" customWidth="1"/>
    <col min="3595" max="3595" width="11.42578125" style="745" customWidth="1"/>
    <col min="3596" max="3596" width="6.85546875" style="745" customWidth="1"/>
    <col min="3597" max="3597" width="12.140625" style="745" customWidth="1"/>
    <col min="3598" max="3598" width="5.7109375" style="745" customWidth="1"/>
    <col min="3599" max="3599" width="11.140625" style="745" customWidth="1"/>
    <col min="3600" max="3600" width="15.42578125" style="745" customWidth="1"/>
    <col min="3601" max="3601" width="14.7109375" style="745" customWidth="1"/>
    <col min="3602" max="3602" width="13.42578125" style="745" customWidth="1"/>
    <col min="3603" max="3603" width="15" style="745" customWidth="1"/>
    <col min="3604" max="3604" width="25.28515625" style="745" customWidth="1"/>
    <col min="3605" max="3605" width="25.7109375" style="745" customWidth="1"/>
    <col min="3606" max="3840" width="9.140625" style="745"/>
    <col min="3841" max="3841" width="5" style="745" customWidth="1"/>
    <col min="3842" max="3842" width="29.85546875" style="745" customWidth="1"/>
    <col min="3843" max="3843" width="6" style="745" customWidth="1"/>
    <col min="3844" max="3844" width="5.7109375" style="745" customWidth="1"/>
    <col min="3845" max="3845" width="5.85546875" style="745" customWidth="1"/>
    <col min="3846" max="3846" width="12.42578125" style="745" customWidth="1"/>
    <col min="3847" max="3847" width="6.140625" style="745" customWidth="1"/>
    <col min="3848" max="3848" width="9.42578125" style="745" customWidth="1"/>
    <col min="3849" max="3849" width="12.5703125" style="745" customWidth="1"/>
    <col min="3850" max="3850" width="6.28515625" style="745" customWidth="1"/>
    <col min="3851" max="3851" width="11.42578125" style="745" customWidth="1"/>
    <col min="3852" max="3852" width="6.85546875" style="745" customWidth="1"/>
    <col min="3853" max="3853" width="12.140625" style="745" customWidth="1"/>
    <col min="3854" max="3854" width="5.7109375" style="745" customWidth="1"/>
    <col min="3855" max="3855" width="11.140625" style="745" customWidth="1"/>
    <col min="3856" max="3856" width="15.42578125" style="745" customWidth="1"/>
    <col min="3857" max="3857" width="14.7109375" style="745" customWidth="1"/>
    <col min="3858" max="3858" width="13.42578125" style="745" customWidth="1"/>
    <col min="3859" max="3859" width="15" style="745" customWidth="1"/>
    <col min="3860" max="3860" width="25.28515625" style="745" customWidth="1"/>
    <col min="3861" max="3861" width="25.7109375" style="745" customWidth="1"/>
    <col min="3862" max="4096" width="9.140625" style="745"/>
    <col min="4097" max="4097" width="5" style="745" customWidth="1"/>
    <col min="4098" max="4098" width="29.85546875" style="745" customWidth="1"/>
    <col min="4099" max="4099" width="6" style="745" customWidth="1"/>
    <col min="4100" max="4100" width="5.7109375" style="745" customWidth="1"/>
    <col min="4101" max="4101" width="5.85546875" style="745" customWidth="1"/>
    <col min="4102" max="4102" width="12.42578125" style="745" customWidth="1"/>
    <col min="4103" max="4103" width="6.140625" style="745" customWidth="1"/>
    <col min="4104" max="4104" width="9.42578125" style="745" customWidth="1"/>
    <col min="4105" max="4105" width="12.5703125" style="745" customWidth="1"/>
    <col min="4106" max="4106" width="6.28515625" style="745" customWidth="1"/>
    <col min="4107" max="4107" width="11.42578125" style="745" customWidth="1"/>
    <col min="4108" max="4108" width="6.85546875" style="745" customWidth="1"/>
    <col min="4109" max="4109" width="12.140625" style="745" customWidth="1"/>
    <col min="4110" max="4110" width="5.7109375" style="745" customWidth="1"/>
    <col min="4111" max="4111" width="11.140625" style="745" customWidth="1"/>
    <col min="4112" max="4112" width="15.42578125" style="745" customWidth="1"/>
    <col min="4113" max="4113" width="14.7109375" style="745" customWidth="1"/>
    <col min="4114" max="4114" width="13.42578125" style="745" customWidth="1"/>
    <col min="4115" max="4115" width="15" style="745" customWidth="1"/>
    <col min="4116" max="4116" width="25.28515625" style="745" customWidth="1"/>
    <col min="4117" max="4117" width="25.7109375" style="745" customWidth="1"/>
    <col min="4118" max="4352" width="9.140625" style="745"/>
    <col min="4353" max="4353" width="5" style="745" customWidth="1"/>
    <col min="4354" max="4354" width="29.85546875" style="745" customWidth="1"/>
    <col min="4355" max="4355" width="6" style="745" customWidth="1"/>
    <col min="4356" max="4356" width="5.7109375" style="745" customWidth="1"/>
    <col min="4357" max="4357" width="5.85546875" style="745" customWidth="1"/>
    <col min="4358" max="4358" width="12.42578125" style="745" customWidth="1"/>
    <col min="4359" max="4359" width="6.140625" style="745" customWidth="1"/>
    <col min="4360" max="4360" width="9.42578125" style="745" customWidth="1"/>
    <col min="4361" max="4361" width="12.5703125" style="745" customWidth="1"/>
    <col min="4362" max="4362" width="6.28515625" style="745" customWidth="1"/>
    <col min="4363" max="4363" width="11.42578125" style="745" customWidth="1"/>
    <col min="4364" max="4364" width="6.85546875" style="745" customWidth="1"/>
    <col min="4365" max="4365" width="12.140625" style="745" customWidth="1"/>
    <col min="4366" max="4366" width="5.7109375" style="745" customWidth="1"/>
    <col min="4367" max="4367" width="11.140625" style="745" customWidth="1"/>
    <col min="4368" max="4368" width="15.42578125" style="745" customWidth="1"/>
    <col min="4369" max="4369" width="14.7109375" style="745" customWidth="1"/>
    <col min="4370" max="4370" width="13.42578125" style="745" customWidth="1"/>
    <col min="4371" max="4371" width="15" style="745" customWidth="1"/>
    <col min="4372" max="4372" width="25.28515625" style="745" customWidth="1"/>
    <col min="4373" max="4373" width="25.7109375" style="745" customWidth="1"/>
    <col min="4374" max="4608" width="9.140625" style="745"/>
    <col min="4609" max="4609" width="5" style="745" customWidth="1"/>
    <col min="4610" max="4610" width="29.85546875" style="745" customWidth="1"/>
    <col min="4611" max="4611" width="6" style="745" customWidth="1"/>
    <col min="4612" max="4612" width="5.7109375" style="745" customWidth="1"/>
    <col min="4613" max="4613" width="5.85546875" style="745" customWidth="1"/>
    <col min="4614" max="4614" width="12.42578125" style="745" customWidth="1"/>
    <col min="4615" max="4615" width="6.140625" style="745" customWidth="1"/>
    <col min="4616" max="4616" width="9.42578125" style="745" customWidth="1"/>
    <col min="4617" max="4617" width="12.5703125" style="745" customWidth="1"/>
    <col min="4618" max="4618" width="6.28515625" style="745" customWidth="1"/>
    <col min="4619" max="4619" width="11.42578125" style="745" customWidth="1"/>
    <col min="4620" max="4620" width="6.85546875" style="745" customWidth="1"/>
    <col min="4621" max="4621" width="12.140625" style="745" customWidth="1"/>
    <col min="4622" max="4622" width="5.7109375" style="745" customWidth="1"/>
    <col min="4623" max="4623" width="11.140625" style="745" customWidth="1"/>
    <col min="4624" max="4624" width="15.42578125" style="745" customWidth="1"/>
    <col min="4625" max="4625" width="14.7109375" style="745" customWidth="1"/>
    <col min="4626" max="4626" width="13.42578125" style="745" customWidth="1"/>
    <col min="4627" max="4627" width="15" style="745" customWidth="1"/>
    <col min="4628" max="4628" width="25.28515625" style="745" customWidth="1"/>
    <col min="4629" max="4629" width="25.7109375" style="745" customWidth="1"/>
    <col min="4630" max="4864" width="9.140625" style="745"/>
    <col min="4865" max="4865" width="5" style="745" customWidth="1"/>
    <col min="4866" max="4866" width="29.85546875" style="745" customWidth="1"/>
    <col min="4867" max="4867" width="6" style="745" customWidth="1"/>
    <col min="4868" max="4868" width="5.7109375" style="745" customWidth="1"/>
    <col min="4869" max="4869" width="5.85546875" style="745" customWidth="1"/>
    <col min="4870" max="4870" width="12.42578125" style="745" customWidth="1"/>
    <col min="4871" max="4871" width="6.140625" style="745" customWidth="1"/>
    <col min="4872" max="4872" width="9.42578125" style="745" customWidth="1"/>
    <col min="4873" max="4873" width="12.5703125" style="745" customWidth="1"/>
    <col min="4874" max="4874" width="6.28515625" style="745" customWidth="1"/>
    <col min="4875" max="4875" width="11.42578125" style="745" customWidth="1"/>
    <col min="4876" max="4876" width="6.85546875" style="745" customWidth="1"/>
    <col min="4877" max="4877" width="12.140625" style="745" customWidth="1"/>
    <col min="4878" max="4878" width="5.7109375" style="745" customWidth="1"/>
    <col min="4879" max="4879" width="11.140625" style="745" customWidth="1"/>
    <col min="4880" max="4880" width="15.42578125" style="745" customWidth="1"/>
    <col min="4881" max="4881" width="14.7109375" style="745" customWidth="1"/>
    <col min="4882" max="4882" width="13.42578125" style="745" customWidth="1"/>
    <col min="4883" max="4883" width="15" style="745" customWidth="1"/>
    <col min="4884" max="4884" width="25.28515625" style="745" customWidth="1"/>
    <col min="4885" max="4885" width="25.7109375" style="745" customWidth="1"/>
    <col min="4886" max="5120" width="9.140625" style="745"/>
    <col min="5121" max="5121" width="5" style="745" customWidth="1"/>
    <col min="5122" max="5122" width="29.85546875" style="745" customWidth="1"/>
    <col min="5123" max="5123" width="6" style="745" customWidth="1"/>
    <col min="5124" max="5124" width="5.7109375" style="745" customWidth="1"/>
    <col min="5125" max="5125" width="5.85546875" style="745" customWidth="1"/>
    <col min="5126" max="5126" width="12.42578125" style="745" customWidth="1"/>
    <col min="5127" max="5127" width="6.140625" style="745" customWidth="1"/>
    <col min="5128" max="5128" width="9.42578125" style="745" customWidth="1"/>
    <col min="5129" max="5129" width="12.5703125" style="745" customWidth="1"/>
    <col min="5130" max="5130" width="6.28515625" style="745" customWidth="1"/>
    <col min="5131" max="5131" width="11.42578125" style="745" customWidth="1"/>
    <col min="5132" max="5132" width="6.85546875" style="745" customWidth="1"/>
    <col min="5133" max="5133" width="12.140625" style="745" customWidth="1"/>
    <col min="5134" max="5134" width="5.7109375" style="745" customWidth="1"/>
    <col min="5135" max="5135" width="11.140625" style="745" customWidth="1"/>
    <col min="5136" max="5136" width="15.42578125" style="745" customWidth="1"/>
    <col min="5137" max="5137" width="14.7109375" style="745" customWidth="1"/>
    <col min="5138" max="5138" width="13.42578125" style="745" customWidth="1"/>
    <col min="5139" max="5139" width="15" style="745" customWidth="1"/>
    <col min="5140" max="5140" width="25.28515625" style="745" customWidth="1"/>
    <col min="5141" max="5141" width="25.7109375" style="745" customWidth="1"/>
    <col min="5142" max="5376" width="9.140625" style="745"/>
    <col min="5377" max="5377" width="5" style="745" customWidth="1"/>
    <col min="5378" max="5378" width="29.85546875" style="745" customWidth="1"/>
    <col min="5379" max="5379" width="6" style="745" customWidth="1"/>
    <col min="5380" max="5380" width="5.7109375" style="745" customWidth="1"/>
    <col min="5381" max="5381" width="5.85546875" style="745" customWidth="1"/>
    <col min="5382" max="5382" width="12.42578125" style="745" customWidth="1"/>
    <col min="5383" max="5383" width="6.140625" style="745" customWidth="1"/>
    <col min="5384" max="5384" width="9.42578125" style="745" customWidth="1"/>
    <col min="5385" max="5385" width="12.5703125" style="745" customWidth="1"/>
    <col min="5386" max="5386" width="6.28515625" style="745" customWidth="1"/>
    <col min="5387" max="5387" width="11.42578125" style="745" customWidth="1"/>
    <col min="5388" max="5388" width="6.85546875" style="745" customWidth="1"/>
    <col min="5389" max="5389" width="12.140625" style="745" customWidth="1"/>
    <col min="5390" max="5390" width="5.7109375" style="745" customWidth="1"/>
    <col min="5391" max="5391" width="11.140625" style="745" customWidth="1"/>
    <col min="5392" max="5392" width="15.42578125" style="745" customWidth="1"/>
    <col min="5393" max="5393" width="14.7109375" style="745" customWidth="1"/>
    <col min="5394" max="5394" width="13.42578125" style="745" customWidth="1"/>
    <col min="5395" max="5395" width="15" style="745" customWidth="1"/>
    <col min="5396" max="5396" width="25.28515625" style="745" customWidth="1"/>
    <col min="5397" max="5397" width="25.7109375" style="745" customWidth="1"/>
    <col min="5398" max="5632" width="9.140625" style="745"/>
    <col min="5633" max="5633" width="5" style="745" customWidth="1"/>
    <col min="5634" max="5634" width="29.85546875" style="745" customWidth="1"/>
    <col min="5635" max="5635" width="6" style="745" customWidth="1"/>
    <col min="5636" max="5636" width="5.7109375" style="745" customWidth="1"/>
    <col min="5637" max="5637" width="5.85546875" style="745" customWidth="1"/>
    <col min="5638" max="5638" width="12.42578125" style="745" customWidth="1"/>
    <col min="5639" max="5639" width="6.140625" style="745" customWidth="1"/>
    <col min="5640" max="5640" width="9.42578125" style="745" customWidth="1"/>
    <col min="5641" max="5641" width="12.5703125" style="745" customWidth="1"/>
    <col min="5642" max="5642" width="6.28515625" style="745" customWidth="1"/>
    <col min="5643" max="5643" width="11.42578125" style="745" customWidth="1"/>
    <col min="5644" max="5644" width="6.85546875" style="745" customWidth="1"/>
    <col min="5645" max="5645" width="12.140625" style="745" customWidth="1"/>
    <col min="5646" max="5646" width="5.7109375" style="745" customWidth="1"/>
    <col min="5647" max="5647" width="11.140625" style="745" customWidth="1"/>
    <col min="5648" max="5648" width="15.42578125" style="745" customWidth="1"/>
    <col min="5649" max="5649" width="14.7109375" style="745" customWidth="1"/>
    <col min="5650" max="5650" width="13.42578125" style="745" customWidth="1"/>
    <col min="5651" max="5651" width="15" style="745" customWidth="1"/>
    <col min="5652" max="5652" width="25.28515625" style="745" customWidth="1"/>
    <col min="5653" max="5653" width="25.7109375" style="745" customWidth="1"/>
    <col min="5654" max="5888" width="9.140625" style="745"/>
    <col min="5889" max="5889" width="5" style="745" customWidth="1"/>
    <col min="5890" max="5890" width="29.85546875" style="745" customWidth="1"/>
    <col min="5891" max="5891" width="6" style="745" customWidth="1"/>
    <col min="5892" max="5892" width="5.7109375" style="745" customWidth="1"/>
    <col min="5893" max="5893" width="5.85546875" style="745" customWidth="1"/>
    <col min="5894" max="5894" width="12.42578125" style="745" customWidth="1"/>
    <col min="5895" max="5895" width="6.140625" style="745" customWidth="1"/>
    <col min="5896" max="5896" width="9.42578125" style="745" customWidth="1"/>
    <col min="5897" max="5897" width="12.5703125" style="745" customWidth="1"/>
    <col min="5898" max="5898" width="6.28515625" style="745" customWidth="1"/>
    <col min="5899" max="5899" width="11.42578125" style="745" customWidth="1"/>
    <col min="5900" max="5900" width="6.85546875" style="745" customWidth="1"/>
    <col min="5901" max="5901" width="12.140625" style="745" customWidth="1"/>
    <col min="5902" max="5902" width="5.7109375" style="745" customWidth="1"/>
    <col min="5903" max="5903" width="11.140625" style="745" customWidth="1"/>
    <col min="5904" max="5904" width="15.42578125" style="745" customWidth="1"/>
    <col min="5905" max="5905" width="14.7109375" style="745" customWidth="1"/>
    <col min="5906" max="5906" width="13.42578125" style="745" customWidth="1"/>
    <col min="5907" max="5907" width="15" style="745" customWidth="1"/>
    <col min="5908" max="5908" width="25.28515625" style="745" customWidth="1"/>
    <col min="5909" max="5909" width="25.7109375" style="745" customWidth="1"/>
    <col min="5910" max="6144" width="9.140625" style="745"/>
    <col min="6145" max="6145" width="5" style="745" customWidth="1"/>
    <col min="6146" max="6146" width="29.85546875" style="745" customWidth="1"/>
    <col min="6147" max="6147" width="6" style="745" customWidth="1"/>
    <col min="6148" max="6148" width="5.7109375" style="745" customWidth="1"/>
    <col min="6149" max="6149" width="5.85546875" style="745" customWidth="1"/>
    <col min="6150" max="6150" width="12.42578125" style="745" customWidth="1"/>
    <col min="6151" max="6151" width="6.140625" style="745" customWidth="1"/>
    <col min="6152" max="6152" width="9.42578125" style="745" customWidth="1"/>
    <col min="6153" max="6153" width="12.5703125" style="745" customWidth="1"/>
    <col min="6154" max="6154" width="6.28515625" style="745" customWidth="1"/>
    <col min="6155" max="6155" width="11.42578125" style="745" customWidth="1"/>
    <col min="6156" max="6156" width="6.85546875" style="745" customWidth="1"/>
    <col min="6157" max="6157" width="12.140625" style="745" customWidth="1"/>
    <col min="6158" max="6158" width="5.7109375" style="745" customWidth="1"/>
    <col min="6159" max="6159" width="11.140625" style="745" customWidth="1"/>
    <col min="6160" max="6160" width="15.42578125" style="745" customWidth="1"/>
    <col min="6161" max="6161" width="14.7109375" style="745" customWidth="1"/>
    <col min="6162" max="6162" width="13.42578125" style="745" customWidth="1"/>
    <col min="6163" max="6163" width="15" style="745" customWidth="1"/>
    <col min="6164" max="6164" width="25.28515625" style="745" customWidth="1"/>
    <col min="6165" max="6165" width="25.7109375" style="745" customWidth="1"/>
    <col min="6166" max="6400" width="9.140625" style="745"/>
    <col min="6401" max="6401" width="5" style="745" customWidth="1"/>
    <col min="6402" max="6402" width="29.85546875" style="745" customWidth="1"/>
    <col min="6403" max="6403" width="6" style="745" customWidth="1"/>
    <col min="6404" max="6404" width="5.7109375" style="745" customWidth="1"/>
    <col min="6405" max="6405" width="5.85546875" style="745" customWidth="1"/>
    <col min="6406" max="6406" width="12.42578125" style="745" customWidth="1"/>
    <col min="6407" max="6407" width="6.140625" style="745" customWidth="1"/>
    <col min="6408" max="6408" width="9.42578125" style="745" customWidth="1"/>
    <col min="6409" max="6409" width="12.5703125" style="745" customWidth="1"/>
    <col min="6410" max="6410" width="6.28515625" style="745" customWidth="1"/>
    <col min="6411" max="6411" width="11.42578125" style="745" customWidth="1"/>
    <col min="6412" max="6412" width="6.85546875" style="745" customWidth="1"/>
    <col min="6413" max="6413" width="12.140625" style="745" customWidth="1"/>
    <col min="6414" max="6414" width="5.7109375" style="745" customWidth="1"/>
    <col min="6415" max="6415" width="11.140625" style="745" customWidth="1"/>
    <col min="6416" max="6416" width="15.42578125" style="745" customWidth="1"/>
    <col min="6417" max="6417" width="14.7109375" style="745" customWidth="1"/>
    <col min="6418" max="6418" width="13.42578125" style="745" customWidth="1"/>
    <col min="6419" max="6419" width="15" style="745" customWidth="1"/>
    <col min="6420" max="6420" width="25.28515625" style="745" customWidth="1"/>
    <col min="6421" max="6421" width="25.7109375" style="745" customWidth="1"/>
    <col min="6422" max="6656" width="9.140625" style="745"/>
    <col min="6657" max="6657" width="5" style="745" customWidth="1"/>
    <col min="6658" max="6658" width="29.85546875" style="745" customWidth="1"/>
    <col min="6659" max="6659" width="6" style="745" customWidth="1"/>
    <col min="6660" max="6660" width="5.7109375" style="745" customWidth="1"/>
    <col min="6661" max="6661" width="5.85546875" style="745" customWidth="1"/>
    <col min="6662" max="6662" width="12.42578125" style="745" customWidth="1"/>
    <col min="6663" max="6663" width="6.140625" style="745" customWidth="1"/>
    <col min="6664" max="6664" width="9.42578125" style="745" customWidth="1"/>
    <col min="6665" max="6665" width="12.5703125" style="745" customWidth="1"/>
    <col min="6666" max="6666" width="6.28515625" style="745" customWidth="1"/>
    <col min="6667" max="6667" width="11.42578125" style="745" customWidth="1"/>
    <col min="6668" max="6668" width="6.85546875" style="745" customWidth="1"/>
    <col min="6669" max="6669" width="12.140625" style="745" customWidth="1"/>
    <col min="6670" max="6670" width="5.7109375" style="745" customWidth="1"/>
    <col min="6671" max="6671" width="11.140625" style="745" customWidth="1"/>
    <col min="6672" max="6672" width="15.42578125" style="745" customWidth="1"/>
    <col min="6673" max="6673" width="14.7109375" style="745" customWidth="1"/>
    <col min="6674" max="6674" width="13.42578125" style="745" customWidth="1"/>
    <col min="6675" max="6675" width="15" style="745" customWidth="1"/>
    <col min="6676" max="6676" width="25.28515625" style="745" customWidth="1"/>
    <col min="6677" max="6677" width="25.7109375" style="745" customWidth="1"/>
    <col min="6678" max="6912" width="9.140625" style="745"/>
    <col min="6913" max="6913" width="5" style="745" customWidth="1"/>
    <col min="6914" max="6914" width="29.85546875" style="745" customWidth="1"/>
    <col min="6915" max="6915" width="6" style="745" customWidth="1"/>
    <col min="6916" max="6916" width="5.7109375" style="745" customWidth="1"/>
    <col min="6917" max="6917" width="5.85546875" style="745" customWidth="1"/>
    <col min="6918" max="6918" width="12.42578125" style="745" customWidth="1"/>
    <col min="6919" max="6919" width="6.140625" style="745" customWidth="1"/>
    <col min="6920" max="6920" width="9.42578125" style="745" customWidth="1"/>
    <col min="6921" max="6921" width="12.5703125" style="745" customWidth="1"/>
    <col min="6922" max="6922" width="6.28515625" style="745" customWidth="1"/>
    <col min="6923" max="6923" width="11.42578125" style="745" customWidth="1"/>
    <col min="6924" max="6924" width="6.85546875" style="745" customWidth="1"/>
    <col min="6925" max="6925" width="12.140625" style="745" customWidth="1"/>
    <col min="6926" max="6926" width="5.7109375" style="745" customWidth="1"/>
    <col min="6927" max="6927" width="11.140625" style="745" customWidth="1"/>
    <col min="6928" max="6928" width="15.42578125" style="745" customWidth="1"/>
    <col min="6929" max="6929" width="14.7109375" style="745" customWidth="1"/>
    <col min="6930" max="6930" width="13.42578125" style="745" customWidth="1"/>
    <col min="6931" max="6931" width="15" style="745" customWidth="1"/>
    <col min="6932" max="6932" width="25.28515625" style="745" customWidth="1"/>
    <col min="6933" max="6933" width="25.7109375" style="745" customWidth="1"/>
    <col min="6934" max="7168" width="9.140625" style="745"/>
    <col min="7169" max="7169" width="5" style="745" customWidth="1"/>
    <col min="7170" max="7170" width="29.85546875" style="745" customWidth="1"/>
    <col min="7171" max="7171" width="6" style="745" customWidth="1"/>
    <col min="7172" max="7172" width="5.7109375" style="745" customWidth="1"/>
    <col min="7173" max="7173" width="5.85546875" style="745" customWidth="1"/>
    <col min="7174" max="7174" width="12.42578125" style="745" customWidth="1"/>
    <col min="7175" max="7175" width="6.140625" style="745" customWidth="1"/>
    <col min="7176" max="7176" width="9.42578125" style="745" customWidth="1"/>
    <col min="7177" max="7177" width="12.5703125" style="745" customWidth="1"/>
    <col min="7178" max="7178" width="6.28515625" style="745" customWidth="1"/>
    <col min="7179" max="7179" width="11.42578125" style="745" customWidth="1"/>
    <col min="7180" max="7180" width="6.85546875" style="745" customWidth="1"/>
    <col min="7181" max="7181" width="12.140625" style="745" customWidth="1"/>
    <col min="7182" max="7182" width="5.7109375" style="745" customWidth="1"/>
    <col min="7183" max="7183" width="11.140625" style="745" customWidth="1"/>
    <col min="7184" max="7184" width="15.42578125" style="745" customWidth="1"/>
    <col min="7185" max="7185" width="14.7109375" style="745" customWidth="1"/>
    <col min="7186" max="7186" width="13.42578125" style="745" customWidth="1"/>
    <col min="7187" max="7187" width="15" style="745" customWidth="1"/>
    <col min="7188" max="7188" width="25.28515625" style="745" customWidth="1"/>
    <col min="7189" max="7189" width="25.7109375" style="745" customWidth="1"/>
    <col min="7190" max="7424" width="9.140625" style="745"/>
    <col min="7425" max="7425" width="5" style="745" customWidth="1"/>
    <col min="7426" max="7426" width="29.85546875" style="745" customWidth="1"/>
    <col min="7427" max="7427" width="6" style="745" customWidth="1"/>
    <col min="7428" max="7428" width="5.7109375" style="745" customWidth="1"/>
    <col min="7429" max="7429" width="5.85546875" style="745" customWidth="1"/>
    <col min="7430" max="7430" width="12.42578125" style="745" customWidth="1"/>
    <col min="7431" max="7431" width="6.140625" style="745" customWidth="1"/>
    <col min="7432" max="7432" width="9.42578125" style="745" customWidth="1"/>
    <col min="7433" max="7433" width="12.5703125" style="745" customWidth="1"/>
    <col min="7434" max="7434" width="6.28515625" style="745" customWidth="1"/>
    <col min="7435" max="7435" width="11.42578125" style="745" customWidth="1"/>
    <col min="7436" max="7436" width="6.85546875" style="745" customWidth="1"/>
    <col min="7437" max="7437" width="12.140625" style="745" customWidth="1"/>
    <col min="7438" max="7438" width="5.7109375" style="745" customWidth="1"/>
    <col min="7439" max="7439" width="11.140625" style="745" customWidth="1"/>
    <col min="7440" max="7440" width="15.42578125" style="745" customWidth="1"/>
    <col min="7441" max="7441" width="14.7109375" style="745" customWidth="1"/>
    <col min="7442" max="7442" width="13.42578125" style="745" customWidth="1"/>
    <col min="7443" max="7443" width="15" style="745" customWidth="1"/>
    <col min="7444" max="7444" width="25.28515625" style="745" customWidth="1"/>
    <col min="7445" max="7445" width="25.7109375" style="745" customWidth="1"/>
    <col min="7446" max="7680" width="9.140625" style="745"/>
    <col min="7681" max="7681" width="5" style="745" customWidth="1"/>
    <col min="7682" max="7682" width="29.85546875" style="745" customWidth="1"/>
    <col min="7683" max="7683" width="6" style="745" customWidth="1"/>
    <col min="7684" max="7684" width="5.7109375" style="745" customWidth="1"/>
    <col min="7685" max="7685" width="5.85546875" style="745" customWidth="1"/>
    <col min="7686" max="7686" width="12.42578125" style="745" customWidth="1"/>
    <col min="7687" max="7687" width="6.140625" style="745" customWidth="1"/>
    <col min="7688" max="7688" width="9.42578125" style="745" customWidth="1"/>
    <col min="7689" max="7689" width="12.5703125" style="745" customWidth="1"/>
    <col min="7690" max="7690" width="6.28515625" style="745" customWidth="1"/>
    <col min="7691" max="7691" width="11.42578125" style="745" customWidth="1"/>
    <col min="7692" max="7692" width="6.85546875" style="745" customWidth="1"/>
    <col min="7693" max="7693" width="12.140625" style="745" customWidth="1"/>
    <col min="7694" max="7694" width="5.7109375" style="745" customWidth="1"/>
    <col min="7695" max="7695" width="11.140625" style="745" customWidth="1"/>
    <col min="7696" max="7696" width="15.42578125" style="745" customWidth="1"/>
    <col min="7697" max="7697" width="14.7109375" style="745" customWidth="1"/>
    <col min="7698" max="7698" width="13.42578125" style="745" customWidth="1"/>
    <col min="7699" max="7699" width="15" style="745" customWidth="1"/>
    <col min="7700" max="7700" width="25.28515625" style="745" customWidth="1"/>
    <col min="7701" max="7701" width="25.7109375" style="745" customWidth="1"/>
    <col min="7702" max="7936" width="9.140625" style="745"/>
    <col min="7937" max="7937" width="5" style="745" customWidth="1"/>
    <col min="7938" max="7938" width="29.85546875" style="745" customWidth="1"/>
    <col min="7939" max="7939" width="6" style="745" customWidth="1"/>
    <col min="7940" max="7940" width="5.7109375" style="745" customWidth="1"/>
    <col min="7941" max="7941" width="5.85546875" style="745" customWidth="1"/>
    <col min="7942" max="7942" width="12.42578125" style="745" customWidth="1"/>
    <col min="7943" max="7943" width="6.140625" style="745" customWidth="1"/>
    <col min="7944" max="7944" width="9.42578125" style="745" customWidth="1"/>
    <col min="7945" max="7945" width="12.5703125" style="745" customWidth="1"/>
    <col min="7946" max="7946" width="6.28515625" style="745" customWidth="1"/>
    <col min="7947" max="7947" width="11.42578125" style="745" customWidth="1"/>
    <col min="7948" max="7948" width="6.85546875" style="745" customWidth="1"/>
    <col min="7949" max="7949" width="12.140625" style="745" customWidth="1"/>
    <col min="7950" max="7950" width="5.7109375" style="745" customWidth="1"/>
    <col min="7951" max="7951" width="11.140625" style="745" customWidth="1"/>
    <col min="7952" max="7952" width="15.42578125" style="745" customWidth="1"/>
    <col min="7953" max="7953" width="14.7109375" style="745" customWidth="1"/>
    <col min="7954" max="7954" width="13.42578125" style="745" customWidth="1"/>
    <col min="7955" max="7955" width="15" style="745" customWidth="1"/>
    <col min="7956" max="7956" width="25.28515625" style="745" customWidth="1"/>
    <col min="7957" max="7957" width="25.7109375" style="745" customWidth="1"/>
    <col min="7958" max="8192" width="9.140625" style="745"/>
    <col min="8193" max="8193" width="5" style="745" customWidth="1"/>
    <col min="8194" max="8194" width="29.85546875" style="745" customWidth="1"/>
    <col min="8195" max="8195" width="6" style="745" customWidth="1"/>
    <col min="8196" max="8196" width="5.7109375" style="745" customWidth="1"/>
    <col min="8197" max="8197" width="5.85546875" style="745" customWidth="1"/>
    <col min="8198" max="8198" width="12.42578125" style="745" customWidth="1"/>
    <col min="8199" max="8199" width="6.140625" style="745" customWidth="1"/>
    <col min="8200" max="8200" width="9.42578125" style="745" customWidth="1"/>
    <col min="8201" max="8201" width="12.5703125" style="745" customWidth="1"/>
    <col min="8202" max="8202" width="6.28515625" style="745" customWidth="1"/>
    <col min="8203" max="8203" width="11.42578125" style="745" customWidth="1"/>
    <col min="8204" max="8204" width="6.85546875" style="745" customWidth="1"/>
    <col min="8205" max="8205" width="12.140625" style="745" customWidth="1"/>
    <col min="8206" max="8206" width="5.7109375" style="745" customWidth="1"/>
    <col min="8207" max="8207" width="11.140625" style="745" customWidth="1"/>
    <col min="8208" max="8208" width="15.42578125" style="745" customWidth="1"/>
    <col min="8209" max="8209" width="14.7109375" style="745" customWidth="1"/>
    <col min="8210" max="8210" width="13.42578125" style="745" customWidth="1"/>
    <col min="8211" max="8211" width="15" style="745" customWidth="1"/>
    <col min="8212" max="8212" width="25.28515625" style="745" customWidth="1"/>
    <col min="8213" max="8213" width="25.7109375" style="745" customWidth="1"/>
    <col min="8214" max="8448" width="9.140625" style="745"/>
    <col min="8449" max="8449" width="5" style="745" customWidth="1"/>
    <col min="8450" max="8450" width="29.85546875" style="745" customWidth="1"/>
    <col min="8451" max="8451" width="6" style="745" customWidth="1"/>
    <col min="8452" max="8452" width="5.7109375" style="745" customWidth="1"/>
    <col min="8453" max="8453" width="5.85546875" style="745" customWidth="1"/>
    <col min="8454" max="8454" width="12.42578125" style="745" customWidth="1"/>
    <col min="8455" max="8455" width="6.140625" style="745" customWidth="1"/>
    <col min="8456" max="8456" width="9.42578125" style="745" customWidth="1"/>
    <col min="8457" max="8457" width="12.5703125" style="745" customWidth="1"/>
    <col min="8458" max="8458" width="6.28515625" style="745" customWidth="1"/>
    <col min="8459" max="8459" width="11.42578125" style="745" customWidth="1"/>
    <col min="8460" max="8460" width="6.85546875" style="745" customWidth="1"/>
    <col min="8461" max="8461" width="12.140625" style="745" customWidth="1"/>
    <col min="8462" max="8462" width="5.7109375" style="745" customWidth="1"/>
    <col min="8463" max="8463" width="11.140625" style="745" customWidth="1"/>
    <col min="8464" max="8464" width="15.42578125" style="745" customWidth="1"/>
    <col min="8465" max="8465" width="14.7109375" style="745" customWidth="1"/>
    <col min="8466" max="8466" width="13.42578125" style="745" customWidth="1"/>
    <col min="8467" max="8467" width="15" style="745" customWidth="1"/>
    <col min="8468" max="8468" width="25.28515625" style="745" customWidth="1"/>
    <col min="8469" max="8469" width="25.7109375" style="745" customWidth="1"/>
    <col min="8470" max="8704" width="9.140625" style="745"/>
    <col min="8705" max="8705" width="5" style="745" customWidth="1"/>
    <col min="8706" max="8706" width="29.85546875" style="745" customWidth="1"/>
    <col min="8707" max="8707" width="6" style="745" customWidth="1"/>
    <col min="8708" max="8708" width="5.7109375" style="745" customWidth="1"/>
    <col min="8709" max="8709" width="5.85546875" style="745" customWidth="1"/>
    <col min="8710" max="8710" width="12.42578125" style="745" customWidth="1"/>
    <col min="8711" max="8711" width="6.140625" style="745" customWidth="1"/>
    <col min="8712" max="8712" width="9.42578125" style="745" customWidth="1"/>
    <col min="8713" max="8713" width="12.5703125" style="745" customWidth="1"/>
    <col min="8714" max="8714" width="6.28515625" style="745" customWidth="1"/>
    <col min="8715" max="8715" width="11.42578125" style="745" customWidth="1"/>
    <col min="8716" max="8716" width="6.85546875" style="745" customWidth="1"/>
    <col min="8717" max="8717" width="12.140625" style="745" customWidth="1"/>
    <col min="8718" max="8718" width="5.7109375" style="745" customWidth="1"/>
    <col min="8719" max="8719" width="11.140625" style="745" customWidth="1"/>
    <col min="8720" max="8720" width="15.42578125" style="745" customWidth="1"/>
    <col min="8721" max="8721" width="14.7109375" style="745" customWidth="1"/>
    <col min="8722" max="8722" width="13.42578125" style="745" customWidth="1"/>
    <col min="8723" max="8723" width="15" style="745" customWidth="1"/>
    <col min="8724" max="8724" width="25.28515625" style="745" customWidth="1"/>
    <col min="8725" max="8725" width="25.7109375" style="745" customWidth="1"/>
    <col min="8726" max="8960" width="9.140625" style="745"/>
    <col min="8961" max="8961" width="5" style="745" customWidth="1"/>
    <col min="8962" max="8962" width="29.85546875" style="745" customWidth="1"/>
    <col min="8963" max="8963" width="6" style="745" customWidth="1"/>
    <col min="8964" max="8964" width="5.7109375" style="745" customWidth="1"/>
    <col min="8965" max="8965" width="5.85546875" style="745" customWidth="1"/>
    <col min="8966" max="8966" width="12.42578125" style="745" customWidth="1"/>
    <col min="8967" max="8967" width="6.140625" style="745" customWidth="1"/>
    <col min="8968" max="8968" width="9.42578125" style="745" customWidth="1"/>
    <col min="8969" max="8969" width="12.5703125" style="745" customWidth="1"/>
    <col min="8970" max="8970" width="6.28515625" style="745" customWidth="1"/>
    <col min="8971" max="8971" width="11.42578125" style="745" customWidth="1"/>
    <col min="8972" max="8972" width="6.85546875" style="745" customWidth="1"/>
    <col min="8973" max="8973" width="12.140625" style="745" customWidth="1"/>
    <col min="8974" max="8974" width="5.7109375" style="745" customWidth="1"/>
    <col min="8975" max="8975" width="11.140625" style="745" customWidth="1"/>
    <col min="8976" max="8976" width="15.42578125" style="745" customWidth="1"/>
    <col min="8977" max="8977" width="14.7109375" style="745" customWidth="1"/>
    <col min="8978" max="8978" width="13.42578125" style="745" customWidth="1"/>
    <col min="8979" max="8979" width="15" style="745" customWidth="1"/>
    <col min="8980" max="8980" width="25.28515625" style="745" customWidth="1"/>
    <col min="8981" max="8981" width="25.7109375" style="745" customWidth="1"/>
    <col min="8982" max="9216" width="9.140625" style="745"/>
    <col min="9217" max="9217" width="5" style="745" customWidth="1"/>
    <col min="9218" max="9218" width="29.85546875" style="745" customWidth="1"/>
    <col min="9219" max="9219" width="6" style="745" customWidth="1"/>
    <col min="9220" max="9220" width="5.7109375" style="745" customWidth="1"/>
    <col min="9221" max="9221" width="5.85546875" style="745" customWidth="1"/>
    <col min="9222" max="9222" width="12.42578125" style="745" customWidth="1"/>
    <col min="9223" max="9223" width="6.140625" style="745" customWidth="1"/>
    <col min="9224" max="9224" width="9.42578125" style="745" customWidth="1"/>
    <col min="9225" max="9225" width="12.5703125" style="745" customWidth="1"/>
    <col min="9226" max="9226" width="6.28515625" style="745" customWidth="1"/>
    <col min="9227" max="9227" width="11.42578125" style="745" customWidth="1"/>
    <col min="9228" max="9228" width="6.85546875" style="745" customWidth="1"/>
    <col min="9229" max="9229" width="12.140625" style="745" customWidth="1"/>
    <col min="9230" max="9230" width="5.7109375" style="745" customWidth="1"/>
    <col min="9231" max="9231" width="11.140625" style="745" customWidth="1"/>
    <col min="9232" max="9232" width="15.42578125" style="745" customWidth="1"/>
    <col min="9233" max="9233" width="14.7109375" style="745" customWidth="1"/>
    <col min="9234" max="9234" width="13.42578125" style="745" customWidth="1"/>
    <col min="9235" max="9235" width="15" style="745" customWidth="1"/>
    <col min="9236" max="9236" width="25.28515625" style="745" customWidth="1"/>
    <col min="9237" max="9237" width="25.7109375" style="745" customWidth="1"/>
    <col min="9238" max="9472" width="9.140625" style="745"/>
    <col min="9473" max="9473" width="5" style="745" customWidth="1"/>
    <col min="9474" max="9474" width="29.85546875" style="745" customWidth="1"/>
    <col min="9475" max="9475" width="6" style="745" customWidth="1"/>
    <col min="9476" max="9476" width="5.7109375" style="745" customWidth="1"/>
    <col min="9477" max="9477" width="5.85546875" style="745" customWidth="1"/>
    <col min="9478" max="9478" width="12.42578125" style="745" customWidth="1"/>
    <col min="9479" max="9479" width="6.140625" style="745" customWidth="1"/>
    <col min="9480" max="9480" width="9.42578125" style="745" customWidth="1"/>
    <col min="9481" max="9481" width="12.5703125" style="745" customWidth="1"/>
    <col min="9482" max="9482" width="6.28515625" style="745" customWidth="1"/>
    <col min="9483" max="9483" width="11.42578125" style="745" customWidth="1"/>
    <col min="9484" max="9484" width="6.85546875" style="745" customWidth="1"/>
    <col min="9485" max="9485" width="12.140625" style="745" customWidth="1"/>
    <col min="9486" max="9486" width="5.7109375" style="745" customWidth="1"/>
    <col min="9487" max="9487" width="11.140625" style="745" customWidth="1"/>
    <col min="9488" max="9488" width="15.42578125" style="745" customWidth="1"/>
    <col min="9489" max="9489" width="14.7109375" style="745" customWidth="1"/>
    <col min="9490" max="9490" width="13.42578125" style="745" customWidth="1"/>
    <col min="9491" max="9491" width="15" style="745" customWidth="1"/>
    <col min="9492" max="9492" width="25.28515625" style="745" customWidth="1"/>
    <col min="9493" max="9493" width="25.7109375" style="745" customWidth="1"/>
    <col min="9494" max="9728" width="9.140625" style="745"/>
    <col min="9729" max="9729" width="5" style="745" customWidth="1"/>
    <col min="9730" max="9730" width="29.85546875" style="745" customWidth="1"/>
    <col min="9731" max="9731" width="6" style="745" customWidth="1"/>
    <col min="9732" max="9732" width="5.7109375" style="745" customWidth="1"/>
    <col min="9733" max="9733" width="5.85546875" style="745" customWidth="1"/>
    <col min="9734" max="9734" width="12.42578125" style="745" customWidth="1"/>
    <col min="9735" max="9735" width="6.140625" style="745" customWidth="1"/>
    <col min="9736" max="9736" width="9.42578125" style="745" customWidth="1"/>
    <col min="9737" max="9737" width="12.5703125" style="745" customWidth="1"/>
    <col min="9738" max="9738" width="6.28515625" style="745" customWidth="1"/>
    <col min="9739" max="9739" width="11.42578125" style="745" customWidth="1"/>
    <col min="9740" max="9740" width="6.85546875" style="745" customWidth="1"/>
    <col min="9741" max="9741" width="12.140625" style="745" customWidth="1"/>
    <col min="9742" max="9742" width="5.7109375" style="745" customWidth="1"/>
    <col min="9743" max="9743" width="11.140625" style="745" customWidth="1"/>
    <col min="9744" max="9744" width="15.42578125" style="745" customWidth="1"/>
    <col min="9745" max="9745" width="14.7109375" style="745" customWidth="1"/>
    <col min="9746" max="9746" width="13.42578125" style="745" customWidth="1"/>
    <col min="9747" max="9747" width="15" style="745" customWidth="1"/>
    <col min="9748" max="9748" width="25.28515625" style="745" customWidth="1"/>
    <col min="9749" max="9749" width="25.7109375" style="745" customWidth="1"/>
    <col min="9750" max="9984" width="9.140625" style="745"/>
    <col min="9985" max="9985" width="5" style="745" customWidth="1"/>
    <col min="9986" max="9986" width="29.85546875" style="745" customWidth="1"/>
    <col min="9987" max="9987" width="6" style="745" customWidth="1"/>
    <col min="9988" max="9988" width="5.7109375" style="745" customWidth="1"/>
    <col min="9989" max="9989" width="5.85546875" style="745" customWidth="1"/>
    <col min="9990" max="9990" width="12.42578125" style="745" customWidth="1"/>
    <col min="9991" max="9991" width="6.140625" style="745" customWidth="1"/>
    <col min="9992" max="9992" width="9.42578125" style="745" customWidth="1"/>
    <col min="9993" max="9993" width="12.5703125" style="745" customWidth="1"/>
    <col min="9994" max="9994" width="6.28515625" style="745" customWidth="1"/>
    <col min="9995" max="9995" width="11.42578125" style="745" customWidth="1"/>
    <col min="9996" max="9996" width="6.85546875" style="745" customWidth="1"/>
    <col min="9997" max="9997" width="12.140625" style="745" customWidth="1"/>
    <col min="9998" max="9998" width="5.7109375" style="745" customWidth="1"/>
    <col min="9999" max="9999" width="11.140625" style="745" customWidth="1"/>
    <col min="10000" max="10000" width="15.42578125" style="745" customWidth="1"/>
    <col min="10001" max="10001" width="14.7109375" style="745" customWidth="1"/>
    <col min="10002" max="10002" width="13.42578125" style="745" customWidth="1"/>
    <col min="10003" max="10003" width="15" style="745" customWidth="1"/>
    <col min="10004" max="10004" width="25.28515625" style="745" customWidth="1"/>
    <col min="10005" max="10005" width="25.7109375" style="745" customWidth="1"/>
    <col min="10006" max="10240" width="9.140625" style="745"/>
    <col min="10241" max="10241" width="5" style="745" customWidth="1"/>
    <col min="10242" max="10242" width="29.85546875" style="745" customWidth="1"/>
    <col min="10243" max="10243" width="6" style="745" customWidth="1"/>
    <col min="10244" max="10244" width="5.7109375" style="745" customWidth="1"/>
    <col min="10245" max="10245" width="5.85546875" style="745" customWidth="1"/>
    <col min="10246" max="10246" width="12.42578125" style="745" customWidth="1"/>
    <col min="10247" max="10247" width="6.140625" style="745" customWidth="1"/>
    <col min="10248" max="10248" width="9.42578125" style="745" customWidth="1"/>
    <col min="10249" max="10249" width="12.5703125" style="745" customWidth="1"/>
    <col min="10250" max="10250" width="6.28515625" style="745" customWidth="1"/>
    <col min="10251" max="10251" width="11.42578125" style="745" customWidth="1"/>
    <col min="10252" max="10252" width="6.85546875" style="745" customWidth="1"/>
    <col min="10253" max="10253" width="12.140625" style="745" customWidth="1"/>
    <col min="10254" max="10254" width="5.7109375" style="745" customWidth="1"/>
    <col min="10255" max="10255" width="11.140625" style="745" customWidth="1"/>
    <col min="10256" max="10256" width="15.42578125" style="745" customWidth="1"/>
    <col min="10257" max="10257" width="14.7109375" style="745" customWidth="1"/>
    <col min="10258" max="10258" width="13.42578125" style="745" customWidth="1"/>
    <col min="10259" max="10259" width="15" style="745" customWidth="1"/>
    <col min="10260" max="10260" width="25.28515625" style="745" customWidth="1"/>
    <col min="10261" max="10261" width="25.7109375" style="745" customWidth="1"/>
    <col min="10262" max="10496" width="9.140625" style="745"/>
    <col min="10497" max="10497" width="5" style="745" customWidth="1"/>
    <col min="10498" max="10498" width="29.85546875" style="745" customWidth="1"/>
    <col min="10499" max="10499" width="6" style="745" customWidth="1"/>
    <col min="10500" max="10500" width="5.7109375" style="745" customWidth="1"/>
    <col min="10501" max="10501" width="5.85546875" style="745" customWidth="1"/>
    <col min="10502" max="10502" width="12.42578125" style="745" customWidth="1"/>
    <col min="10503" max="10503" width="6.140625" style="745" customWidth="1"/>
    <col min="10504" max="10504" width="9.42578125" style="745" customWidth="1"/>
    <col min="10505" max="10505" width="12.5703125" style="745" customWidth="1"/>
    <col min="10506" max="10506" width="6.28515625" style="745" customWidth="1"/>
    <col min="10507" max="10507" width="11.42578125" style="745" customWidth="1"/>
    <col min="10508" max="10508" width="6.85546875" style="745" customWidth="1"/>
    <col min="10509" max="10509" width="12.140625" style="745" customWidth="1"/>
    <col min="10510" max="10510" width="5.7109375" style="745" customWidth="1"/>
    <col min="10511" max="10511" width="11.140625" style="745" customWidth="1"/>
    <col min="10512" max="10512" width="15.42578125" style="745" customWidth="1"/>
    <col min="10513" max="10513" width="14.7109375" style="745" customWidth="1"/>
    <col min="10514" max="10514" width="13.42578125" style="745" customWidth="1"/>
    <col min="10515" max="10515" width="15" style="745" customWidth="1"/>
    <col min="10516" max="10516" width="25.28515625" style="745" customWidth="1"/>
    <col min="10517" max="10517" width="25.7109375" style="745" customWidth="1"/>
    <col min="10518" max="10752" width="9.140625" style="745"/>
    <col min="10753" max="10753" width="5" style="745" customWidth="1"/>
    <col min="10754" max="10754" width="29.85546875" style="745" customWidth="1"/>
    <col min="10755" max="10755" width="6" style="745" customWidth="1"/>
    <col min="10756" max="10756" width="5.7109375" style="745" customWidth="1"/>
    <col min="10757" max="10757" width="5.85546875" style="745" customWidth="1"/>
    <col min="10758" max="10758" width="12.42578125" style="745" customWidth="1"/>
    <col min="10759" max="10759" width="6.140625" style="745" customWidth="1"/>
    <col min="10760" max="10760" width="9.42578125" style="745" customWidth="1"/>
    <col min="10761" max="10761" width="12.5703125" style="745" customWidth="1"/>
    <col min="10762" max="10762" width="6.28515625" style="745" customWidth="1"/>
    <col min="10763" max="10763" width="11.42578125" style="745" customWidth="1"/>
    <col min="10764" max="10764" width="6.85546875" style="745" customWidth="1"/>
    <col min="10765" max="10765" width="12.140625" style="745" customWidth="1"/>
    <col min="10766" max="10766" width="5.7109375" style="745" customWidth="1"/>
    <col min="10767" max="10767" width="11.140625" style="745" customWidth="1"/>
    <col min="10768" max="10768" width="15.42578125" style="745" customWidth="1"/>
    <col min="10769" max="10769" width="14.7109375" style="745" customWidth="1"/>
    <col min="10770" max="10770" width="13.42578125" style="745" customWidth="1"/>
    <col min="10771" max="10771" width="15" style="745" customWidth="1"/>
    <col min="10772" max="10772" width="25.28515625" style="745" customWidth="1"/>
    <col min="10773" max="10773" width="25.7109375" style="745" customWidth="1"/>
    <col min="10774" max="11008" width="9.140625" style="745"/>
    <col min="11009" max="11009" width="5" style="745" customWidth="1"/>
    <col min="11010" max="11010" width="29.85546875" style="745" customWidth="1"/>
    <col min="11011" max="11011" width="6" style="745" customWidth="1"/>
    <col min="11012" max="11012" width="5.7109375" style="745" customWidth="1"/>
    <col min="11013" max="11013" width="5.85546875" style="745" customWidth="1"/>
    <col min="11014" max="11014" width="12.42578125" style="745" customWidth="1"/>
    <col min="11015" max="11015" width="6.140625" style="745" customWidth="1"/>
    <col min="11016" max="11016" width="9.42578125" style="745" customWidth="1"/>
    <col min="11017" max="11017" width="12.5703125" style="745" customWidth="1"/>
    <col min="11018" max="11018" width="6.28515625" style="745" customWidth="1"/>
    <col min="11019" max="11019" width="11.42578125" style="745" customWidth="1"/>
    <col min="11020" max="11020" width="6.85546875" style="745" customWidth="1"/>
    <col min="11021" max="11021" width="12.140625" style="745" customWidth="1"/>
    <col min="11022" max="11022" width="5.7109375" style="745" customWidth="1"/>
    <col min="11023" max="11023" width="11.140625" style="745" customWidth="1"/>
    <col min="11024" max="11024" width="15.42578125" style="745" customWidth="1"/>
    <col min="11025" max="11025" width="14.7109375" style="745" customWidth="1"/>
    <col min="11026" max="11026" width="13.42578125" style="745" customWidth="1"/>
    <col min="11027" max="11027" width="15" style="745" customWidth="1"/>
    <col min="11028" max="11028" width="25.28515625" style="745" customWidth="1"/>
    <col min="11029" max="11029" width="25.7109375" style="745" customWidth="1"/>
    <col min="11030" max="11264" width="9.140625" style="745"/>
    <col min="11265" max="11265" width="5" style="745" customWidth="1"/>
    <col min="11266" max="11266" width="29.85546875" style="745" customWidth="1"/>
    <col min="11267" max="11267" width="6" style="745" customWidth="1"/>
    <col min="11268" max="11268" width="5.7109375" style="745" customWidth="1"/>
    <col min="11269" max="11269" width="5.85546875" style="745" customWidth="1"/>
    <col min="11270" max="11270" width="12.42578125" style="745" customWidth="1"/>
    <col min="11271" max="11271" width="6.140625" style="745" customWidth="1"/>
    <col min="11272" max="11272" width="9.42578125" style="745" customWidth="1"/>
    <col min="11273" max="11273" width="12.5703125" style="745" customWidth="1"/>
    <col min="11274" max="11274" width="6.28515625" style="745" customWidth="1"/>
    <col min="11275" max="11275" width="11.42578125" style="745" customWidth="1"/>
    <col min="11276" max="11276" width="6.85546875" style="745" customWidth="1"/>
    <col min="11277" max="11277" width="12.140625" style="745" customWidth="1"/>
    <col min="11278" max="11278" width="5.7109375" style="745" customWidth="1"/>
    <col min="11279" max="11279" width="11.140625" style="745" customWidth="1"/>
    <col min="11280" max="11280" width="15.42578125" style="745" customWidth="1"/>
    <col min="11281" max="11281" width="14.7109375" style="745" customWidth="1"/>
    <col min="11282" max="11282" width="13.42578125" style="745" customWidth="1"/>
    <col min="11283" max="11283" width="15" style="745" customWidth="1"/>
    <col min="11284" max="11284" width="25.28515625" style="745" customWidth="1"/>
    <col min="11285" max="11285" width="25.7109375" style="745" customWidth="1"/>
    <col min="11286" max="11520" width="9.140625" style="745"/>
    <col min="11521" max="11521" width="5" style="745" customWidth="1"/>
    <col min="11522" max="11522" width="29.85546875" style="745" customWidth="1"/>
    <col min="11523" max="11523" width="6" style="745" customWidth="1"/>
    <col min="11524" max="11524" width="5.7109375" style="745" customWidth="1"/>
    <col min="11525" max="11525" width="5.85546875" style="745" customWidth="1"/>
    <col min="11526" max="11526" width="12.42578125" style="745" customWidth="1"/>
    <col min="11527" max="11527" width="6.140625" style="745" customWidth="1"/>
    <col min="11528" max="11528" width="9.42578125" style="745" customWidth="1"/>
    <col min="11529" max="11529" width="12.5703125" style="745" customWidth="1"/>
    <col min="11530" max="11530" width="6.28515625" style="745" customWidth="1"/>
    <col min="11531" max="11531" width="11.42578125" style="745" customWidth="1"/>
    <col min="11532" max="11532" width="6.85546875" style="745" customWidth="1"/>
    <col min="11533" max="11533" width="12.140625" style="745" customWidth="1"/>
    <col min="11534" max="11534" width="5.7109375" style="745" customWidth="1"/>
    <col min="11535" max="11535" width="11.140625" style="745" customWidth="1"/>
    <col min="11536" max="11536" width="15.42578125" style="745" customWidth="1"/>
    <col min="11537" max="11537" width="14.7109375" style="745" customWidth="1"/>
    <col min="11538" max="11538" width="13.42578125" style="745" customWidth="1"/>
    <col min="11539" max="11539" width="15" style="745" customWidth="1"/>
    <col min="11540" max="11540" width="25.28515625" style="745" customWidth="1"/>
    <col min="11541" max="11541" width="25.7109375" style="745" customWidth="1"/>
    <col min="11542" max="11776" width="9.140625" style="745"/>
    <col min="11777" max="11777" width="5" style="745" customWidth="1"/>
    <col min="11778" max="11778" width="29.85546875" style="745" customWidth="1"/>
    <col min="11779" max="11779" width="6" style="745" customWidth="1"/>
    <col min="11780" max="11780" width="5.7109375" style="745" customWidth="1"/>
    <col min="11781" max="11781" width="5.85546875" style="745" customWidth="1"/>
    <col min="11782" max="11782" width="12.42578125" style="745" customWidth="1"/>
    <col min="11783" max="11783" width="6.140625" style="745" customWidth="1"/>
    <col min="11784" max="11784" width="9.42578125" style="745" customWidth="1"/>
    <col min="11785" max="11785" width="12.5703125" style="745" customWidth="1"/>
    <col min="11786" max="11786" width="6.28515625" style="745" customWidth="1"/>
    <col min="11787" max="11787" width="11.42578125" style="745" customWidth="1"/>
    <col min="11788" max="11788" width="6.85546875" style="745" customWidth="1"/>
    <col min="11789" max="11789" width="12.140625" style="745" customWidth="1"/>
    <col min="11790" max="11790" width="5.7109375" style="745" customWidth="1"/>
    <col min="11791" max="11791" width="11.140625" style="745" customWidth="1"/>
    <col min="11792" max="11792" width="15.42578125" style="745" customWidth="1"/>
    <col min="11793" max="11793" width="14.7109375" style="745" customWidth="1"/>
    <col min="11794" max="11794" width="13.42578125" style="745" customWidth="1"/>
    <col min="11795" max="11795" width="15" style="745" customWidth="1"/>
    <col min="11796" max="11796" width="25.28515625" style="745" customWidth="1"/>
    <col min="11797" max="11797" width="25.7109375" style="745" customWidth="1"/>
    <col min="11798" max="12032" width="9.140625" style="745"/>
    <col min="12033" max="12033" width="5" style="745" customWidth="1"/>
    <col min="12034" max="12034" width="29.85546875" style="745" customWidth="1"/>
    <col min="12035" max="12035" width="6" style="745" customWidth="1"/>
    <col min="12036" max="12036" width="5.7109375" style="745" customWidth="1"/>
    <col min="12037" max="12037" width="5.85546875" style="745" customWidth="1"/>
    <col min="12038" max="12038" width="12.42578125" style="745" customWidth="1"/>
    <col min="12039" max="12039" width="6.140625" style="745" customWidth="1"/>
    <col min="12040" max="12040" width="9.42578125" style="745" customWidth="1"/>
    <col min="12041" max="12041" width="12.5703125" style="745" customWidth="1"/>
    <col min="12042" max="12042" width="6.28515625" style="745" customWidth="1"/>
    <col min="12043" max="12043" width="11.42578125" style="745" customWidth="1"/>
    <col min="12044" max="12044" width="6.85546875" style="745" customWidth="1"/>
    <col min="12045" max="12045" width="12.140625" style="745" customWidth="1"/>
    <col min="12046" max="12046" width="5.7109375" style="745" customWidth="1"/>
    <col min="12047" max="12047" width="11.140625" style="745" customWidth="1"/>
    <col min="12048" max="12048" width="15.42578125" style="745" customWidth="1"/>
    <col min="12049" max="12049" width="14.7109375" style="745" customWidth="1"/>
    <col min="12050" max="12050" width="13.42578125" style="745" customWidth="1"/>
    <col min="12051" max="12051" width="15" style="745" customWidth="1"/>
    <col min="12052" max="12052" width="25.28515625" style="745" customWidth="1"/>
    <col min="12053" max="12053" width="25.7109375" style="745" customWidth="1"/>
    <col min="12054" max="12288" width="9.140625" style="745"/>
    <col min="12289" max="12289" width="5" style="745" customWidth="1"/>
    <col min="12290" max="12290" width="29.85546875" style="745" customWidth="1"/>
    <col min="12291" max="12291" width="6" style="745" customWidth="1"/>
    <col min="12292" max="12292" width="5.7109375" style="745" customWidth="1"/>
    <col min="12293" max="12293" width="5.85546875" style="745" customWidth="1"/>
    <col min="12294" max="12294" width="12.42578125" style="745" customWidth="1"/>
    <col min="12295" max="12295" width="6.140625" style="745" customWidth="1"/>
    <col min="12296" max="12296" width="9.42578125" style="745" customWidth="1"/>
    <col min="12297" max="12297" width="12.5703125" style="745" customWidth="1"/>
    <col min="12298" max="12298" width="6.28515625" style="745" customWidth="1"/>
    <col min="12299" max="12299" width="11.42578125" style="745" customWidth="1"/>
    <col min="12300" max="12300" width="6.85546875" style="745" customWidth="1"/>
    <col min="12301" max="12301" width="12.140625" style="745" customWidth="1"/>
    <col min="12302" max="12302" width="5.7109375" style="745" customWidth="1"/>
    <col min="12303" max="12303" width="11.140625" style="745" customWidth="1"/>
    <col min="12304" max="12304" width="15.42578125" style="745" customWidth="1"/>
    <col min="12305" max="12305" width="14.7109375" style="745" customWidth="1"/>
    <col min="12306" max="12306" width="13.42578125" style="745" customWidth="1"/>
    <col min="12307" max="12307" width="15" style="745" customWidth="1"/>
    <col min="12308" max="12308" width="25.28515625" style="745" customWidth="1"/>
    <col min="12309" max="12309" width="25.7109375" style="745" customWidth="1"/>
    <col min="12310" max="12544" width="9.140625" style="745"/>
    <col min="12545" max="12545" width="5" style="745" customWidth="1"/>
    <col min="12546" max="12546" width="29.85546875" style="745" customWidth="1"/>
    <col min="12547" max="12547" width="6" style="745" customWidth="1"/>
    <col min="12548" max="12548" width="5.7109375" style="745" customWidth="1"/>
    <col min="12549" max="12549" width="5.85546875" style="745" customWidth="1"/>
    <col min="12550" max="12550" width="12.42578125" style="745" customWidth="1"/>
    <col min="12551" max="12551" width="6.140625" style="745" customWidth="1"/>
    <col min="12552" max="12552" width="9.42578125" style="745" customWidth="1"/>
    <col min="12553" max="12553" width="12.5703125" style="745" customWidth="1"/>
    <col min="12554" max="12554" width="6.28515625" style="745" customWidth="1"/>
    <col min="12555" max="12555" width="11.42578125" style="745" customWidth="1"/>
    <col min="12556" max="12556" width="6.85546875" style="745" customWidth="1"/>
    <col min="12557" max="12557" width="12.140625" style="745" customWidth="1"/>
    <col min="12558" max="12558" width="5.7109375" style="745" customWidth="1"/>
    <col min="12559" max="12559" width="11.140625" style="745" customWidth="1"/>
    <col min="12560" max="12560" width="15.42578125" style="745" customWidth="1"/>
    <col min="12561" max="12561" width="14.7109375" style="745" customWidth="1"/>
    <col min="12562" max="12562" width="13.42578125" style="745" customWidth="1"/>
    <col min="12563" max="12563" width="15" style="745" customWidth="1"/>
    <col min="12564" max="12564" width="25.28515625" style="745" customWidth="1"/>
    <col min="12565" max="12565" width="25.7109375" style="745" customWidth="1"/>
    <col min="12566" max="12800" width="9.140625" style="745"/>
    <col min="12801" max="12801" width="5" style="745" customWidth="1"/>
    <col min="12802" max="12802" width="29.85546875" style="745" customWidth="1"/>
    <col min="12803" max="12803" width="6" style="745" customWidth="1"/>
    <col min="12804" max="12804" width="5.7109375" style="745" customWidth="1"/>
    <col min="12805" max="12805" width="5.85546875" style="745" customWidth="1"/>
    <col min="12806" max="12806" width="12.42578125" style="745" customWidth="1"/>
    <col min="12807" max="12807" width="6.140625" style="745" customWidth="1"/>
    <col min="12808" max="12808" width="9.42578125" style="745" customWidth="1"/>
    <col min="12809" max="12809" width="12.5703125" style="745" customWidth="1"/>
    <col min="12810" max="12810" width="6.28515625" style="745" customWidth="1"/>
    <col min="12811" max="12811" width="11.42578125" style="745" customWidth="1"/>
    <col min="12812" max="12812" width="6.85546875" style="745" customWidth="1"/>
    <col min="12813" max="12813" width="12.140625" style="745" customWidth="1"/>
    <col min="12814" max="12814" width="5.7109375" style="745" customWidth="1"/>
    <col min="12815" max="12815" width="11.140625" style="745" customWidth="1"/>
    <col min="12816" max="12816" width="15.42578125" style="745" customWidth="1"/>
    <col min="12817" max="12817" width="14.7109375" style="745" customWidth="1"/>
    <col min="12818" max="12818" width="13.42578125" style="745" customWidth="1"/>
    <col min="12819" max="12819" width="15" style="745" customWidth="1"/>
    <col min="12820" max="12820" width="25.28515625" style="745" customWidth="1"/>
    <col min="12821" max="12821" width="25.7109375" style="745" customWidth="1"/>
    <col min="12822" max="13056" width="9.140625" style="745"/>
    <col min="13057" max="13057" width="5" style="745" customWidth="1"/>
    <col min="13058" max="13058" width="29.85546875" style="745" customWidth="1"/>
    <col min="13059" max="13059" width="6" style="745" customWidth="1"/>
    <col min="13060" max="13060" width="5.7109375" style="745" customWidth="1"/>
    <col min="13061" max="13061" width="5.85546875" style="745" customWidth="1"/>
    <col min="13062" max="13062" width="12.42578125" style="745" customWidth="1"/>
    <col min="13063" max="13063" width="6.140625" style="745" customWidth="1"/>
    <col min="13064" max="13064" width="9.42578125" style="745" customWidth="1"/>
    <col min="13065" max="13065" width="12.5703125" style="745" customWidth="1"/>
    <col min="13066" max="13066" width="6.28515625" style="745" customWidth="1"/>
    <col min="13067" max="13067" width="11.42578125" style="745" customWidth="1"/>
    <col min="13068" max="13068" width="6.85546875" style="745" customWidth="1"/>
    <col min="13069" max="13069" width="12.140625" style="745" customWidth="1"/>
    <col min="13070" max="13070" width="5.7109375" style="745" customWidth="1"/>
    <col min="13071" max="13071" width="11.140625" style="745" customWidth="1"/>
    <col min="13072" max="13072" width="15.42578125" style="745" customWidth="1"/>
    <col min="13073" max="13073" width="14.7109375" style="745" customWidth="1"/>
    <col min="13074" max="13074" width="13.42578125" style="745" customWidth="1"/>
    <col min="13075" max="13075" width="15" style="745" customWidth="1"/>
    <col min="13076" max="13076" width="25.28515625" style="745" customWidth="1"/>
    <col min="13077" max="13077" width="25.7109375" style="745" customWidth="1"/>
    <col min="13078" max="13312" width="9.140625" style="745"/>
    <col min="13313" max="13313" width="5" style="745" customWidth="1"/>
    <col min="13314" max="13314" width="29.85546875" style="745" customWidth="1"/>
    <col min="13315" max="13315" width="6" style="745" customWidth="1"/>
    <col min="13316" max="13316" width="5.7109375" style="745" customWidth="1"/>
    <col min="13317" max="13317" width="5.85546875" style="745" customWidth="1"/>
    <col min="13318" max="13318" width="12.42578125" style="745" customWidth="1"/>
    <col min="13319" max="13319" width="6.140625" style="745" customWidth="1"/>
    <col min="13320" max="13320" width="9.42578125" style="745" customWidth="1"/>
    <col min="13321" max="13321" width="12.5703125" style="745" customWidth="1"/>
    <col min="13322" max="13322" width="6.28515625" style="745" customWidth="1"/>
    <col min="13323" max="13323" width="11.42578125" style="745" customWidth="1"/>
    <col min="13324" max="13324" width="6.85546875" style="745" customWidth="1"/>
    <col min="13325" max="13325" width="12.140625" style="745" customWidth="1"/>
    <col min="13326" max="13326" width="5.7109375" style="745" customWidth="1"/>
    <col min="13327" max="13327" width="11.140625" style="745" customWidth="1"/>
    <col min="13328" max="13328" width="15.42578125" style="745" customWidth="1"/>
    <col min="13329" max="13329" width="14.7109375" style="745" customWidth="1"/>
    <col min="13330" max="13330" width="13.42578125" style="745" customWidth="1"/>
    <col min="13331" max="13331" width="15" style="745" customWidth="1"/>
    <col min="13332" max="13332" width="25.28515625" style="745" customWidth="1"/>
    <col min="13333" max="13333" width="25.7109375" style="745" customWidth="1"/>
    <col min="13334" max="13568" width="9.140625" style="745"/>
    <col min="13569" max="13569" width="5" style="745" customWidth="1"/>
    <col min="13570" max="13570" width="29.85546875" style="745" customWidth="1"/>
    <col min="13571" max="13571" width="6" style="745" customWidth="1"/>
    <col min="13572" max="13572" width="5.7109375" style="745" customWidth="1"/>
    <col min="13573" max="13573" width="5.85546875" style="745" customWidth="1"/>
    <col min="13574" max="13574" width="12.42578125" style="745" customWidth="1"/>
    <col min="13575" max="13575" width="6.140625" style="745" customWidth="1"/>
    <col min="13576" max="13576" width="9.42578125" style="745" customWidth="1"/>
    <col min="13577" max="13577" width="12.5703125" style="745" customWidth="1"/>
    <col min="13578" max="13578" width="6.28515625" style="745" customWidth="1"/>
    <col min="13579" max="13579" width="11.42578125" style="745" customWidth="1"/>
    <col min="13580" max="13580" width="6.85546875" style="745" customWidth="1"/>
    <col min="13581" max="13581" width="12.140625" style="745" customWidth="1"/>
    <col min="13582" max="13582" width="5.7109375" style="745" customWidth="1"/>
    <col min="13583" max="13583" width="11.140625" style="745" customWidth="1"/>
    <col min="13584" max="13584" width="15.42578125" style="745" customWidth="1"/>
    <col min="13585" max="13585" width="14.7109375" style="745" customWidth="1"/>
    <col min="13586" max="13586" width="13.42578125" style="745" customWidth="1"/>
    <col min="13587" max="13587" width="15" style="745" customWidth="1"/>
    <col min="13588" max="13588" width="25.28515625" style="745" customWidth="1"/>
    <col min="13589" max="13589" width="25.7109375" style="745" customWidth="1"/>
    <col min="13590" max="13824" width="9.140625" style="745"/>
    <col min="13825" max="13825" width="5" style="745" customWidth="1"/>
    <col min="13826" max="13826" width="29.85546875" style="745" customWidth="1"/>
    <col min="13827" max="13827" width="6" style="745" customWidth="1"/>
    <col min="13828" max="13828" width="5.7109375" style="745" customWidth="1"/>
    <col min="13829" max="13829" width="5.85546875" style="745" customWidth="1"/>
    <col min="13830" max="13830" width="12.42578125" style="745" customWidth="1"/>
    <col min="13831" max="13831" width="6.140625" style="745" customWidth="1"/>
    <col min="13832" max="13832" width="9.42578125" style="745" customWidth="1"/>
    <col min="13833" max="13833" width="12.5703125" style="745" customWidth="1"/>
    <col min="13834" max="13834" width="6.28515625" style="745" customWidth="1"/>
    <col min="13835" max="13835" width="11.42578125" style="745" customWidth="1"/>
    <col min="13836" max="13836" width="6.85546875" style="745" customWidth="1"/>
    <col min="13837" max="13837" width="12.140625" style="745" customWidth="1"/>
    <col min="13838" max="13838" width="5.7109375" style="745" customWidth="1"/>
    <col min="13839" max="13839" width="11.140625" style="745" customWidth="1"/>
    <col min="13840" max="13840" width="15.42578125" style="745" customWidth="1"/>
    <col min="13841" max="13841" width="14.7109375" style="745" customWidth="1"/>
    <col min="13842" max="13842" width="13.42578125" style="745" customWidth="1"/>
    <col min="13843" max="13843" width="15" style="745" customWidth="1"/>
    <col min="13844" max="13844" width="25.28515625" style="745" customWidth="1"/>
    <col min="13845" max="13845" width="25.7109375" style="745" customWidth="1"/>
    <col min="13846" max="14080" width="9.140625" style="745"/>
    <col min="14081" max="14081" width="5" style="745" customWidth="1"/>
    <col min="14082" max="14082" width="29.85546875" style="745" customWidth="1"/>
    <col min="14083" max="14083" width="6" style="745" customWidth="1"/>
    <col min="14084" max="14084" width="5.7109375" style="745" customWidth="1"/>
    <col min="14085" max="14085" width="5.85546875" style="745" customWidth="1"/>
    <col min="14086" max="14086" width="12.42578125" style="745" customWidth="1"/>
    <col min="14087" max="14087" width="6.140625" style="745" customWidth="1"/>
    <col min="14088" max="14088" width="9.42578125" style="745" customWidth="1"/>
    <col min="14089" max="14089" width="12.5703125" style="745" customWidth="1"/>
    <col min="14090" max="14090" width="6.28515625" style="745" customWidth="1"/>
    <col min="14091" max="14091" width="11.42578125" style="745" customWidth="1"/>
    <col min="14092" max="14092" width="6.85546875" style="745" customWidth="1"/>
    <col min="14093" max="14093" width="12.140625" style="745" customWidth="1"/>
    <col min="14094" max="14094" width="5.7109375" style="745" customWidth="1"/>
    <col min="14095" max="14095" width="11.140625" style="745" customWidth="1"/>
    <col min="14096" max="14096" width="15.42578125" style="745" customWidth="1"/>
    <col min="14097" max="14097" width="14.7109375" style="745" customWidth="1"/>
    <col min="14098" max="14098" width="13.42578125" style="745" customWidth="1"/>
    <col min="14099" max="14099" width="15" style="745" customWidth="1"/>
    <col min="14100" max="14100" width="25.28515625" style="745" customWidth="1"/>
    <col min="14101" max="14101" width="25.7109375" style="745" customWidth="1"/>
    <col min="14102" max="14336" width="9.140625" style="745"/>
    <col min="14337" max="14337" width="5" style="745" customWidth="1"/>
    <col min="14338" max="14338" width="29.85546875" style="745" customWidth="1"/>
    <col min="14339" max="14339" width="6" style="745" customWidth="1"/>
    <col min="14340" max="14340" width="5.7109375" style="745" customWidth="1"/>
    <col min="14341" max="14341" width="5.85546875" style="745" customWidth="1"/>
    <col min="14342" max="14342" width="12.42578125" style="745" customWidth="1"/>
    <col min="14343" max="14343" width="6.140625" style="745" customWidth="1"/>
    <col min="14344" max="14344" width="9.42578125" style="745" customWidth="1"/>
    <col min="14345" max="14345" width="12.5703125" style="745" customWidth="1"/>
    <col min="14346" max="14346" width="6.28515625" style="745" customWidth="1"/>
    <col min="14347" max="14347" width="11.42578125" style="745" customWidth="1"/>
    <col min="14348" max="14348" width="6.85546875" style="745" customWidth="1"/>
    <col min="14349" max="14349" width="12.140625" style="745" customWidth="1"/>
    <col min="14350" max="14350" width="5.7109375" style="745" customWidth="1"/>
    <col min="14351" max="14351" width="11.140625" style="745" customWidth="1"/>
    <col min="14352" max="14352" width="15.42578125" style="745" customWidth="1"/>
    <col min="14353" max="14353" width="14.7109375" style="745" customWidth="1"/>
    <col min="14354" max="14354" width="13.42578125" style="745" customWidth="1"/>
    <col min="14355" max="14355" width="15" style="745" customWidth="1"/>
    <col min="14356" max="14356" width="25.28515625" style="745" customWidth="1"/>
    <col min="14357" max="14357" width="25.7109375" style="745" customWidth="1"/>
    <col min="14358" max="14592" width="9.140625" style="745"/>
    <col min="14593" max="14593" width="5" style="745" customWidth="1"/>
    <col min="14594" max="14594" width="29.85546875" style="745" customWidth="1"/>
    <col min="14595" max="14595" width="6" style="745" customWidth="1"/>
    <col min="14596" max="14596" width="5.7109375" style="745" customWidth="1"/>
    <col min="14597" max="14597" width="5.85546875" style="745" customWidth="1"/>
    <col min="14598" max="14598" width="12.42578125" style="745" customWidth="1"/>
    <col min="14599" max="14599" width="6.140625" style="745" customWidth="1"/>
    <col min="14600" max="14600" width="9.42578125" style="745" customWidth="1"/>
    <col min="14601" max="14601" width="12.5703125" style="745" customWidth="1"/>
    <col min="14602" max="14602" width="6.28515625" style="745" customWidth="1"/>
    <col min="14603" max="14603" width="11.42578125" style="745" customWidth="1"/>
    <col min="14604" max="14604" width="6.85546875" style="745" customWidth="1"/>
    <col min="14605" max="14605" width="12.140625" style="745" customWidth="1"/>
    <col min="14606" max="14606" width="5.7109375" style="745" customWidth="1"/>
    <col min="14607" max="14607" width="11.140625" style="745" customWidth="1"/>
    <col min="14608" max="14608" width="15.42578125" style="745" customWidth="1"/>
    <col min="14609" max="14609" width="14.7109375" style="745" customWidth="1"/>
    <col min="14610" max="14610" width="13.42578125" style="745" customWidth="1"/>
    <col min="14611" max="14611" width="15" style="745" customWidth="1"/>
    <col min="14612" max="14612" width="25.28515625" style="745" customWidth="1"/>
    <col min="14613" max="14613" width="25.7109375" style="745" customWidth="1"/>
    <col min="14614" max="14848" width="9.140625" style="745"/>
    <col min="14849" max="14849" width="5" style="745" customWidth="1"/>
    <col min="14850" max="14850" width="29.85546875" style="745" customWidth="1"/>
    <col min="14851" max="14851" width="6" style="745" customWidth="1"/>
    <col min="14852" max="14852" width="5.7109375" style="745" customWidth="1"/>
    <col min="14853" max="14853" width="5.85546875" style="745" customWidth="1"/>
    <col min="14854" max="14854" width="12.42578125" style="745" customWidth="1"/>
    <col min="14855" max="14855" width="6.140625" style="745" customWidth="1"/>
    <col min="14856" max="14856" width="9.42578125" style="745" customWidth="1"/>
    <col min="14857" max="14857" width="12.5703125" style="745" customWidth="1"/>
    <col min="14858" max="14858" width="6.28515625" style="745" customWidth="1"/>
    <col min="14859" max="14859" width="11.42578125" style="745" customWidth="1"/>
    <col min="14860" max="14860" width="6.85546875" style="745" customWidth="1"/>
    <col min="14861" max="14861" width="12.140625" style="745" customWidth="1"/>
    <col min="14862" max="14862" width="5.7109375" style="745" customWidth="1"/>
    <col min="14863" max="14863" width="11.140625" style="745" customWidth="1"/>
    <col min="14864" max="14864" width="15.42578125" style="745" customWidth="1"/>
    <col min="14865" max="14865" width="14.7109375" style="745" customWidth="1"/>
    <col min="14866" max="14866" width="13.42578125" style="745" customWidth="1"/>
    <col min="14867" max="14867" width="15" style="745" customWidth="1"/>
    <col min="14868" max="14868" width="25.28515625" style="745" customWidth="1"/>
    <col min="14869" max="14869" width="25.7109375" style="745" customWidth="1"/>
    <col min="14870" max="15104" width="9.140625" style="745"/>
    <col min="15105" max="15105" width="5" style="745" customWidth="1"/>
    <col min="15106" max="15106" width="29.85546875" style="745" customWidth="1"/>
    <col min="15107" max="15107" width="6" style="745" customWidth="1"/>
    <col min="15108" max="15108" width="5.7109375" style="745" customWidth="1"/>
    <col min="15109" max="15109" width="5.85546875" style="745" customWidth="1"/>
    <col min="15110" max="15110" width="12.42578125" style="745" customWidth="1"/>
    <col min="15111" max="15111" width="6.140625" style="745" customWidth="1"/>
    <col min="15112" max="15112" width="9.42578125" style="745" customWidth="1"/>
    <col min="15113" max="15113" width="12.5703125" style="745" customWidth="1"/>
    <col min="15114" max="15114" width="6.28515625" style="745" customWidth="1"/>
    <col min="15115" max="15115" width="11.42578125" style="745" customWidth="1"/>
    <col min="15116" max="15116" width="6.85546875" style="745" customWidth="1"/>
    <col min="15117" max="15117" width="12.140625" style="745" customWidth="1"/>
    <col min="15118" max="15118" width="5.7109375" style="745" customWidth="1"/>
    <col min="15119" max="15119" width="11.140625" style="745" customWidth="1"/>
    <col min="15120" max="15120" width="15.42578125" style="745" customWidth="1"/>
    <col min="15121" max="15121" width="14.7109375" style="745" customWidth="1"/>
    <col min="15122" max="15122" width="13.42578125" style="745" customWidth="1"/>
    <col min="15123" max="15123" width="15" style="745" customWidth="1"/>
    <col min="15124" max="15124" width="25.28515625" style="745" customWidth="1"/>
    <col min="15125" max="15125" width="25.7109375" style="745" customWidth="1"/>
    <col min="15126" max="15360" width="9.140625" style="745"/>
    <col min="15361" max="15361" width="5" style="745" customWidth="1"/>
    <col min="15362" max="15362" width="29.85546875" style="745" customWidth="1"/>
    <col min="15363" max="15363" width="6" style="745" customWidth="1"/>
    <col min="15364" max="15364" width="5.7109375" style="745" customWidth="1"/>
    <col min="15365" max="15365" width="5.85546875" style="745" customWidth="1"/>
    <col min="15366" max="15366" width="12.42578125" style="745" customWidth="1"/>
    <col min="15367" max="15367" width="6.140625" style="745" customWidth="1"/>
    <col min="15368" max="15368" width="9.42578125" style="745" customWidth="1"/>
    <col min="15369" max="15369" width="12.5703125" style="745" customWidth="1"/>
    <col min="15370" max="15370" width="6.28515625" style="745" customWidth="1"/>
    <col min="15371" max="15371" width="11.42578125" style="745" customWidth="1"/>
    <col min="15372" max="15372" width="6.85546875" style="745" customWidth="1"/>
    <col min="15373" max="15373" width="12.140625" style="745" customWidth="1"/>
    <col min="15374" max="15374" width="5.7109375" style="745" customWidth="1"/>
    <col min="15375" max="15375" width="11.140625" style="745" customWidth="1"/>
    <col min="15376" max="15376" width="15.42578125" style="745" customWidth="1"/>
    <col min="15377" max="15377" width="14.7109375" style="745" customWidth="1"/>
    <col min="15378" max="15378" width="13.42578125" style="745" customWidth="1"/>
    <col min="15379" max="15379" width="15" style="745" customWidth="1"/>
    <col min="15380" max="15380" width="25.28515625" style="745" customWidth="1"/>
    <col min="15381" max="15381" width="25.7109375" style="745" customWidth="1"/>
    <col min="15382" max="15616" width="9.140625" style="745"/>
    <col min="15617" max="15617" width="5" style="745" customWidth="1"/>
    <col min="15618" max="15618" width="29.85546875" style="745" customWidth="1"/>
    <col min="15619" max="15619" width="6" style="745" customWidth="1"/>
    <col min="15620" max="15620" width="5.7109375" style="745" customWidth="1"/>
    <col min="15621" max="15621" width="5.85546875" style="745" customWidth="1"/>
    <col min="15622" max="15622" width="12.42578125" style="745" customWidth="1"/>
    <col min="15623" max="15623" width="6.140625" style="745" customWidth="1"/>
    <col min="15624" max="15624" width="9.42578125" style="745" customWidth="1"/>
    <col min="15625" max="15625" width="12.5703125" style="745" customWidth="1"/>
    <col min="15626" max="15626" width="6.28515625" style="745" customWidth="1"/>
    <col min="15627" max="15627" width="11.42578125" style="745" customWidth="1"/>
    <col min="15628" max="15628" width="6.85546875" style="745" customWidth="1"/>
    <col min="15629" max="15629" width="12.140625" style="745" customWidth="1"/>
    <col min="15630" max="15630" width="5.7109375" style="745" customWidth="1"/>
    <col min="15631" max="15631" width="11.140625" style="745" customWidth="1"/>
    <col min="15632" max="15632" width="15.42578125" style="745" customWidth="1"/>
    <col min="15633" max="15633" width="14.7109375" style="745" customWidth="1"/>
    <col min="15634" max="15634" width="13.42578125" style="745" customWidth="1"/>
    <col min="15635" max="15635" width="15" style="745" customWidth="1"/>
    <col min="15636" max="15636" width="25.28515625" style="745" customWidth="1"/>
    <col min="15637" max="15637" width="25.7109375" style="745" customWidth="1"/>
    <col min="15638" max="15872" width="9.140625" style="745"/>
    <col min="15873" max="15873" width="5" style="745" customWidth="1"/>
    <col min="15874" max="15874" width="29.85546875" style="745" customWidth="1"/>
    <col min="15875" max="15875" width="6" style="745" customWidth="1"/>
    <col min="15876" max="15876" width="5.7109375" style="745" customWidth="1"/>
    <col min="15877" max="15877" width="5.85546875" style="745" customWidth="1"/>
    <col min="15878" max="15878" width="12.42578125" style="745" customWidth="1"/>
    <col min="15879" max="15879" width="6.140625" style="745" customWidth="1"/>
    <col min="15880" max="15880" width="9.42578125" style="745" customWidth="1"/>
    <col min="15881" max="15881" width="12.5703125" style="745" customWidth="1"/>
    <col min="15882" max="15882" width="6.28515625" style="745" customWidth="1"/>
    <col min="15883" max="15883" width="11.42578125" style="745" customWidth="1"/>
    <col min="15884" max="15884" width="6.85546875" style="745" customWidth="1"/>
    <col min="15885" max="15885" width="12.140625" style="745" customWidth="1"/>
    <col min="15886" max="15886" width="5.7109375" style="745" customWidth="1"/>
    <col min="15887" max="15887" width="11.140625" style="745" customWidth="1"/>
    <col min="15888" max="15888" width="15.42578125" style="745" customWidth="1"/>
    <col min="15889" max="15889" width="14.7109375" style="745" customWidth="1"/>
    <col min="15890" max="15890" width="13.42578125" style="745" customWidth="1"/>
    <col min="15891" max="15891" width="15" style="745" customWidth="1"/>
    <col min="15892" max="15892" width="25.28515625" style="745" customWidth="1"/>
    <col min="15893" max="15893" width="25.7109375" style="745" customWidth="1"/>
    <col min="15894" max="16128" width="9.140625" style="745"/>
    <col min="16129" max="16129" width="5" style="745" customWidth="1"/>
    <col min="16130" max="16130" width="29.85546875" style="745" customWidth="1"/>
    <col min="16131" max="16131" width="6" style="745" customWidth="1"/>
    <col min="16132" max="16132" width="5.7109375" style="745" customWidth="1"/>
    <col min="16133" max="16133" width="5.85546875" style="745" customWidth="1"/>
    <col min="16134" max="16134" width="12.42578125" style="745" customWidth="1"/>
    <col min="16135" max="16135" width="6.140625" style="745" customWidth="1"/>
    <col min="16136" max="16136" width="9.42578125" style="745" customWidth="1"/>
    <col min="16137" max="16137" width="12.5703125" style="745" customWidth="1"/>
    <col min="16138" max="16138" width="6.28515625" style="745" customWidth="1"/>
    <col min="16139" max="16139" width="11.42578125" style="745" customWidth="1"/>
    <col min="16140" max="16140" width="6.85546875" style="745" customWidth="1"/>
    <col min="16141" max="16141" width="12.140625" style="745" customWidth="1"/>
    <col min="16142" max="16142" width="5.7109375" style="745" customWidth="1"/>
    <col min="16143" max="16143" width="11.140625" style="745" customWidth="1"/>
    <col min="16144" max="16144" width="15.42578125" style="745" customWidth="1"/>
    <col min="16145" max="16145" width="14.7109375" style="745" customWidth="1"/>
    <col min="16146" max="16146" width="13.42578125" style="745" customWidth="1"/>
    <col min="16147" max="16147" width="15" style="745" customWidth="1"/>
    <col min="16148" max="16148" width="25.28515625" style="745" customWidth="1"/>
    <col min="16149" max="16149" width="25.7109375" style="745" customWidth="1"/>
    <col min="16150" max="16384" width="9.140625" style="745"/>
  </cols>
  <sheetData>
    <row r="1" spans="1:29" ht="14.25" customHeight="1">
      <c r="B1" s="1777"/>
      <c r="C1" s="1777"/>
      <c r="D1" s="1777"/>
      <c r="E1" s="747"/>
      <c r="F1" s="748"/>
      <c r="G1" s="2263" t="s">
        <v>529</v>
      </c>
      <c r="H1" s="2263"/>
      <c r="I1" s="2263"/>
      <c r="J1" s="2263"/>
      <c r="K1" s="2263"/>
      <c r="L1" s="2263"/>
      <c r="M1" s="2263"/>
      <c r="N1" s="2263"/>
      <c r="O1" s="2263"/>
      <c r="P1" s="2263"/>
      <c r="Q1" s="2263"/>
    </row>
    <row r="2" spans="1:29" ht="25.5" customHeight="1">
      <c r="B2" s="2259" t="s">
        <v>530</v>
      </c>
      <c r="C2" s="2259"/>
      <c r="D2" s="2259"/>
      <c r="E2" s="2259"/>
      <c r="F2" s="748"/>
      <c r="G2" s="2264" t="s">
        <v>562</v>
      </c>
      <c r="H2" s="2264"/>
      <c r="I2" s="2264"/>
      <c r="J2" s="2264"/>
      <c r="K2" s="2264"/>
      <c r="L2" s="2264"/>
      <c r="M2" s="2264"/>
      <c r="N2" s="2264"/>
      <c r="O2" s="2264"/>
      <c r="P2" s="2264"/>
      <c r="Q2" s="2264"/>
    </row>
    <row r="3" spans="1:29" ht="12" customHeight="1">
      <c r="E3" s="747"/>
      <c r="F3" s="748"/>
      <c r="G3" s="2264" t="s">
        <v>531</v>
      </c>
      <c r="H3" s="2264"/>
      <c r="I3" s="2264"/>
      <c r="J3" s="2264"/>
      <c r="K3" s="2264"/>
      <c r="L3" s="2264"/>
      <c r="M3" s="2264"/>
      <c r="N3" s="2264"/>
      <c r="O3" s="2265"/>
      <c r="P3" s="2265"/>
      <c r="Q3" s="750"/>
    </row>
    <row r="4" spans="1:29" ht="13.5" customHeight="1">
      <c r="E4" s="747"/>
      <c r="F4" s="748"/>
      <c r="G4" s="748"/>
      <c r="H4" s="748"/>
      <c r="I4" s="2261" t="s">
        <v>823</v>
      </c>
      <c r="J4" s="2261"/>
      <c r="K4" s="2261"/>
      <c r="L4" s="2261"/>
      <c r="M4" s="2261"/>
      <c r="N4" s="2266"/>
      <c r="O4" s="2266"/>
      <c r="P4" s="2266"/>
      <c r="Q4" s="2266"/>
    </row>
    <row r="5" spans="1:29" ht="13.5" customHeight="1">
      <c r="E5" s="747"/>
      <c r="F5" s="748"/>
      <c r="G5" s="2261" t="s">
        <v>532</v>
      </c>
      <c r="H5" s="2261"/>
      <c r="I5" s="2261"/>
      <c r="J5" s="2261"/>
      <c r="K5" s="2261"/>
      <c r="L5" s="2261"/>
      <c r="M5" s="2261"/>
      <c r="N5" s="2262"/>
      <c r="O5" s="2262"/>
      <c r="P5" s="2262"/>
      <c r="Q5" s="2262"/>
    </row>
    <row r="6" spans="1:29" ht="22.5" customHeight="1">
      <c r="E6" s="747"/>
      <c r="F6" s="2267" t="s">
        <v>820</v>
      </c>
      <c r="G6" s="2267"/>
      <c r="H6" s="2267"/>
      <c r="I6" s="2267"/>
      <c r="J6" s="2267"/>
      <c r="K6" s="2267"/>
      <c r="L6" s="2267"/>
      <c r="M6" s="2267"/>
      <c r="N6" s="2268"/>
      <c r="O6" s="2268"/>
      <c r="P6" s="2268"/>
      <c r="Q6" s="2268"/>
    </row>
    <row r="7" spans="1:29" s="751" customFormat="1" ht="11.25" customHeight="1">
      <c r="B7" s="752"/>
      <c r="C7" s="752"/>
      <c r="D7" s="752"/>
      <c r="E7" s="752"/>
      <c r="F7" s="753"/>
      <c r="G7" s="2269" t="s">
        <v>533</v>
      </c>
      <c r="H7" s="2269"/>
      <c r="I7" s="2269"/>
      <c r="J7" s="2269"/>
      <c r="K7" s="2269"/>
      <c r="L7" s="2269"/>
      <c r="M7" s="2269"/>
      <c r="N7" s="2268"/>
      <c r="O7" s="2268"/>
      <c r="P7" s="2268"/>
      <c r="Q7" s="2268"/>
    </row>
    <row r="8" spans="1:29" s="751" customFormat="1" ht="14.25" customHeight="1">
      <c r="B8" s="752"/>
      <c r="C8" s="752"/>
      <c r="D8" s="752"/>
      <c r="E8" s="752"/>
      <c r="F8" s="752"/>
      <c r="G8" s="1771"/>
      <c r="H8" s="1771"/>
      <c r="I8" s="1771"/>
      <c r="J8" s="1771"/>
      <c r="K8" s="1771"/>
      <c r="L8" s="1771"/>
      <c r="M8" s="1771"/>
    </row>
    <row r="9" spans="1:29" ht="12.75" customHeight="1">
      <c r="B9" s="2263"/>
      <c r="C9" s="2263"/>
      <c r="D9" s="2263"/>
      <c r="E9" s="2263"/>
      <c r="F9" s="2263"/>
      <c r="G9" s="2263"/>
      <c r="H9" s="2263"/>
      <c r="I9" s="2263"/>
      <c r="J9" s="2263"/>
      <c r="K9" s="2263"/>
      <c r="L9" s="2263"/>
      <c r="M9" s="2263"/>
      <c r="N9" s="2263"/>
      <c r="O9" s="2263"/>
      <c r="P9" s="2263"/>
      <c r="Q9" s="2263"/>
    </row>
    <row r="10" spans="1:29" ht="15" customHeight="1">
      <c r="A10" s="2319" t="s">
        <v>824</v>
      </c>
      <c r="B10" s="2319"/>
      <c r="C10" s="2319"/>
      <c r="D10" s="2319"/>
      <c r="E10" s="2319"/>
      <c r="F10" s="2319"/>
      <c r="G10" s="2319"/>
      <c r="H10" s="2319"/>
      <c r="I10" s="2319"/>
      <c r="J10" s="2319"/>
      <c r="K10" s="2319"/>
      <c r="L10" s="2319"/>
      <c r="M10" s="2319"/>
      <c r="N10" s="2319"/>
      <c r="O10" s="2319"/>
      <c r="P10" s="2319"/>
      <c r="Q10" s="2319"/>
      <c r="T10" s="755"/>
    </row>
    <row r="11" spans="1:29" ht="12.75" customHeight="1">
      <c r="A11" s="2270"/>
      <c r="B11" s="2271"/>
      <c r="C11" s="2271"/>
      <c r="D11" s="2271"/>
      <c r="E11" s="2271"/>
      <c r="F11" s="2271"/>
      <c r="G11" s="2271"/>
      <c r="H11" s="2271"/>
      <c r="I11" s="2271"/>
      <c r="J11" s="2271"/>
      <c r="K11" s="2271"/>
      <c r="L11" s="2271"/>
      <c r="M11" s="2271"/>
      <c r="N11" s="2271"/>
      <c r="O11" s="2271"/>
      <c r="P11" s="2271"/>
      <c r="Q11" s="2271"/>
    </row>
    <row r="12" spans="1:29">
      <c r="A12" s="2264" t="s">
        <v>561</v>
      </c>
      <c r="B12" s="2264"/>
      <c r="C12" s="2264"/>
      <c r="D12" s="2264"/>
      <c r="E12" s="2264"/>
      <c r="F12" s="2264"/>
      <c r="G12" s="2264"/>
      <c r="H12" s="2264"/>
      <c r="I12" s="2264"/>
      <c r="J12" s="2264"/>
      <c r="K12" s="2264"/>
      <c r="L12" s="2264"/>
      <c r="M12" s="2264"/>
      <c r="N12" s="2264"/>
      <c r="O12" s="2264"/>
      <c r="P12" s="2264"/>
      <c r="Q12" s="2264"/>
      <c r="T12" s="748"/>
      <c r="U12" s="748"/>
      <c r="V12" s="748"/>
      <c r="W12" s="2263"/>
      <c r="X12" s="2263"/>
      <c r="Y12" s="2263"/>
      <c r="Z12" s="2263"/>
      <c r="AA12" s="2263"/>
      <c r="AB12" s="2263"/>
      <c r="AC12" s="2263"/>
    </row>
    <row r="13" spans="1:29" ht="13.5" thickBot="1">
      <c r="B13" s="1769"/>
      <c r="C13" s="1769"/>
      <c r="D13" s="1769"/>
      <c r="E13" s="1769"/>
      <c r="F13" s="1769"/>
      <c r="G13" s="1769"/>
      <c r="H13" s="1769"/>
      <c r="I13" s="1769"/>
      <c r="J13" s="1769"/>
      <c r="K13" s="1769"/>
      <c r="L13" s="1769"/>
      <c r="M13" s="1769"/>
      <c r="N13" s="1769"/>
      <c r="O13" s="1769"/>
      <c r="P13" s="1769"/>
      <c r="T13" s="748"/>
      <c r="U13" s="2264"/>
      <c r="V13" s="2264"/>
      <c r="W13" s="2272"/>
      <c r="X13" s="2272"/>
      <c r="Y13" s="2272"/>
      <c r="Z13" s="2272"/>
      <c r="AA13" s="2272"/>
      <c r="AB13" s="2272"/>
      <c r="AC13" s="2272"/>
    </row>
    <row r="14" spans="1:29" s="757" customFormat="1" ht="69.75" customHeight="1" thickBot="1">
      <c r="A14" s="2276" t="s">
        <v>535</v>
      </c>
      <c r="B14" s="2276" t="s">
        <v>536</v>
      </c>
      <c r="C14" s="2276" t="s">
        <v>8</v>
      </c>
      <c r="D14" s="2276" t="s">
        <v>9</v>
      </c>
      <c r="E14" s="2276" t="s">
        <v>10</v>
      </c>
      <c r="F14" s="2276" t="s">
        <v>537</v>
      </c>
      <c r="G14" s="2276" t="s">
        <v>538</v>
      </c>
      <c r="H14" s="2276" t="s">
        <v>539</v>
      </c>
      <c r="I14" s="2276" t="s">
        <v>540</v>
      </c>
      <c r="J14" s="2278" t="s">
        <v>17</v>
      </c>
      <c r="K14" s="2279"/>
      <c r="L14" s="2278" t="s">
        <v>18</v>
      </c>
      <c r="M14" s="2279"/>
      <c r="N14" s="2278" t="s">
        <v>541</v>
      </c>
      <c r="O14" s="2279"/>
      <c r="P14" s="2276" t="s">
        <v>542</v>
      </c>
      <c r="Q14" s="2273" t="s">
        <v>543</v>
      </c>
      <c r="T14" s="748"/>
      <c r="U14" s="748"/>
      <c r="V14" s="748"/>
      <c r="W14" s="2261"/>
      <c r="X14" s="2261"/>
      <c r="Y14" s="2261"/>
      <c r="Z14" s="2261"/>
      <c r="AA14" s="2261"/>
      <c r="AB14" s="2261"/>
      <c r="AC14" s="2261"/>
    </row>
    <row r="15" spans="1:29" s="757" customFormat="1" ht="58.5" customHeight="1" thickBot="1">
      <c r="A15" s="2277"/>
      <c r="B15" s="2277"/>
      <c r="C15" s="2277"/>
      <c r="D15" s="2277"/>
      <c r="E15" s="2277"/>
      <c r="F15" s="2277"/>
      <c r="G15" s="2277"/>
      <c r="H15" s="2277"/>
      <c r="I15" s="2277"/>
      <c r="J15" s="1770" t="s">
        <v>21</v>
      </c>
      <c r="K15" s="1770" t="s">
        <v>22</v>
      </c>
      <c r="L15" s="1770" t="s">
        <v>21</v>
      </c>
      <c r="M15" s="1770" t="s">
        <v>22</v>
      </c>
      <c r="N15" s="1770" t="s">
        <v>21</v>
      </c>
      <c r="O15" s="1770" t="s">
        <v>544</v>
      </c>
      <c r="P15" s="2277"/>
      <c r="Q15" s="2274"/>
      <c r="T15" s="748"/>
      <c r="U15" s="2275"/>
      <c r="V15" s="2275"/>
      <c r="W15" s="2275"/>
      <c r="X15" s="2275"/>
      <c r="Y15" s="2275"/>
      <c r="Z15" s="2275"/>
      <c r="AA15" s="2275"/>
      <c r="AB15" s="2275"/>
      <c r="AC15" s="2275"/>
    </row>
    <row r="16" spans="1:29" ht="35.25" customHeight="1">
      <c r="A16" s="796"/>
      <c r="B16" s="1807" t="s">
        <v>545</v>
      </c>
      <c r="C16" s="1807"/>
      <c r="D16" s="1807"/>
      <c r="E16" s="1808"/>
      <c r="F16" s="1809"/>
      <c r="G16" s="1809"/>
      <c r="H16" s="1809"/>
      <c r="I16" s="1810"/>
      <c r="J16" s="1810"/>
      <c r="K16" s="1810"/>
      <c r="L16" s="1810"/>
      <c r="M16" s="1810"/>
      <c r="N16" s="1810"/>
      <c r="O16" s="1810"/>
      <c r="P16" s="1811"/>
      <c r="Q16" s="1812"/>
      <c r="T16" s="2280"/>
      <c r="U16" s="2280"/>
      <c r="V16" s="2280"/>
      <c r="W16" s="2280"/>
      <c r="X16" s="2280"/>
      <c r="Y16" s="2280"/>
      <c r="Z16" s="2280"/>
      <c r="AA16" s="2280"/>
      <c r="AB16" s="2280"/>
      <c r="AC16" s="2280"/>
    </row>
    <row r="17" spans="1:29" s="1570" customFormat="1" ht="12.75" customHeight="1">
      <c r="A17" s="824">
        <v>1</v>
      </c>
      <c r="B17" s="760" t="s">
        <v>546</v>
      </c>
      <c r="C17" s="772" t="s">
        <v>28</v>
      </c>
      <c r="D17" s="772" t="s">
        <v>29</v>
      </c>
      <c r="E17" s="1813">
        <v>3</v>
      </c>
      <c r="F17" s="774">
        <v>1</v>
      </c>
      <c r="G17" s="1814">
        <v>7.7750000000000004</v>
      </c>
      <c r="H17" s="775">
        <v>17697</v>
      </c>
      <c r="I17" s="775">
        <f>0</f>
        <v>0</v>
      </c>
      <c r="J17" s="776">
        <v>0</v>
      </c>
      <c r="K17" s="777">
        <f>ROUND(I17*J17,2)+(M17*J17)</f>
        <v>0</v>
      </c>
      <c r="L17" s="776">
        <v>0.1</v>
      </c>
      <c r="M17" s="778">
        <f>'ШТАТЫ по НОВОЙ МОДЕЛИ '!M17-'расчеты к старое'!U6</f>
        <v>5503.7670000000035</v>
      </c>
      <c r="N17" s="776"/>
      <c r="O17" s="777">
        <f>ROUND(H17*N17,2)*2</f>
        <v>0</v>
      </c>
      <c r="P17" s="775">
        <f>ROUND((I17*F17)+M17+K17+O17,2)</f>
        <v>5503.77</v>
      </c>
      <c r="Q17" s="779">
        <f>P17*12</f>
        <v>66045.240000000005</v>
      </c>
      <c r="S17" s="1571"/>
      <c r="T17" s="1574"/>
      <c r="U17" s="2311"/>
      <c r="V17" s="2311"/>
      <c r="W17" s="2311"/>
      <c r="X17" s="2311"/>
      <c r="Y17" s="2311"/>
      <c r="Z17" s="2311"/>
      <c r="AA17" s="2311"/>
      <c r="AB17" s="2311"/>
      <c r="AC17" s="2311"/>
    </row>
    <row r="18" spans="1:29" s="1570" customFormat="1" ht="12.75" customHeight="1">
      <c r="A18" s="824">
        <v>2</v>
      </c>
      <c r="B18" s="771" t="s">
        <v>32</v>
      </c>
      <c r="C18" s="772" t="s">
        <v>28</v>
      </c>
      <c r="D18" s="772" t="s">
        <v>35</v>
      </c>
      <c r="E18" s="773" t="s">
        <v>645</v>
      </c>
      <c r="F18" s="774">
        <v>2</v>
      </c>
      <c r="G18" s="774">
        <v>7.2125000000000004</v>
      </c>
      <c r="H18" s="775">
        <v>17697</v>
      </c>
      <c r="I18" s="775">
        <f>0</f>
        <v>0</v>
      </c>
      <c r="J18" s="776">
        <v>0</v>
      </c>
      <c r="K18" s="777">
        <f>ROUND(I18*J18,2)+(M18*J18)</f>
        <v>0</v>
      </c>
      <c r="L18" s="776">
        <v>0.1</v>
      </c>
      <c r="M18" s="778">
        <v>5106</v>
      </c>
      <c r="N18" s="776"/>
      <c r="O18" s="777">
        <f t="shared" ref="O18:O21" si="0">ROUND(H18*N18,2)</f>
        <v>0</v>
      </c>
      <c r="P18" s="775">
        <v>5105.58</v>
      </c>
      <c r="Q18" s="779">
        <f t="shared" ref="Q18:Q21" si="1">P18*12</f>
        <v>61266.96</v>
      </c>
      <c r="R18" s="1573"/>
      <c r="S18" s="1571"/>
      <c r="T18" s="1574"/>
      <c r="U18" s="1776"/>
      <c r="V18" s="1776"/>
      <c r="W18" s="1776"/>
      <c r="X18" s="1776"/>
      <c r="Y18" s="1776"/>
      <c r="Z18" s="1776"/>
      <c r="AA18" s="1776"/>
      <c r="AB18" s="1776"/>
      <c r="AC18" s="1776"/>
    </row>
    <row r="19" spans="1:29" s="1570" customFormat="1" ht="12.75" customHeight="1">
      <c r="A19" s="824">
        <v>3</v>
      </c>
      <c r="B19" s="771" t="s">
        <v>32</v>
      </c>
      <c r="C19" s="772" t="s">
        <v>28</v>
      </c>
      <c r="D19" s="772" t="s">
        <v>35</v>
      </c>
      <c r="E19" s="773" t="s">
        <v>645</v>
      </c>
      <c r="F19" s="774">
        <v>1</v>
      </c>
      <c r="G19" s="774">
        <v>7.2112499999999997</v>
      </c>
      <c r="H19" s="775">
        <v>17697</v>
      </c>
      <c r="I19" s="775">
        <f>0</f>
        <v>0</v>
      </c>
      <c r="J19" s="776">
        <v>0.25</v>
      </c>
      <c r="K19" s="777">
        <f>'ШТАТЫ по НОВОЙ МОДЕЛИ '!K19-'расчеты к старое'!S9</f>
        <v>12763.983749999992</v>
      </c>
      <c r="L19" s="776">
        <v>0.1</v>
      </c>
      <c r="M19" s="778">
        <v>2861.83</v>
      </c>
      <c r="N19" s="776"/>
      <c r="O19" s="777">
        <f>ROUND(H19*N19,2)</f>
        <v>0</v>
      </c>
      <c r="P19" s="775">
        <f>K19+M19</f>
        <v>15625.813749999992</v>
      </c>
      <c r="Q19" s="779">
        <f>P19*12</f>
        <v>187509.7649999999</v>
      </c>
      <c r="R19" s="1573"/>
      <c r="S19" s="1571"/>
      <c r="T19" s="1574"/>
      <c r="U19" s="1776"/>
      <c r="V19" s="1776"/>
      <c r="W19" s="1776"/>
      <c r="X19" s="1776"/>
      <c r="Y19" s="1776"/>
      <c r="Z19" s="1776"/>
      <c r="AA19" s="1776"/>
      <c r="AB19" s="1776"/>
      <c r="AC19" s="1776"/>
    </row>
    <row r="20" spans="1:29" s="1570" customFormat="1" ht="12.75" customHeight="1">
      <c r="A20" s="824">
        <v>4</v>
      </c>
      <c r="B20" s="771" t="s">
        <v>42</v>
      </c>
      <c r="C20" s="772" t="s">
        <v>28</v>
      </c>
      <c r="D20" s="772" t="s">
        <v>29</v>
      </c>
      <c r="E20" s="773" t="s">
        <v>44</v>
      </c>
      <c r="F20" s="774">
        <v>1</v>
      </c>
      <c r="G20" s="774">
        <v>7.3875000000000002</v>
      </c>
      <c r="H20" s="775">
        <v>17697</v>
      </c>
      <c r="I20" s="775">
        <f>0</f>
        <v>0</v>
      </c>
      <c r="J20" s="776">
        <v>0</v>
      </c>
      <c r="K20" s="777">
        <f>ROUND(I20*J20,2)+(M20*J20)</f>
        <v>0</v>
      </c>
      <c r="L20" s="776">
        <v>0.1</v>
      </c>
      <c r="M20" s="778">
        <v>2473.16</v>
      </c>
      <c r="N20" s="1815"/>
      <c r="O20" s="777">
        <f t="shared" si="0"/>
        <v>0</v>
      </c>
      <c r="P20" s="775">
        <f>ROUND((I20*F20)+M20+K20+O20,2)</f>
        <v>2473.16</v>
      </c>
      <c r="Q20" s="779">
        <f t="shared" si="1"/>
        <v>29677.919999999998</v>
      </c>
      <c r="R20" s="1573"/>
      <c r="S20" s="1571"/>
      <c r="T20" s="1572"/>
      <c r="U20" s="1571"/>
    </row>
    <row r="21" spans="1:29" s="1570" customFormat="1" ht="12.75" customHeight="1">
      <c r="A21" s="824">
        <v>5</v>
      </c>
      <c r="B21" s="771" t="s">
        <v>46</v>
      </c>
      <c r="C21" s="772" t="s">
        <v>28</v>
      </c>
      <c r="D21" s="772" t="s">
        <v>29</v>
      </c>
      <c r="E21" s="773" t="s">
        <v>44</v>
      </c>
      <c r="F21" s="774">
        <v>1</v>
      </c>
      <c r="G21" s="774">
        <v>6.9874999999999998</v>
      </c>
      <c r="H21" s="775">
        <v>17697</v>
      </c>
      <c r="I21" s="775">
        <f>0</f>
        <v>0</v>
      </c>
      <c r="J21" s="1816">
        <v>0</v>
      </c>
      <c r="K21" s="799">
        <v>0</v>
      </c>
      <c r="L21" s="776">
        <v>0.1</v>
      </c>
      <c r="M21" s="778">
        <v>2614</v>
      </c>
      <c r="N21" s="1815"/>
      <c r="O21" s="777">
        <f t="shared" si="0"/>
        <v>0</v>
      </c>
      <c r="P21" s="775">
        <f>ROUND((I21*F21)+M21+K21+O21,2)</f>
        <v>2614</v>
      </c>
      <c r="Q21" s="779">
        <f t="shared" si="1"/>
        <v>31368</v>
      </c>
      <c r="R21" s="1573"/>
      <c r="S21" s="1571"/>
      <c r="T21" s="1572"/>
      <c r="U21" s="1571"/>
    </row>
    <row r="22" spans="1:29" s="793" customFormat="1" ht="14.25" customHeight="1">
      <c r="A22" s="2293" t="s">
        <v>550</v>
      </c>
      <c r="B22" s="2294"/>
      <c r="C22" s="1772"/>
      <c r="D22" s="1772"/>
      <c r="E22" s="849"/>
      <c r="F22" s="841">
        <f>SUM(F17:F21)</f>
        <v>6</v>
      </c>
      <c r="G22" s="850"/>
      <c r="H22" s="850"/>
      <c r="I22" s="841">
        <f>SUM(I17:I21)</f>
        <v>0</v>
      </c>
      <c r="J22" s="850"/>
      <c r="K22" s="841">
        <f>SUM(K17:K21)</f>
        <v>12763.983749999992</v>
      </c>
      <c r="L22" s="850"/>
      <c r="M22" s="841">
        <f>SUM(M17:M21)</f>
        <v>18558.757000000005</v>
      </c>
      <c r="N22" s="850"/>
      <c r="O22" s="841">
        <f>SUM(O17:O21)</f>
        <v>0</v>
      </c>
      <c r="P22" s="841">
        <f>ROUND(SUM(P17:P21),2)</f>
        <v>31322.32</v>
      </c>
      <c r="Q22" s="851">
        <f>SUM(Q17:Q21)</f>
        <v>375867.88499999989</v>
      </c>
      <c r="S22" s="794"/>
      <c r="T22" s="795"/>
      <c r="U22" s="795"/>
    </row>
    <row r="23" spans="1:29" ht="21.75" customHeight="1">
      <c r="A23" s="856"/>
      <c r="B23" s="869" t="s">
        <v>551</v>
      </c>
      <c r="C23" s="870"/>
      <c r="D23" s="870"/>
      <c r="E23" s="859"/>
      <c r="F23" s="861"/>
      <c r="G23" s="861"/>
      <c r="H23" s="861"/>
      <c r="I23" s="861"/>
      <c r="J23" s="861"/>
      <c r="K23" s="861"/>
      <c r="L23" s="861"/>
      <c r="M23" s="861"/>
      <c r="N23" s="861"/>
      <c r="O23" s="861"/>
      <c r="P23" s="861"/>
      <c r="Q23" s="862"/>
      <c r="R23" s="780"/>
      <c r="S23" s="770"/>
      <c r="U23" s="770"/>
    </row>
    <row r="24" spans="1:29" s="821" customFormat="1" ht="14.25" customHeight="1">
      <c r="A24" s="796">
        <v>20</v>
      </c>
      <c r="B24" s="797" t="s">
        <v>552</v>
      </c>
      <c r="C24" s="156"/>
      <c r="D24" s="156"/>
      <c r="E24" s="55"/>
      <c r="F24" s="798">
        <v>126.7777</v>
      </c>
      <c r="G24" s="11"/>
      <c r="H24" s="775">
        <v>17697</v>
      </c>
      <c r="I24" s="775">
        <v>0</v>
      </c>
      <c r="J24" s="776">
        <v>0.25</v>
      </c>
      <c r="K24" s="799" t="e">
        <f>разница!U165</f>
        <v>#REF!</v>
      </c>
      <c r="L24" s="776">
        <v>0.1</v>
      </c>
      <c r="M24" s="800">
        <v>1262221.6299999999</v>
      </c>
      <c r="N24" s="776"/>
      <c r="O24" s="799">
        <f>ROUND(H24*N24,2)</f>
        <v>0</v>
      </c>
      <c r="P24" s="775" t="e">
        <f>M24+K24+I24</f>
        <v>#REF!</v>
      </c>
      <c r="Q24" s="779" t="e">
        <f>P24*12</f>
        <v>#REF!</v>
      </c>
      <c r="R24" s="1034"/>
      <c r="S24" s="823"/>
      <c r="T24" s="822"/>
      <c r="U24" s="823"/>
    </row>
    <row r="25" spans="1:29" s="801" customFormat="1" ht="13.5" customHeight="1" thickBot="1">
      <c r="A25" s="2285" t="s">
        <v>553</v>
      </c>
      <c r="B25" s="2286"/>
      <c r="C25" s="1772"/>
      <c r="D25" s="1772"/>
      <c r="E25" s="837"/>
      <c r="F25" s="838">
        <f>SUM(F24:F24)</f>
        <v>126.7777</v>
      </c>
      <c r="G25" s="838"/>
      <c r="H25" s="838"/>
      <c r="I25" s="839">
        <f>SUM(I24:I24)</f>
        <v>0</v>
      </c>
      <c r="J25" s="839"/>
      <c r="K25" s="839" t="e">
        <f t="shared" ref="K25:Q25" si="2">SUM(K24:K24)</f>
        <v>#REF!</v>
      </c>
      <c r="L25" s="839"/>
      <c r="M25" s="839">
        <f t="shared" si="2"/>
        <v>1262221.6299999999</v>
      </c>
      <c r="N25" s="839">
        <f t="shared" si="2"/>
        <v>0</v>
      </c>
      <c r="O25" s="839">
        <v>0</v>
      </c>
      <c r="P25" s="839" t="e">
        <f t="shared" si="2"/>
        <v>#REF!</v>
      </c>
      <c r="Q25" s="839" t="e">
        <f t="shared" si="2"/>
        <v>#REF!</v>
      </c>
      <c r="S25" s="794"/>
      <c r="T25" s="795"/>
      <c r="U25" s="795"/>
      <c r="V25" s="794"/>
    </row>
    <row r="26" spans="1:29" s="801" customFormat="1" ht="19.5" customHeight="1" thickBot="1">
      <c r="A26" s="2289" t="s">
        <v>558</v>
      </c>
      <c r="B26" s="2290"/>
      <c r="C26" s="1773"/>
      <c r="D26" s="1773"/>
      <c r="E26" s="853"/>
      <c r="F26" s="853">
        <f>F25+F22</f>
        <v>132.77769999999998</v>
      </c>
      <c r="G26" s="855"/>
      <c r="H26" s="855"/>
      <c r="I26" s="855"/>
      <c r="J26" s="855"/>
      <c r="K26" s="853" t="e">
        <f>K22+K24</f>
        <v>#REF!</v>
      </c>
      <c r="L26" s="855"/>
      <c r="M26" s="853">
        <f>M22+M24</f>
        <v>1280780.3869999999</v>
      </c>
      <c r="N26" s="855"/>
      <c r="O26" s="853">
        <f>O22+O24</f>
        <v>0</v>
      </c>
      <c r="P26" s="853" t="e">
        <f>P22+P24</f>
        <v>#REF!</v>
      </c>
      <c r="Q26" s="853" t="e">
        <f>Q22+Q25</f>
        <v>#REF!</v>
      </c>
      <c r="R26" s="794"/>
      <c r="S26" s="945"/>
      <c r="T26" s="806"/>
      <c r="U26" s="806"/>
    </row>
    <row r="27" spans="1:29">
      <c r="R27" s="755"/>
      <c r="S27" s="2282"/>
      <c r="T27" s="808"/>
      <c r="U27" s="808"/>
    </row>
    <row r="28" spans="1:29" ht="15" customHeight="1">
      <c r="B28" s="1777" t="s">
        <v>53</v>
      </c>
      <c r="C28" s="1777"/>
      <c r="D28" s="1777"/>
      <c r="E28" s="1774"/>
      <c r="F28" s="1774"/>
      <c r="G28" s="1774"/>
      <c r="H28" s="810"/>
      <c r="I28" s="2291"/>
      <c r="J28" s="2291"/>
      <c r="K28" s="2291"/>
      <c r="L28" s="2291"/>
      <c r="M28" s="2291"/>
      <c r="N28" s="2291"/>
      <c r="O28" s="2291"/>
      <c r="P28" s="811"/>
      <c r="S28" s="2282"/>
      <c r="T28" s="812"/>
      <c r="U28" s="812"/>
    </row>
    <row r="29" spans="1:29">
      <c r="F29" s="1775" t="s">
        <v>559</v>
      </c>
      <c r="I29" s="2292" t="s">
        <v>560</v>
      </c>
      <c r="J29" s="2292"/>
      <c r="K29" s="2292"/>
      <c r="L29" s="2292"/>
      <c r="M29" s="2292"/>
      <c r="N29" s="2292"/>
      <c r="O29" s="2292"/>
      <c r="P29" s="811"/>
      <c r="S29" s="814"/>
      <c r="T29" s="815"/>
      <c r="U29" s="815"/>
    </row>
    <row r="30" spans="1:29">
      <c r="N30" s="816"/>
      <c r="P30" s="811"/>
      <c r="Q30" s="780"/>
      <c r="S30" s="784"/>
      <c r="T30" s="784"/>
      <c r="U30" s="784"/>
    </row>
    <row r="31" spans="1:29">
      <c r="A31" s="784"/>
      <c r="P31" s="811"/>
      <c r="S31" s="2282"/>
      <c r="T31" s="808"/>
      <c r="U31" s="808"/>
    </row>
    <row r="32" spans="1:29">
      <c r="A32" s="784"/>
      <c r="N32" s="816"/>
      <c r="S32" s="2282"/>
      <c r="T32" s="812"/>
      <c r="U32" s="812"/>
    </row>
    <row r="33" spans="1:21" s="818" customFormat="1" ht="41.25" customHeight="1">
      <c r="A33" s="817"/>
      <c r="B33" s="2283"/>
      <c r="C33" s="2283"/>
      <c r="D33" s="2283"/>
      <c r="E33" s="2284"/>
      <c r="F33" s="2284"/>
      <c r="G33" s="2284"/>
      <c r="H33" s="2284"/>
      <c r="I33" s="2284"/>
      <c r="J33" s="2284"/>
      <c r="K33" s="2284"/>
      <c r="L33" s="2284"/>
      <c r="M33" s="2284"/>
      <c r="N33" s="2284"/>
      <c r="O33" s="2284"/>
      <c r="P33" s="2284"/>
      <c r="Q33" s="2284"/>
      <c r="S33" s="817"/>
      <c r="T33" s="817"/>
      <c r="U33" s="817"/>
    </row>
    <row r="34" spans="1:21">
      <c r="A34" s="784"/>
      <c r="S34" s="2282"/>
      <c r="T34" s="808"/>
      <c r="U34" s="808"/>
    </row>
    <row r="35" spans="1:21" s="818" customFormat="1">
      <c r="A35" s="817"/>
      <c r="B35" s="2283"/>
      <c r="C35" s="2283"/>
      <c r="D35" s="2283"/>
      <c r="E35" s="2284"/>
      <c r="F35" s="2284"/>
      <c r="G35" s="2284"/>
      <c r="H35" s="2284"/>
      <c r="I35" s="2284"/>
      <c r="J35" s="2284"/>
      <c r="K35" s="2284"/>
      <c r="L35" s="2284"/>
      <c r="M35" s="2284"/>
      <c r="N35" s="819"/>
      <c r="O35" s="819"/>
      <c r="P35" s="819"/>
      <c r="S35" s="2282"/>
      <c r="T35" s="820"/>
      <c r="U35" s="820"/>
    </row>
    <row r="36" spans="1:21">
      <c r="A36" s="784"/>
    </row>
    <row r="37" spans="1:21">
      <c r="M37" s="811"/>
    </row>
  </sheetData>
  <mergeCells count="43">
    <mergeCell ref="G5:Q5"/>
    <mergeCell ref="G1:Q1"/>
    <mergeCell ref="B2:E2"/>
    <mergeCell ref="G2:Q2"/>
    <mergeCell ref="G3:P3"/>
    <mergeCell ref="I4:Q4"/>
    <mergeCell ref="F6:Q6"/>
    <mergeCell ref="G7:Q7"/>
    <mergeCell ref="B9:Q9"/>
    <mergeCell ref="A10:Q10"/>
    <mergeCell ref="A11:Q11"/>
    <mergeCell ref="W12:AC12"/>
    <mergeCell ref="U13:V13"/>
    <mergeCell ref="W13:AC13"/>
    <mergeCell ref="A12:Q12"/>
    <mergeCell ref="Q14:Q15"/>
    <mergeCell ref="W14:AC14"/>
    <mergeCell ref="U15:AC15"/>
    <mergeCell ref="H14:H15"/>
    <mergeCell ref="I14:I15"/>
    <mergeCell ref="J14:K14"/>
    <mergeCell ref="L14:M14"/>
    <mergeCell ref="A14:A15"/>
    <mergeCell ref="B14:B15"/>
    <mergeCell ref="C14:C15"/>
    <mergeCell ref="D14:D15"/>
    <mergeCell ref="E14:E15"/>
    <mergeCell ref="F14:F15"/>
    <mergeCell ref="G14:G15"/>
    <mergeCell ref="T16:AC16"/>
    <mergeCell ref="N14:O14"/>
    <mergeCell ref="P14:P15"/>
    <mergeCell ref="U17:AC17"/>
    <mergeCell ref="S31:S32"/>
    <mergeCell ref="B33:Q33"/>
    <mergeCell ref="S34:S35"/>
    <mergeCell ref="B35:M35"/>
    <mergeCell ref="A25:B25"/>
    <mergeCell ref="A26:B26"/>
    <mergeCell ref="S27:S28"/>
    <mergeCell ref="I28:O28"/>
    <mergeCell ref="I29:O29"/>
    <mergeCell ref="A22:B22"/>
  </mergeCells>
  <pageMargins left="0.98425196850393704" right="0.19685039370078741" top="0.27559055118110237" bottom="0.23622047244094491" header="0.23622047244094491" footer="0.23622047244094491"/>
  <pageSetup paperSize="9" scale="64" orientation="landscape" r:id="rId1"/>
  <headerFooter alignWithMargins="0"/>
  <colBreaks count="1" manualBreakCount="1">
    <brk id="1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3">
    <tabColor rgb="FF7030A0"/>
  </sheetPr>
  <dimension ref="A1:AR155"/>
  <sheetViews>
    <sheetView topLeftCell="A133" zoomScale="70" zoomScaleNormal="70" zoomScaleSheetLayoutView="40" workbookViewId="0">
      <pane xSplit="2" topLeftCell="C1" activePane="topRight" state="frozen"/>
      <selection pane="topRight" activeCell="A2" sqref="A2:W153"/>
    </sheetView>
  </sheetViews>
  <sheetFormatPr defaultRowHeight="12.75"/>
  <cols>
    <col min="1" max="1" width="23.140625" style="1" customWidth="1"/>
    <col min="2" max="2" width="20.5703125" style="1577" customWidth="1"/>
    <col min="3" max="3" width="17.42578125" style="1" customWidth="1"/>
    <col min="4" max="4" width="15.5703125" style="1" customWidth="1"/>
    <col min="5" max="5" width="13.28515625" style="1" customWidth="1"/>
    <col min="6" max="6" width="7.42578125" style="1" customWidth="1"/>
    <col min="7" max="7" width="4.7109375" style="1" customWidth="1"/>
    <col min="8" max="8" width="8.5703125" style="1" customWidth="1"/>
    <col min="9" max="9" width="5.5703125" style="1" customWidth="1"/>
    <col min="10" max="10" width="11.5703125" style="1" customWidth="1"/>
    <col min="11" max="11" width="12.28515625" style="1" customWidth="1"/>
    <col min="12" max="12" width="10.85546875" style="1" customWidth="1"/>
    <col min="13" max="13" width="12" style="1577" customWidth="1"/>
    <col min="14" max="14" width="8.5703125" style="1" customWidth="1"/>
    <col min="15" max="15" width="16.28515625" style="1" customWidth="1"/>
    <col min="16" max="16" width="14.28515625" style="1" customWidth="1"/>
    <col min="17" max="17" width="9.7109375" style="1" customWidth="1"/>
    <col min="18" max="18" width="1.85546875" style="1" hidden="1" customWidth="1"/>
    <col min="19" max="19" width="10.140625" style="1" customWidth="1"/>
    <col min="20" max="20" width="15.140625" style="1" customWidth="1"/>
    <col min="21" max="21" width="8.5703125" style="1" customWidth="1"/>
    <col min="22" max="22" width="11.7109375" style="1" customWidth="1"/>
    <col min="23" max="23" width="15.28515625" style="1" customWidth="1"/>
    <col min="24" max="25" width="18.28515625" style="1" hidden="1" customWidth="1"/>
    <col min="26" max="26" width="13" style="24" hidden="1" customWidth="1"/>
    <col min="27" max="27" width="16" style="24" hidden="1" customWidth="1"/>
    <col min="28" max="28" width="13" style="24" hidden="1" customWidth="1"/>
    <col min="29" max="29" width="12" style="24" hidden="1" customWidth="1"/>
    <col min="30" max="32" width="0" style="24" hidden="1" customWidth="1"/>
    <col min="33" max="33" width="11.28515625" style="24" hidden="1" customWidth="1"/>
    <col min="34" max="34" width="10.7109375" style="24" hidden="1" customWidth="1"/>
    <col min="35" max="35" width="0" style="24" hidden="1" customWidth="1"/>
    <col min="36" max="36" width="11.42578125" style="24" bestFit="1" customWidth="1"/>
    <col min="37" max="37" width="12" style="24" bestFit="1" customWidth="1"/>
    <col min="38" max="39" width="10.28515625" style="24" bestFit="1" customWidth="1"/>
    <col min="40" max="43" width="9.140625" style="24"/>
    <col min="44" max="256" width="9.140625" style="1"/>
    <col min="257" max="257" width="6.42578125" style="1" customWidth="1"/>
    <col min="258" max="258" width="20.7109375" style="1" customWidth="1"/>
    <col min="259" max="259" width="24.7109375" style="1" customWidth="1"/>
    <col min="260" max="260" width="11.140625" style="1" customWidth="1"/>
    <col min="261" max="261" width="12.28515625" style="1" customWidth="1"/>
    <col min="262" max="262" width="11.140625" style="1" customWidth="1"/>
    <col min="263" max="263" width="10.42578125" style="1" customWidth="1"/>
    <col min="264" max="264" width="4.7109375" style="1" customWidth="1"/>
    <col min="265" max="265" width="8.5703125" style="1" customWidth="1"/>
    <col min="266" max="266" width="5.5703125" style="1" customWidth="1"/>
    <col min="267" max="268" width="11.5703125" style="1" customWidth="1"/>
    <col min="269" max="269" width="10.85546875" style="1" customWidth="1"/>
    <col min="270" max="270" width="7.7109375" style="1" customWidth="1"/>
    <col min="271" max="271" width="8" style="1" customWidth="1"/>
    <col min="272" max="272" width="16.28515625" style="1" customWidth="1"/>
    <col min="273" max="273" width="10.5703125" style="1" customWidth="1"/>
    <col min="274" max="274" width="14.140625" style="1" customWidth="1"/>
    <col min="275" max="275" width="10.140625" style="1" customWidth="1"/>
    <col min="276" max="276" width="15.140625" style="1" customWidth="1"/>
    <col min="277" max="277" width="8.5703125" style="1" customWidth="1"/>
    <col min="278" max="278" width="14.28515625" style="1" customWidth="1"/>
    <col min="279" max="279" width="18.28515625" style="1" customWidth="1"/>
    <col min="280" max="280" width="13" style="1" bestFit="1" customWidth="1"/>
    <col min="281" max="281" width="11.7109375" style="1" bestFit="1" customWidth="1"/>
    <col min="282" max="288" width="9.140625" style="1"/>
    <col min="289" max="289" width="11.28515625" style="1" bestFit="1" customWidth="1"/>
    <col min="290" max="290" width="10.7109375" style="1" bestFit="1" customWidth="1"/>
    <col min="291" max="512" width="9.140625" style="1"/>
    <col min="513" max="513" width="6.42578125" style="1" customWidth="1"/>
    <col min="514" max="514" width="20.7109375" style="1" customWidth="1"/>
    <col min="515" max="515" width="24.7109375" style="1" customWidth="1"/>
    <col min="516" max="516" width="11.140625" style="1" customWidth="1"/>
    <col min="517" max="517" width="12.28515625" style="1" customWidth="1"/>
    <col min="518" max="518" width="11.140625" style="1" customWidth="1"/>
    <col min="519" max="519" width="10.42578125" style="1" customWidth="1"/>
    <col min="520" max="520" width="4.7109375" style="1" customWidth="1"/>
    <col min="521" max="521" width="8.5703125" style="1" customWidth="1"/>
    <col min="522" max="522" width="5.5703125" style="1" customWidth="1"/>
    <col min="523" max="524" width="11.5703125" style="1" customWidth="1"/>
    <col min="525" max="525" width="10.85546875" style="1" customWidth="1"/>
    <col min="526" max="526" width="7.7109375" style="1" customWidth="1"/>
    <col min="527" max="527" width="8" style="1" customWidth="1"/>
    <col min="528" max="528" width="16.28515625" style="1" customWidth="1"/>
    <col min="529" max="529" width="10.5703125" style="1" customWidth="1"/>
    <col min="530" max="530" width="14.140625" style="1" customWidth="1"/>
    <col min="531" max="531" width="10.140625" style="1" customWidth="1"/>
    <col min="532" max="532" width="15.140625" style="1" customWidth="1"/>
    <col min="533" max="533" width="8.5703125" style="1" customWidth="1"/>
    <col min="534" max="534" width="14.28515625" style="1" customWidth="1"/>
    <col min="535" max="535" width="18.28515625" style="1" customWidth="1"/>
    <col min="536" max="536" width="13" style="1" bestFit="1" customWidth="1"/>
    <col min="537" max="537" width="11.7109375" style="1" bestFit="1" customWidth="1"/>
    <col min="538" max="544" width="9.140625" style="1"/>
    <col min="545" max="545" width="11.28515625" style="1" bestFit="1" customWidth="1"/>
    <col min="546" max="546" width="10.7109375" style="1" bestFit="1" customWidth="1"/>
    <col min="547" max="768" width="9.140625" style="1"/>
    <col min="769" max="769" width="6.42578125" style="1" customWidth="1"/>
    <col min="770" max="770" width="20.7109375" style="1" customWidth="1"/>
    <col min="771" max="771" width="24.7109375" style="1" customWidth="1"/>
    <col min="772" max="772" width="11.140625" style="1" customWidth="1"/>
    <col min="773" max="773" width="12.28515625" style="1" customWidth="1"/>
    <col min="774" max="774" width="11.140625" style="1" customWidth="1"/>
    <col min="775" max="775" width="10.42578125" style="1" customWidth="1"/>
    <col min="776" max="776" width="4.7109375" style="1" customWidth="1"/>
    <col min="777" max="777" width="8.5703125" style="1" customWidth="1"/>
    <col min="778" max="778" width="5.5703125" style="1" customWidth="1"/>
    <col min="779" max="780" width="11.5703125" style="1" customWidth="1"/>
    <col min="781" max="781" width="10.85546875" style="1" customWidth="1"/>
    <col min="782" max="782" width="7.7109375" style="1" customWidth="1"/>
    <col min="783" max="783" width="8" style="1" customWidth="1"/>
    <col min="784" max="784" width="16.28515625" style="1" customWidth="1"/>
    <col min="785" max="785" width="10.5703125" style="1" customWidth="1"/>
    <col min="786" max="786" width="14.140625" style="1" customWidth="1"/>
    <col min="787" max="787" width="10.140625" style="1" customWidth="1"/>
    <col min="788" max="788" width="15.140625" style="1" customWidth="1"/>
    <col min="789" max="789" width="8.5703125" style="1" customWidth="1"/>
    <col min="790" max="790" width="14.28515625" style="1" customWidth="1"/>
    <col min="791" max="791" width="18.28515625" style="1" customWidth="1"/>
    <col min="792" max="792" width="13" style="1" bestFit="1" customWidth="1"/>
    <col min="793" max="793" width="11.7109375" style="1" bestFit="1" customWidth="1"/>
    <col min="794" max="800" width="9.140625" style="1"/>
    <col min="801" max="801" width="11.28515625" style="1" bestFit="1" customWidth="1"/>
    <col min="802" max="802" width="10.7109375" style="1" bestFit="1" customWidth="1"/>
    <col min="803" max="1024" width="9.140625" style="1"/>
    <col min="1025" max="1025" width="6.42578125" style="1" customWidth="1"/>
    <col min="1026" max="1026" width="20.7109375" style="1" customWidth="1"/>
    <col min="1027" max="1027" width="24.7109375" style="1" customWidth="1"/>
    <col min="1028" max="1028" width="11.140625" style="1" customWidth="1"/>
    <col min="1029" max="1029" width="12.28515625" style="1" customWidth="1"/>
    <col min="1030" max="1030" width="11.140625" style="1" customWidth="1"/>
    <col min="1031" max="1031" width="10.42578125" style="1" customWidth="1"/>
    <col min="1032" max="1032" width="4.7109375" style="1" customWidth="1"/>
    <col min="1033" max="1033" width="8.5703125" style="1" customWidth="1"/>
    <col min="1034" max="1034" width="5.5703125" style="1" customWidth="1"/>
    <col min="1035" max="1036" width="11.5703125" style="1" customWidth="1"/>
    <col min="1037" max="1037" width="10.85546875" style="1" customWidth="1"/>
    <col min="1038" max="1038" width="7.7109375" style="1" customWidth="1"/>
    <col min="1039" max="1039" width="8" style="1" customWidth="1"/>
    <col min="1040" max="1040" width="16.28515625" style="1" customWidth="1"/>
    <col min="1041" max="1041" width="10.5703125" style="1" customWidth="1"/>
    <col min="1042" max="1042" width="14.140625" style="1" customWidth="1"/>
    <col min="1043" max="1043" width="10.140625" style="1" customWidth="1"/>
    <col min="1044" max="1044" width="15.140625" style="1" customWidth="1"/>
    <col min="1045" max="1045" width="8.5703125" style="1" customWidth="1"/>
    <col min="1046" max="1046" width="14.28515625" style="1" customWidth="1"/>
    <col min="1047" max="1047" width="18.28515625" style="1" customWidth="1"/>
    <col min="1048" max="1048" width="13" style="1" bestFit="1" customWidth="1"/>
    <col min="1049" max="1049" width="11.7109375" style="1" bestFit="1" customWidth="1"/>
    <col min="1050" max="1056" width="9.140625" style="1"/>
    <col min="1057" max="1057" width="11.28515625" style="1" bestFit="1" customWidth="1"/>
    <col min="1058" max="1058" width="10.7109375" style="1" bestFit="1" customWidth="1"/>
    <col min="1059" max="1280" width="9.140625" style="1"/>
    <col min="1281" max="1281" width="6.42578125" style="1" customWidth="1"/>
    <col min="1282" max="1282" width="20.7109375" style="1" customWidth="1"/>
    <col min="1283" max="1283" width="24.7109375" style="1" customWidth="1"/>
    <col min="1284" max="1284" width="11.140625" style="1" customWidth="1"/>
    <col min="1285" max="1285" width="12.28515625" style="1" customWidth="1"/>
    <col min="1286" max="1286" width="11.140625" style="1" customWidth="1"/>
    <col min="1287" max="1287" width="10.42578125" style="1" customWidth="1"/>
    <col min="1288" max="1288" width="4.7109375" style="1" customWidth="1"/>
    <col min="1289" max="1289" width="8.5703125" style="1" customWidth="1"/>
    <col min="1290" max="1290" width="5.5703125" style="1" customWidth="1"/>
    <col min="1291" max="1292" width="11.5703125" style="1" customWidth="1"/>
    <col min="1293" max="1293" width="10.85546875" style="1" customWidth="1"/>
    <col min="1294" max="1294" width="7.7109375" style="1" customWidth="1"/>
    <col min="1295" max="1295" width="8" style="1" customWidth="1"/>
    <col min="1296" max="1296" width="16.28515625" style="1" customWidth="1"/>
    <col min="1297" max="1297" width="10.5703125" style="1" customWidth="1"/>
    <col min="1298" max="1298" width="14.140625" style="1" customWidth="1"/>
    <col min="1299" max="1299" width="10.140625" style="1" customWidth="1"/>
    <col min="1300" max="1300" width="15.140625" style="1" customWidth="1"/>
    <col min="1301" max="1301" width="8.5703125" style="1" customWidth="1"/>
    <col min="1302" max="1302" width="14.28515625" style="1" customWidth="1"/>
    <col min="1303" max="1303" width="18.28515625" style="1" customWidth="1"/>
    <col min="1304" max="1304" width="13" style="1" bestFit="1" customWidth="1"/>
    <col min="1305" max="1305" width="11.7109375" style="1" bestFit="1" customWidth="1"/>
    <col min="1306" max="1312" width="9.140625" style="1"/>
    <col min="1313" max="1313" width="11.28515625" style="1" bestFit="1" customWidth="1"/>
    <col min="1314" max="1314" width="10.7109375" style="1" bestFit="1" customWidth="1"/>
    <col min="1315" max="1536" width="9.140625" style="1"/>
    <col min="1537" max="1537" width="6.42578125" style="1" customWidth="1"/>
    <col min="1538" max="1538" width="20.7109375" style="1" customWidth="1"/>
    <col min="1539" max="1539" width="24.7109375" style="1" customWidth="1"/>
    <col min="1540" max="1540" width="11.140625" style="1" customWidth="1"/>
    <col min="1541" max="1541" width="12.28515625" style="1" customWidth="1"/>
    <col min="1542" max="1542" width="11.140625" style="1" customWidth="1"/>
    <col min="1543" max="1543" width="10.42578125" style="1" customWidth="1"/>
    <col min="1544" max="1544" width="4.7109375" style="1" customWidth="1"/>
    <col min="1545" max="1545" width="8.5703125" style="1" customWidth="1"/>
    <col min="1546" max="1546" width="5.5703125" style="1" customWidth="1"/>
    <col min="1547" max="1548" width="11.5703125" style="1" customWidth="1"/>
    <col min="1549" max="1549" width="10.85546875" style="1" customWidth="1"/>
    <col min="1550" max="1550" width="7.7109375" style="1" customWidth="1"/>
    <col min="1551" max="1551" width="8" style="1" customWidth="1"/>
    <col min="1552" max="1552" width="16.28515625" style="1" customWidth="1"/>
    <col min="1553" max="1553" width="10.5703125" style="1" customWidth="1"/>
    <col min="1554" max="1554" width="14.140625" style="1" customWidth="1"/>
    <col min="1555" max="1555" width="10.140625" style="1" customWidth="1"/>
    <col min="1556" max="1556" width="15.140625" style="1" customWidth="1"/>
    <col min="1557" max="1557" width="8.5703125" style="1" customWidth="1"/>
    <col min="1558" max="1558" width="14.28515625" style="1" customWidth="1"/>
    <col min="1559" max="1559" width="18.28515625" style="1" customWidth="1"/>
    <col min="1560" max="1560" width="13" style="1" bestFit="1" customWidth="1"/>
    <col min="1561" max="1561" width="11.7109375" style="1" bestFit="1" customWidth="1"/>
    <col min="1562" max="1568" width="9.140625" style="1"/>
    <col min="1569" max="1569" width="11.28515625" style="1" bestFit="1" customWidth="1"/>
    <col min="1570" max="1570" width="10.7109375" style="1" bestFit="1" customWidth="1"/>
    <col min="1571" max="1792" width="9.140625" style="1"/>
    <col min="1793" max="1793" width="6.42578125" style="1" customWidth="1"/>
    <col min="1794" max="1794" width="20.7109375" style="1" customWidth="1"/>
    <col min="1795" max="1795" width="24.7109375" style="1" customWidth="1"/>
    <col min="1796" max="1796" width="11.140625" style="1" customWidth="1"/>
    <col min="1797" max="1797" width="12.28515625" style="1" customWidth="1"/>
    <col min="1798" max="1798" width="11.140625" style="1" customWidth="1"/>
    <col min="1799" max="1799" width="10.42578125" style="1" customWidth="1"/>
    <col min="1800" max="1800" width="4.7109375" style="1" customWidth="1"/>
    <col min="1801" max="1801" width="8.5703125" style="1" customWidth="1"/>
    <col min="1802" max="1802" width="5.5703125" style="1" customWidth="1"/>
    <col min="1803" max="1804" width="11.5703125" style="1" customWidth="1"/>
    <col min="1805" max="1805" width="10.85546875" style="1" customWidth="1"/>
    <col min="1806" max="1806" width="7.7109375" style="1" customWidth="1"/>
    <col min="1807" max="1807" width="8" style="1" customWidth="1"/>
    <col min="1808" max="1808" width="16.28515625" style="1" customWidth="1"/>
    <col min="1809" max="1809" width="10.5703125" style="1" customWidth="1"/>
    <col min="1810" max="1810" width="14.140625" style="1" customWidth="1"/>
    <col min="1811" max="1811" width="10.140625" style="1" customWidth="1"/>
    <col min="1812" max="1812" width="15.140625" style="1" customWidth="1"/>
    <col min="1813" max="1813" width="8.5703125" style="1" customWidth="1"/>
    <col min="1814" max="1814" width="14.28515625" style="1" customWidth="1"/>
    <col min="1815" max="1815" width="18.28515625" style="1" customWidth="1"/>
    <col min="1816" max="1816" width="13" style="1" bestFit="1" customWidth="1"/>
    <col min="1817" max="1817" width="11.7109375" style="1" bestFit="1" customWidth="1"/>
    <col min="1818" max="1824" width="9.140625" style="1"/>
    <col min="1825" max="1825" width="11.28515625" style="1" bestFit="1" customWidth="1"/>
    <col min="1826" max="1826" width="10.7109375" style="1" bestFit="1" customWidth="1"/>
    <col min="1827" max="2048" width="9.140625" style="1"/>
    <col min="2049" max="2049" width="6.42578125" style="1" customWidth="1"/>
    <col min="2050" max="2050" width="20.7109375" style="1" customWidth="1"/>
    <col min="2051" max="2051" width="24.7109375" style="1" customWidth="1"/>
    <col min="2052" max="2052" width="11.140625" style="1" customWidth="1"/>
    <col min="2053" max="2053" width="12.28515625" style="1" customWidth="1"/>
    <col min="2054" max="2054" width="11.140625" style="1" customWidth="1"/>
    <col min="2055" max="2055" width="10.42578125" style="1" customWidth="1"/>
    <col min="2056" max="2056" width="4.7109375" style="1" customWidth="1"/>
    <col min="2057" max="2057" width="8.5703125" style="1" customWidth="1"/>
    <col min="2058" max="2058" width="5.5703125" style="1" customWidth="1"/>
    <col min="2059" max="2060" width="11.5703125" style="1" customWidth="1"/>
    <col min="2061" max="2061" width="10.85546875" style="1" customWidth="1"/>
    <col min="2062" max="2062" width="7.7109375" style="1" customWidth="1"/>
    <col min="2063" max="2063" width="8" style="1" customWidth="1"/>
    <col min="2064" max="2064" width="16.28515625" style="1" customWidth="1"/>
    <col min="2065" max="2065" width="10.5703125" style="1" customWidth="1"/>
    <col min="2066" max="2066" width="14.140625" style="1" customWidth="1"/>
    <col min="2067" max="2067" width="10.140625" style="1" customWidth="1"/>
    <col min="2068" max="2068" width="15.140625" style="1" customWidth="1"/>
    <col min="2069" max="2069" width="8.5703125" style="1" customWidth="1"/>
    <col min="2070" max="2070" width="14.28515625" style="1" customWidth="1"/>
    <col min="2071" max="2071" width="18.28515625" style="1" customWidth="1"/>
    <col min="2072" max="2072" width="13" style="1" bestFit="1" customWidth="1"/>
    <col min="2073" max="2073" width="11.7109375" style="1" bestFit="1" customWidth="1"/>
    <col min="2074" max="2080" width="9.140625" style="1"/>
    <col min="2081" max="2081" width="11.28515625" style="1" bestFit="1" customWidth="1"/>
    <col min="2082" max="2082" width="10.7109375" style="1" bestFit="1" customWidth="1"/>
    <col min="2083" max="2304" width="9.140625" style="1"/>
    <col min="2305" max="2305" width="6.42578125" style="1" customWidth="1"/>
    <col min="2306" max="2306" width="20.7109375" style="1" customWidth="1"/>
    <col min="2307" max="2307" width="24.7109375" style="1" customWidth="1"/>
    <col min="2308" max="2308" width="11.140625" style="1" customWidth="1"/>
    <col min="2309" max="2309" width="12.28515625" style="1" customWidth="1"/>
    <col min="2310" max="2310" width="11.140625" style="1" customWidth="1"/>
    <col min="2311" max="2311" width="10.42578125" style="1" customWidth="1"/>
    <col min="2312" max="2312" width="4.7109375" style="1" customWidth="1"/>
    <col min="2313" max="2313" width="8.5703125" style="1" customWidth="1"/>
    <col min="2314" max="2314" width="5.5703125" style="1" customWidth="1"/>
    <col min="2315" max="2316" width="11.5703125" style="1" customWidth="1"/>
    <col min="2317" max="2317" width="10.85546875" style="1" customWidth="1"/>
    <col min="2318" max="2318" width="7.7109375" style="1" customWidth="1"/>
    <col min="2319" max="2319" width="8" style="1" customWidth="1"/>
    <col min="2320" max="2320" width="16.28515625" style="1" customWidth="1"/>
    <col min="2321" max="2321" width="10.5703125" style="1" customWidth="1"/>
    <col min="2322" max="2322" width="14.140625" style="1" customWidth="1"/>
    <col min="2323" max="2323" width="10.140625" style="1" customWidth="1"/>
    <col min="2324" max="2324" width="15.140625" style="1" customWidth="1"/>
    <col min="2325" max="2325" width="8.5703125" style="1" customWidth="1"/>
    <col min="2326" max="2326" width="14.28515625" style="1" customWidth="1"/>
    <col min="2327" max="2327" width="18.28515625" style="1" customWidth="1"/>
    <col min="2328" max="2328" width="13" style="1" bestFit="1" customWidth="1"/>
    <col min="2329" max="2329" width="11.7109375" style="1" bestFit="1" customWidth="1"/>
    <col min="2330" max="2336" width="9.140625" style="1"/>
    <col min="2337" max="2337" width="11.28515625" style="1" bestFit="1" customWidth="1"/>
    <col min="2338" max="2338" width="10.7109375" style="1" bestFit="1" customWidth="1"/>
    <col min="2339" max="2560" width="9.140625" style="1"/>
    <col min="2561" max="2561" width="6.42578125" style="1" customWidth="1"/>
    <col min="2562" max="2562" width="20.7109375" style="1" customWidth="1"/>
    <col min="2563" max="2563" width="24.7109375" style="1" customWidth="1"/>
    <col min="2564" max="2564" width="11.140625" style="1" customWidth="1"/>
    <col min="2565" max="2565" width="12.28515625" style="1" customWidth="1"/>
    <col min="2566" max="2566" width="11.140625" style="1" customWidth="1"/>
    <col min="2567" max="2567" width="10.42578125" style="1" customWidth="1"/>
    <col min="2568" max="2568" width="4.7109375" style="1" customWidth="1"/>
    <col min="2569" max="2569" width="8.5703125" style="1" customWidth="1"/>
    <col min="2570" max="2570" width="5.5703125" style="1" customWidth="1"/>
    <col min="2571" max="2572" width="11.5703125" style="1" customWidth="1"/>
    <col min="2573" max="2573" width="10.85546875" style="1" customWidth="1"/>
    <col min="2574" max="2574" width="7.7109375" style="1" customWidth="1"/>
    <col min="2575" max="2575" width="8" style="1" customWidth="1"/>
    <col min="2576" max="2576" width="16.28515625" style="1" customWidth="1"/>
    <col min="2577" max="2577" width="10.5703125" style="1" customWidth="1"/>
    <col min="2578" max="2578" width="14.140625" style="1" customWidth="1"/>
    <col min="2579" max="2579" width="10.140625" style="1" customWidth="1"/>
    <col min="2580" max="2580" width="15.140625" style="1" customWidth="1"/>
    <col min="2581" max="2581" width="8.5703125" style="1" customWidth="1"/>
    <col min="2582" max="2582" width="14.28515625" style="1" customWidth="1"/>
    <col min="2583" max="2583" width="18.28515625" style="1" customWidth="1"/>
    <col min="2584" max="2584" width="13" style="1" bestFit="1" customWidth="1"/>
    <col min="2585" max="2585" width="11.7109375" style="1" bestFit="1" customWidth="1"/>
    <col min="2586" max="2592" width="9.140625" style="1"/>
    <col min="2593" max="2593" width="11.28515625" style="1" bestFit="1" customWidth="1"/>
    <col min="2594" max="2594" width="10.7109375" style="1" bestFit="1" customWidth="1"/>
    <col min="2595" max="2816" width="9.140625" style="1"/>
    <col min="2817" max="2817" width="6.42578125" style="1" customWidth="1"/>
    <col min="2818" max="2818" width="20.7109375" style="1" customWidth="1"/>
    <col min="2819" max="2819" width="24.7109375" style="1" customWidth="1"/>
    <col min="2820" max="2820" width="11.140625" style="1" customWidth="1"/>
    <col min="2821" max="2821" width="12.28515625" style="1" customWidth="1"/>
    <col min="2822" max="2822" width="11.140625" style="1" customWidth="1"/>
    <col min="2823" max="2823" width="10.42578125" style="1" customWidth="1"/>
    <col min="2824" max="2824" width="4.7109375" style="1" customWidth="1"/>
    <col min="2825" max="2825" width="8.5703125" style="1" customWidth="1"/>
    <col min="2826" max="2826" width="5.5703125" style="1" customWidth="1"/>
    <col min="2827" max="2828" width="11.5703125" style="1" customWidth="1"/>
    <col min="2829" max="2829" width="10.85546875" style="1" customWidth="1"/>
    <col min="2830" max="2830" width="7.7109375" style="1" customWidth="1"/>
    <col min="2831" max="2831" width="8" style="1" customWidth="1"/>
    <col min="2832" max="2832" width="16.28515625" style="1" customWidth="1"/>
    <col min="2833" max="2833" width="10.5703125" style="1" customWidth="1"/>
    <col min="2834" max="2834" width="14.140625" style="1" customWidth="1"/>
    <col min="2835" max="2835" width="10.140625" style="1" customWidth="1"/>
    <col min="2836" max="2836" width="15.140625" style="1" customWidth="1"/>
    <col min="2837" max="2837" width="8.5703125" style="1" customWidth="1"/>
    <col min="2838" max="2838" width="14.28515625" style="1" customWidth="1"/>
    <col min="2839" max="2839" width="18.28515625" style="1" customWidth="1"/>
    <col min="2840" max="2840" width="13" style="1" bestFit="1" customWidth="1"/>
    <col min="2841" max="2841" width="11.7109375" style="1" bestFit="1" customWidth="1"/>
    <col min="2842" max="2848" width="9.140625" style="1"/>
    <col min="2849" max="2849" width="11.28515625" style="1" bestFit="1" customWidth="1"/>
    <col min="2850" max="2850" width="10.7109375" style="1" bestFit="1" customWidth="1"/>
    <col min="2851" max="3072" width="9.140625" style="1"/>
    <col min="3073" max="3073" width="6.42578125" style="1" customWidth="1"/>
    <col min="3074" max="3074" width="20.7109375" style="1" customWidth="1"/>
    <col min="3075" max="3075" width="24.7109375" style="1" customWidth="1"/>
    <col min="3076" max="3076" width="11.140625" style="1" customWidth="1"/>
    <col min="3077" max="3077" width="12.28515625" style="1" customWidth="1"/>
    <col min="3078" max="3078" width="11.140625" style="1" customWidth="1"/>
    <col min="3079" max="3079" width="10.42578125" style="1" customWidth="1"/>
    <col min="3080" max="3080" width="4.7109375" style="1" customWidth="1"/>
    <col min="3081" max="3081" width="8.5703125" style="1" customWidth="1"/>
    <col min="3082" max="3082" width="5.5703125" style="1" customWidth="1"/>
    <col min="3083" max="3084" width="11.5703125" style="1" customWidth="1"/>
    <col min="3085" max="3085" width="10.85546875" style="1" customWidth="1"/>
    <col min="3086" max="3086" width="7.7109375" style="1" customWidth="1"/>
    <col min="3087" max="3087" width="8" style="1" customWidth="1"/>
    <col min="3088" max="3088" width="16.28515625" style="1" customWidth="1"/>
    <col min="3089" max="3089" width="10.5703125" style="1" customWidth="1"/>
    <col min="3090" max="3090" width="14.140625" style="1" customWidth="1"/>
    <col min="3091" max="3091" width="10.140625" style="1" customWidth="1"/>
    <col min="3092" max="3092" width="15.140625" style="1" customWidth="1"/>
    <col min="3093" max="3093" width="8.5703125" style="1" customWidth="1"/>
    <col min="3094" max="3094" width="14.28515625" style="1" customWidth="1"/>
    <col min="3095" max="3095" width="18.28515625" style="1" customWidth="1"/>
    <col min="3096" max="3096" width="13" style="1" bestFit="1" customWidth="1"/>
    <col min="3097" max="3097" width="11.7109375" style="1" bestFit="1" customWidth="1"/>
    <col min="3098" max="3104" width="9.140625" style="1"/>
    <col min="3105" max="3105" width="11.28515625" style="1" bestFit="1" customWidth="1"/>
    <col min="3106" max="3106" width="10.7109375" style="1" bestFit="1" customWidth="1"/>
    <col min="3107" max="3328" width="9.140625" style="1"/>
    <col min="3329" max="3329" width="6.42578125" style="1" customWidth="1"/>
    <col min="3330" max="3330" width="20.7109375" style="1" customWidth="1"/>
    <col min="3331" max="3331" width="24.7109375" style="1" customWidth="1"/>
    <col min="3332" max="3332" width="11.140625" style="1" customWidth="1"/>
    <col min="3333" max="3333" width="12.28515625" style="1" customWidth="1"/>
    <col min="3334" max="3334" width="11.140625" style="1" customWidth="1"/>
    <col min="3335" max="3335" width="10.42578125" style="1" customWidth="1"/>
    <col min="3336" max="3336" width="4.7109375" style="1" customWidth="1"/>
    <col min="3337" max="3337" width="8.5703125" style="1" customWidth="1"/>
    <col min="3338" max="3338" width="5.5703125" style="1" customWidth="1"/>
    <col min="3339" max="3340" width="11.5703125" style="1" customWidth="1"/>
    <col min="3341" max="3341" width="10.85546875" style="1" customWidth="1"/>
    <col min="3342" max="3342" width="7.7109375" style="1" customWidth="1"/>
    <col min="3343" max="3343" width="8" style="1" customWidth="1"/>
    <col min="3344" max="3344" width="16.28515625" style="1" customWidth="1"/>
    <col min="3345" max="3345" width="10.5703125" style="1" customWidth="1"/>
    <col min="3346" max="3346" width="14.140625" style="1" customWidth="1"/>
    <col min="3347" max="3347" width="10.140625" style="1" customWidth="1"/>
    <col min="3348" max="3348" width="15.140625" style="1" customWidth="1"/>
    <col min="3349" max="3349" width="8.5703125" style="1" customWidth="1"/>
    <col min="3350" max="3350" width="14.28515625" style="1" customWidth="1"/>
    <col min="3351" max="3351" width="18.28515625" style="1" customWidth="1"/>
    <col min="3352" max="3352" width="13" style="1" bestFit="1" customWidth="1"/>
    <col min="3353" max="3353" width="11.7109375" style="1" bestFit="1" customWidth="1"/>
    <col min="3354" max="3360" width="9.140625" style="1"/>
    <col min="3361" max="3361" width="11.28515625" style="1" bestFit="1" customWidth="1"/>
    <col min="3362" max="3362" width="10.7109375" style="1" bestFit="1" customWidth="1"/>
    <col min="3363" max="3584" width="9.140625" style="1"/>
    <col min="3585" max="3585" width="6.42578125" style="1" customWidth="1"/>
    <col min="3586" max="3586" width="20.7109375" style="1" customWidth="1"/>
    <col min="3587" max="3587" width="24.7109375" style="1" customWidth="1"/>
    <col min="3588" max="3588" width="11.140625" style="1" customWidth="1"/>
    <col min="3589" max="3589" width="12.28515625" style="1" customWidth="1"/>
    <col min="3590" max="3590" width="11.140625" style="1" customWidth="1"/>
    <col min="3591" max="3591" width="10.42578125" style="1" customWidth="1"/>
    <col min="3592" max="3592" width="4.7109375" style="1" customWidth="1"/>
    <col min="3593" max="3593" width="8.5703125" style="1" customWidth="1"/>
    <col min="3594" max="3594" width="5.5703125" style="1" customWidth="1"/>
    <col min="3595" max="3596" width="11.5703125" style="1" customWidth="1"/>
    <col min="3597" max="3597" width="10.85546875" style="1" customWidth="1"/>
    <col min="3598" max="3598" width="7.7109375" style="1" customWidth="1"/>
    <col min="3599" max="3599" width="8" style="1" customWidth="1"/>
    <col min="3600" max="3600" width="16.28515625" style="1" customWidth="1"/>
    <col min="3601" max="3601" width="10.5703125" style="1" customWidth="1"/>
    <col min="3602" max="3602" width="14.140625" style="1" customWidth="1"/>
    <col min="3603" max="3603" width="10.140625" style="1" customWidth="1"/>
    <col min="3604" max="3604" width="15.140625" style="1" customWidth="1"/>
    <col min="3605" max="3605" width="8.5703125" style="1" customWidth="1"/>
    <col min="3606" max="3606" width="14.28515625" style="1" customWidth="1"/>
    <col min="3607" max="3607" width="18.28515625" style="1" customWidth="1"/>
    <col min="3608" max="3608" width="13" style="1" bestFit="1" customWidth="1"/>
    <col min="3609" max="3609" width="11.7109375" style="1" bestFit="1" customWidth="1"/>
    <col min="3610" max="3616" width="9.140625" style="1"/>
    <col min="3617" max="3617" width="11.28515625" style="1" bestFit="1" customWidth="1"/>
    <col min="3618" max="3618" width="10.7109375" style="1" bestFit="1" customWidth="1"/>
    <col min="3619" max="3840" width="9.140625" style="1"/>
    <col min="3841" max="3841" width="6.42578125" style="1" customWidth="1"/>
    <col min="3842" max="3842" width="20.7109375" style="1" customWidth="1"/>
    <col min="3843" max="3843" width="24.7109375" style="1" customWidth="1"/>
    <col min="3844" max="3844" width="11.140625" style="1" customWidth="1"/>
    <col min="3845" max="3845" width="12.28515625" style="1" customWidth="1"/>
    <col min="3846" max="3846" width="11.140625" style="1" customWidth="1"/>
    <col min="3847" max="3847" width="10.42578125" style="1" customWidth="1"/>
    <col min="3848" max="3848" width="4.7109375" style="1" customWidth="1"/>
    <col min="3849" max="3849" width="8.5703125" style="1" customWidth="1"/>
    <col min="3850" max="3850" width="5.5703125" style="1" customWidth="1"/>
    <col min="3851" max="3852" width="11.5703125" style="1" customWidth="1"/>
    <col min="3853" max="3853" width="10.85546875" style="1" customWidth="1"/>
    <col min="3854" max="3854" width="7.7109375" style="1" customWidth="1"/>
    <col min="3855" max="3855" width="8" style="1" customWidth="1"/>
    <col min="3856" max="3856" width="16.28515625" style="1" customWidth="1"/>
    <col min="3857" max="3857" width="10.5703125" style="1" customWidth="1"/>
    <col min="3858" max="3858" width="14.140625" style="1" customWidth="1"/>
    <col min="3859" max="3859" width="10.140625" style="1" customWidth="1"/>
    <col min="3860" max="3860" width="15.140625" style="1" customWidth="1"/>
    <col min="3861" max="3861" width="8.5703125" style="1" customWidth="1"/>
    <col min="3862" max="3862" width="14.28515625" style="1" customWidth="1"/>
    <col min="3863" max="3863" width="18.28515625" style="1" customWidth="1"/>
    <col min="3864" max="3864" width="13" style="1" bestFit="1" customWidth="1"/>
    <col min="3865" max="3865" width="11.7109375" style="1" bestFit="1" customWidth="1"/>
    <col min="3866" max="3872" width="9.140625" style="1"/>
    <col min="3873" max="3873" width="11.28515625" style="1" bestFit="1" customWidth="1"/>
    <col min="3874" max="3874" width="10.7109375" style="1" bestFit="1" customWidth="1"/>
    <col min="3875" max="4096" width="9.140625" style="1"/>
    <col min="4097" max="4097" width="6.42578125" style="1" customWidth="1"/>
    <col min="4098" max="4098" width="20.7109375" style="1" customWidth="1"/>
    <col min="4099" max="4099" width="24.7109375" style="1" customWidth="1"/>
    <col min="4100" max="4100" width="11.140625" style="1" customWidth="1"/>
    <col min="4101" max="4101" width="12.28515625" style="1" customWidth="1"/>
    <col min="4102" max="4102" width="11.140625" style="1" customWidth="1"/>
    <col min="4103" max="4103" width="10.42578125" style="1" customWidth="1"/>
    <col min="4104" max="4104" width="4.7109375" style="1" customWidth="1"/>
    <col min="4105" max="4105" width="8.5703125" style="1" customWidth="1"/>
    <col min="4106" max="4106" width="5.5703125" style="1" customWidth="1"/>
    <col min="4107" max="4108" width="11.5703125" style="1" customWidth="1"/>
    <col min="4109" max="4109" width="10.85546875" style="1" customWidth="1"/>
    <col min="4110" max="4110" width="7.7109375" style="1" customWidth="1"/>
    <col min="4111" max="4111" width="8" style="1" customWidth="1"/>
    <col min="4112" max="4112" width="16.28515625" style="1" customWidth="1"/>
    <col min="4113" max="4113" width="10.5703125" style="1" customWidth="1"/>
    <col min="4114" max="4114" width="14.140625" style="1" customWidth="1"/>
    <col min="4115" max="4115" width="10.140625" style="1" customWidth="1"/>
    <col min="4116" max="4116" width="15.140625" style="1" customWidth="1"/>
    <col min="4117" max="4117" width="8.5703125" style="1" customWidth="1"/>
    <col min="4118" max="4118" width="14.28515625" style="1" customWidth="1"/>
    <col min="4119" max="4119" width="18.28515625" style="1" customWidth="1"/>
    <col min="4120" max="4120" width="13" style="1" bestFit="1" customWidth="1"/>
    <col min="4121" max="4121" width="11.7109375" style="1" bestFit="1" customWidth="1"/>
    <col min="4122" max="4128" width="9.140625" style="1"/>
    <col min="4129" max="4129" width="11.28515625" style="1" bestFit="1" customWidth="1"/>
    <col min="4130" max="4130" width="10.7109375" style="1" bestFit="1" customWidth="1"/>
    <col min="4131" max="4352" width="9.140625" style="1"/>
    <col min="4353" max="4353" width="6.42578125" style="1" customWidth="1"/>
    <col min="4354" max="4354" width="20.7109375" style="1" customWidth="1"/>
    <col min="4355" max="4355" width="24.7109375" style="1" customWidth="1"/>
    <col min="4356" max="4356" width="11.140625" style="1" customWidth="1"/>
    <col min="4357" max="4357" width="12.28515625" style="1" customWidth="1"/>
    <col min="4358" max="4358" width="11.140625" style="1" customWidth="1"/>
    <col min="4359" max="4359" width="10.42578125" style="1" customWidth="1"/>
    <col min="4360" max="4360" width="4.7109375" style="1" customWidth="1"/>
    <col min="4361" max="4361" width="8.5703125" style="1" customWidth="1"/>
    <col min="4362" max="4362" width="5.5703125" style="1" customWidth="1"/>
    <col min="4363" max="4364" width="11.5703125" style="1" customWidth="1"/>
    <col min="4365" max="4365" width="10.85546875" style="1" customWidth="1"/>
    <col min="4366" max="4366" width="7.7109375" style="1" customWidth="1"/>
    <col min="4367" max="4367" width="8" style="1" customWidth="1"/>
    <col min="4368" max="4368" width="16.28515625" style="1" customWidth="1"/>
    <col min="4369" max="4369" width="10.5703125" style="1" customWidth="1"/>
    <col min="4370" max="4370" width="14.140625" style="1" customWidth="1"/>
    <col min="4371" max="4371" width="10.140625" style="1" customWidth="1"/>
    <col min="4372" max="4372" width="15.140625" style="1" customWidth="1"/>
    <col min="4373" max="4373" width="8.5703125" style="1" customWidth="1"/>
    <col min="4374" max="4374" width="14.28515625" style="1" customWidth="1"/>
    <col min="4375" max="4375" width="18.28515625" style="1" customWidth="1"/>
    <col min="4376" max="4376" width="13" style="1" bestFit="1" customWidth="1"/>
    <col min="4377" max="4377" width="11.7109375" style="1" bestFit="1" customWidth="1"/>
    <col min="4378" max="4384" width="9.140625" style="1"/>
    <col min="4385" max="4385" width="11.28515625" style="1" bestFit="1" customWidth="1"/>
    <col min="4386" max="4386" width="10.7109375" style="1" bestFit="1" customWidth="1"/>
    <col min="4387" max="4608" width="9.140625" style="1"/>
    <col min="4609" max="4609" width="6.42578125" style="1" customWidth="1"/>
    <col min="4610" max="4610" width="20.7109375" style="1" customWidth="1"/>
    <col min="4611" max="4611" width="24.7109375" style="1" customWidth="1"/>
    <col min="4612" max="4612" width="11.140625" style="1" customWidth="1"/>
    <col min="4613" max="4613" width="12.28515625" style="1" customWidth="1"/>
    <col min="4614" max="4614" width="11.140625" style="1" customWidth="1"/>
    <col min="4615" max="4615" width="10.42578125" style="1" customWidth="1"/>
    <col min="4616" max="4616" width="4.7109375" style="1" customWidth="1"/>
    <col min="4617" max="4617" width="8.5703125" style="1" customWidth="1"/>
    <col min="4618" max="4618" width="5.5703125" style="1" customWidth="1"/>
    <col min="4619" max="4620" width="11.5703125" style="1" customWidth="1"/>
    <col min="4621" max="4621" width="10.85546875" style="1" customWidth="1"/>
    <col min="4622" max="4622" width="7.7109375" style="1" customWidth="1"/>
    <col min="4623" max="4623" width="8" style="1" customWidth="1"/>
    <col min="4624" max="4624" width="16.28515625" style="1" customWidth="1"/>
    <col min="4625" max="4625" width="10.5703125" style="1" customWidth="1"/>
    <col min="4626" max="4626" width="14.140625" style="1" customWidth="1"/>
    <col min="4627" max="4627" width="10.140625" style="1" customWidth="1"/>
    <col min="4628" max="4628" width="15.140625" style="1" customWidth="1"/>
    <col min="4629" max="4629" width="8.5703125" style="1" customWidth="1"/>
    <col min="4630" max="4630" width="14.28515625" style="1" customWidth="1"/>
    <col min="4631" max="4631" width="18.28515625" style="1" customWidth="1"/>
    <col min="4632" max="4632" width="13" style="1" bestFit="1" customWidth="1"/>
    <col min="4633" max="4633" width="11.7109375" style="1" bestFit="1" customWidth="1"/>
    <col min="4634" max="4640" width="9.140625" style="1"/>
    <col min="4641" max="4641" width="11.28515625" style="1" bestFit="1" customWidth="1"/>
    <col min="4642" max="4642" width="10.7109375" style="1" bestFit="1" customWidth="1"/>
    <col min="4643" max="4864" width="9.140625" style="1"/>
    <col min="4865" max="4865" width="6.42578125" style="1" customWidth="1"/>
    <col min="4866" max="4866" width="20.7109375" style="1" customWidth="1"/>
    <col min="4867" max="4867" width="24.7109375" style="1" customWidth="1"/>
    <col min="4868" max="4868" width="11.140625" style="1" customWidth="1"/>
    <col min="4869" max="4869" width="12.28515625" style="1" customWidth="1"/>
    <col min="4870" max="4870" width="11.140625" style="1" customWidth="1"/>
    <col min="4871" max="4871" width="10.42578125" style="1" customWidth="1"/>
    <col min="4872" max="4872" width="4.7109375" style="1" customWidth="1"/>
    <col min="4873" max="4873" width="8.5703125" style="1" customWidth="1"/>
    <col min="4874" max="4874" width="5.5703125" style="1" customWidth="1"/>
    <col min="4875" max="4876" width="11.5703125" style="1" customWidth="1"/>
    <col min="4877" max="4877" width="10.85546875" style="1" customWidth="1"/>
    <col min="4878" max="4878" width="7.7109375" style="1" customWidth="1"/>
    <col min="4879" max="4879" width="8" style="1" customWidth="1"/>
    <col min="4880" max="4880" width="16.28515625" style="1" customWidth="1"/>
    <col min="4881" max="4881" width="10.5703125" style="1" customWidth="1"/>
    <col min="4882" max="4882" width="14.140625" style="1" customWidth="1"/>
    <col min="4883" max="4883" width="10.140625" style="1" customWidth="1"/>
    <col min="4884" max="4884" width="15.140625" style="1" customWidth="1"/>
    <col min="4885" max="4885" width="8.5703125" style="1" customWidth="1"/>
    <col min="4886" max="4886" width="14.28515625" style="1" customWidth="1"/>
    <col min="4887" max="4887" width="18.28515625" style="1" customWidth="1"/>
    <col min="4888" max="4888" width="13" style="1" bestFit="1" customWidth="1"/>
    <col min="4889" max="4889" width="11.7109375" style="1" bestFit="1" customWidth="1"/>
    <col min="4890" max="4896" width="9.140625" style="1"/>
    <col min="4897" max="4897" width="11.28515625" style="1" bestFit="1" customWidth="1"/>
    <col min="4898" max="4898" width="10.7109375" style="1" bestFit="1" customWidth="1"/>
    <col min="4899" max="5120" width="9.140625" style="1"/>
    <col min="5121" max="5121" width="6.42578125" style="1" customWidth="1"/>
    <col min="5122" max="5122" width="20.7109375" style="1" customWidth="1"/>
    <col min="5123" max="5123" width="24.7109375" style="1" customWidth="1"/>
    <col min="5124" max="5124" width="11.140625" style="1" customWidth="1"/>
    <col min="5125" max="5125" width="12.28515625" style="1" customWidth="1"/>
    <col min="5126" max="5126" width="11.140625" style="1" customWidth="1"/>
    <col min="5127" max="5127" width="10.42578125" style="1" customWidth="1"/>
    <col min="5128" max="5128" width="4.7109375" style="1" customWidth="1"/>
    <col min="5129" max="5129" width="8.5703125" style="1" customWidth="1"/>
    <col min="5130" max="5130" width="5.5703125" style="1" customWidth="1"/>
    <col min="5131" max="5132" width="11.5703125" style="1" customWidth="1"/>
    <col min="5133" max="5133" width="10.85546875" style="1" customWidth="1"/>
    <col min="5134" max="5134" width="7.7109375" style="1" customWidth="1"/>
    <col min="5135" max="5135" width="8" style="1" customWidth="1"/>
    <col min="5136" max="5136" width="16.28515625" style="1" customWidth="1"/>
    <col min="5137" max="5137" width="10.5703125" style="1" customWidth="1"/>
    <col min="5138" max="5138" width="14.140625" style="1" customWidth="1"/>
    <col min="5139" max="5139" width="10.140625" style="1" customWidth="1"/>
    <col min="5140" max="5140" width="15.140625" style="1" customWidth="1"/>
    <col min="5141" max="5141" width="8.5703125" style="1" customWidth="1"/>
    <col min="5142" max="5142" width="14.28515625" style="1" customWidth="1"/>
    <col min="5143" max="5143" width="18.28515625" style="1" customWidth="1"/>
    <col min="5144" max="5144" width="13" style="1" bestFit="1" customWidth="1"/>
    <col min="5145" max="5145" width="11.7109375" style="1" bestFit="1" customWidth="1"/>
    <col min="5146" max="5152" width="9.140625" style="1"/>
    <col min="5153" max="5153" width="11.28515625" style="1" bestFit="1" customWidth="1"/>
    <col min="5154" max="5154" width="10.7109375" style="1" bestFit="1" customWidth="1"/>
    <col min="5155" max="5376" width="9.140625" style="1"/>
    <col min="5377" max="5377" width="6.42578125" style="1" customWidth="1"/>
    <col min="5378" max="5378" width="20.7109375" style="1" customWidth="1"/>
    <col min="5379" max="5379" width="24.7109375" style="1" customWidth="1"/>
    <col min="5380" max="5380" width="11.140625" style="1" customWidth="1"/>
    <col min="5381" max="5381" width="12.28515625" style="1" customWidth="1"/>
    <col min="5382" max="5382" width="11.140625" style="1" customWidth="1"/>
    <col min="5383" max="5383" width="10.42578125" style="1" customWidth="1"/>
    <col min="5384" max="5384" width="4.7109375" style="1" customWidth="1"/>
    <col min="5385" max="5385" width="8.5703125" style="1" customWidth="1"/>
    <col min="5386" max="5386" width="5.5703125" style="1" customWidth="1"/>
    <col min="5387" max="5388" width="11.5703125" style="1" customWidth="1"/>
    <col min="5389" max="5389" width="10.85546875" style="1" customWidth="1"/>
    <col min="5390" max="5390" width="7.7109375" style="1" customWidth="1"/>
    <col min="5391" max="5391" width="8" style="1" customWidth="1"/>
    <col min="5392" max="5392" width="16.28515625" style="1" customWidth="1"/>
    <col min="5393" max="5393" width="10.5703125" style="1" customWidth="1"/>
    <col min="5394" max="5394" width="14.140625" style="1" customWidth="1"/>
    <col min="5395" max="5395" width="10.140625" style="1" customWidth="1"/>
    <col min="5396" max="5396" width="15.140625" style="1" customWidth="1"/>
    <col min="5397" max="5397" width="8.5703125" style="1" customWidth="1"/>
    <col min="5398" max="5398" width="14.28515625" style="1" customWidth="1"/>
    <col min="5399" max="5399" width="18.28515625" style="1" customWidth="1"/>
    <col min="5400" max="5400" width="13" style="1" bestFit="1" customWidth="1"/>
    <col min="5401" max="5401" width="11.7109375" style="1" bestFit="1" customWidth="1"/>
    <col min="5402" max="5408" width="9.140625" style="1"/>
    <col min="5409" max="5409" width="11.28515625" style="1" bestFit="1" customWidth="1"/>
    <col min="5410" max="5410" width="10.7109375" style="1" bestFit="1" customWidth="1"/>
    <col min="5411" max="5632" width="9.140625" style="1"/>
    <col min="5633" max="5633" width="6.42578125" style="1" customWidth="1"/>
    <col min="5634" max="5634" width="20.7109375" style="1" customWidth="1"/>
    <col min="5635" max="5635" width="24.7109375" style="1" customWidth="1"/>
    <col min="5636" max="5636" width="11.140625" style="1" customWidth="1"/>
    <col min="5637" max="5637" width="12.28515625" style="1" customWidth="1"/>
    <col min="5638" max="5638" width="11.140625" style="1" customWidth="1"/>
    <col min="5639" max="5639" width="10.42578125" style="1" customWidth="1"/>
    <col min="5640" max="5640" width="4.7109375" style="1" customWidth="1"/>
    <col min="5641" max="5641" width="8.5703125" style="1" customWidth="1"/>
    <col min="5642" max="5642" width="5.5703125" style="1" customWidth="1"/>
    <col min="5643" max="5644" width="11.5703125" style="1" customWidth="1"/>
    <col min="5645" max="5645" width="10.85546875" style="1" customWidth="1"/>
    <col min="5646" max="5646" width="7.7109375" style="1" customWidth="1"/>
    <col min="5647" max="5647" width="8" style="1" customWidth="1"/>
    <col min="5648" max="5648" width="16.28515625" style="1" customWidth="1"/>
    <col min="5649" max="5649" width="10.5703125" style="1" customWidth="1"/>
    <col min="5650" max="5650" width="14.140625" style="1" customWidth="1"/>
    <col min="5651" max="5651" width="10.140625" style="1" customWidth="1"/>
    <col min="5652" max="5652" width="15.140625" style="1" customWidth="1"/>
    <col min="5653" max="5653" width="8.5703125" style="1" customWidth="1"/>
    <col min="5654" max="5654" width="14.28515625" style="1" customWidth="1"/>
    <col min="5655" max="5655" width="18.28515625" style="1" customWidth="1"/>
    <col min="5656" max="5656" width="13" style="1" bestFit="1" customWidth="1"/>
    <col min="5657" max="5657" width="11.7109375" style="1" bestFit="1" customWidth="1"/>
    <col min="5658" max="5664" width="9.140625" style="1"/>
    <col min="5665" max="5665" width="11.28515625" style="1" bestFit="1" customWidth="1"/>
    <col min="5666" max="5666" width="10.7109375" style="1" bestFit="1" customWidth="1"/>
    <col min="5667" max="5888" width="9.140625" style="1"/>
    <col min="5889" max="5889" width="6.42578125" style="1" customWidth="1"/>
    <col min="5890" max="5890" width="20.7109375" style="1" customWidth="1"/>
    <col min="5891" max="5891" width="24.7109375" style="1" customWidth="1"/>
    <col min="5892" max="5892" width="11.140625" style="1" customWidth="1"/>
    <col min="5893" max="5893" width="12.28515625" style="1" customWidth="1"/>
    <col min="5894" max="5894" width="11.140625" style="1" customWidth="1"/>
    <col min="5895" max="5895" width="10.42578125" style="1" customWidth="1"/>
    <col min="5896" max="5896" width="4.7109375" style="1" customWidth="1"/>
    <col min="5897" max="5897" width="8.5703125" style="1" customWidth="1"/>
    <col min="5898" max="5898" width="5.5703125" style="1" customWidth="1"/>
    <col min="5899" max="5900" width="11.5703125" style="1" customWidth="1"/>
    <col min="5901" max="5901" width="10.85546875" style="1" customWidth="1"/>
    <col min="5902" max="5902" width="7.7109375" style="1" customWidth="1"/>
    <col min="5903" max="5903" width="8" style="1" customWidth="1"/>
    <col min="5904" max="5904" width="16.28515625" style="1" customWidth="1"/>
    <col min="5905" max="5905" width="10.5703125" style="1" customWidth="1"/>
    <col min="5906" max="5906" width="14.140625" style="1" customWidth="1"/>
    <col min="5907" max="5907" width="10.140625" style="1" customWidth="1"/>
    <col min="5908" max="5908" width="15.140625" style="1" customWidth="1"/>
    <col min="5909" max="5909" width="8.5703125" style="1" customWidth="1"/>
    <col min="5910" max="5910" width="14.28515625" style="1" customWidth="1"/>
    <col min="5911" max="5911" width="18.28515625" style="1" customWidth="1"/>
    <col min="5912" max="5912" width="13" style="1" bestFit="1" customWidth="1"/>
    <col min="5913" max="5913" width="11.7109375" style="1" bestFit="1" customWidth="1"/>
    <col min="5914" max="5920" width="9.140625" style="1"/>
    <col min="5921" max="5921" width="11.28515625" style="1" bestFit="1" customWidth="1"/>
    <col min="5922" max="5922" width="10.7109375" style="1" bestFit="1" customWidth="1"/>
    <col min="5923" max="6144" width="9.140625" style="1"/>
    <col min="6145" max="6145" width="6.42578125" style="1" customWidth="1"/>
    <col min="6146" max="6146" width="20.7109375" style="1" customWidth="1"/>
    <col min="6147" max="6147" width="24.7109375" style="1" customWidth="1"/>
    <col min="6148" max="6148" width="11.140625" style="1" customWidth="1"/>
    <col min="6149" max="6149" width="12.28515625" style="1" customWidth="1"/>
    <col min="6150" max="6150" width="11.140625" style="1" customWidth="1"/>
    <col min="6151" max="6151" width="10.42578125" style="1" customWidth="1"/>
    <col min="6152" max="6152" width="4.7109375" style="1" customWidth="1"/>
    <col min="6153" max="6153" width="8.5703125" style="1" customWidth="1"/>
    <col min="6154" max="6154" width="5.5703125" style="1" customWidth="1"/>
    <col min="6155" max="6156" width="11.5703125" style="1" customWidth="1"/>
    <col min="6157" max="6157" width="10.85546875" style="1" customWidth="1"/>
    <col min="6158" max="6158" width="7.7109375" style="1" customWidth="1"/>
    <col min="6159" max="6159" width="8" style="1" customWidth="1"/>
    <col min="6160" max="6160" width="16.28515625" style="1" customWidth="1"/>
    <col min="6161" max="6161" width="10.5703125" style="1" customWidth="1"/>
    <col min="6162" max="6162" width="14.140625" style="1" customWidth="1"/>
    <col min="6163" max="6163" width="10.140625" style="1" customWidth="1"/>
    <col min="6164" max="6164" width="15.140625" style="1" customWidth="1"/>
    <col min="6165" max="6165" width="8.5703125" style="1" customWidth="1"/>
    <col min="6166" max="6166" width="14.28515625" style="1" customWidth="1"/>
    <col min="6167" max="6167" width="18.28515625" style="1" customWidth="1"/>
    <col min="6168" max="6168" width="13" style="1" bestFit="1" customWidth="1"/>
    <col min="6169" max="6169" width="11.7109375" style="1" bestFit="1" customWidth="1"/>
    <col min="6170" max="6176" width="9.140625" style="1"/>
    <col min="6177" max="6177" width="11.28515625" style="1" bestFit="1" customWidth="1"/>
    <col min="6178" max="6178" width="10.7109375" style="1" bestFit="1" customWidth="1"/>
    <col min="6179" max="6400" width="9.140625" style="1"/>
    <col min="6401" max="6401" width="6.42578125" style="1" customWidth="1"/>
    <col min="6402" max="6402" width="20.7109375" style="1" customWidth="1"/>
    <col min="6403" max="6403" width="24.7109375" style="1" customWidth="1"/>
    <col min="6404" max="6404" width="11.140625" style="1" customWidth="1"/>
    <col min="6405" max="6405" width="12.28515625" style="1" customWidth="1"/>
    <col min="6406" max="6406" width="11.140625" style="1" customWidth="1"/>
    <col min="6407" max="6407" width="10.42578125" style="1" customWidth="1"/>
    <col min="6408" max="6408" width="4.7109375" style="1" customWidth="1"/>
    <col min="6409" max="6409" width="8.5703125" style="1" customWidth="1"/>
    <col min="6410" max="6410" width="5.5703125" style="1" customWidth="1"/>
    <col min="6411" max="6412" width="11.5703125" style="1" customWidth="1"/>
    <col min="6413" max="6413" width="10.85546875" style="1" customWidth="1"/>
    <col min="6414" max="6414" width="7.7109375" style="1" customWidth="1"/>
    <col min="6415" max="6415" width="8" style="1" customWidth="1"/>
    <col min="6416" max="6416" width="16.28515625" style="1" customWidth="1"/>
    <col min="6417" max="6417" width="10.5703125" style="1" customWidth="1"/>
    <col min="6418" max="6418" width="14.140625" style="1" customWidth="1"/>
    <col min="6419" max="6419" width="10.140625" style="1" customWidth="1"/>
    <col min="6420" max="6420" width="15.140625" style="1" customWidth="1"/>
    <col min="6421" max="6421" width="8.5703125" style="1" customWidth="1"/>
    <col min="6422" max="6422" width="14.28515625" style="1" customWidth="1"/>
    <col min="6423" max="6423" width="18.28515625" style="1" customWidth="1"/>
    <col min="6424" max="6424" width="13" style="1" bestFit="1" customWidth="1"/>
    <col min="6425" max="6425" width="11.7109375" style="1" bestFit="1" customWidth="1"/>
    <col min="6426" max="6432" width="9.140625" style="1"/>
    <col min="6433" max="6433" width="11.28515625" style="1" bestFit="1" customWidth="1"/>
    <col min="6434" max="6434" width="10.7109375" style="1" bestFit="1" customWidth="1"/>
    <col min="6435" max="6656" width="9.140625" style="1"/>
    <col min="6657" max="6657" width="6.42578125" style="1" customWidth="1"/>
    <col min="6658" max="6658" width="20.7109375" style="1" customWidth="1"/>
    <col min="6659" max="6659" width="24.7109375" style="1" customWidth="1"/>
    <col min="6660" max="6660" width="11.140625" style="1" customWidth="1"/>
    <col min="6661" max="6661" width="12.28515625" style="1" customWidth="1"/>
    <col min="6662" max="6662" width="11.140625" style="1" customWidth="1"/>
    <col min="6663" max="6663" width="10.42578125" style="1" customWidth="1"/>
    <col min="6664" max="6664" width="4.7109375" style="1" customWidth="1"/>
    <col min="6665" max="6665" width="8.5703125" style="1" customWidth="1"/>
    <col min="6666" max="6666" width="5.5703125" style="1" customWidth="1"/>
    <col min="6667" max="6668" width="11.5703125" style="1" customWidth="1"/>
    <col min="6669" max="6669" width="10.85546875" style="1" customWidth="1"/>
    <col min="6670" max="6670" width="7.7109375" style="1" customWidth="1"/>
    <col min="6671" max="6671" width="8" style="1" customWidth="1"/>
    <col min="6672" max="6672" width="16.28515625" style="1" customWidth="1"/>
    <col min="6673" max="6673" width="10.5703125" style="1" customWidth="1"/>
    <col min="6674" max="6674" width="14.140625" style="1" customWidth="1"/>
    <col min="6675" max="6675" width="10.140625" style="1" customWidth="1"/>
    <col min="6676" max="6676" width="15.140625" style="1" customWidth="1"/>
    <col min="6677" max="6677" width="8.5703125" style="1" customWidth="1"/>
    <col min="6678" max="6678" width="14.28515625" style="1" customWidth="1"/>
    <col min="6679" max="6679" width="18.28515625" style="1" customWidth="1"/>
    <col min="6680" max="6680" width="13" style="1" bestFit="1" customWidth="1"/>
    <col min="6681" max="6681" width="11.7109375" style="1" bestFit="1" customWidth="1"/>
    <col min="6682" max="6688" width="9.140625" style="1"/>
    <col min="6689" max="6689" width="11.28515625" style="1" bestFit="1" customWidth="1"/>
    <col min="6690" max="6690" width="10.7109375" style="1" bestFit="1" customWidth="1"/>
    <col min="6691" max="6912" width="9.140625" style="1"/>
    <col min="6913" max="6913" width="6.42578125" style="1" customWidth="1"/>
    <col min="6914" max="6914" width="20.7109375" style="1" customWidth="1"/>
    <col min="6915" max="6915" width="24.7109375" style="1" customWidth="1"/>
    <col min="6916" max="6916" width="11.140625" style="1" customWidth="1"/>
    <col min="6917" max="6917" width="12.28515625" style="1" customWidth="1"/>
    <col min="6918" max="6918" width="11.140625" style="1" customWidth="1"/>
    <col min="6919" max="6919" width="10.42578125" style="1" customWidth="1"/>
    <col min="6920" max="6920" width="4.7109375" style="1" customWidth="1"/>
    <col min="6921" max="6921" width="8.5703125" style="1" customWidth="1"/>
    <col min="6922" max="6922" width="5.5703125" style="1" customWidth="1"/>
    <col min="6923" max="6924" width="11.5703125" style="1" customWidth="1"/>
    <col min="6925" max="6925" width="10.85546875" style="1" customWidth="1"/>
    <col min="6926" max="6926" width="7.7109375" style="1" customWidth="1"/>
    <col min="6927" max="6927" width="8" style="1" customWidth="1"/>
    <col min="6928" max="6928" width="16.28515625" style="1" customWidth="1"/>
    <col min="6929" max="6929" width="10.5703125" style="1" customWidth="1"/>
    <col min="6930" max="6930" width="14.140625" style="1" customWidth="1"/>
    <col min="6931" max="6931" width="10.140625" style="1" customWidth="1"/>
    <col min="6932" max="6932" width="15.140625" style="1" customWidth="1"/>
    <col min="6933" max="6933" width="8.5703125" style="1" customWidth="1"/>
    <col min="6934" max="6934" width="14.28515625" style="1" customWidth="1"/>
    <col min="6935" max="6935" width="18.28515625" style="1" customWidth="1"/>
    <col min="6936" max="6936" width="13" style="1" bestFit="1" customWidth="1"/>
    <col min="6937" max="6937" width="11.7109375" style="1" bestFit="1" customWidth="1"/>
    <col min="6938" max="6944" width="9.140625" style="1"/>
    <col min="6945" max="6945" width="11.28515625" style="1" bestFit="1" customWidth="1"/>
    <col min="6946" max="6946" width="10.7109375" style="1" bestFit="1" customWidth="1"/>
    <col min="6947" max="7168" width="9.140625" style="1"/>
    <col min="7169" max="7169" width="6.42578125" style="1" customWidth="1"/>
    <col min="7170" max="7170" width="20.7109375" style="1" customWidth="1"/>
    <col min="7171" max="7171" width="24.7109375" style="1" customWidth="1"/>
    <col min="7172" max="7172" width="11.140625" style="1" customWidth="1"/>
    <col min="7173" max="7173" width="12.28515625" style="1" customWidth="1"/>
    <col min="7174" max="7174" width="11.140625" style="1" customWidth="1"/>
    <col min="7175" max="7175" width="10.42578125" style="1" customWidth="1"/>
    <col min="7176" max="7176" width="4.7109375" style="1" customWidth="1"/>
    <col min="7177" max="7177" width="8.5703125" style="1" customWidth="1"/>
    <col min="7178" max="7178" width="5.5703125" style="1" customWidth="1"/>
    <col min="7179" max="7180" width="11.5703125" style="1" customWidth="1"/>
    <col min="7181" max="7181" width="10.85546875" style="1" customWidth="1"/>
    <col min="7182" max="7182" width="7.7109375" style="1" customWidth="1"/>
    <col min="7183" max="7183" width="8" style="1" customWidth="1"/>
    <col min="7184" max="7184" width="16.28515625" style="1" customWidth="1"/>
    <col min="7185" max="7185" width="10.5703125" style="1" customWidth="1"/>
    <col min="7186" max="7186" width="14.140625" style="1" customWidth="1"/>
    <col min="7187" max="7187" width="10.140625" style="1" customWidth="1"/>
    <col min="7188" max="7188" width="15.140625" style="1" customWidth="1"/>
    <col min="7189" max="7189" width="8.5703125" style="1" customWidth="1"/>
    <col min="7190" max="7190" width="14.28515625" style="1" customWidth="1"/>
    <col min="7191" max="7191" width="18.28515625" style="1" customWidth="1"/>
    <col min="7192" max="7192" width="13" style="1" bestFit="1" customWidth="1"/>
    <col min="7193" max="7193" width="11.7109375" style="1" bestFit="1" customWidth="1"/>
    <col min="7194" max="7200" width="9.140625" style="1"/>
    <col min="7201" max="7201" width="11.28515625" style="1" bestFit="1" customWidth="1"/>
    <col min="7202" max="7202" width="10.7109375" style="1" bestFit="1" customWidth="1"/>
    <col min="7203" max="7424" width="9.140625" style="1"/>
    <col min="7425" max="7425" width="6.42578125" style="1" customWidth="1"/>
    <col min="7426" max="7426" width="20.7109375" style="1" customWidth="1"/>
    <col min="7427" max="7427" width="24.7109375" style="1" customWidth="1"/>
    <col min="7428" max="7428" width="11.140625" style="1" customWidth="1"/>
    <col min="7429" max="7429" width="12.28515625" style="1" customWidth="1"/>
    <col min="7430" max="7430" width="11.140625" style="1" customWidth="1"/>
    <col min="7431" max="7431" width="10.42578125" style="1" customWidth="1"/>
    <col min="7432" max="7432" width="4.7109375" style="1" customWidth="1"/>
    <col min="7433" max="7433" width="8.5703125" style="1" customWidth="1"/>
    <col min="7434" max="7434" width="5.5703125" style="1" customWidth="1"/>
    <col min="7435" max="7436" width="11.5703125" style="1" customWidth="1"/>
    <col min="7437" max="7437" width="10.85546875" style="1" customWidth="1"/>
    <col min="7438" max="7438" width="7.7109375" style="1" customWidth="1"/>
    <col min="7439" max="7439" width="8" style="1" customWidth="1"/>
    <col min="7440" max="7440" width="16.28515625" style="1" customWidth="1"/>
    <col min="7441" max="7441" width="10.5703125" style="1" customWidth="1"/>
    <col min="7442" max="7442" width="14.140625" style="1" customWidth="1"/>
    <col min="7443" max="7443" width="10.140625" style="1" customWidth="1"/>
    <col min="7444" max="7444" width="15.140625" style="1" customWidth="1"/>
    <col min="7445" max="7445" width="8.5703125" style="1" customWidth="1"/>
    <col min="7446" max="7446" width="14.28515625" style="1" customWidth="1"/>
    <col min="7447" max="7447" width="18.28515625" style="1" customWidth="1"/>
    <col min="7448" max="7448" width="13" style="1" bestFit="1" customWidth="1"/>
    <col min="7449" max="7449" width="11.7109375" style="1" bestFit="1" customWidth="1"/>
    <col min="7450" max="7456" width="9.140625" style="1"/>
    <col min="7457" max="7457" width="11.28515625" style="1" bestFit="1" customWidth="1"/>
    <col min="7458" max="7458" width="10.7109375" style="1" bestFit="1" customWidth="1"/>
    <col min="7459" max="7680" width="9.140625" style="1"/>
    <col min="7681" max="7681" width="6.42578125" style="1" customWidth="1"/>
    <col min="7682" max="7682" width="20.7109375" style="1" customWidth="1"/>
    <col min="7683" max="7683" width="24.7109375" style="1" customWidth="1"/>
    <col min="7684" max="7684" width="11.140625" style="1" customWidth="1"/>
    <col min="7685" max="7685" width="12.28515625" style="1" customWidth="1"/>
    <col min="7686" max="7686" width="11.140625" style="1" customWidth="1"/>
    <col min="7687" max="7687" width="10.42578125" style="1" customWidth="1"/>
    <col min="7688" max="7688" width="4.7109375" style="1" customWidth="1"/>
    <col min="7689" max="7689" width="8.5703125" style="1" customWidth="1"/>
    <col min="7690" max="7690" width="5.5703125" style="1" customWidth="1"/>
    <col min="7691" max="7692" width="11.5703125" style="1" customWidth="1"/>
    <col min="7693" max="7693" width="10.85546875" style="1" customWidth="1"/>
    <col min="7694" max="7694" width="7.7109375" style="1" customWidth="1"/>
    <col min="7695" max="7695" width="8" style="1" customWidth="1"/>
    <col min="7696" max="7696" width="16.28515625" style="1" customWidth="1"/>
    <col min="7697" max="7697" width="10.5703125" style="1" customWidth="1"/>
    <col min="7698" max="7698" width="14.140625" style="1" customWidth="1"/>
    <col min="7699" max="7699" width="10.140625" style="1" customWidth="1"/>
    <col min="7700" max="7700" width="15.140625" style="1" customWidth="1"/>
    <col min="7701" max="7701" width="8.5703125" style="1" customWidth="1"/>
    <col min="7702" max="7702" width="14.28515625" style="1" customWidth="1"/>
    <col min="7703" max="7703" width="18.28515625" style="1" customWidth="1"/>
    <col min="7704" max="7704" width="13" style="1" bestFit="1" customWidth="1"/>
    <col min="7705" max="7705" width="11.7109375" style="1" bestFit="1" customWidth="1"/>
    <col min="7706" max="7712" width="9.140625" style="1"/>
    <col min="7713" max="7713" width="11.28515625" style="1" bestFit="1" customWidth="1"/>
    <col min="7714" max="7714" width="10.7109375" style="1" bestFit="1" customWidth="1"/>
    <col min="7715" max="7936" width="9.140625" style="1"/>
    <col min="7937" max="7937" width="6.42578125" style="1" customWidth="1"/>
    <col min="7938" max="7938" width="20.7109375" style="1" customWidth="1"/>
    <col min="7939" max="7939" width="24.7109375" style="1" customWidth="1"/>
    <col min="7940" max="7940" width="11.140625" style="1" customWidth="1"/>
    <col min="7941" max="7941" width="12.28515625" style="1" customWidth="1"/>
    <col min="7942" max="7942" width="11.140625" style="1" customWidth="1"/>
    <col min="7943" max="7943" width="10.42578125" style="1" customWidth="1"/>
    <col min="7944" max="7944" width="4.7109375" style="1" customWidth="1"/>
    <col min="7945" max="7945" width="8.5703125" style="1" customWidth="1"/>
    <col min="7946" max="7946" width="5.5703125" style="1" customWidth="1"/>
    <col min="7947" max="7948" width="11.5703125" style="1" customWidth="1"/>
    <col min="7949" max="7949" width="10.85546875" style="1" customWidth="1"/>
    <col min="7950" max="7950" width="7.7109375" style="1" customWidth="1"/>
    <col min="7951" max="7951" width="8" style="1" customWidth="1"/>
    <col min="7952" max="7952" width="16.28515625" style="1" customWidth="1"/>
    <col min="7953" max="7953" width="10.5703125" style="1" customWidth="1"/>
    <col min="7954" max="7954" width="14.140625" style="1" customWidth="1"/>
    <col min="7955" max="7955" width="10.140625" style="1" customWidth="1"/>
    <col min="7956" max="7956" width="15.140625" style="1" customWidth="1"/>
    <col min="7957" max="7957" width="8.5703125" style="1" customWidth="1"/>
    <col min="7958" max="7958" width="14.28515625" style="1" customWidth="1"/>
    <col min="7959" max="7959" width="18.28515625" style="1" customWidth="1"/>
    <col min="7960" max="7960" width="13" style="1" bestFit="1" customWidth="1"/>
    <col min="7961" max="7961" width="11.7109375" style="1" bestFit="1" customWidth="1"/>
    <col min="7962" max="7968" width="9.140625" style="1"/>
    <col min="7969" max="7969" width="11.28515625" style="1" bestFit="1" customWidth="1"/>
    <col min="7970" max="7970" width="10.7109375" style="1" bestFit="1" customWidth="1"/>
    <col min="7971" max="8192" width="9.140625" style="1"/>
    <col min="8193" max="8193" width="6.42578125" style="1" customWidth="1"/>
    <col min="8194" max="8194" width="20.7109375" style="1" customWidth="1"/>
    <col min="8195" max="8195" width="24.7109375" style="1" customWidth="1"/>
    <col min="8196" max="8196" width="11.140625" style="1" customWidth="1"/>
    <col min="8197" max="8197" width="12.28515625" style="1" customWidth="1"/>
    <col min="8198" max="8198" width="11.140625" style="1" customWidth="1"/>
    <col min="8199" max="8199" width="10.42578125" style="1" customWidth="1"/>
    <col min="8200" max="8200" width="4.7109375" style="1" customWidth="1"/>
    <col min="8201" max="8201" width="8.5703125" style="1" customWidth="1"/>
    <col min="8202" max="8202" width="5.5703125" style="1" customWidth="1"/>
    <col min="8203" max="8204" width="11.5703125" style="1" customWidth="1"/>
    <col min="8205" max="8205" width="10.85546875" style="1" customWidth="1"/>
    <col min="8206" max="8206" width="7.7109375" style="1" customWidth="1"/>
    <col min="8207" max="8207" width="8" style="1" customWidth="1"/>
    <col min="8208" max="8208" width="16.28515625" style="1" customWidth="1"/>
    <col min="8209" max="8209" width="10.5703125" style="1" customWidth="1"/>
    <col min="8210" max="8210" width="14.140625" style="1" customWidth="1"/>
    <col min="8211" max="8211" width="10.140625" style="1" customWidth="1"/>
    <col min="8212" max="8212" width="15.140625" style="1" customWidth="1"/>
    <col min="8213" max="8213" width="8.5703125" style="1" customWidth="1"/>
    <col min="8214" max="8214" width="14.28515625" style="1" customWidth="1"/>
    <col min="8215" max="8215" width="18.28515625" style="1" customWidth="1"/>
    <col min="8216" max="8216" width="13" style="1" bestFit="1" customWidth="1"/>
    <col min="8217" max="8217" width="11.7109375" style="1" bestFit="1" customWidth="1"/>
    <col min="8218" max="8224" width="9.140625" style="1"/>
    <col min="8225" max="8225" width="11.28515625" style="1" bestFit="1" customWidth="1"/>
    <col min="8226" max="8226" width="10.7109375" style="1" bestFit="1" customWidth="1"/>
    <col min="8227" max="8448" width="9.140625" style="1"/>
    <col min="8449" max="8449" width="6.42578125" style="1" customWidth="1"/>
    <col min="8450" max="8450" width="20.7109375" style="1" customWidth="1"/>
    <col min="8451" max="8451" width="24.7109375" style="1" customWidth="1"/>
    <col min="8452" max="8452" width="11.140625" style="1" customWidth="1"/>
    <col min="8453" max="8453" width="12.28515625" style="1" customWidth="1"/>
    <col min="8454" max="8454" width="11.140625" style="1" customWidth="1"/>
    <col min="8455" max="8455" width="10.42578125" style="1" customWidth="1"/>
    <col min="8456" max="8456" width="4.7109375" style="1" customWidth="1"/>
    <col min="8457" max="8457" width="8.5703125" style="1" customWidth="1"/>
    <col min="8458" max="8458" width="5.5703125" style="1" customWidth="1"/>
    <col min="8459" max="8460" width="11.5703125" style="1" customWidth="1"/>
    <col min="8461" max="8461" width="10.85546875" style="1" customWidth="1"/>
    <col min="8462" max="8462" width="7.7109375" style="1" customWidth="1"/>
    <col min="8463" max="8463" width="8" style="1" customWidth="1"/>
    <col min="8464" max="8464" width="16.28515625" style="1" customWidth="1"/>
    <col min="8465" max="8465" width="10.5703125" style="1" customWidth="1"/>
    <col min="8466" max="8466" width="14.140625" style="1" customWidth="1"/>
    <col min="8467" max="8467" width="10.140625" style="1" customWidth="1"/>
    <col min="8468" max="8468" width="15.140625" style="1" customWidth="1"/>
    <col min="8469" max="8469" width="8.5703125" style="1" customWidth="1"/>
    <col min="8470" max="8470" width="14.28515625" style="1" customWidth="1"/>
    <col min="8471" max="8471" width="18.28515625" style="1" customWidth="1"/>
    <col min="8472" max="8472" width="13" style="1" bestFit="1" customWidth="1"/>
    <col min="8473" max="8473" width="11.7109375" style="1" bestFit="1" customWidth="1"/>
    <col min="8474" max="8480" width="9.140625" style="1"/>
    <col min="8481" max="8481" width="11.28515625" style="1" bestFit="1" customWidth="1"/>
    <col min="8482" max="8482" width="10.7109375" style="1" bestFit="1" customWidth="1"/>
    <col min="8483" max="8704" width="9.140625" style="1"/>
    <col min="8705" max="8705" width="6.42578125" style="1" customWidth="1"/>
    <col min="8706" max="8706" width="20.7109375" style="1" customWidth="1"/>
    <col min="8707" max="8707" width="24.7109375" style="1" customWidth="1"/>
    <col min="8708" max="8708" width="11.140625" style="1" customWidth="1"/>
    <col min="8709" max="8709" width="12.28515625" style="1" customWidth="1"/>
    <col min="8710" max="8710" width="11.140625" style="1" customWidth="1"/>
    <col min="8711" max="8711" width="10.42578125" style="1" customWidth="1"/>
    <col min="8712" max="8712" width="4.7109375" style="1" customWidth="1"/>
    <col min="8713" max="8713" width="8.5703125" style="1" customWidth="1"/>
    <col min="8714" max="8714" width="5.5703125" style="1" customWidth="1"/>
    <col min="8715" max="8716" width="11.5703125" style="1" customWidth="1"/>
    <col min="8717" max="8717" width="10.85546875" style="1" customWidth="1"/>
    <col min="8718" max="8718" width="7.7109375" style="1" customWidth="1"/>
    <col min="8719" max="8719" width="8" style="1" customWidth="1"/>
    <col min="8720" max="8720" width="16.28515625" style="1" customWidth="1"/>
    <col min="8721" max="8721" width="10.5703125" style="1" customWidth="1"/>
    <col min="8722" max="8722" width="14.140625" style="1" customWidth="1"/>
    <col min="8723" max="8723" width="10.140625" style="1" customWidth="1"/>
    <col min="8724" max="8724" width="15.140625" style="1" customWidth="1"/>
    <col min="8725" max="8725" width="8.5703125" style="1" customWidth="1"/>
    <col min="8726" max="8726" width="14.28515625" style="1" customWidth="1"/>
    <col min="8727" max="8727" width="18.28515625" style="1" customWidth="1"/>
    <col min="8728" max="8728" width="13" style="1" bestFit="1" customWidth="1"/>
    <col min="8729" max="8729" width="11.7109375" style="1" bestFit="1" customWidth="1"/>
    <col min="8730" max="8736" width="9.140625" style="1"/>
    <col min="8737" max="8737" width="11.28515625" style="1" bestFit="1" customWidth="1"/>
    <col min="8738" max="8738" width="10.7109375" style="1" bestFit="1" customWidth="1"/>
    <col min="8739" max="8960" width="9.140625" style="1"/>
    <col min="8961" max="8961" width="6.42578125" style="1" customWidth="1"/>
    <col min="8962" max="8962" width="20.7109375" style="1" customWidth="1"/>
    <col min="8963" max="8963" width="24.7109375" style="1" customWidth="1"/>
    <col min="8964" max="8964" width="11.140625" style="1" customWidth="1"/>
    <col min="8965" max="8965" width="12.28515625" style="1" customWidth="1"/>
    <col min="8966" max="8966" width="11.140625" style="1" customWidth="1"/>
    <col min="8967" max="8967" width="10.42578125" style="1" customWidth="1"/>
    <col min="8968" max="8968" width="4.7109375" style="1" customWidth="1"/>
    <col min="8969" max="8969" width="8.5703125" style="1" customWidth="1"/>
    <col min="8970" max="8970" width="5.5703125" style="1" customWidth="1"/>
    <col min="8971" max="8972" width="11.5703125" style="1" customWidth="1"/>
    <col min="8973" max="8973" width="10.85546875" style="1" customWidth="1"/>
    <col min="8974" max="8974" width="7.7109375" style="1" customWidth="1"/>
    <col min="8975" max="8975" width="8" style="1" customWidth="1"/>
    <col min="8976" max="8976" width="16.28515625" style="1" customWidth="1"/>
    <col min="8977" max="8977" width="10.5703125" style="1" customWidth="1"/>
    <col min="8978" max="8978" width="14.140625" style="1" customWidth="1"/>
    <col min="8979" max="8979" width="10.140625" style="1" customWidth="1"/>
    <col min="8980" max="8980" width="15.140625" style="1" customWidth="1"/>
    <col min="8981" max="8981" width="8.5703125" style="1" customWidth="1"/>
    <col min="8982" max="8982" width="14.28515625" style="1" customWidth="1"/>
    <col min="8983" max="8983" width="18.28515625" style="1" customWidth="1"/>
    <col min="8984" max="8984" width="13" style="1" bestFit="1" customWidth="1"/>
    <col min="8985" max="8985" width="11.7109375" style="1" bestFit="1" customWidth="1"/>
    <col min="8986" max="8992" width="9.140625" style="1"/>
    <col min="8993" max="8993" width="11.28515625" style="1" bestFit="1" customWidth="1"/>
    <col min="8994" max="8994" width="10.7109375" style="1" bestFit="1" customWidth="1"/>
    <col min="8995" max="9216" width="9.140625" style="1"/>
    <col min="9217" max="9217" width="6.42578125" style="1" customWidth="1"/>
    <col min="9218" max="9218" width="20.7109375" style="1" customWidth="1"/>
    <col min="9219" max="9219" width="24.7109375" style="1" customWidth="1"/>
    <col min="9220" max="9220" width="11.140625" style="1" customWidth="1"/>
    <col min="9221" max="9221" width="12.28515625" style="1" customWidth="1"/>
    <col min="9222" max="9222" width="11.140625" style="1" customWidth="1"/>
    <col min="9223" max="9223" width="10.42578125" style="1" customWidth="1"/>
    <col min="9224" max="9224" width="4.7109375" style="1" customWidth="1"/>
    <col min="9225" max="9225" width="8.5703125" style="1" customWidth="1"/>
    <col min="9226" max="9226" width="5.5703125" style="1" customWidth="1"/>
    <col min="9227" max="9228" width="11.5703125" style="1" customWidth="1"/>
    <col min="9229" max="9229" width="10.85546875" style="1" customWidth="1"/>
    <col min="9230" max="9230" width="7.7109375" style="1" customWidth="1"/>
    <col min="9231" max="9231" width="8" style="1" customWidth="1"/>
    <col min="9232" max="9232" width="16.28515625" style="1" customWidth="1"/>
    <col min="9233" max="9233" width="10.5703125" style="1" customWidth="1"/>
    <col min="9234" max="9234" width="14.140625" style="1" customWidth="1"/>
    <col min="9235" max="9235" width="10.140625" style="1" customWidth="1"/>
    <col min="9236" max="9236" width="15.140625" style="1" customWidth="1"/>
    <col min="9237" max="9237" width="8.5703125" style="1" customWidth="1"/>
    <col min="9238" max="9238" width="14.28515625" style="1" customWidth="1"/>
    <col min="9239" max="9239" width="18.28515625" style="1" customWidth="1"/>
    <col min="9240" max="9240" width="13" style="1" bestFit="1" customWidth="1"/>
    <col min="9241" max="9241" width="11.7109375" style="1" bestFit="1" customWidth="1"/>
    <col min="9242" max="9248" width="9.140625" style="1"/>
    <col min="9249" max="9249" width="11.28515625" style="1" bestFit="1" customWidth="1"/>
    <col min="9250" max="9250" width="10.7109375" style="1" bestFit="1" customWidth="1"/>
    <col min="9251" max="9472" width="9.140625" style="1"/>
    <col min="9473" max="9473" width="6.42578125" style="1" customWidth="1"/>
    <col min="9474" max="9474" width="20.7109375" style="1" customWidth="1"/>
    <col min="9475" max="9475" width="24.7109375" style="1" customWidth="1"/>
    <col min="9476" max="9476" width="11.140625" style="1" customWidth="1"/>
    <col min="9477" max="9477" width="12.28515625" style="1" customWidth="1"/>
    <col min="9478" max="9478" width="11.140625" style="1" customWidth="1"/>
    <col min="9479" max="9479" width="10.42578125" style="1" customWidth="1"/>
    <col min="9480" max="9480" width="4.7109375" style="1" customWidth="1"/>
    <col min="9481" max="9481" width="8.5703125" style="1" customWidth="1"/>
    <col min="9482" max="9482" width="5.5703125" style="1" customWidth="1"/>
    <col min="9483" max="9484" width="11.5703125" style="1" customWidth="1"/>
    <col min="9485" max="9485" width="10.85546875" style="1" customWidth="1"/>
    <col min="9486" max="9486" width="7.7109375" style="1" customWidth="1"/>
    <col min="9487" max="9487" width="8" style="1" customWidth="1"/>
    <col min="9488" max="9488" width="16.28515625" style="1" customWidth="1"/>
    <col min="9489" max="9489" width="10.5703125" style="1" customWidth="1"/>
    <col min="9490" max="9490" width="14.140625" style="1" customWidth="1"/>
    <col min="9491" max="9491" width="10.140625" style="1" customWidth="1"/>
    <col min="9492" max="9492" width="15.140625" style="1" customWidth="1"/>
    <col min="9493" max="9493" width="8.5703125" style="1" customWidth="1"/>
    <col min="9494" max="9494" width="14.28515625" style="1" customWidth="1"/>
    <col min="9495" max="9495" width="18.28515625" style="1" customWidth="1"/>
    <col min="9496" max="9496" width="13" style="1" bestFit="1" customWidth="1"/>
    <col min="9497" max="9497" width="11.7109375" style="1" bestFit="1" customWidth="1"/>
    <col min="9498" max="9504" width="9.140625" style="1"/>
    <col min="9505" max="9505" width="11.28515625" style="1" bestFit="1" customWidth="1"/>
    <col min="9506" max="9506" width="10.7109375" style="1" bestFit="1" customWidth="1"/>
    <col min="9507" max="9728" width="9.140625" style="1"/>
    <col min="9729" max="9729" width="6.42578125" style="1" customWidth="1"/>
    <col min="9730" max="9730" width="20.7109375" style="1" customWidth="1"/>
    <col min="9731" max="9731" width="24.7109375" style="1" customWidth="1"/>
    <col min="9732" max="9732" width="11.140625" style="1" customWidth="1"/>
    <col min="9733" max="9733" width="12.28515625" style="1" customWidth="1"/>
    <col min="9734" max="9734" width="11.140625" style="1" customWidth="1"/>
    <col min="9735" max="9735" width="10.42578125" style="1" customWidth="1"/>
    <col min="9736" max="9736" width="4.7109375" style="1" customWidth="1"/>
    <col min="9737" max="9737" width="8.5703125" style="1" customWidth="1"/>
    <col min="9738" max="9738" width="5.5703125" style="1" customWidth="1"/>
    <col min="9739" max="9740" width="11.5703125" style="1" customWidth="1"/>
    <col min="9741" max="9741" width="10.85546875" style="1" customWidth="1"/>
    <col min="9742" max="9742" width="7.7109375" style="1" customWidth="1"/>
    <col min="9743" max="9743" width="8" style="1" customWidth="1"/>
    <col min="9744" max="9744" width="16.28515625" style="1" customWidth="1"/>
    <col min="9745" max="9745" width="10.5703125" style="1" customWidth="1"/>
    <col min="9746" max="9746" width="14.140625" style="1" customWidth="1"/>
    <col min="9747" max="9747" width="10.140625" style="1" customWidth="1"/>
    <col min="9748" max="9748" width="15.140625" style="1" customWidth="1"/>
    <col min="9749" max="9749" width="8.5703125" style="1" customWidth="1"/>
    <col min="9750" max="9750" width="14.28515625" style="1" customWidth="1"/>
    <col min="9751" max="9751" width="18.28515625" style="1" customWidth="1"/>
    <col min="9752" max="9752" width="13" style="1" bestFit="1" customWidth="1"/>
    <col min="9753" max="9753" width="11.7109375" style="1" bestFit="1" customWidth="1"/>
    <col min="9754" max="9760" width="9.140625" style="1"/>
    <col min="9761" max="9761" width="11.28515625" style="1" bestFit="1" customWidth="1"/>
    <col min="9762" max="9762" width="10.7109375" style="1" bestFit="1" customWidth="1"/>
    <col min="9763" max="9984" width="9.140625" style="1"/>
    <col min="9985" max="9985" width="6.42578125" style="1" customWidth="1"/>
    <col min="9986" max="9986" width="20.7109375" style="1" customWidth="1"/>
    <col min="9987" max="9987" width="24.7109375" style="1" customWidth="1"/>
    <col min="9988" max="9988" width="11.140625" style="1" customWidth="1"/>
    <col min="9989" max="9989" width="12.28515625" style="1" customWidth="1"/>
    <col min="9990" max="9990" width="11.140625" style="1" customWidth="1"/>
    <col min="9991" max="9991" width="10.42578125" style="1" customWidth="1"/>
    <col min="9992" max="9992" width="4.7109375" style="1" customWidth="1"/>
    <col min="9993" max="9993" width="8.5703125" style="1" customWidth="1"/>
    <col min="9994" max="9994" width="5.5703125" style="1" customWidth="1"/>
    <col min="9995" max="9996" width="11.5703125" style="1" customWidth="1"/>
    <col min="9997" max="9997" width="10.85546875" style="1" customWidth="1"/>
    <col min="9998" max="9998" width="7.7109375" style="1" customWidth="1"/>
    <col min="9999" max="9999" width="8" style="1" customWidth="1"/>
    <col min="10000" max="10000" width="16.28515625" style="1" customWidth="1"/>
    <col min="10001" max="10001" width="10.5703125" style="1" customWidth="1"/>
    <col min="10002" max="10002" width="14.140625" style="1" customWidth="1"/>
    <col min="10003" max="10003" width="10.140625" style="1" customWidth="1"/>
    <col min="10004" max="10004" width="15.140625" style="1" customWidth="1"/>
    <col min="10005" max="10005" width="8.5703125" style="1" customWidth="1"/>
    <col min="10006" max="10006" width="14.28515625" style="1" customWidth="1"/>
    <col min="10007" max="10007" width="18.28515625" style="1" customWidth="1"/>
    <col min="10008" max="10008" width="13" style="1" bestFit="1" customWidth="1"/>
    <col min="10009" max="10009" width="11.7109375" style="1" bestFit="1" customWidth="1"/>
    <col min="10010" max="10016" width="9.140625" style="1"/>
    <col min="10017" max="10017" width="11.28515625" style="1" bestFit="1" customWidth="1"/>
    <col min="10018" max="10018" width="10.7109375" style="1" bestFit="1" customWidth="1"/>
    <col min="10019" max="10240" width="9.140625" style="1"/>
    <col min="10241" max="10241" width="6.42578125" style="1" customWidth="1"/>
    <col min="10242" max="10242" width="20.7109375" style="1" customWidth="1"/>
    <col min="10243" max="10243" width="24.7109375" style="1" customWidth="1"/>
    <col min="10244" max="10244" width="11.140625" style="1" customWidth="1"/>
    <col min="10245" max="10245" width="12.28515625" style="1" customWidth="1"/>
    <col min="10246" max="10246" width="11.140625" style="1" customWidth="1"/>
    <col min="10247" max="10247" width="10.42578125" style="1" customWidth="1"/>
    <col min="10248" max="10248" width="4.7109375" style="1" customWidth="1"/>
    <col min="10249" max="10249" width="8.5703125" style="1" customWidth="1"/>
    <col min="10250" max="10250" width="5.5703125" style="1" customWidth="1"/>
    <col min="10251" max="10252" width="11.5703125" style="1" customWidth="1"/>
    <col min="10253" max="10253" width="10.85546875" style="1" customWidth="1"/>
    <col min="10254" max="10254" width="7.7109375" style="1" customWidth="1"/>
    <col min="10255" max="10255" width="8" style="1" customWidth="1"/>
    <col min="10256" max="10256" width="16.28515625" style="1" customWidth="1"/>
    <col min="10257" max="10257" width="10.5703125" style="1" customWidth="1"/>
    <col min="10258" max="10258" width="14.140625" style="1" customWidth="1"/>
    <col min="10259" max="10259" width="10.140625" style="1" customWidth="1"/>
    <col min="10260" max="10260" width="15.140625" style="1" customWidth="1"/>
    <col min="10261" max="10261" width="8.5703125" style="1" customWidth="1"/>
    <col min="10262" max="10262" width="14.28515625" style="1" customWidth="1"/>
    <col min="10263" max="10263" width="18.28515625" style="1" customWidth="1"/>
    <col min="10264" max="10264" width="13" style="1" bestFit="1" customWidth="1"/>
    <col min="10265" max="10265" width="11.7109375" style="1" bestFit="1" customWidth="1"/>
    <col min="10266" max="10272" width="9.140625" style="1"/>
    <col min="10273" max="10273" width="11.28515625" style="1" bestFit="1" customWidth="1"/>
    <col min="10274" max="10274" width="10.7109375" style="1" bestFit="1" customWidth="1"/>
    <col min="10275" max="10496" width="9.140625" style="1"/>
    <col min="10497" max="10497" width="6.42578125" style="1" customWidth="1"/>
    <col min="10498" max="10498" width="20.7109375" style="1" customWidth="1"/>
    <col min="10499" max="10499" width="24.7109375" style="1" customWidth="1"/>
    <col min="10500" max="10500" width="11.140625" style="1" customWidth="1"/>
    <col min="10501" max="10501" width="12.28515625" style="1" customWidth="1"/>
    <col min="10502" max="10502" width="11.140625" style="1" customWidth="1"/>
    <col min="10503" max="10503" width="10.42578125" style="1" customWidth="1"/>
    <col min="10504" max="10504" width="4.7109375" style="1" customWidth="1"/>
    <col min="10505" max="10505" width="8.5703125" style="1" customWidth="1"/>
    <col min="10506" max="10506" width="5.5703125" style="1" customWidth="1"/>
    <col min="10507" max="10508" width="11.5703125" style="1" customWidth="1"/>
    <col min="10509" max="10509" width="10.85546875" style="1" customWidth="1"/>
    <col min="10510" max="10510" width="7.7109375" style="1" customWidth="1"/>
    <col min="10511" max="10511" width="8" style="1" customWidth="1"/>
    <col min="10512" max="10512" width="16.28515625" style="1" customWidth="1"/>
    <col min="10513" max="10513" width="10.5703125" style="1" customWidth="1"/>
    <col min="10514" max="10514" width="14.140625" style="1" customWidth="1"/>
    <col min="10515" max="10515" width="10.140625" style="1" customWidth="1"/>
    <col min="10516" max="10516" width="15.140625" style="1" customWidth="1"/>
    <col min="10517" max="10517" width="8.5703125" style="1" customWidth="1"/>
    <col min="10518" max="10518" width="14.28515625" style="1" customWidth="1"/>
    <col min="10519" max="10519" width="18.28515625" style="1" customWidth="1"/>
    <col min="10520" max="10520" width="13" style="1" bestFit="1" customWidth="1"/>
    <col min="10521" max="10521" width="11.7109375" style="1" bestFit="1" customWidth="1"/>
    <col min="10522" max="10528" width="9.140625" style="1"/>
    <col min="10529" max="10529" width="11.28515625" style="1" bestFit="1" customWidth="1"/>
    <col min="10530" max="10530" width="10.7109375" style="1" bestFit="1" customWidth="1"/>
    <col min="10531" max="10752" width="9.140625" style="1"/>
    <col min="10753" max="10753" width="6.42578125" style="1" customWidth="1"/>
    <col min="10754" max="10754" width="20.7109375" style="1" customWidth="1"/>
    <col min="10755" max="10755" width="24.7109375" style="1" customWidth="1"/>
    <col min="10756" max="10756" width="11.140625" style="1" customWidth="1"/>
    <col min="10757" max="10757" width="12.28515625" style="1" customWidth="1"/>
    <col min="10758" max="10758" width="11.140625" style="1" customWidth="1"/>
    <col min="10759" max="10759" width="10.42578125" style="1" customWidth="1"/>
    <col min="10760" max="10760" width="4.7109375" style="1" customWidth="1"/>
    <col min="10761" max="10761" width="8.5703125" style="1" customWidth="1"/>
    <col min="10762" max="10762" width="5.5703125" style="1" customWidth="1"/>
    <col min="10763" max="10764" width="11.5703125" style="1" customWidth="1"/>
    <col min="10765" max="10765" width="10.85546875" style="1" customWidth="1"/>
    <col min="10766" max="10766" width="7.7109375" style="1" customWidth="1"/>
    <col min="10767" max="10767" width="8" style="1" customWidth="1"/>
    <col min="10768" max="10768" width="16.28515625" style="1" customWidth="1"/>
    <col min="10769" max="10769" width="10.5703125" style="1" customWidth="1"/>
    <col min="10770" max="10770" width="14.140625" style="1" customWidth="1"/>
    <col min="10771" max="10771" width="10.140625" style="1" customWidth="1"/>
    <col min="10772" max="10772" width="15.140625" style="1" customWidth="1"/>
    <col min="10773" max="10773" width="8.5703125" style="1" customWidth="1"/>
    <col min="10774" max="10774" width="14.28515625" style="1" customWidth="1"/>
    <col min="10775" max="10775" width="18.28515625" style="1" customWidth="1"/>
    <col min="10776" max="10776" width="13" style="1" bestFit="1" customWidth="1"/>
    <col min="10777" max="10777" width="11.7109375" style="1" bestFit="1" customWidth="1"/>
    <col min="10778" max="10784" width="9.140625" style="1"/>
    <col min="10785" max="10785" width="11.28515625" style="1" bestFit="1" customWidth="1"/>
    <col min="10786" max="10786" width="10.7109375" style="1" bestFit="1" customWidth="1"/>
    <col min="10787" max="11008" width="9.140625" style="1"/>
    <col min="11009" max="11009" width="6.42578125" style="1" customWidth="1"/>
    <col min="11010" max="11010" width="20.7109375" style="1" customWidth="1"/>
    <col min="11011" max="11011" width="24.7109375" style="1" customWidth="1"/>
    <col min="11012" max="11012" width="11.140625" style="1" customWidth="1"/>
    <col min="11013" max="11013" width="12.28515625" style="1" customWidth="1"/>
    <col min="11014" max="11014" width="11.140625" style="1" customWidth="1"/>
    <col min="11015" max="11015" width="10.42578125" style="1" customWidth="1"/>
    <col min="11016" max="11016" width="4.7109375" style="1" customWidth="1"/>
    <col min="11017" max="11017" width="8.5703125" style="1" customWidth="1"/>
    <col min="11018" max="11018" width="5.5703125" style="1" customWidth="1"/>
    <col min="11019" max="11020" width="11.5703125" style="1" customWidth="1"/>
    <col min="11021" max="11021" width="10.85546875" style="1" customWidth="1"/>
    <col min="11022" max="11022" width="7.7109375" style="1" customWidth="1"/>
    <col min="11023" max="11023" width="8" style="1" customWidth="1"/>
    <col min="11024" max="11024" width="16.28515625" style="1" customWidth="1"/>
    <col min="11025" max="11025" width="10.5703125" style="1" customWidth="1"/>
    <col min="11026" max="11026" width="14.140625" style="1" customWidth="1"/>
    <col min="11027" max="11027" width="10.140625" style="1" customWidth="1"/>
    <col min="11028" max="11028" width="15.140625" style="1" customWidth="1"/>
    <col min="11029" max="11029" width="8.5703125" style="1" customWidth="1"/>
    <col min="11030" max="11030" width="14.28515625" style="1" customWidth="1"/>
    <col min="11031" max="11031" width="18.28515625" style="1" customWidth="1"/>
    <col min="11032" max="11032" width="13" style="1" bestFit="1" customWidth="1"/>
    <col min="11033" max="11033" width="11.7109375" style="1" bestFit="1" customWidth="1"/>
    <col min="11034" max="11040" width="9.140625" style="1"/>
    <col min="11041" max="11041" width="11.28515625" style="1" bestFit="1" customWidth="1"/>
    <col min="11042" max="11042" width="10.7109375" style="1" bestFit="1" customWidth="1"/>
    <col min="11043" max="11264" width="9.140625" style="1"/>
    <col min="11265" max="11265" width="6.42578125" style="1" customWidth="1"/>
    <col min="11266" max="11266" width="20.7109375" style="1" customWidth="1"/>
    <col min="11267" max="11267" width="24.7109375" style="1" customWidth="1"/>
    <col min="11268" max="11268" width="11.140625" style="1" customWidth="1"/>
    <col min="11269" max="11269" width="12.28515625" style="1" customWidth="1"/>
    <col min="11270" max="11270" width="11.140625" style="1" customWidth="1"/>
    <col min="11271" max="11271" width="10.42578125" style="1" customWidth="1"/>
    <col min="11272" max="11272" width="4.7109375" style="1" customWidth="1"/>
    <col min="11273" max="11273" width="8.5703125" style="1" customWidth="1"/>
    <col min="11274" max="11274" width="5.5703125" style="1" customWidth="1"/>
    <col min="11275" max="11276" width="11.5703125" style="1" customWidth="1"/>
    <col min="11277" max="11277" width="10.85546875" style="1" customWidth="1"/>
    <col min="11278" max="11278" width="7.7109375" style="1" customWidth="1"/>
    <col min="11279" max="11279" width="8" style="1" customWidth="1"/>
    <col min="11280" max="11280" width="16.28515625" style="1" customWidth="1"/>
    <col min="11281" max="11281" width="10.5703125" style="1" customWidth="1"/>
    <col min="11282" max="11282" width="14.140625" style="1" customWidth="1"/>
    <col min="11283" max="11283" width="10.140625" style="1" customWidth="1"/>
    <col min="11284" max="11284" width="15.140625" style="1" customWidth="1"/>
    <col min="11285" max="11285" width="8.5703125" style="1" customWidth="1"/>
    <col min="11286" max="11286" width="14.28515625" style="1" customWidth="1"/>
    <col min="11287" max="11287" width="18.28515625" style="1" customWidth="1"/>
    <col min="11288" max="11288" width="13" style="1" bestFit="1" customWidth="1"/>
    <col min="11289" max="11289" width="11.7109375" style="1" bestFit="1" customWidth="1"/>
    <col min="11290" max="11296" width="9.140625" style="1"/>
    <col min="11297" max="11297" width="11.28515625" style="1" bestFit="1" customWidth="1"/>
    <col min="11298" max="11298" width="10.7109375" style="1" bestFit="1" customWidth="1"/>
    <col min="11299" max="11520" width="9.140625" style="1"/>
    <col min="11521" max="11521" width="6.42578125" style="1" customWidth="1"/>
    <col min="11522" max="11522" width="20.7109375" style="1" customWidth="1"/>
    <col min="11523" max="11523" width="24.7109375" style="1" customWidth="1"/>
    <col min="11524" max="11524" width="11.140625" style="1" customWidth="1"/>
    <col min="11525" max="11525" width="12.28515625" style="1" customWidth="1"/>
    <col min="11526" max="11526" width="11.140625" style="1" customWidth="1"/>
    <col min="11527" max="11527" width="10.42578125" style="1" customWidth="1"/>
    <col min="11528" max="11528" width="4.7109375" style="1" customWidth="1"/>
    <col min="11529" max="11529" width="8.5703125" style="1" customWidth="1"/>
    <col min="11530" max="11530" width="5.5703125" style="1" customWidth="1"/>
    <col min="11531" max="11532" width="11.5703125" style="1" customWidth="1"/>
    <col min="11533" max="11533" width="10.85546875" style="1" customWidth="1"/>
    <col min="11534" max="11534" width="7.7109375" style="1" customWidth="1"/>
    <col min="11535" max="11535" width="8" style="1" customWidth="1"/>
    <col min="11536" max="11536" width="16.28515625" style="1" customWidth="1"/>
    <col min="11537" max="11537" width="10.5703125" style="1" customWidth="1"/>
    <col min="11538" max="11538" width="14.140625" style="1" customWidth="1"/>
    <col min="11539" max="11539" width="10.140625" style="1" customWidth="1"/>
    <col min="11540" max="11540" width="15.140625" style="1" customWidth="1"/>
    <col min="11541" max="11541" width="8.5703125" style="1" customWidth="1"/>
    <col min="11542" max="11542" width="14.28515625" style="1" customWidth="1"/>
    <col min="11543" max="11543" width="18.28515625" style="1" customWidth="1"/>
    <col min="11544" max="11544" width="13" style="1" bestFit="1" customWidth="1"/>
    <col min="11545" max="11545" width="11.7109375" style="1" bestFit="1" customWidth="1"/>
    <col min="11546" max="11552" width="9.140625" style="1"/>
    <col min="11553" max="11553" width="11.28515625" style="1" bestFit="1" customWidth="1"/>
    <col min="11554" max="11554" width="10.7109375" style="1" bestFit="1" customWidth="1"/>
    <col min="11555" max="11776" width="9.140625" style="1"/>
    <col min="11777" max="11777" width="6.42578125" style="1" customWidth="1"/>
    <col min="11778" max="11778" width="20.7109375" style="1" customWidth="1"/>
    <col min="11779" max="11779" width="24.7109375" style="1" customWidth="1"/>
    <col min="11780" max="11780" width="11.140625" style="1" customWidth="1"/>
    <col min="11781" max="11781" width="12.28515625" style="1" customWidth="1"/>
    <col min="11782" max="11782" width="11.140625" style="1" customWidth="1"/>
    <col min="11783" max="11783" width="10.42578125" style="1" customWidth="1"/>
    <col min="11784" max="11784" width="4.7109375" style="1" customWidth="1"/>
    <col min="11785" max="11785" width="8.5703125" style="1" customWidth="1"/>
    <col min="11786" max="11786" width="5.5703125" style="1" customWidth="1"/>
    <col min="11787" max="11788" width="11.5703125" style="1" customWidth="1"/>
    <col min="11789" max="11789" width="10.85546875" style="1" customWidth="1"/>
    <col min="11790" max="11790" width="7.7109375" style="1" customWidth="1"/>
    <col min="11791" max="11791" width="8" style="1" customWidth="1"/>
    <col min="11792" max="11792" width="16.28515625" style="1" customWidth="1"/>
    <col min="11793" max="11793" width="10.5703125" style="1" customWidth="1"/>
    <col min="11794" max="11794" width="14.140625" style="1" customWidth="1"/>
    <col min="11795" max="11795" width="10.140625" style="1" customWidth="1"/>
    <col min="11796" max="11796" width="15.140625" style="1" customWidth="1"/>
    <col min="11797" max="11797" width="8.5703125" style="1" customWidth="1"/>
    <col min="11798" max="11798" width="14.28515625" style="1" customWidth="1"/>
    <col min="11799" max="11799" width="18.28515625" style="1" customWidth="1"/>
    <col min="11800" max="11800" width="13" style="1" bestFit="1" customWidth="1"/>
    <col min="11801" max="11801" width="11.7109375" style="1" bestFit="1" customWidth="1"/>
    <col min="11802" max="11808" width="9.140625" style="1"/>
    <col min="11809" max="11809" width="11.28515625" style="1" bestFit="1" customWidth="1"/>
    <col min="11810" max="11810" width="10.7109375" style="1" bestFit="1" customWidth="1"/>
    <col min="11811" max="12032" width="9.140625" style="1"/>
    <col min="12033" max="12033" width="6.42578125" style="1" customWidth="1"/>
    <col min="12034" max="12034" width="20.7109375" style="1" customWidth="1"/>
    <col min="12035" max="12035" width="24.7109375" style="1" customWidth="1"/>
    <col min="12036" max="12036" width="11.140625" style="1" customWidth="1"/>
    <col min="12037" max="12037" width="12.28515625" style="1" customWidth="1"/>
    <col min="12038" max="12038" width="11.140625" style="1" customWidth="1"/>
    <col min="12039" max="12039" width="10.42578125" style="1" customWidth="1"/>
    <col min="12040" max="12040" width="4.7109375" style="1" customWidth="1"/>
    <col min="12041" max="12041" width="8.5703125" style="1" customWidth="1"/>
    <col min="12042" max="12042" width="5.5703125" style="1" customWidth="1"/>
    <col min="12043" max="12044" width="11.5703125" style="1" customWidth="1"/>
    <col min="12045" max="12045" width="10.85546875" style="1" customWidth="1"/>
    <col min="12046" max="12046" width="7.7109375" style="1" customWidth="1"/>
    <col min="12047" max="12047" width="8" style="1" customWidth="1"/>
    <col min="12048" max="12048" width="16.28515625" style="1" customWidth="1"/>
    <col min="12049" max="12049" width="10.5703125" style="1" customWidth="1"/>
    <col min="12050" max="12050" width="14.140625" style="1" customWidth="1"/>
    <col min="12051" max="12051" width="10.140625" style="1" customWidth="1"/>
    <col min="12052" max="12052" width="15.140625" style="1" customWidth="1"/>
    <col min="12053" max="12053" width="8.5703125" style="1" customWidth="1"/>
    <col min="12054" max="12054" width="14.28515625" style="1" customWidth="1"/>
    <col min="12055" max="12055" width="18.28515625" style="1" customWidth="1"/>
    <col min="12056" max="12056" width="13" style="1" bestFit="1" customWidth="1"/>
    <col min="12057" max="12057" width="11.7109375" style="1" bestFit="1" customWidth="1"/>
    <col min="12058" max="12064" width="9.140625" style="1"/>
    <col min="12065" max="12065" width="11.28515625" style="1" bestFit="1" customWidth="1"/>
    <col min="12066" max="12066" width="10.7109375" style="1" bestFit="1" customWidth="1"/>
    <col min="12067" max="12288" width="9.140625" style="1"/>
    <col min="12289" max="12289" width="6.42578125" style="1" customWidth="1"/>
    <col min="12290" max="12290" width="20.7109375" style="1" customWidth="1"/>
    <col min="12291" max="12291" width="24.7109375" style="1" customWidth="1"/>
    <col min="12292" max="12292" width="11.140625" style="1" customWidth="1"/>
    <col min="12293" max="12293" width="12.28515625" style="1" customWidth="1"/>
    <col min="12294" max="12294" width="11.140625" style="1" customWidth="1"/>
    <col min="12295" max="12295" width="10.42578125" style="1" customWidth="1"/>
    <col min="12296" max="12296" width="4.7109375" style="1" customWidth="1"/>
    <col min="12297" max="12297" width="8.5703125" style="1" customWidth="1"/>
    <col min="12298" max="12298" width="5.5703125" style="1" customWidth="1"/>
    <col min="12299" max="12300" width="11.5703125" style="1" customWidth="1"/>
    <col min="12301" max="12301" width="10.85546875" style="1" customWidth="1"/>
    <col min="12302" max="12302" width="7.7109375" style="1" customWidth="1"/>
    <col min="12303" max="12303" width="8" style="1" customWidth="1"/>
    <col min="12304" max="12304" width="16.28515625" style="1" customWidth="1"/>
    <col min="12305" max="12305" width="10.5703125" style="1" customWidth="1"/>
    <col min="12306" max="12306" width="14.140625" style="1" customWidth="1"/>
    <col min="12307" max="12307" width="10.140625" style="1" customWidth="1"/>
    <col min="12308" max="12308" width="15.140625" style="1" customWidth="1"/>
    <col min="12309" max="12309" width="8.5703125" style="1" customWidth="1"/>
    <col min="12310" max="12310" width="14.28515625" style="1" customWidth="1"/>
    <col min="12311" max="12311" width="18.28515625" style="1" customWidth="1"/>
    <col min="12312" max="12312" width="13" style="1" bestFit="1" customWidth="1"/>
    <col min="12313" max="12313" width="11.7109375" style="1" bestFit="1" customWidth="1"/>
    <col min="12314" max="12320" width="9.140625" style="1"/>
    <col min="12321" max="12321" width="11.28515625" style="1" bestFit="1" customWidth="1"/>
    <col min="12322" max="12322" width="10.7109375" style="1" bestFit="1" customWidth="1"/>
    <col min="12323" max="12544" width="9.140625" style="1"/>
    <col min="12545" max="12545" width="6.42578125" style="1" customWidth="1"/>
    <col min="12546" max="12546" width="20.7109375" style="1" customWidth="1"/>
    <col min="12547" max="12547" width="24.7109375" style="1" customWidth="1"/>
    <col min="12548" max="12548" width="11.140625" style="1" customWidth="1"/>
    <col min="12549" max="12549" width="12.28515625" style="1" customWidth="1"/>
    <col min="12550" max="12550" width="11.140625" style="1" customWidth="1"/>
    <col min="12551" max="12551" width="10.42578125" style="1" customWidth="1"/>
    <col min="12552" max="12552" width="4.7109375" style="1" customWidth="1"/>
    <col min="12553" max="12553" width="8.5703125" style="1" customWidth="1"/>
    <col min="12554" max="12554" width="5.5703125" style="1" customWidth="1"/>
    <col min="12555" max="12556" width="11.5703125" style="1" customWidth="1"/>
    <col min="12557" max="12557" width="10.85546875" style="1" customWidth="1"/>
    <col min="12558" max="12558" width="7.7109375" style="1" customWidth="1"/>
    <col min="12559" max="12559" width="8" style="1" customWidth="1"/>
    <col min="12560" max="12560" width="16.28515625" style="1" customWidth="1"/>
    <col min="12561" max="12561" width="10.5703125" style="1" customWidth="1"/>
    <col min="12562" max="12562" width="14.140625" style="1" customWidth="1"/>
    <col min="12563" max="12563" width="10.140625" style="1" customWidth="1"/>
    <col min="12564" max="12564" width="15.140625" style="1" customWidth="1"/>
    <col min="12565" max="12565" width="8.5703125" style="1" customWidth="1"/>
    <col min="12566" max="12566" width="14.28515625" style="1" customWidth="1"/>
    <col min="12567" max="12567" width="18.28515625" style="1" customWidth="1"/>
    <col min="12568" max="12568" width="13" style="1" bestFit="1" customWidth="1"/>
    <col min="12569" max="12569" width="11.7109375" style="1" bestFit="1" customWidth="1"/>
    <col min="12570" max="12576" width="9.140625" style="1"/>
    <col min="12577" max="12577" width="11.28515625" style="1" bestFit="1" customWidth="1"/>
    <col min="12578" max="12578" width="10.7109375" style="1" bestFit="1" customWidth="1"/>
    <col min="12579" max="12800" width="9.140625" style="1"/>
    <col min="12801" max="12801" width="6.42578125" style="1" customWidth="1"/>
    <col min="12802" max="12802" width="20.7109375" style="1" customWidth="1"/>
    <col min="12803" max="12803" width="24.7109375" style="1" customWidth="1"/>
    <col min="12804" max="12804" width="11.140625" style="1" customWidth="1"/>
    <col min="12805" max="12805" width="12.28515625" style="1" customWidth="1"/>
    <col min="12806" max="12806" width="11.140625" style="1" customWidth="1"/>
    <col min="12807" max="12807" width="10.42578125" style="1" customWidth="1"/>
    <col min="12808" max="12808" width="4.7109375" style="1" customWidth="1"/>
    <col min="12809" max="12809" width="8.5703125" style="1" customWidth="1"/>
    <col min="12810" max="12810" width="5.5703125" style="1" customWidth="1"/>
    <col min="12811" max="12812" width="11.5703125" style="1" customWidth="1"/>
    <col min="12813" max="12813" width="10.85546875" style="1" customWidth="1"/>
    <col min="12814" max="12814" width="7.7109375" style="1" customWidth="1"/>
    <col min="12815" max="12815" width="8" style="1" customWidth="1"/>
    <col min="12816" max="12816" width="16.28515625" style="1" customWidth="1"/>
    <col min="12817" max="12817" width="10.5703125" style="1" customWidth="1"/>
    <col min="12818" max="12818" width="14.140625" style="1" customWidth="1"/>
    <col min="12819" max="12819" width="10.140625" style="1" customWidth="1"/>
    <col min="12820" max="12820" width="15.140625" style="1" customWidth="1"/>
    <col min="12821" max="12821" width="8.5703125" style="1" customWidth="1"/>
    <col min="12822" max="12822" width="14.28515625" style="1" customWidth="1"/>
    <col min="12823" max="12823" width="18.28515625" style="1" customWidth="1"/>
    <col min="12824" max="12824" width="13" style="1" bestFit="1" customWidth="1"/>
    <col min="12825" max="12825" width="11.7109375" style="1" bestFit="1" customWidth="1"/>
    <col min="12826" max="12832" width="9.140625" style="1"/>
    <col min="12833" max="12833" width="11.28515625" style="1" bestFit="1" customWidth="1"/>
    <col min="12834" max="12834" width="10.7109375" style="1" bestFit="1" customWidth="1"/>
    <col min="12835" max="13056" width="9.140625" style="1"/>
    <col min="13057" max="13057" width="6.42578125" style="1" customWidth="1"/>
    <col min="13058" max="13058" width="20.7109375" style="1" customWidth="1"/>
    <col min="13059" max="13059" width="24.7109375" style="1" customWidth="1"/>
    <col min="13060" max="13060" width="11.140625" style="1" customWidth="1"/>
    <col min="13061" max="13061" width="12.28515625" style="1" customWidth="1"/>
    <col min="13062" max="13062" width="11.140625" style="1" customWidth="1"/>
    <col min="13063" max="13063" width="10.42578125" style="1" customWidth="1"/>
    <col min="13064" max="13064" width="4.7109375" style="1" customWidth="1"/>
    <col min="13065" max="13065" width="8.5703125" style="1" customWidth="1"/>
    <col min="13066" max="13066" width="5.5703125" style="1" customWidth="1"/>
    <col min="13067" max="13068" width="11.5703125" style="1" customWidth="1"/>
    <col min="13069" max="13069" width="10.85546875" style="1" customWidth="1"/>
    <col min="13070" max="13070" width="7.7109375" style="1" customWidth="1"/>
    <col min="13071" max="13071" width="8" style="1" customWidth="1"/>
    <col min="13072" max="13072" width="16.28515625" style="1" customWidth="1"/>
    <col min="13073" max="13073" width="10.5703125" style="1" customWidth="1"/>
    <col min="13074" max="13074" width="14.140625" style="1" customWidth="1"/>
    <col min="13075" max="13075" width="10.140625" style="1" customWidth="1"/>
    <col min="13076" max="13076" width="15.140625" style="1" customWidth="1"/>
    <col min="13077" max="13077" width="8.5703125" style="1" customWidth="1"/>
    <col min="13078" max="13078" width="14.28515625" style="1" customWidth="1"/>
    <col min="13079" max="13079" width="18.28515625" style="1" customWidth="1"/>
    <col min="13080" max="13080" width="13" style="1" bestFit="1" customWidth="1"/>
    <col min="13081" max="13081" width="11.7109375" style="1" bestFit="1" customWidth="1"/>
    <col min="13082" max="13088" width="9.140625" style="1"/>
    <col min="13089" max="13089" width="11.28515625" style="1" bestFit="1" customWidth="1"/>
    <col min="13090" max="13090" width="10.7109375" style="1" bestFit="1" customWidth="1"/>
    <col min="13091" max="13312" width="9.140625" style="1"/>
    <col min="13313" max="13313" width="6.42578125" style="1" customWidth="1"/>
    <col min="13314" max="13314" width="20.7109375" style="1" customWidth="1"/>
    <col min="13315" max="13315" width="24.7109375" style="1" customWidth="1"/>
    <col min="13316" max="13316" width="11.140625" style="1" customWidth="1"/>
    <col min="13317" max="13317" width="12.28515625" style="1" customWidth="1"/>
    <col min="13318" max="13318" width="11.140625" style="1" customWidth="1"/>
    <col min="13319" max="13319" width="10.42578125" style="1" customWidth="1"/>
    <col min="13320" max="13320" width="4.7109375" style="1" customWidth="1"/>
    <col min="13321" max="13321" width="8.5703125" style="1" customWidth="1"/>
    <col min="13322" max="13322" width="5.5703125" style="1" customWidth="1"/>
    <col min="13323" max="13324" width="11.5703125" style="1" customWidth="1"/>
    <col min="13325" max="13325" width="10.85546875" style="1" customWidth="1"/>
    <col min="13326" max="13326" width="7.7109375" style="1" customWidth="1"/>
    <col min="13327" max="13327" width="8" style="1" customWidth="1"/>
    <col min="13328" max="13328" width="16.28515625" style="1" customWidth="1"/>
    <col min="13329" max="13329" width="10.5703125" style="1" customWidth="1"/>
    <col min="13330" max="13330" width="14.140625" style="1" customWidth="1"/>
    <col min="13331" max="13331" width="10.140625" style="1" customWidth="1"/>
    <col min="13332" max="13332" width="15.140625" style="1" customWidth="1"/>
    <col min="13333" max="13333" width="8.5703125" style="1" customWidth="1"/>
    <col min="13334" max="13334" width="14.28515625" style="1" customWidth="1"/>
    <col min="13335" max="13335" width="18.28515625" style="1" customWidth="1"/>
    <col min="13336" max="13336" width="13" style="1" bestFit="1" customWidth="1"/>
    <col min="13337" max="13337" width="11.7109375" style="1" bestFit="1" customWidth="1"/>
    <col min="13338" max="13344" width="9.140625" style="1"/>
    <col min="13345" max="13345" width="11.28515625" style="1" bestFit="1" customWidth="1"/>
    <col min="13346" max="13346" width="10.7109375" style="1" bestFit="1" customWidth="1"/>
    <col min="13347" max="13568" width="9.140625" style="1"/>
    <col min="13569" max="13569" width="6.42578125" style="1" customWidth="1"/>
    <col min="13570" max="13570" width="20.7109375" style="1" customWidth="1"/>
    <col min="13571" max="13571" width="24.7109375" style="1" customWidth="1"/>
    <col min="13572" max="13572" width="11.140625" style="1" customWidth="1"/>
    <col min="13573" max="13573" width="12.28515625" style="1" customWidth="1"/>
    <col min="13574" max="13574" width="11.140625" style="1" customWidth="1"/>
    <col min="13575" max="13575" width="10.42578125" style="1" customWidth="1"/>
    <col min="13576" max="13576" width="4.7109375" style="1" customWidth="1"/>
    <col min="13577" max="13577" width="8.5703125" style="1" customWidth="1"/>
    <col min="13578" max="13578" width="5.5703125" style="1" customWidth="1"/>
    <col min="13579" max="13580" width="11.5703125" style="1" customWidth="1"/>
    <col min="13581" max="13581" width="10.85546875" style="1" customWidth="1"/>
    <col min="13582" max="13582" width="7.7109375" style="1" customWidth="1"/>
    <col min="13583" max="13583" width="8" style="1" customWidth="1"/>
    <col min="13584" max="13584" width="16.28515625" style="1" customWidth="1"/>
    <col min="13585" max="13585" width="10.5703125" style="1" customWidth="1"/>
    <col min="13586" max="13586" width="14.140625" style="1" customWidth="1"/>
    <col min="13587" max="13587" width="10.140625" style="1" customWidth="1"/>
    <col min="13588" max="13588" width="15.140625" style="1" customWidth="1"/>
    <col min="13589" max="13589" width="8.5703125" style="1" customWidth="1"/>
    <col min="13590" max="13590" width="14.28515625" style="1" customWidth="1"/>
    <col min="13591" max="13591" width="18.28515625" style="1" customWidth="1"/>
    <col min="13592" max="13592" width="13" style="1" bestFit="1" customWidth="1"/>
    <col min="13593" max="13593" width="11.7109375" style="1" bestFit="1" customWidth="1"/>
    <col min="13594" max="13600" width="9.140625" style="1"/>
    <col min="13601" max="13601" width="11.28515625" style="1" bestFit="1" customWidth="1"/>
    <col min="13602" max="13602" width="10.7109375" style="1" bestFit="1" customWidth="1"/>
    <col min="13603" max="13824" width="9.140625" style="1"/>
    <col min="13825" max="13825" width="6.42578125" style="1" customWidth="1"/>
    <col min="13826" max="13826" width="20.7109375" style="1" customWidth="1"/>
    <col min="13827" max="13827" width="24.7109375" style="1" customWidth="1"/>
    <col min="13828" max="13828" width="11.140625" style="1" customWidth="1"/>
    <col min="13829" max="13829" width="12.28515625" style="1" customWidth="1"/>
    <col min="13830" max="13830" width="11.140625" style="1" customWidth="1"/>
    <col min="13831" max="13831" width="10.42578125" style="1" customWidth="1"/>
    <col min="13832" max="13832" width="4.7109375" style="1" customWidth="1"/>
    <col min="13833" max="13833" width="8.5703125" style="1" customWidth="1"/>
    <col min="13834" max="13834" width="5.5703125" style="1" customWidth="1"/>
    <col min="13835" max="13836" width="11.5703125" style="1" customWidth="1"/>
    <col min="13837" max="13837" width="10.85546875" style="1" customWidth="1"/>
    <col min="13838" max="13838" width="7.7109375" style="1" customWidth="1"/>
    <col min="13839" max="13839" width="8" style="1" customWidth="1"/>
    <col min="13840" max="13840" width="16.28515625" style="1" customWidth="1"/>
    <col min="13841" max="13841" width="10.5703125" style="1" customWidth="1"/>
    <col min="13842" max="13842" width="14.140625" style="1" customWidth="1"/>
    <col min="13843" max="13843" width="10.140625" style="1" customWidth="1"/>
    <col min="13844" max="13844" width="15.140625" style="1" customWidth="1"/>
    <col min="13845" max="13845" width="8.5703125" style="1" customWidth="1"/>
    <col min="13846" max="13846" width="14.28515625" style="1" customWidth="1"/>
    <col min="13847" max="13847" width="18.28515625" style="1" customWidth="1"/>
    <col min="13848" max="13848" width="13" style="1" bestFit="1" customWidth="1"/>
    <col min="13849" max="13849" width="11.7109375" style="1" bestFit="1" customWidth="1"/>
    <col min="13850" max="13856" width="9.140625" style="1"/>
    <col min="13857" max="13857" width="11.28515625" style="1" bestFit="1" customWidth="1"/>
    <col min="13858" max="13858" width="10.7109375" style="1" bestFit="1" customWidth="1"/>
    <col min="13859" max="14080" width="9.140625" style="1"/>
    <col min="14081" max="14081" width="6.42578125" style="1" customWidth="1"/>
    <col min="14082" max="14082" width="20.7109375" style="1" customWidth="1"/>
    <col min="14083" max="14083" width="24.7109375" style="1" customWidth="1"/>
    <col min="14084" max="14084" width="11.140625" style="1" customWidth="1"/>
    <col min="14085" max="14085" width="12.28515625" style="1" customWidth="1"/>
    <col min="14086" max="14086" width="11.140625" style="1" customWidth="1"/>
    <col min="14087" max="14087" width="10.42578125" style="1" customWidth="1"/>
    <col min="14088" max="14088" width="4.7109375" style="1" customWidth="1"/>
    <col min="14089" max="14089" width="8.5703125" style="1" customWidth="1"/>
    <col min="14090" max="14090" width="5.5703125" style="1" customWidth="1"/>
    <col min="14091" max="14092" width="11.5703125" style="1" customWidth="1"/>
    <col min="14093" max="14093" width="10.85546875" style="1" customWidth="1"/>
    <col min="14094" max="14094" width="7.7109375" style="1" customWidth="1"/>
    <col min="14095" max="14095" width="8" style="1" customWidth="1"/>
    <col min="14096" max="14096" width="16.28515625" style="1" customWidth="1"/>
    <col min="14097" max="14097" width="10.5703125" style="1" customWidth="1"/>
    <col min="14098" max="14098" width="14.140625" style="1" customWidth="1"/>
    <col min="14099" max="14099" width="10.140625" style="1" customWidth="1"/>
    <col min="14100" max="14100" width="15.140625" style="1" customWidth="1"/>
    <col min="14101" max="14101" width="8.5703125" style="1" customWidth="1"/>
    <col min="14102" max="14102" width="14.28515625" style="1" customWidth="1"/>
    <col min="14103" max="14103" width="18.28515625" style="1" customWidth="1"/>
    <col min="14104" max="14104" width="13" style="1" bestFit="1" customWidth="1"/>
    <col min="14105" max="14105" width="11.7109375" style="1" bestFit="1" customWidth="1"/>
    <col min="14106" max="14112" width="9.140625" style="1"/>
    <col min="14113" max="14113" width="11.28515625" style="1" bestFit="1" customWidth="1"/>
    <col min="14114" max="14114" width="10.7109375" style="1" bestFit="1" customWidth="1"/>
    <col min="14115" max="14336" width="9.140625" style="1"/>
    <col min="14337" max="14337" width="6.42578125" style="1" customWidth="1"/>
    <col min="14338" max="14338" width="20.7109375" style="1" customWidth="1"/>
    <col min="14339" max="14339" width="24.7109375" style="1" customWidth="1"/>
    <col min="14340" max="14340" width="11.140625" style="1" customWidth="1"/>
    <col min="14341" max="14341" width="12.28515625" style="1" customWidth="1"/>
    <col min="14342" max="14342" width="11.140625" style="1" customWidth="1"/>
    <col min="14343" max="14343" width="10.42578125" style="1" customWidth="1"/>
    <col min="14344" max="14344" width="4.7109375" style="1" customWidth="1"/>
    <col min="14345" max="14345" width="8.5703125" style="1" customWidth="1"/>
    <col min="14346" max="14346" width="5.5703125" style="1" customWidth="1"/>
    <col min="14347" max="14348" width="11.5703125" style="1" customWidth="1"/>
    <col min="14349" max="14349" width="10.85546875" style="1" customWidth="1"/>
    <col min="14350" max="14350" width="7.7109375" style="1" customWidth="1"/>
    <col min="14351" max="14351" width="8" style="1" customWidth="1"/>
    <col min="14352" max="14352" width="16.28515625" style="1" customWidth="1"/>
    <col min="14353" max="14353" width="10.5703125" style="1" customWidth="1"/>
    <col min="14354" max="14354" width="14.140625" style="1" customWidth="1"/>
    <col min="14355" max="14355" width="10.140625" style="1" customWidth="1"/>
    <col min="14356" max="14356" width="15.140625" style="1" customWidth="1"/>
    <col min="14357" max="14357" width="8.5703125" style="1" customWidth="1"/>
    <col min="14358" max="14358" width="14.28515625" style="1" customWidth="1"/>
    <col min="14359" max="14359" width="18.28515625" style="1" customWidth="1"/>
    <col min="14360" max="14360" width="13" style="1" bestFit="1" customWidth="1"/>
    <col min="14361" max="14361" width="11.7109375" style="1" bestFit="1" customWidth="1"/>
    <col min="14362" max="14368" width="9.140625" style="1"/>
    <col min="14369" max="14369" width="11.28515625" style="1" bestFit="1" customWidth="1"/>
    <col min="14370" max="14370" width="10.7109375" style="1" bestFit="1" customWidth="1"/>
    <col min="14371" max="14592" width="9.140625" style="1"/>
    <col min="14593" max="14593" width="6.42578125" style="1" customWidth="1"/>
    <col min="14594" max="14594" width="20.7109375" style="1" customWidth="1"/>
    <col min="14595" max="14595" width="24.7109375" style="1" customWidth="1"/>
    <col min="14596" max="14596" width="11.140625" style="1" customWidth="1"/>
    <col min="14597" max="14597" width="12.28515625" style="1" customWidth="1"/>
    <col min="14598" max="14598" width="11.140625" style="1" customWidth="1"/>
    <col min="14599" max="14599" width="10.42578125" style="1" customWidth="1"/>
    <col min="14600" max="14600" width="4.7109375" style="1" customWidth="1"/>
    <col min="14601" max="14601" width="8.5703125" style="1" customWidth="1"/>
    <col min="14602" max="14602" width="5.5703125" style="1" customWidth="1"/>
    <col min="14603" max="14604" width="11.5703125" style="1" customWidth="1"/>
    <col min="14605" max="14605" width="10.85546875" style="1" customWidth="1"/>
    <col min="14606" max="14606" width="7.7109375" style="1" customWidth="1"/>
    <col min="14607" max="14607" width="8" style="1" customWidth="1"/>
    <col min="14608" max="14608" width="16.28515625" style="1" customWidth="1"/>
    <col min="14609" max="14609" width="10.5703125" style="1" customWidth="1"/>
    <col min="14610" max="14610" width="14.140625" style="1" customWidth="1"/>
    <col min="14611" max="14611" width="10.140625" style="1" customWidth="1"/>
    <col min="14612" max="14612" width="15.140625" style="1" customWidth="1"/>
    <col min="14613" max="14613" width="8.5703125" style="1" customWidth="1"/>
    <col min="14614" max="14614" width="14.28515625" style="1" customWidth="1"/>
    <col min="14615" max="14615" width="18.28515625" style="1" customWidth="1"/>
    <col min="14616" max="14616" width="13" style="1" bestFit="1" customWidth="1"/>
    <col min="14617" max="14617" width="11.7109375" style="1" bestFit="1" customWidth="1"/>
    <col min="14618" max="14624" width="9.140625" style="1"/>
    <col min="14625" max="14625" width="11.28515625" style="1" bestFit="1" customWidth="1"/>
    <col min="14626" max="14626" width="10.7109375" style="1" bestFit="1" customWidth="1"/>
    <col min="14627" max="14848" width="9.140625" style="1"/>
    <col min="14849" max="14849" width="6.42578125" style="1" customWidth="1"/>
    <col min="14850" max="14850" width="20.7109375" style="1" customWidth="1"/>
    <col min="14851" max="14851" width="24.7109375" style="1" customWidth="1"/>
    <col min="14852" max="14852" width="11.140625" style="1" customWidth="1"/>
    <col min="14853" max="14853" width="12.28515625" style="1" customWidth="1"/>
    <col min="14854" max="14854" width="11.140625" style="1" customWidth="1"/>
    <col min="14855" max="14855" width="10.42578125" style="1" customWidth="1"/>
    <col min="14856" max="14856" width="4.7109375" style="1" customWidth="1"/>
    <col min="14857" max="14857" width="8.5703125" style="1" customWidth="1"/>
    <col min="14858" max="14858" width="5.5703125" style="1" customWidth="1"/>
    <col min="14859" max="14860" width="11.5703125" style="1" customWidth="1"/>
    <col min="14861" max="14861" width="10.85546875" style="1" customWidth="1"/>
    <col min="14862" max="14862" width="7.7109375" style="1" customWidth="1"/>
    <col min="14863" max="14863" width="8" style="1" customWidth="1"/>
    <col min="14864" max="14864" width="16.28515625" style="1" customWidth="1"/>
    <col min="14865" max="14865" width="10.5703125" style="1" customWidth="1"/>
    <col min="14866" max="14866" width="14.140625" style="1" customWidth="1"/>
    <col min="14867" max="14867" width="10.140625" style="1" customWidth="1"/>
    <col min="14868" max="14868" width="15.140625" style="1" customWidth="1"/>
    <col min="14869" max="14869" width="8.5703125" style="1" customWidth="1"/>
    <col min="14870" max="14870" width="14.28515625" style="1" customWidth="1"/>
    <col min="14871" max="14871" width="18.28515625" style="1" customWidth="1"/>
    <col min="14872" max="14872" width="13" style="1" bestFit="1" customWidth="1"/>
    <col min="14873" max="14873" width="11.7109375" style="1" bestFit="1" customWidth="1"/>
    <col min="14874" max="14880" width="9.140625" style="1"/>
    <col min="14881" max="14881" width="11.28515625" style="1" bestFit="1" customWidth="1"/>
    <col min="14882" max="14882" width="10.7109375" style="1" bestFit="1" customWidth="1"/>
    <col min="14883" max="15104" width="9.140625" style="1"/>
    <col min="15105" max="15105" width="6.42578125" style="1" customWidth="1"/>
    <col min="15106" max="15106" width="20.7109375" style="1" customWidth="1"/>
    <col min="15107" max="15107" width="24.7109375" style="1" customWidth="1"/>
    <col min="15108" max="15108" width="11.140625" style="1" customWidth="1"/>
    <col min="15109" max="15109" width="12.28515625" style="1" customWidth="1"/>
    <col min="15110" max="15110" width="11.140625" style="1" customWidth="1"/>
    <col min="15111" max="15111" width="10.42578125" style="1" customWidth="1"/>
    <col min="15112" max="15112" width="4.7109375" style="1" customWidth="1"/>
    <col min="15113" max="15113" width="8.5703125" style="1" customWidth="1"/>
    <col min="15114" max="15114" width="5.5703125" style="1" customWidth="1"/>
    <col min="15115" max="15116" width="11.5703125" style="1" customWidth="1"/>
    <col min="15117" max="15117" width="10.85546875" style="1" customWidth="1"/>
    <col min="15118" max="15118" width="7.7109375" style="1" customWidth="1"/>
    <col min="15119" max="15119" width="8" style="1" customWidth="1"/>
    <col min="15120" max="15120" width="16.28515625" style="1" customWidth="1"/>
    <col min="15121" max="15121" width="10.5703125" style="1" customWidth="1"/>
    <col min="15122" max="15122" width="14.140625" style="1" customWidth="1"/>
    <col min="15123" max="15123" width="10.140625" style="1" customWidth="1"/>
    <col min="15124" max="15124" width="15.140625" style="1" customWidth="1"/>
    <col min="15125" max="15125" width="8.5703125" style="1" customWidth="1"/>
    <col min="15126" max="15126" width="14.28515625" style="1" customWidth="1"/>
    <col min="15127" max="15127" width="18.28515625" style="1" customWidth="1"/>
    <col min="15128" max="15128" width="13" style="1" bestFit="1" customWidth="1"/>
    <col min="15129" max="15129" width="11.7109375" style="1" bestFit="1" customWidth="1"/>
    <col min="15130" max="15136" width="9.140625" style="1"/>
    <col min="15137" max="15137" width="11.28515625" style="1" bestFit="1" customWidth="1"/>
    <col min="15138" max="15138" width="10.7109375" style="1" bestFit="1" customWidth="1"/>
    <col min="15139" max="15360" width="9.140625" style="1"/>
    <col min="15361" max="15361" width="6.42578125" style="1" customWidth="1"/>
    <col min="15362" max="15362" width="20.7109375" style="1" customWidth="1"/>
    <col min="15363" max="15363" width="24.7109375" style="1" customWidth="1"/>
    <col min="15364" max="15364" width="11.140625" style="1" customWidth="1"/>
    <col min="15365" max="15365" width="12.28515625" style="1" customWidth="1"/>
    <col min="15366" max="15366" width="11.140625" style="1" customWidth="1"/>
    <col min="15367" max="15367" width="10.42578125" style="1" customWidth="1"/>
    <col min="15368" max="15368" width="4.7109375" style="1" customWidth="1"/>
    <col min="15369" max="15369" width="8.5703125" style="1" customWidth="1"/>
    <col min="15370" max="15370" width="5.5703125" style="1" customWidth="1"/>
    <col min="15371" max="15372" width="11.5703125" style="1" customWidth="1"/>
    <col min="15373" max="15373" width="10.85546875" style="1" customWidth="1"/>
    <col min="15374" max="15374" width="7.7109375" style="1" customWidth="1"/>
    <col min="15375" max="15375" width="8" style="1" customWidth="1"/>
    <col min="15376" max="15376" width="16.28515625" style="1" customWidth="1"/>
    <col min="15377" max="15377" width="10.5703125" style="1" customWidth="1"/>
    <col min="15378" max="15378" width="14.140625" style="1" customWidth="1"/>
    <col min="15379" max="15379" width="10.140625" style="1" customWidth="1"/>
    <col min="15380" max="15380" width="15.140625" style="1" customWidth="1"/>
    <col min="15381" max="15381" width="8.5703125" style="1" customWidth="1"/>
    <col min="15382" max="15382" width="14.28515625" style="1" customWidth="1"/>
    <col min="15383" max="15383" width="18.28515625" style="1" customWidth="1"/>
    <col min="15384" max="15384" width="13" style="1" bestFit="1" customWidth="1"/>
    <col min="15385" max="15385" width="11.7109375" style="1" bestFit="1" customWidth="1"/>
    <col min="15386" max="15392" width="9.140625" style="1"/>
    <col min="15393" max="15393" width="11.28515625" style="1" bestFit="1" customWidth="1"/>
    <col min="15394" max="15394" width="10.7109375" style="1" bestFit="1" customWidth="1"/>
    <col min="15395" max="15616" width="9.140625" style="1"/>
    <col min="15617" max="15617" width="6.42578125" style="1" customWidth="1"/>
    <col min="15618" max="15618" width="20.7109375" style="1" customWidth="1"/>
    <col min="15619" max="15619" width="24.7109375" style="1" customWidth="1"/>
    <col min="15620" max="15620" width="11.140625" style="1" customWidth="1"/>
    <col min="15621" max="15621" width="12.28515625" style="1" customWidth="1"/>
    <col min="15622" max="15622" width="11.140625" style="1" customWidth="1"/>
    <col min="15623" max="15623" width="10.42578125" style="1" customWidth="1"/>
    <col min="15624" max="15624" width="4.7109375" style="1" customWidth="1"/>
    <col min="15625" max="15625" width="8.5703125" style="1" customWidth="1"/>
    <col min="15626" max="15626" width="5.5703125" style="1" customWidth="1"/>
    <col min="15627" max="15628" width="11.5703125" style="1" customWidth="1"/>
    <col min="15629" max="15629" width="10.85546875" style="1" customWidth="1"/>
    <col min="15630" max="15630" width="7.7109375" style="1" customWidth="1"/>
    <col min="15631" max="15631" width="8" style="1" customWidth="1"/>
    <col min="15632" max="15632" width="16.28515625" style="1" customWidth="1"/>
    <col min="15633" max="15633" width="10.5703125" style="1" customWidth="1"/>
    <col min="15634" max="15634" width="14.140625" style="1" customWidth="1"/>
    <col min="15635" max="15635" width="10.140625" style="1" customWidth="1"/>
    <col min="15636" max="15636" width="15.140625" style="1" customWidth="1"/>
    <col min="15637" max="15637" width="8.5703125" style="1" customWidth="1"/>
    <col min="15638" max="15638" width="14.28515625" style="1" customWidth="1"/>
    <col min="15639" max="15639" width="18.28515625" style="1" customWidth="1"/>
    <col min="15640" max="15640" width="13" style="1" bestFit="1" customWidth="1"/>
    <col min="15641" max="15641" width="11.7109375" style="1" bestFit="1" customWidth="1"/>
    <col min="15642" max="15648" width="9.140625" style="1"/>
    <col min="15649" max="15649" width="11.28515625" style="1" bestFit="1" customWidth="1"/>
    <col min="15650" max="15650" width="10.7109375" style="1" bestFit="1" customWidth="1"/>
    <col min="15651" max="15872" width="9.140625" style="1"/>
    <col min="15873" max="15873" width="6.42578125" style="1" customWidth="1"/>
    <col min="15874" max="15874" width="20.7109375" style="1" customWidth="1"/>
    <col min="15875" max="15875" width="24.7109375" style="1" customWidth="1"/>
    <col min="15876" max="15876" width="11.140625" style="1" customWidth="1"/>
    <col min="15877" max="15877" width="12.28515625" style="1" customWidth="1"/>
    <col min="15878" max="15878" width="11.140625" style="1" customWidth="1"/>
    <col min="15879" max="15879" width="10.42578125" style="1" customWidth="1"/>
    <col min="15880" max="15880" width="4.7109375" style="1" customWidth="1"/>
    <col min="15881" max="15881" width="8.5703125" style="1" customWidth="1"/>
    <col min="15882" max="15882" width="5.5703125" style="1" customWidth="1"/>
    <col min="15883" max="15884" width="11.5703125" style="1" customWidth="1"/>
    <col min="15885" max="15885" width="10.85546875" style="1" customWidth="1"/>
    <col min="15886" max="15886" width="7.7109375" style="1" customWidth="1"/>
    <col min="15887" max="15887" width="8" style="1" customWidth="1"/>
    <col min="15888" max="15888" width="16.28515625" style="1" customWidth="1"/>
    <col min="15889" max="15889" width="10.5703125" style="1" customWidth="1"/>
    <col min="15890" max="15890" width="14.140625" style="1" customWidth="1"/>
    <col min="15891" max="15891" width="10.140625" style="1" customWidth="1"/>
    <col min="15892" max="15892" width="15.140625" style="1" customWidth="1"/>
    <col min="15893" max="15893" width="8.5703125" style="1" customWidth="1"/>
    <col min="15894" max="15894" width="14.28515625" style="1" customWidth="1"/>
    <col min="15895" max="15895" width="18.28515625" style="1" customWidth="1"/>
    <col min="15896" max="15896" width="13" style="1" bestFit="1" customWidth="1"/>
    <col min="15897" max="15897" width="11.7109375" style="1" bestFit="1" customWidth="1"/>
    <col min="15898" max="15904" width="9.140625" style="1"/>
    <col min="15905" max="15905" width="11.28515625" style="1" bestFit="1" customWidth="1"/>
    <col min="15906" max="15906" width="10.7109375" style="1" bestFit="1" customWidth="1"/>
    <col min="15907" max="16128" width="9.140625" style="1"/>
    <col min="16129" max="16129" width="6.42578125" style="1" customWidth="1"/>
    <col min="16130" max="16130" width="20.7109375" style="1" customWidth="1"/>
    <col min="16131" max="16131" width="24.7109375" style="1" customWidth="1"/>
    <col min="16132" max="16132" width="11.140625" style="1" customWidth="1"/>
    <col min="16133" max="16133" width="12.28515625" style="1" customWidth="1"/>
    <col min="16134" max="16134" width="11.140625" style="1" customWidth="1"/>
    <col min="16135" max="16135" width="10.42578125" style="1" customWidth="1"/>
    <col min="16136" max="16136" width="4.7109375" style="1" customWidth="1"/>
    <col min="16137" max="16137" width="8.5703125" style="1" customWidth="1"/>
    <col min="16138" max="16138" width="5.5703125" style="1" customWidth="1"/>
    <col min="16139" max="16140" width="11.5703125" style="1" customWidth="1"/>
    <col min="16141" max="16141" width="10.85546875" style="1" customWidth="1"/>
    <col min="16142" max="16142" width="7.7109375" style="1" customWidth="1"/>
    <col min="16143" max="16143" width="8" style="1" customWidth="1"/>
    <col min="16144" max="16144" width="16.28515625" style="1" customWidth="1"/>
    <col min="16145" max="16145" width="10.5703125" style="1" customWidth="1"/>
    <col min="16146" max="16146" width="14.140625" style="1" customWidth="1"/>
    <col min="16147" max="16147" width="10.140625" style="1" customWidth="1"/>
    <col min="16148" max="16148" width="15.140625" style="1" customWidth="1"/>
    <col min="16149" max="16149" width="8.5703125" style="1" customWidth="1"/>
    <col min="16150" max="16150" width="14.28515625" style="1" customWidth="1"/>
    <col min="16151" max="16151" width="18.28515625" style="1" customWidth="1"/>
    <col min="16152" max="16152" width="13" style="1" bestFit="1" customWidth="1"/>
    <col min="16153" max="16153" width="11.7109375" style="1" bestFit="1" customWidth="1"/>
    <col min="16154" max="16160" width="9.140625" style="1"/>
    <col min="16161" max="16161" width="11.28515625" style="1" bestFit="1" customWidth="1"/>
    <col min="16162" max="16162" width="10.7109375" style="1" bestFit="1" customWidth="1"/>
    <col min="16163" max="16384" width="9.140625" style="1"/>
  </cols>
  <sheetData>
    <row r="1" spans="1:44" ht="9.75" customHeight="1">
      <c r="U1" s="3"/>
    </row>
    <row r="2" spans="1:44" s="1265" customFormat="1" ht="15" customHeight="1">
      <c r="A2" s="26" t="s">
        <v>400</v>
      </c>
      <c r="B2" s="13" t="s">
        <v>63</v>
      </c>
      <c r="C2" s="5" t="s">
        <v>64</v>
      </c>
      <c r="D2" s="1636" t="s">
        <v>121</v>
      </c>
      <c r="E2" s="5" t="s">
        <v>122</v>
      </c>
      <c r="F2" s="5">
        <v>1.5</v>
      </c>
      <c r="G2" s="20" t="s">
        <v>69</v>
      </c>
      <c r="H2" s="20" t="s">
        <v>69</v>
      </c>
      <c r="I2" s="737" t="s">
        <v>30</v>
      </c>
      <c r="J2" s="7">
        <v>17697</v>
      </c>
      <c r="K2" s="7"/>
      <c r="L2" s="10">
        <v>1.5</v>
      </c>
      <c r="M2" s="7"/>
      <c r="N2" s="1626">
        <v>3.35</v>
      </c>
      <c r="O2" s="18">
        <f>N2*J2*L2</f>
        <v>88927.425000000003</v>
      </c>
      <c r="P2" s="882"/>
      <c r="Q2" s="8"/>
      <c r="R2" s="7"/>
      <c r="S2" s="7">
        <v>0.1</v>
      </c>
      <c r="T2" s="7">
        <f>(O2+P2+R2)*S2</f>
        <v>8892.7425000000003</v>
      </c>
      <c r="U2" s="9"/>
      <c r="V2" s="7"/>
      <c r="W2" s="10">
        <f>O2+R2+T2+V2+P2</f>
        <v>97820.16750000001</v>
      </c>
      <c r="X2" s="1268">
        <f>Q2+S2+U2</f>
        <v>0.1</v>
      </c>
      <c r="Y2" s="1268">
        <f>R2+T2+V2</f>
        <v>8892.7425000000003</v>
      </c>
      <c r="Z2" s="1264">
        <f>W2*12</f>
        <v>1173842.0100000002</v>
      </c>
      <c r="AA2" s="1382">
        <f>Z2/12/29.33*30</f>
        <v>100054.72297988411</v>
      </c>
    </row>
    <row r="3" spans="1:44" s="1265" customFormat="1" ht="15" customHeight="1">
      <c r="A3" s="153" t="s">
        <v>98</v>
      </c>
      <c r="B3" s="561" t="s">
        <v>99</v>
      </c>
      <c r="C3" s="560" t="s">
        <v>25</v>
      </c>
      <c r="D3" s="582" t="s">
        <v>647</v>
      </c>
      <c r="E3" s="582" t="s">
        <v>463</v>
      </c>
      <c r="F3" s="560">
        <v>1</v>
      </c>
      <c r="G3" s="560" t="s">
        <v>102</v>
      </c>
      <c r="H3" s="560" t="s">
        <v>103</v>
      </c>
      <c r="I3" s="1584">
        <v>1</v>
      </c>
      <c r="J3" s="554">
        <v>17697</v>
      </c>
      <c r="K3" s="565">
        <v>35</v>
      </c>
      <c r="L3" s="554">
        <f>K3/18</f>
        <v>1.9444444444444444</v>
      </c>
      <c r="M3" s="566" t="s">
        <v>152</v>
      </c>
      <c r="N3" s="1587">
        <v>4.55</v>
      </c>
      <c r="O3" s="567">
        <f>N3*J3/18*K3</f>
        <v>156569.29166666666</v>
      </c>
      <c r="P3" s="697">
        <f>O3*25%</f>
        <v>39142.322916666664</v>
      </c>
      <c r="Q3" s="568"/>
      <c r="R3" s="554"/>
      <c r="S3" s="554">
        <v>0.1</v>
      </c>
      <c r="T3" s="567">
        <f>(O3+P3)*S3</f>
        <v>19571.161458333332</v>
      </c>
      <c r="U3" s="569"/>
      <c r="V3" s="554"/>
      <c r="W3" s="570">
        <f>O3+P3+T3</f>
        <v>215282.77604166666</v>
      </c>
      <c r="X3" s="10">
        <f>U3+Q3</f>
        <v>0</v>
      </c>
      <c r="Y3" s="10">
        <f>V3+R3</f>
        <v>0</v>
      </c>
      <c r="Z3" s="23">
        <f>W3*12</f>
        <v>2583393.3125</v>
      </c>
      <c r="AA3" s="24">
        <f>Z3/12/29.33*56</f>
        <v>411041.09984089102</v>
      </c>
      <c r="AB3" s="24">
        <f>Z3*1.25</f>
        <v>3229241.640625</v>
      </c>
      <c r="AC3" s="24">
        <f>AB3/12/29.33*56</f>
        <v>513801.37480111379</v>
      </c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</row>
    <row r="4" spans="1:44" s="1396" customFormat="1" ht="15" customHeight="1">
      <c r="A4" s="26" t="s">
        <v>62</v>
      </c>
      <c r="B4" s="13" t="s">
        <v>63</v>
      </c>
      <c r="C4" s="5" t="s">
        <v>64</v>
      </c>
      <c r="D4" s="57" t="s">
        <v>730</v>
      </c>
      <c r="E4" s="5" t="s">
        <v>367</v>
      </c>
      <c r="F4" s="5">
        <v>1</v>
      </c>
      <c r="G4" s="20" t="s">
        <v>56</v>
      </c>
      <c r="H4" s="20" t="s">
        <v>56</v>
      </c>
      <c r="I4" s="27">
        <v>3</v>
      </c>
      <c r="J4" s="7">
        <v>17697</v>
      </c>
      <c r="K4" s="7"/>
      <c r="L4" s="10">
        <v>1</v>
      </c>
      <c r="M4" s="7"/>
      <c r="N4" s="10">
        <v>3.61</v>
      </c>
      <c r="O4" s="18">
        <f>N4*J4*L4</f>
        <v>63886.17</v>
      </c>
      <c r="P4" s="882"/>
      <c r="Q4" s="7"/>
      <c r="R4" s="8"/>
      <c r="S4" s="7">
        <v>0.1</v>
      </c>
      <c r="T4" s="7">
        <f>(O4+P4+R4)*S4</f>
        <v>6388.6170000000002</v>
      </c>
      <c r="U4" s="7"/>
      <c r="V4" s="9"/>
      <c r="W4" s="10">
        <f>O4+R4+T4+V4+P4</f>
        <v>70274.786999999997</v>
      </c>
      <c r="X4" s="1268">
        <f>Q4+S4+U4</f>
        <v>0.1</v>
      </c>
      <c r="Y4" s="1268">
        <f>R4+T4+V4</f>
        <v>6388.6170000000002</v>
      </c>
      <c r="Z4" s="1264">
        <f>W4*12</f>
        <v>843297.4439999999</v>
      </c>
      <c r="AA4" s="1382">
        <f>Z4/12/29.33*30</f>
        <v>71880.109444255024</v>
      </c>
      <c r="AB4" s="1264"/>
      <c r="AC4" s="1264"/>
      <c r="AD4" s="1264"/>
      <c r="AE4" s="1264"/>
      <c r="AF4" s="1264"/>
      <c r="AG4" s="1264"/>
      <c r="AH4" s="1264"/>
      <c r="AI4" s="1264"/>
      <c r="AJ4" s="1264"/>
      <c r="AK4" s="1264"/>
      <c r="AL4" s="1264"/>
      <c r="AM4" s="1264"/>
      <c r="AN4" s="1265"/>
      <c r="AO4" s="1265"/>
      <c r="AP4" s="1265"/>
      <c r="AQ4" s="1265"/>
      <c r="AR4" s="1265"/>
    </row>
    <row r="5" spans="1:44" s="1407" customFormat="1" ht="15.75">
      <c r="A5" s="153" t="s">
        <v>41</v>
      </c>
      <c r="B5" s="561" t="s">
        <v>99</v>
      </c>
      <c r="C5" s="560" t="s">
        <v>25</v>
      </c>
      <c r="D5" s="562" t="s">
        <v>648</v>
      </c>
      <c r="E5" s="562" t="s">
        <v>34</v>
      </c>
      <c r="F5" s="560">
        <v>1</v>
      </c>
      <c r="G5" s="563" t="s">
        <v>102</v>
      </c>
      <c r="H5" s="563" t="s">
        <v>103</v>
      </c>
      <c r="I5" s="564">
        <v>2</v>
      </c>
      <c r="J5" s="554">
        <v>17697</v>
      </c>
      <c r="K5" s="565">
        <v>24</v>
      </c>
      <c r="L5" s="554">
        <f>K5/18</f>
        <v>1.3333333333333333</v>
      </c>
      <c r="M5" s="566" t="s">
        <v>104</v>
      </c>
      <c r="N5" s="1014">
        <v>4.51</v>
      </c>
      <c r="O5" s="567">
        <f>N5*J5/18*K5</f>
        <v>106417.96</v>
      </c>
      <c r="P5" s="697">
        <f>O5*25%</f>
        <v>26604.49</v>
      </c>
      <c r="Q5" s="568"/>
      <c r="R5" s="554"/>
      <c r="S5" s="554">
        <v>0.1</v>
      </c>
      <c r="T5" s="567">
        <f>(O5+P5)*S5</f>
        <v>13302.245000000003</v>
      </c>
      <c r="U5" s="569"/>
      <c r="V5" s="554"/>
      <c r="W5" s="570">
        <f>O5+P5+T5</f>
        <v>146324.69500000001</v>
      </c>
      <c r="X5" s="10">
        <f>U5+Q5</f>
        <v>0</v>
      </c>
      <c r="Y5" s="10">
        <f>V5+R5</f>
        <v>0</v>
      </c>
      <c r="Z5" s="23">
        <f>W5*12</f>
        <v>1755896.34</v>
      </c>
      <c r="AA5" s="24">
        <f>Z5/12/29.33*56</f>
        <v>279378.89260143205</v>
      </c>
      <c r="AB5" s="24">
        <f>Z5*1.25</f>
        <v>2194870.4250000003</v>
      </c>
      <c r="AC5" s="24">
        <f>AB5/12/29.33*56</f>
        <v>349223.61575179</v>
      </c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</row>
    <row r="6" spans="1:44" s="1265" customFormat="1" ht="15" customHeight="1">
      <c r="A6" s="13" t="s">
        <v>36</v>
      </c>
      <c r="B6" s="6" t="s">
        <v>32</v>
      </c>
      <c r="C6" s="14" t="s">
        <v>25</v>
      </c>
      <c r="D6" s="536" t="s">
        <v>265</v>
      </c>
      <c r="E6" s="12" t="s">
        <v>34</v>
      </c>
      <c r="F6" s="14">
        <v>1</v>
      </c>
      <c r="G6" s="5" t="s">
        <v>28</v>
      </c>
      <c r="H6" s="5" t="s">
        <v>35</v>
      </c>
      <c r="I6" s="14">
        <v>3</v>
      </c>
      <c r="J6" s="15">
        <v>17697</v>
      </c>
      <c r="K6" s="15"/>
      <c r="L6" s="1627">
        <v>1</v>
      </c>
      <c r="M6" s="7"/>
      <c r="N6" s="1628">
        <v>5.77</v>
      </c>
      <c r="O6" s="7">
        <f>N6*J6</f>
        <v>102111.68999999999</v>
      </c>
      <c r="P6" s="882">
        <f>O6*25%</f>
        <v>25527.922499999997</v>
      </c>
      <c r="Q6" s="8"/>
      <c r="R6" s="7"/>
      <c r="S6" s="7">
        <v>0.1</v>
      </c>
      <c r="T6" s="7">
        <f>(O6+P6+R6)*S6</f>
        <v>12763.96125</v>
      </c>
      <c r="U6" s="9"/>
      <c r="V6" s="7"/>
      <c r="W6" s="10">
        <f>O6+R6+T6+V6+P6</f>
        <v>140403.57374999998</v>
      </c>
      <c r="X6" s="1268">
        <f>Q6+S6+U6</f>
        <v>0.1</v>
      </c>
      <c r="Y6" s="1268">
        <f>R6+T6+V6</f>
        <v>12763.96125</v>
      </c>
      <c r="Z6" s="1264">
        <f>W6*12</f>
        <v>1684842.8849999998</v>
      </c>
      <c r="AA6" s="1382">
        <f>Z6/12/29.33*30</f>
        <v>143610.88348107738</v>
      </c>
      <c r="AB6" s="1396"/>
      <c r="AC6" s="1396"/>
      <c r="AD6" s="1396"/>
      <c r="AE6" s="1396"/>
      <c r="AF6" s="1396"/>
      <c r="AG6" s="1397"/>
      <c r="AH6" s="1398"/>
      <c r="AI6" s="1396"/>
      <c r="AJ6" s="1396"/>
      <c r="AK6" s="1396"/>
      <c r="AL6" s="1396"/>
      <c r="AM6" s="1396"/>
      <c r="AN6" s="1396"/>
      <c r="AO6" s="1396"/>
      <c r="AP6" s="1396"/>
      <c r="AQ6" s="1396"/>
      <c r="AR6" s="1396"/>
    </row>
    <row r="7" spans="1:44" s="1265" customFormat="1" ht="15" customHeight="1">
      <c r="A7" s="646" t="s">
        <v>36</v>
      </c>
      <c r="B7" s="647" t="s">
        <v>99</v>
      </c>
      <c r="C7" s="628" t="s">
        <v>25</v>
      </c>
      <c r="D7" s="586" t="s">
        <v>649</v>
      </c>
      <c r="E7" s="562" t="s">
        <v>40</v>
      </c>
      <c r="F7" s="560">
        <v>1</v>
      </c>
      <c r="G7" s="563" t="s">
        <v>102</v>
      </c>
      <c r="H7" s="563" t="s">
        <v>103</v>
      </c>
      <c r="I7" s="629">
        <v>1</v>
      </c>
      <c r="J7" s="554">
        <v>17697</v>
      </c>
      <c r="K7" s="648">
        <v>9</v>
      </c>
      <c r="L7" s="554">
        <f>K7/18</f>
        <v>0.5</v>
      </c>
      <c r="M7" s="574" t="s">
        <v>152</v>
      </c>
      <c r="N7" s="1598">
        <v>4.75</v>
      </c>
      <c r="O7" s="567">
        <f>N7*J7/18*K7</f>
        <v>42030.375</v>
      </c>
      <c r="P7" s="697">
        <f>O7*25%</f>
        <v>10507.59375</v>
      </c>
      <c r="Q7" s="568"/>
      <c r="R7" s="554"/>
      <c r="S7" s="554">
        <v>0.1</v>
      </c>
      <c r="T7" s="567">
        <f>(O7+P7)*S7</f>
        <v>5253.796875</v>
      </c>
      <c r="U7" s="19"/>
      <c r="V7" s="554"/>
      <c r="W7" s="570">
        <f>O7+P7+T7</f>
        <v>57791.765625</v>
      </c>
      <c r="X7" s="10"/>
      <c r="Y7" s="10"/>
      <c r="Z7" s="23" t="e">
        <f>#REF!*12</f>
        <v>#REF!</v>
      </c>
      <c r="AA7" s="24" t="e">
        <f>Z7/12/29.33*56</f>
        <v>#REF!</v>
      </c>
      <c r="AB7" s="24" t="e">
        <f>Z7*1.25</f>
        <v>#REF!</v>
      </c>
      <c r="AC7" s="24" t="e">
        <f>AB7/12/29.33*56</f>
        <v>#REF!</v>
      </c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</row>
    <row r="8" spans="1:44" s="1265" customFormat="1" ht="15" customHeight="1">
      <c r="A8" s="576" t="s">
        <v>110</v>
      </c>
      <c r="B8" s="561" t="s">
        <v>99</v>
      </c>
      <c r="C8" s="560" t="s">
        <v>25</v>
      </c>
      <c r="D8" s="562" t="s">
        <v>650</v>
      </c>
      <c r="E8" s="562" t="s">
        <v>77</v>
      </c>
      <c r="F8" s="560">
        <v>1</v>
      </c>
      <c r="G8" s="563" t="s">
        <v>102</v>
      </c>
      <c r="H8" s="563" t="s">
        <v>103</v>
      </c>
      <c r="I8" s="581">
        <v>3</v>
      </c>
      <c r="J8" s="554">
        <v>17697</v>
      </c>
      <c r="K8" s="565">
        <v>36</v>
      </c>
      <c r="L8" s="554">
        <f>K8/18</f>
        <v>2</v>
      </c>
      <c r="M8" s="1581" t="s">
        <v>109</v>
      </c>
      <c r="N8" s="1014">
        <v>4</v>
      </c>
      <c r="O8" s="567">
        <f>N8*J8/18*K8</f>
        <v>141576</v>
      </c>
      <c r="P8" s="697">
        <f>O8*25%</f>
        <v>35394</v>
      </c>
      <c r="Q8" s="568"/>
      <c r="R8" s="554"/>
      <c r="S8" s="554">
        <v>0.1</v>
      </c>
      <c r="T8" s="567">
        <f>(O8+P8)*S8</f>
        <v>17697</v>
      </c>
      <c r="U8" s="569"/>
      <c r="V8" s="554"/>
      <c r="W8" s="570">
        <f>O8+P8+T8</f>
        <v>194667</v>
      </c>
      <c r="X8" s="10"/>
      <c r="Y8" s="10"/>
      <c r="Z8" s="23">
        <f>W8*12</f>
        <v>2336004</v>
      </c>
      <c r="AA8" s="24">
        <f>Z8/12/29.33*56</f>
        <v>371679.2362768497</v>
      </c>
      <c r="AB8" s="24">
        <f>Z8*1.25</f>
        <v>2920005</v>
      </c>
      <c r="AC8" s="24">
        <f>AB8/12/29.33*56</f>
        <v>464599.04534606205</v>
      </c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</row>
    <row r="9" spans="1:44" s="1265" customFormat="1" ht="15" customHeight="1">
      <c r="A9" s="153" t="s">
        <v>106</v>
      </c>
      <c r="B9" s="561" t="s">
        <v>99</v>
      </c>
      <c r="C9" s="560" t="s">
        <v>25</v>
      </c>
      <c r="D9" s="562" t="s">
        <v>651</v>
      </c>
      <c r="E9" s="562" t="s">
        <v>77</v>
      </c>
      <c r="F9" s="560">
        <v>1</v>
      </c>
      <c r="G9" s="563" t="s">
        <v>102</v>
      </c>
      <c r="H9" s="563" t="s">
        <v>103</v>
      </c>
      <c r="I9" s="564">
        <v>3</v>
      </c>
      <c r="J9" s="554">
        <v>17697</v>
      </c>
      <c r="K9" s="565">
        <v>18</v>
      </c>
      <c r="L9" s="554">
        <f>K9/18</f>
        <v>1</v>
      </c>
      <c r="M9" s="566" t="s">
        <v>109</v>
      </c>
      <c r="N9" s="1014">
        <v>4</v>
      </c>
      <c r="O9" s="567">
        <f>N9*J9/18*K9</f>
        <v>70788</v>
      </c>
      <c r="P9" s="697">
        <f>O9*25%</f>
        <v>17697</v>
      </c>
      <c r="Q9" s="568"/>
      <c r="R9" s="554"/>
      <c r="S9" s="554">
        <v>0.1</v>
      </c>
      <c r="T9" s="567">
        <f>(O9+P9)*S9</f>
        <v>8848.5</v>
      </c>
      <c r="U9" s="569"/>
      <c r="V9" s="554"/>
      <c r="W9" s="570">
        <f>O9+P9+T9</f>
        <v>97333.5</v>
      </c>
      <c r="X9" s="10">
        <f>U9+Q9</f>
        <v>0</v>
      </c>
      <c r="Y9" s="10">
        <f>V9+R9</f>
        <v>0</v>
      </c>
      <c r="Z9" s="23">
        <f>W9*12</f>
        <v>1168002</v>
      </c>
      <c r="AA9" s="24">
        <f>Z9/12/29.33*56</f>
        <v>185839.61813842485</v>
      </c>
      <c r="AB9" s="24">
        <f>Z9*1.25</f>
        <v>1460002.5</v>
      </c>
      <c r="AC9" s="24">
        <f>AB9/12/29.33*56</f>
        <v>232299.52267303102</v>
      </c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</row>
    <row r="10" spans="1:44" s="1265" customFormat="1" ht="15" customHeight="1">
      <c r="A10" s="726" t="s">
        <v>508</v>
      </c>
      <c r="B10" s="647" t="s">
        <v>340</v>
      </c>
      <c r="C10" s="663" t="s">
        <v>75</v>
      </c>
      <c r="D10" s="1712"/>
      <c r="E10" s="727"/>
      <c r="F10" s="1712">
        <v>1</v>
      </c>
      <c r="G10" s="728"/>
      <c r="H10" s="728"/>
      <c r="I10" s="563">
        <v>2</v>
      </c>
      <c r="J10" s="567">
        <v>17697</v>
      </c>
      <c r="K10" s="567"/>
      <c r="L10" s="554">
        <v>1</v>
      </c>
      <c r="M10" s="567"/>
      <c r="N10" s="554">
        <v>2.81</v>
      </c>
      <c r="O10" s="567">
        <f>J10*N10*L10</f>
        <v>49728.57</v>
      </c>
      <c r="P10" s="697"/>
      <c r="Q10" s="554">
        <f>J10*O11*M10</f>
        <v>0</v>
      </c>
      <c r="R10" s="567"/>
      <c r="S10" s="568">
        <v>0.1</v>
      </c>
      <c r="T10" s="554">
        <f>S10*O10</f>
        <v>4972.857</v>
      </c>
      <c r="U10" s="569">
        <v>0.3</v>
      </c>
      <c r="V10" s="554">
        <f>U10*J10</f>
        <v>5309.0999999999995</v>
      </c>
      <c r="W10" s="570">
        <f>O10+T10+V10</f>
        <v>60010.526999999995</v>
      </c>
      <c r="X10" s="1651">
        <f>Q9+U9+W9</f>
        <v>97333.5</v>
      </c>
      <c r="Y10" s="1651">
        <f>R9+V9+X10</f>
        <v>97333.5</v>
      </c>
      <c r="Z10" s="1277">
        <f>W9*12</f>
        <v>1168002</v>
      </c>
      <c r="AA10" s="1458">
        <f>Z10/12/29.33*24</f>
        <v>79645.550630753511</v>
      </c>
      <c r="AB10" s="1469"/>
      <c r="AC10" s="1469"/>
      <c r="AD10" s="1469"/>
      <c r="AE10" s="1469"/>
      <c r="AF10" s="1469"/>
      <c r="AG10" s="1469"/>
      <c r="AH10" s="1469"/>
      <c r="AI10" s="1469"/>
      <c r="AJ10" s="1469"/>
      <c r="AK10" s="1469"/>
      <c r="AL10" s="1469"/>
      <c r="AM10" s="1469"/>
      <c r="AN10" s="1469"/>
      <c r="AO10" s="1469"/>
      <c r="AP10" s="1469"/>
      <c r="AQ10" s="1469"/>
      <c r="AR10" s="1469"/>
    </row>
    <row r="11" spans="1:44" s="1265" customFormat="1" ht="15" customHeight="1">
      <c r="A11" s="872" t="s">
        <v>261</v>
      </c>
      <c r="B11" s="692" t="s">
        <v>99</v>
      </c>
      <c r="C11" s="875" t="s">
        <v>25</v>
      </c>
      <c r="D11" s="1717" t="s">
        <v>652</v>
      </c>
      <c r="E11" s="562" t="s">
        <v>614</v>
      </c>
      <c r="F11" s="1730">
        <v>1</v>
      </c>
      <c r="G11" s="601" t="s">
        <v>102</v>
      </c>
      <c r="H11" s="601" t="s">
        <v>103</v>
      </c>
      <c r="I11" s="1736">
        <v>1</v>
      </c>
      <c r="J11" s="554">
        <v>17697</v>
      </c>
      <c r="K11" s="1739">
        <v>31</v>
      </c>
      <c r="L11" s="700">
        <f>K11/18</f>
        <v>1.7222222222222223</v>
      </c>
      <c r="M11" s="698" t="s">
        <v>152</v>
      </c>
      <c r="N11" s="1600">
        <v>4.55</v>
      </c>
      <c r="O11" s="697">
        <f>N11*J11/18*K11</f>
        <v>138675.65833333333</v>
      </c>
      <c r="P11" s="697">
        <f>O11*25%</f>
        <v>34668.914583333331</v>
      </c>
      <c r="Q11" s="1538"/>
      <c r="R11" s="700"/>
      <c r="S11" s="554">
        <v>0.1</v>
      </c>
      <c r="T11" s="567">
        <f>(O11+P11)*S11</f>
        <v>17334.457291666666</v>
      </c>
      <c r="U11" s="1541"/>
      <c r="V11" s="700"/>
      <c r="W11" s="570">
        <f>O11+P11+T11</f>
        <v>190679.03020833334</v>
      </c>
      <c r="X11" s="1547">
        <f>U10+Q10</f>
        <v>0.3</v>
      </c>
      <c r="Y11" s="1547">
        <f>V10+R10</f>
        <v>5309.0999999999995</v>
      </c>
      <c r="Z11" s="23">
        <f>W10*12</f>
        <v>720126.32399999991</v>
      </c>
      <c r="AA11" s="24">
        <f>Z11/12/29.33*56</f>
        <v>114578.57183770882</v>
      </c>
      <c r="AB11" s="24">
        <f>Z11*1.25</f>
        <v>900157.90499999991</v>
      </c>
      <c r="AC11" s="24">
        <f>AB11/12/29.33*56</f>
        <v>143223.21479713602</v>
      </c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</row>
    <row r="12" spans="1:44" s="1265" customFormat="1" ht="15" customHeight="1">
      <c r="A12" s="153" t="s">
        <v>339</v>
      </c>
      <c r="B12" s="647" t="s">
        <v>340</v>
      </c>
      <c r="C12" s="560" t="s">
        <v>64</v>
      </c>
      <c r="D12" s="563"/>
      <c r="E12" s="711"/>
      <c r="F12" s="712">
        <v>1</v>
      </c>
      <c r="G12" s="563"/>
      <c r="H12" s="689"/>
      <c r="I12" s="563">
        <v>2</v>
      </c>
      <c r="J12" s="554">
        <v>17697</v>
      </c>
      <c r="K12" s="554"/>
      <c r="L12" s="554">
        <v>1</v>
      </c>
      <c r="M12" s="554"/>
      <c r="N12" s="554">
        <v>2.81</v>
      </c>
      <c r="O12" s="567">
        <f>J12*N12*L12</f>
        <v>49728.57</v>
      </c>
      <c r="P12" s="697"/>
      <c r="Q12" s="554">
        <f>J12*O13*M12</f>
        <v>0</v>
      </c>
      <c r="R12" s="568"/>
      <c r="S12" s="568">
        <v>0.1</v>
      </c>
      <c r="T12" s="554">
        <f>S12*O12</f>
        <v>4972.857</v>
      </c>
      <c r="U12" s="569">
        <v>0.3</v>
      </c>
      <c r="V12" s="554">
        <f>U12*J12</f>
        <v>5309.0999999999995</v>
      </c>
      <c r="W12" s="570">
        <f>O12+T12+V12</f>
        <v>60010.526999999995</v>
      </c>
      <c r="X12" s="1651">
        <f>Q11+U11+W11</f>
        <v>190679.03020833334</v>
      </c>
      <c r="Y12" s="1651">
        <f>R11+V11+X12</f>
        <v>190679.03020833334</v>
      </c>
      <c r="Z12" s="1277">
        <f>W11*12</f>
        <v>2288148.3624999998</v>
      </c>
      <c r="AA12" s="1458">
        <f>Z12/12/29.33*24</f>
        <v>156027.8460620525</v>
      </c>
      <c r="AB12" s="1469"/>
      <c r="AC12" s="1469"/>
      <c r="AD12" s="1469"/>
      <c r="AE12" s="1469"/>
      <c r="AF12" s="1469"/>
      <c r="AG12" s="1469"/>
      <c r="AH12" s="1469"/>
      <c r="AI12" s="1469"/>
      <c r="AJ12" s="1469"/>
      <c r="AK12" s="1469"/>
      <c r="AL12" s="1469"/>
      <c r="AM12" s="1469"/>
      <c r="AN12" s="1469"/>
      <c r="AO12" s="1469"/>
      <c r="AP12" s="1469"/>
      <c r="AQ12" s="1469"/>
      <c r="AR12" s="1469"/>
    </row>
    <row r="13" spans="1:44" s="1265" customFormat="1" ht="15" customHeight="1">
      <c r="A13" s="153" t="s">
        <v>215</v>
      </c>
      <c r="B13" s="561" t="s">
        <v>99</v>
      </c>
      <c r="C13" s="563" t="s">
        <v>25</v>
      </c>
      <c r="D13" s="562" t="s">
        <v>750</v>
      </c>
      <c r="E13" s="562" t="s">
        <v>217</v>
      </c>
      <c r="F13" s="560">
        <v>1</v>
      </c>
      <c r="G13" s="580" t="s">
        <v>102</v>
      </c>
      <c r="H13" s="580" t="s">
        <v>103</v>
      </c>
      <c r="I13" s="997">
        <v>1</v>
      </c>
      <c r="J13" s="554">
        <v>17697</v>
      </c>
      <c r="K13" s="573">
        <v>4</v>
      </c>
      <c r="L13" s="554">
        <f>K13/18</f>
        <v>0.22222222222222221</v>
      </c>
      <c r="M13" s="997" t="s">
        <v>152</v>
      </c>
      <c r="N13" s="1015">
        <v>4.6900000000000004</v>
      </c>
      <c r="O13" s="567">
        <f>N13*J13/18*K13</f>
        <v>18444.206666666669</v>
      </c>
      <c r="P13" s="697">
        <f>O13*25%</f>
        <v>4611.0516666666672</v>
      </c>
      <c r="Q13" s="568"/>
      <c r="R13" s="554"/>
      <c r="S13" s="554">
        <v>0.1</v>
      </c>
      <c r="T13" s="567">
        <f>(O13+P13)*S13</f>
        <v>2305.5258333333336</v>
      </c>
      <c r="U13" s="569"/>
      <c r="V13" s="554"/>
      <c r="W13" s="570">
        <f>O13+P13+T13</f>
        <v>25360.784166666668</v>
      </c>
      <c r="X13" s="7">
        <f>U13+Q13</f>
        <v>0</v>
      </c>
      <c r="Y13" s="7">
        <f>V13+R13</f>
        <v>0</v>
      </c>
      <c r="Z13" s="23">
        <f>W13*12</f>
        <v>304329.41000000003</v>
      </c>
      <c r="AA13" s="24">
        <f>Z13/12/29.33*56</f>
        <v>48421.544948289586</v>
      </c>
      <c r="AB13" s="24">
        <f>Z13*1.25</f>
        <v>380411.76250000007</v>
      </c>
      <c r="AC13" s="24">
        <f>AB13/12/29.33*56</f>
        <v>60526.931185361987</v>
      </c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</row>
    <row r="14" spans="1:44" s="1396" customFormat="1" ht="15.75" customHeight="1">
      <c r="A14" s="153" t="s">
        <v>215</v>
      </c>
      <c r="B14" s="561" t="s">
        <v>99</v>
      </c>
      <c r="C14" s="563" t="s">
        <v>25</v>
      </c>
      <c r="D14" s="562" t="s">
        <v>653</v>
      </c>
      <c r="E14" s="562" t="s">
        <v>217</v>
      </c>
      <c r="F14" s="571">
        <v>1</v>
      </c>
      <c r="G14" s="580" t="s">
        <v>102</v>
      </c>
      <c r="H14" s="580" t="s">
        <v>103</v>
      </c>
      <c r="I14" s="574">
        <v>1</v>
      </c>
      <c r="J14" s="554">
        <v>17697</v>
      </c>
      <c r="K14" s="1643">
        <v>20</v>
      </c>
      <c r="L14" s="554">
        <f>K14/18</f>
        <v>1.1111111111111112</v>
      </c>
      <c r="M14" s="574" t="s">
        <v>152</v>
      </c>
      <c r="N14" s="1015">
        <v>4.6900000000000004</v>
      </c>
      <c r="O14" s="567">
        <f>N14*J14/18*K14</f>
        <v>92221.03333333334</v>
      </c>
      <c r="P14" s="697">
        <f>O14*25%</f>
        <v>23055.258333333335</v>
      </c>
      <c r="Q14" s="568"/>
      <c r="R14" s="554"/>
      <c r="S14" s="554">
        <v>0.1</v>
      </c>
      <c r="T14" s="567">
        <f>(O14+P14)*S14</f>
        <v>11527.629166666668</v>
      </c>
      <c r="U14" s="19"/>
      <c r="V14" s="554"/>
      <c r="W14" s="570">
        <f>O14+P14+T14</f>
        <v>126803.92083333334</v>
      </c>
      <c r="X14" s="10"/>
      <c r="Y14" s="10"/>
      <c r="Z14" s="23" t="e">
        <f>#REF!*12</f>
        <v>#REF!</v>
      </c>
      <c r="AA14" s="24" t="e">
        <f>Z14/12/29.33*56</f>
        <v>#REF!</v>
      </c>
      <c r="AB14" s="24" t="e">
        <f>Z14*1.25</f>
        <v>#REF!</v>
      </c>
      <c r="AC14" s="24" t="e">
        <f>AB14/12/29.33*56</f>
        <v>#REF!</v>
      </c>
      <c r="AD14" s="24"/>
      <c r="AE14" s="24"/>
      <c r="AF14" s="24"/>
      <c r="AG14" s="24"/>
      <c r="AH14" s="24"/>
      <c r="AI14" s="24"/>
      <c r="AJ14" s="22"/>
      <c r="AK14" s="24"/>
      <c r="AL14" s="24"/>
      <c r="AM14" s="24"/>
      <c r="AN14" s="24"/>
      <c r="AO14" s="24"/>
      <c r="AP14" s="24"/>
      <c r="AQ14" s="24"/>
      <c r="AR14" s="24"/>
    </row>
    <row r="15" spans="1:44" s="1396" customFormat="1" ht="15.75" customHeight="1">
      <c r="A15" s="646" t="s">
        <v>760</v>
      </c>
      <c r="B15" s="647" t="s">
        <v>99</v>
      </c>
      <c r="C15" s="628" t="s">
        <v>25</v>
      </c>
      <c r="D15" s="586" t="s">
        <v>761</v>
      </c>
      <c r="E15" s="562" t="s">
        <v>403</v>
      </c>
      <c r="F15" s="560">
        <v>1</v>
      </c>
      <c r="G15" s="563" t="s">
        <v>102</v>
      </c>
      <c r="H15" s="563" t="s">
        <v>103</v>
      </c>
      <c r="I15" s="629">
        <v>3</v>
      </c>
      <c r="J15" s="554">
        <v>17697</v>
      </c>
      <c r="K15" s="648">
        <v>26</v>
      </c>
      <c r="L15" s="554">
        <f>K15/18</f>
        <v>1.4444444444444444</v>
      </c>
      <c r="M15" s="574" t="s">
        <v>109</v>
      </c>
      <c r="N15" s="1598">
        <v>4.1399999999999997</v>
      </c>
      <c r="O15" s="567">
        <f>N15*J15/18*K15</f>
        <v>105828.05999999998</v>
      </c>
      <c r="P15" s="697">
        <f>O15*25%</f>
        <v>26457.014999999996</v>
      </c>
      <c r="Q15" s="568"/>
      <c r="R15" s="554"/>
      <c r="S15" s="554">
        <v>0.1</v>
      </c>
      <c r="T15" s="567">
        <f>(O15+P15)*S15</f>
        <v>13228.5075</v>
      </c>
      <c r="U15" s="19"/>
      <c r="V15" s="554"/>
      <c r="W15" s="570">
        <f>O15+P15+T15</f>
        <v>145513.58249999999</v>
      </c>
      <c r="X15" s="10">
        <f>U14+Q14</f>
        <v>0</v>
      </c>
      <c r="Y15" s="10">
        <f>V14+R14</f>
        <v>0</v>
      </c>
      <c r="Z15" s="23">
        <f>W14*12</f>
        <v>1521647.05</v>
      </c>
      <c r="AA15" s="24">
        <f>Z15/12/29.33*56</f>
        <v>242107.72474144792</v>
      </c>
      <c r="AB15" s="24">
        <f>Z15*1.25</f>
        <v>1902058.8125</v>
      </c>
      <c r="AC15" s="24">
        <f>AB15/12/29.33*56</f>
        <v>302634.65592680988</v>
      </c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</row>
    <row r="16" spans="1:44" s="1396" customFormat="1" ht="15.75" customHeight="1">
      <c r="A16" s="661" t="s">
        <v>516</v>
      </c>
      <c r="B16" s="647" t="s">
        <v>99</v>
      </c>
      <c r="C16" s="663" t="s">
        <v>25</v>
      </c>
      <c r="D16" s="664" t="s">
        <v>594</v>
      </c>
      <c r="E16" s="664" t="s">
        <v>40</v>
      </c>
      <c r="F16" s="177">
        <v>1</v>
      </c>
      <c r="G16" s="177" t="s">
        <v>102</v>
      </c>
      <c r="H16" s="177" t="s">
        <v>103</v>
      </c>
      <c r="I16" s="178">
        <v>1</v>
      </c>
      <c r="J16" s="554">
        <v>17697</v>
      </c>
      <c r="K16" s="665">
        <v>18</v>
      </c>
      <c r="L16" s="567">
        <f>K16/18</f>
        <v>1</v>
      </c>
      <c r="M16" s="574" t="s">
        <v>152</v>
      </c>
      <c r="N16" s="1608">
        <v>4.75</v>
      </c>
      <c r="O16" s="567">
        <f>J16*N16/18*K16</f>
        <v>84060.75</v>
      </c>
      <c r="P16" s="697">
        <f>O16*25%</f>
        <v>21015.1875</v>
      </c>
      <c r="Q16" s="666">
        <v>0.25</v>
      </c>
      <c r="R16" s="554">
        <f>(O16+P16)*Q16</f>
        <v>26268.984375</v>
      </c>
      <c r="S16" s="554">
        <v>0.1</v>
      </c>
      <c r="T16" s="567">
        <f>(O16+P16+R16)*S16</f>
        <v>13134.4921875</v>
      </c>
      <c r="U16" s="19"/>
      <c r="V16" s="554"/>
      <c r="W16" s="570">
        <f>O16+P16+R16+T16</f>
        <v>144479.4140625</v>
      </c>
      <c r="X16" s="1765"/>
      <c r="Y16" s="1765"/>
      <c r="Z16" s="1345"/>
      <c r="AA16" s="1346"/>
      <c r="AB16" s="1346"/>
      <c r="AC16" s="1346"/>
      <c r="AD16" s="1346"/>
      <c r="AE16" s="1346"/>
      <c r="AF16" s="1346"/>
      <c r="AG16" s="1346"/>
      <c r="AH16" s="1346"/>
      <c r="AI16" s="1346"/>
      <c r="AJ16" s="1346">
        <v>462</v>
      </c>
      <c r="AK16" s="1346"/>
      <c r="AL16" s="1346"/>
      <c r="AM16" s="1346"/>
      <c r="AN16" s="1346"/>
      <c r="AO16" s="1346"/>
      <c r="AP16" s="1346"/>
      <c r="AQ16" s="1346"/>
      <c r="AR16" s="1346"/>
    </row>
    <row r="17" spans="1:44" s="1265" customFormat="1" ht="15" customHeight="1">
      <c r="A17" s="153" t="s">
        <v>335</v>
      </c>
      <c r="B17" s="561" t="s">
        <v>336</v>
      </c>
      <c r="C17" s="560" t="s">
        <v>64</v>
      </c>
      <c r="D17" s="563"/>
      <c r="E17" s="560"/>
      <c r="F17" s="717">
        <v>1.5</v>
      </c>
      <c r="G17" s="563"/>
      <c r="H17" s="689"/>
      <c r="I17" s="563">
        <v>4</v>
      </c>
      <c r="J17" s="554">
        <v>17697</v>
      </c>
      <c r="K17" s="554"/>
      <c r="L17" s="554">
        <v>1.5</v>
      </c>
      <c r="M17" s="554"/>
      <c r="N17" s="554">
        <v>2.89</v>
      </c>
      <c r="O17" s="567">
        <f>J17*N17*L17</f>
        <v>76716.494999999995</v>
      </c>
      <c r="P17" s="697"/>
      <c r="Q17" s="554">
        <f>J17*O18*M17</f>
        <v>0</v>
      </c>
      <c r="R17" s="554"/>
      <c r="S17" s="568">
        <v>0.1</v>
      </c>
      <c r="T17" s="554">
        <f>S17*O17</f>
        <v>7671.6494999999995</v>
      </c>
      <c r="U17" s="554"/>
      <c r="V17" s="554"/>
      <c r="W17" s="570">
        <f>O17+T17+V17</f>
        <v>84388.144499999995</v>
      </c>
      <c r="X17" s="1651">
        <f>Q16+U16+W16</f>
        <v>144479.6640625</v>
      </c>
      <c r="Y17" s="1651">
        <f>R16+V16+X17</f>
        <v>170748.6484375</v>
      </c>
      <c r="Z17" s="1277">
        <f>W16*12</f>
        <v>1733752.96875</v>
      </c>
      <c r="AA17" s="1458">
        <f>Z17/12/29.33*24</f>
        <v>118223.86421752472</v>
      </c>
      <c r="AB17" s="1278"/>
      <c r="AC17" s="1278"/>
      <c r="AD17" s="1278"/>
      <c r="AE17" s="1278"/>
      <c r="AF17" s="1278"/>
      <c r="AG17" s="1278"/>
      <c r="AH17" s="1278"/>
      <c r="AI17" s="1278"/>
      <c r="AJ17" s="1278"/>
      <c r="AK17" s="1278"/>
      <c r="AL17" s="1278"/>
      <c r="AM17" s="1278"/>
      <c r="AN17" s="1278"/>
      <c r="AO17" s="1278"/>
      <c r="AP17" s="1278"/>
      <c r="AQ17" s="1278"/>
      <c r="AR17" s="1278"/>
    </row>
    <row r="18" spans="1:44" s="1437" customFormat="1" ht="15.75" customHeight="1">
      <c r="A18" s="646" t="s">
        <v>383</v>
      </c>
      <c r="B18" s="647" t="s">
        <v>338</v>
      </c>
      <c r="C18" s="560" t="s">
        <v>75</v>
      </c>
      <c r="D18" s="646"/>
      <c r="E18" s="716"/>
      <c r="F18" s="628">
        <v>1</v>
      </c>
      <c r="G18" s="714"/>
      <c r="H18" s="715"/>
      <c r="I18" s="628">
        <v>2</v>
      </c>
      <c r="J18" s="715">
        <v>17697</v>
      </c>
      <c r="K18" s="715"/>
      <c r="L18" s="554">
        <v>1</v>
      </c>
      <c r="M18" s="554"/>
      <c r="N18" s="554">
        <v>2.81</v>
      </c>
      <c r="O18" s="567">
        <f>J18*N18*L18</f>
        <v>49728.57</v>
      </c>
      <c r="P18" s="697"/>
      <c r="Q18" s="554">
        <f>J18*O20*M18</f>
        <v>0</v>
      </c>
      <c r="R18" s="554"/>
      <c r="S18" s="568">
        <v>0.1</v>
      </c>
      <c r="T18" s="554">
        <f>S18*O18</f>
        <v>4972.857</v>
      </c>
      <c r="U18" s="554"/>
      <c r="V18" s="554"/>
      <c r="W18" s="570">
        <f>O18+T18+V18</f>
        <v>54701.426999999996</v>
      </c>
      <c r="X18" s="1651">
        <f>Q17+U17+W17</f>
        <v>84388.144499999995</v>
      </c>
      <c r="Y18" s="1651">
        <f>R17+V17+X18</f>
        <v>84388.144499999995</v>
      </c>
      <c r="Z18" s="1277">
        <f>W17*12</f>
        <v>1012657.7339999999</v>
      </c>
      <c r="AA18" s="1458">
        <f>Z18/12/29.33*24</f>
        <v>69052.692396863276</v>
      </c>
      <c r="AB18" s="1469"/>
      <c r="AC18" s="1469"/>
      <c r="AD18" s="1469"/>
      <c r="AE18" s="1469"/>
      <c r="AF18" s="1469"/>
      <c r="AG18" s="1469"/>
      <c r="AH18" s="1469"/>
      <c r="AI18" s="1469"/>
      <c r="AJ18" s="1469"/>
      <c r="AK18" s="1469"/>
      <c r="AL18" s="1469"/>
      <c r="AM18" s="1469"/>
      <c r="AN18" s="1469"/>
      <c r="AO18" s="1469"/>
      <c r="AP18" s="1469"/>
      <c r="AQ18" s="1469"/>
      <c r="AR18" s="1469"/>
    </row>
    <row r="19" spans="1:44" s="1265" customFormat="1" ht="18" customHeight="1">
      <c r="A19" s="153" t="s">
        <v>222</v>
      </c>
      <c r="B19" s="561" t="s">
        <v>148</v>
      </c>
      <c r="C19" s="563" t="s">
        <v>25</v>
      </c>
      <c r="D19" s="562" t="s">
        <v>654</v>
      </c>
      <c r="E19" s="562" t="s">
        <v>224</v>
      </c>
      <c r="F19" s="571">
        <v>1</v>
      </c>
      <c r="G19" s="580" t="s">
        <v>102</v>
      </c>
      <c r="H19" s="580" t="s">
        <v>103</v>
      </c>
      <c r="I19" s="574">
        <v>2</v>
      </c>
      <c r="J19" s="554">
        <v>17697</v>
      </c>
      <c r="K19" s="1643">
        <v>31</v>
      </c>
      <c r="L19" s="554">
        <f>K19/18</f>
        <v>1.7222222222222223</v>
      </c>
      <c r="M19" s="566" t="s">
        <v>104</v>
      </c>
      <c r="N19" s="1015">
        <v>4.16</v>
      </c>
      <c r="O19" s="567">
        <f>N19*J19/18*K19</f>
        <v>126789.17333333334</v>
      </c>
      <c r="P19" s="697">
        <f>O19*25%</f>
        <v>31697.293333333335</v>
      </c>
      <c r="Q19" s="568"/>
      <c r="R19" s="554"/>
      <c r="S19" s="554">
        <v>0.1</v>
      </c>
      <c r="T19" s="567">
        <f>(O19+P19)*S19</f>
        <v>15848.646666666667</v>
      </c>
      <c r="U19" s="19"/>
      <c r="V19" s="554"/>
      <c r="W19" s="570">
        <f>O19+P19+T19</f>
        <v>174335.11333333334</v>
      </c>
      <c r="X19" s="10">
        <f>U18+Q18</f>
        <v>0</v>
      </c>
      <c r="Y19" s="10">
        <f>V18+R18</f>
        <v>0</v>
      </c>
      <c r="Z19" s="23">
        <f>W18*12</f>
        <v>656417.12399999995</v>
      </c>
      <c r="AA19" s="24">
        <f>Z19/12/29.33*56</f>
        <v>104441.86539379475</v>
      </c>
      <c r="AB19" s="24">
        <f>Z19*1.25</f>
        <v>820521.40499999991</v>
      </c>
      <c r="AC19" s="24">
        <f>AB19/12/29.33*56</f>
        <v>130552.33174224342</v>
      </c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</row>
    <row r="20" spans="1:44" s="1265" customFormat="1" ht="17.25" customHeight="1">
      <c r="A20" s="153" t="s">
        <v>605</v>
      </c>
      <c r="B20" s="647" t="s">
        <v>338</v>
      </c>
      <c r="C20" s="560" t="s">
        <v>64</v>
      </c>
      <c r="D20" s="563"/>
      <c r="E20" s="711"/>
      <c r="F20" s="1726">
        <v>1.5</v>
      </c>
      <c r="G20" s="563"/>
      <c r="H20" s="689"/>
      <c r="I20" s="563">
        <v>2</v>
      </c>
      <c r="J20" s="554">
        <v>17697</v>
      </c>
      <c r="K20" s="605"/>
      <c r="L20" s="607">
        <v>1.5</v>
      </c>
      <c r="M20" s="605"/>
      <c r="N20" s="605">
        <v>2.81</v>
      </c>
      <c r="O20" s="607">
        <f>J20*N20*L20</f>
        <v>74592.854999999996</v>
      </c>
      <c r="P20" s="697"/>
      <c r="Q20" s="605">
        <f>J20*O21*M20</f>
        <v>0</v>
      </c>
      <c r="R20" s="608"/>
      <c r="S20" s="608">
        <v>0.1</v>
      </c>
      <c r="T20" s="554">
        <f>S20*O20</f>
        <v>7459.2855</v>
      </c>
      <c r="U20" s="605"/>
      <c r="V20" s="609"/>
      <c r="W20" s="570">
        <f>O20+T20+V20</f>
        <v>82052.140499999994</v>
      </c>
      <c r="X20" s="1688"/>
      <c r="Y20" s="1688"/>
      <c r="Z20" s="81" t="e">
        <f>SUM(Z1:Z19)</f>
        <v>#REF!</v>
      </c>
      <c r="AA20" s="24"/>
      <c r="AB20" s="24" t="e">
        <f>SUM(AB1:AB19)</f>
        <v>#REF!</v>
      </c>
      <c r="AC20" s="24" t="e">
        <f>SUM(AC1:AC19)</f>
        <v>#REF!</v>
      </c>
      <c r="AD20" s="24"/>
      <c r="AE20" s="24"/>
      <c r="AF20" s="24"/>
      <c r="AG20" s="24"/>
      <c r="AH20" s="24"/>
      <c r="AI20" s="24"/>
      <c r="AJ20" s="24">
        <v>241</v>
      </c>
      <c r="AK20" s="24"/>
      <c r="AL20" s="24"/>
      <c r="AM20" s="24"/>
      <c r="AN20" s="24"/>
      <c r="AO20" s="24"/>
      <c r="AP20" s="24"/>
      <c r="AQ20" s="24"/>
      <c r="AR20" s="24"/>
    </row>
    <row r="21" spans="1:44" s="1265" customFormat="1" ht="17.25" customHeight="1">
      <c r="A21" s="872" t="s">
        <v>263</v>
      </c>
      <c r="B21" s="692" t="s">
        <v>99</v>
      </c>
      <c r="C21" s="875" t="s">
        <v>25</v>
      </c>
      <c r="D21" s="586" t="s">
        <v>655</v>
      </c>
      <c r="E21" s="1650" t="s">
        <v>271</v>
      </c>
      <c r="F21" s="603">
        <v>1</v>
      </c>
      <c r="G21" s="563" t="s">
        <v>102</v>
      </c>
      <c r="H21" s="563" t="s">
        <v>103</v>
      </c>
      <c r="I21" s="629">
        <v>2</v>
      </c>
      <c r="J21" s="554">
        <v>17697</v>
      </c>
      <c r="K21" s="1740">
        <v>18</v>
      </c>
      <c r="L21" s="605">
        <f>K21/18</f>
        <v>1</v>
      </c>
      <c r="M21" s="631" t="s">
        <v>104</v>
      </c>
      <c r="N21" s="1749">
        <v>4.37</v>
      </c>
      <c r="O21" s="607">
        <f>N21*J21/18*K21</f>
        <v>77335.89</v>
      </c>
      <c r="P21" s="697">
        <f t="shared" ref="P21:P29" si="0">O21*25%</f>
        <v>19333.9725</v>
      </c>
      <c r="Q21" s="1011"/>
      <c r="R21" s="888"/>
      <c r="S21" s="605">
        <v>0.1</v>
      </c>
      <c r="T21" s="567">
        <f>(O21+P21)*S21</f>
        <v>9666.9862499999999</v>
      </c>
      <c r="U21" s="1758"/>
      <c r="V21" s="888"/>
      <c r="W21" s="570">
        <f>O21+P21+T21</f>
        <v>106336.84875</v>
      </c>
      <c r="X21" s="1690"/>
      <c r="Y21" s="1690"/>
      <c r="Z21" s="23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</row>
    <row r="22" spans="1:44" s="24" customFormat="1" ht="17.25" customHeight="1">
      <c r="A22" s="1698" t="s">
        <v>23</v>
      </c>
      <c r="B22" s="243" t="s">
        <v>620</v>
      </c>
      <c r="C22" s="42" t="s">
        <v>25</v>
      </c>
      <c r="D22" s="142" t="s">
        <v>724</v>
      </c>
      <c r="E22" s="42" t="s">
        <v>27</v>
      </c>
      <c r="F22" s="42">
        <v>1</v>
      </c>
      <c r="G22" s="42" t="s">
        <v>28</v>
      </c>
      <c r="H22" s="42" t="s">
        <v>29</v>
      </c>
      <c r="I22" s="1733" t="s">
        <v>30</v>
      </c>
      <c r="J22" s="44">
        <v>17697</v>
      </c>
      <c r="K22" s="44"/>
      <c r="L22" s="10">
        <v>1</v>
      </c>
      <c r="M22" s="44"/>
      <c r="N22" s="70">
        <v>6.22</v>
      </c>
      <c r="O22" s="44">
        <f>N22*J22</f>
        <v>110075.34</v>
      </c>
      <c r="P22" s="44">
        <f t="shared" si="0"/>
        <v>27518.834999999999</v>
      </c>
      <c r="Q22" s="44"/>
      <c r="R22" s="68"/>
      <c r="S22" s="44">
        <v>0.1</v>
      </c>
      <c r="T22" s="44">
        <f>(O22+P22+R22)*S22</f>
        <v>13759.4175</v>
      </c>
      <c r="U22" s="44"/>
      <c r="V22" s="69"/>
      <c r="W22" s="70">
        <f>O22+R22+T22+V22+P22</f>
        <v>151353.5925</v>
      </c>
      <c r="X22" s="1762">
        <f>Q22+S22+U22</f>
        <v>0.1</v>
      </c>
      <c r="Y22" s="1762">
        <f>R22+T22+V22</f>
        <v>13759.4175</v>
      </c>
      <c r="Z22" s="1264">
        <f>W22*12</f>
        <v>1816243.1099999999</v>
      </c>
      <c r="AA22" s="1382">
        <f>Z22/12/29.33*30</f>
        <v>154811.03903852712</v>
      </c>
      <c r="AB22" s="1383"/>
      <c r="AC22" s="1264"/>
      <c r="AD22" s="1264"/>
      <c r="AE22" s="1264"/>
      <c r="AF22" s="1264"/>
      <c r="AG22" s="1264"/>
      <c r="AH22" s="1264"/>
      <c r="AI22" s="1264"/>
      <c r="AJ22" s="1264"/>
      <c r="AK22" s="1264"/>
      <c r="AL22" s="1264"/>
      <c r="AM22" s="1264"/>
      <c r="AN22" s="1265"/>
      <c r="AO22" s="1265"/>
      <c r="AP22" s="1265"/>
      <c r="AQ22" s="1265"/>
      <c r="AR22" s="1265"/>
    </row>
    <row r="23" spans="1:44" s="24" customFormat="1" ht="17.25" customHeight="1">
      <c r="A23" s="998" t="s">
        <v>23</v>
      </c>
      <c r="B23" s="873" t="s">
        <v>99</v>
      </c>
      <c r="C23" s="874" t="s">
        <v>25</v>
      </c>
      <c r="D23" s="1539" t="s">
        <v>656</v>
      </c>
      <c r="E23" s="1539" t="s">
        <v>114</v>
      </c>
      <c r="F23" s="547">
        <v>1</v>
      </c>
      <c r="G23" s="1002" t="s">
        <v>102</v>
      </c>
      <c r="H23" s="1002" t="s">
        <v>103</v>
      </c>
      <c r="I23" s="1590">
        <v>1</v>
      </c>
      <c r="J23" s="700">
        <v>17697</v>
      </c>
      <c r="K23" s="1540">
        <v>9</v>
      </c>
      <c r="L23" s="554">
        <f t="shared" ref="L23:L29" si="1">K23/18</f>
        <v>0.5</v>
      </c>
      <c r="M23" s="574" t="s">
        <v>152</v>
      </c>
      <c r="N23" s="1014">
        <v>4.75</v>
      </c>
      <c r="O23" s="567">
        <f t="shared" ref="O23:O29" si="2">N23*J23/18*K23</f>
        <v>42030.375</v>
      </c>
      <c r="P23" s="556">
        <f t="shared" si="0"/>
        <v>10507.59375</v>
      </c>
      <c r="Q23" s="568"/>
      <c r="R23" s="554"/>
      <c r="S23" s="554">
        <v>0.1</v>
      </c>
      <c r="T23" s="556">
        <f t="shared" ref="T23:T29" si="3">(O23+P23)*S23</f>
        <v>5253.796875</v>
      </c>
      <c r="U23" s="569"/>
      <c r="V23" s="554"/>
      <c r="W23" s="559">
        <f t="shared" ref="W23:W29" si="4">O23+P23+T23</f>
        <v>57791.765625</v>
      </c>
      <c r="X23" s="7">
        <f>U23+Q23</f>
        <v>0</v>
      </c>
      <c r="Y23" s="7">
        <f>V23+R23</f>
        <v>0</v>
      </c>
      <c r="Z23" s="23">
        <f>W23*12</f>
        <v>693501.1875</v>
      </c>
      <c r="AA23" s="24">
        <f>Z23/12/29.33*56</f>
        <v>110342.27326968974</v>
      </c>
      <c r="AB23" s="24">
        <f>Z23*1.25</f>
        <v>866876.484375</v>
      </c>
      <c r="AC23" s="24">
        <f>AB23/12/29.33*56</f>
        <v>137927.84158711217</v>
      </c>
    </row>
    <row r="24" spans="1:44" s="24" customFormat="1" ht="31.5">
      <c r="A24" s="153" t="s">
        <v>631</v>
      </c>
      <c r="B24" s="561" t="s">
        <v>525</v>
      </c>
      <c r="C24" s="560" t="s">
        <v>25</v>
      </c>
      <c r="D24" s="1000" t="s">
        <v>657</v>
      </c>
      <c r="E24" s="562" t="s">
        <v>114</v>
      </c>
      <c r="F24" s="547">
        <v>1</v>
      </c>
      <c r="G24" s="577" t="s">
        <v>102</v>
      </c>
      <c r="H24" s="577" t="s">
        <v>103</v>
      </c>
      <c r="I24" s="578">
        <v>1</v>
      </c>
      <c r="J24" s="554">
        <v>17697</v>
      </c>
      <c r="K24" s="565">
        <v>26</v>
      </c>
      <c r="L24" s="554">
        <f t="shared" si="1"/>
        <v>1.4444444444444444</v>
      </c>
      <c r="M24" s="574" t="s">
        <v>152</v>
      </c>
      <c r="N24" s="1016">
        <v>4.75</v>
      </c>
      <c r="O24" s="567">
        <f t="shared" si="2"/>
        <v>121421.08333333334</v>
      </c>
      <c r="P24" s="556">
        <f t="shared" si="0"/>
        <v>30355.270833333336</v>
      </c>
      <c r="Q24" s="568"/>
      <c r="R24" s="554"/>
      <c r="S24" s="554">
        <v>0.1</v>
      </c>
      <c r="T24" s="556">
        <f t="shared" si="3"/>
        <v>15177.63541666667</v>
      </c>
      <c r="U24" s="569"/>
      <c r="V24" s="554"/>
      <c r="W24" s="559">
        <f t="shared" si="4"/>
        <v>166953.98958333334</v>
      </c>
      <c r="X24" s="7"/>
      <c r="Y24" s="7"/>
      <c r="Z24" s="23">
        <f>W24*12</f>
        <v>2003447.875</v>
      </c>
      <c r="AA24" s="24">
        <f>Z24/12/29.33*56</f>
        <v>318766.56722354813</v>
      </c>
      <c r="AB24" s="24">
        <f>Z24*1.25</f>
        <v>2504309.84375</v>
      </c>
      <c r="AC24" s="24">
        <f>AB24/12/29.33*56</f>
        <v>398458.20902943518</v>
      </c>
    </row>
    <row r="25" spans="1:44" s="24" customFormat="1" ht="17.25" customHeight="1">
      <c r="A25" s="153" t="s">
        <v>124</v>
      </c>
      <c r="B25" s="561" t="s">
        <v>125</v>
      </c>
      <c r="C25" s="560" t="s">
        <v>75</v>
      </c>
      <c r="D25" s="582" t="s">
        <v>503</v>
      </c>
      <c r="E25" s="562" t="s">
        <v>77</v>
      </c>
      <c r="F25" s="547">
        <v>1</v>
      </c>
      <c r="G25" s="563" t="s">
        <v>102</v>
      </c>
      <c r="H25" s="563" t="s">
        <v>118</v>
      </c>
      <c r="I25" s="581">
        <v>3</v>
      </c>
      <c r="J25" s="554">
        <v>17697</v>
      </c>
      <c r="K25" s="565">
        <v>18</v>
      </c>
      <c r="L25" s="554">
        <f t="shared" si="1"/>
        <v>1</v>
      </c>
      <c r="M25" s="566" t="s">
        <v>109</v>
      </c>
      <c r="N25" s="1016">
        <v>3.85</v>
      </c>
      <c r="O25" s="567">
        <f t="shared" si="2"/>
        <v>68133.45</v>
      </c>
      <c r="P25" s="556">
        <f t="shared" si="0"/>
        <v>17033.362499999999</v>
      </c>
      <c r="Q25" s="568"/>
      <c r="R25" s="554"/>
      <c r="S25" s="554">
        <v>0.1</v>
      </c>
      <c r="T25" s="556">
        <f t="shared" si="3"/>
        <v>8516.6812499999996</v>
      </c>
      <c r="U25" s="569"/>
      <c r="V25" s="554"/>
      <c r="W25" s="559">
        <f t="shared" si="4"/>
        <v>93683.493749999994</v>
      </c>
      <c r="X25" s="7"/>
      <c r="Y25" s="7"/>
      <c r="Z25" s="23">
        <f>W25*12</f>
        <v>1124201.9249999998</v>
      </c>
      <c r="AA25" s="24">
        <f>Z25/12/29.33*56</f>
        <v>178870.63245823386</v>
      </c>
      <c r="AB25" s="24">
        <f>Z25*1.25</f>
        <v>1405252.4062499998</v>
      </c>
      <c r="AC25" s="24">
        <f>AB25/12/29.33*56</f>
        <v>223588.29057279235</v>
      </c>
    </row>
    <row r="26" spans="1:44" s="24" customFormat="1" ht="15.75">
      <c r="A26" s="153" t="s">
        <v>124</v>
      </c>
      <c r="B26" s="561" t="s">
        <v>125</v>
      </c>
      <c r="C26" s="560" t="s">
        <v>75</v>
      </c>
      <c r="D26" s="582" t="s">
        <v>590</v>
      </c>
      <c r="E26" s="562" t="s">
        <v>108</v>
      </c>
      <c r="F26" s="1668">
        <v>1</v>
      </c>
      <c r="G26" s="563" t="s">
        <v>102</v>
      </c>
      <c r="H26" s="563" t="s">
        <v>118</v>
      </c>
      <c r="I26" s="581">
        <v>3</v>
      </c>
      <c r="J26" s="554">
        <v>17697</v>
      </c>
      <c r="K26" s="1014">
        <v>11</v>
      </c>
      <c r="L26" s="554">
        <f t="shared" si="1"/>
        <v>0.61111111111111116</v>
      </c>
      <c r="M26" s="574" t="s">
        <v>109</v>
      </c>
      <c r="N26" s="1014">
        <v>3.85</v>
      </c>
      <c r="O26" s="567">
        <f t="shared" si="2"/>
        <v>41637.10833333333</v>
      </c>
      <c r="P26" s="556">
        <f t="shared" si="0"/>
        <v>10409.277083333332</v>
      </c>
      <c r="Q26" s="568"/>
      <c r="R26" s="554"/>
      <c r="S26" s="554">
        <v>0.1</v>
      </c>
      <c r="T26" s="556">
        <f t="shared" si="3"/>
        <v>5204.6385416666672</v>
      </c>
      <c r="U26" s="19"/>
      <c r="V26" s="554"/>
      <c r="W26" s="559">
        <f t="shared" si="4"/>
        <v>57251.023958333331</v>
      </c>
      <c r="X26" s="10">
        <f>U25+Q25</f>
        <v>0</v>
      </c>
      <c r="Y26" s="10">
        <f>V25+R25</f>
        <v>0</v>
      </c>
      <c r="Z26" s="23">
        <f>W25*12</f>
        <v>1124201.9249999998</v>
      </c>
      <c r="AA26" s="24">
        <f>Z26/12/29.33*56</f>
        <v>178870.63245823386</v>
      </c>
      <c r="AB26" s="24">
        <f>Z26*1.25</f>
        <v>1405252.4062499998</v>
      </c>
      <c r="AC26" s="24">
        <f>AB26/12/29.33*56</f>
        <v>223588.29057279235</v>
      </c>
    </row>
    <row r="27" spans="1:44" s="24" customFormat="1" ht="17.25" customHeight="1">
      <c r="A27" s="153" t="s">
        <v>629</v>
      </c>
      <c r="B27" s="561" t="s">
        <v>99</v>
      </c>
      <c r="C27" s="560" t="s">
        <v>25</v>
      </c>
      <c r="D27" s="562" t="s">
        <v>805</v>
      </c>
      <c r="E27" s="562" t="s">
        <v>252</v>
      </c>
      <c r="F27" s="547">
        <v>1</v>
      </c>
      <c r="G27" s="563" t="s">
        <v>102</v>
      </c>
      <c r="H27" s="563" t="s">
        <v>103</v>
      </c>
      <c r="I27" s="581">
        <v>4</v>
      </c>
      <c r="J27" s="554">
        <v>17697</v>
      </c>
      <c r="K27" s="565">
        <v>10</v>
      </c>
      <c r="L27" s="554">
        <f t="shared" si="1"/>
        <v>0.55555555555555558</v>
      </c>
      <c r="M27" s="574" t="s">
        <v>112</v>
      </c>
      <c r="N27" s="1582">
        <v>3.78</v>
      </c>
      <c r="O27" s="567">
        <f t="shared" si="2"/>
        <v>37163.700000000004</v>
      </c>
      <c r="P27" s="556">
        <f t="shared" si="0"/>
        <v>9290.9250000000011</v>
      </c>
      <c r="Q27" s="568"/>
      <c r="R27" s="554"/>
      <c r="S27" s="554">
        <v>0.1</v>
      </c>
      <c r="T27" s="556">
        <f t="shared" si="3"/>
        <v>4645.4625000000005</v>
      </c>
      <c r="U27" s="569"/>
      <c r="V27" s="554"/>
      <c r="W27" s="559">
        <f t="shared" si="4"/>
        <v>51100.087500000009</v>
      </c>
      <c r="X27" s="10">
        <f>U27+Q27</f>
        <v>0</v>
      </c>
      <c r="Y27" s="10">
        <f>V27+R27</f>
        <v>0</v>
      </c>
      <c r="Z27" s="23">
        <f>W27*12</f>
        <v>613201.05000000005</v>
      </c>
      <c r="AA27" s="24">
        <f>Z27/12/29.33*56</f>
        <v>97565.799522673042</v>
      </c>
      <c r="AB27" s="24">
        <f>Z27*1.25</f>
        <v>766501.3125</v>
      </c>
      <c r="AC27" s="24">
        <f>AB27/12/29.33*56</f>
        <v>121957.24940334129</v>
      </c>
    </row>
    <row r="28" spans="1:44" s="24" customFormat="1" ht="17.25" customHeight="1">
      <c r="A28" s="647" t="s">
        <v>264</v>
      </c>
      <c r="B28" s="647" t="s">
        <v>99</v>
      </c>
      <c r="C28" s="628" t="s">
        <v>25</v>
      </c>
      <c r="D28" s="586" t="s">
        <v>658</v>
      </c>
      <c r="E28" s="562" t="s">
        <v>40</v>
      </c>
      <c r="F28" s="547">
        <v>1</v>
      </c>
      <c r="G28" s="563" t="s">
        <v>102</v>
      </c>
      <c r="H28" s="563" t="s">
        <v>103</v>
      </c>
      <c r="I28" s="629">
        <v>1</v>
      </c>
      <c r="J28" s="554">
        <v>17697</v>
      </c>
      <c r="K28" s="648">
        <v>32</v>
      </c>
      <c r="L28" s="554">
        <f t="shared" si="1"/>
        <v>1.7777777777777777</v>
      </c>
      <c r="M28" s="574" t="s">
        <v>152</v>
      </c>
      <c r="N28" s="1597">
        <v>4.75</v>
      </c>
      <c r="O28" s="567">
        <f t="shared" si="2"/>
        <v>149441.33333333334</v>
      </c>
      <c r="P28" s="556">
        <f t="shared" si="0"/>
        <v>37360.333333333336</v>
      </c>
      <c r="Q28" s="1538"/>
      <c r="R28" s="700"/>
      <c r="S28" s="554">
        <v>0.1</v>
      </c>
      <c r="T28" s="556">
        <f t="shared" si="3"/>
        <v>18680.166666666668</v>
      </c>
      <c r="U28" s="1541"/>
      <c r="V28" s="700"/>
      <c r="W28" s="559">
        <f t="shared" si="4"/>
        <v>205481.83333333334</v>
      </c>
      <c r="X28" s="1547"/>
      <c r="Y28" s="1547"/>
      <c r="Z28" s="23"/>
    </row>
    <row r="29" spans="1:44" s="24" customFormat="1" ht="17.25" customHeight="1">
      <c r="A29" s="153" t="s">
        <v>618</v>
      </c>
      <c r="B29" s="561" t="s">
        <v>99</v>
      </c>
      <c r="C29" s="560" t="s">
        <v>25</v>
      </c>
      <c r="D29" s="582" t="s">
        <v>794</v>
      </c>
      <c r="E29" s="562" t="s">
        <v>795</v>
      </c>
      <c r="F29" s="1668">
        <v>1</v>
      </c>
      <c r="G29" s="1669" t="s">
        <v>102</v>
      </c>
      <c r="H29" s="1669" t="s">
        <v>103</v>
      </c>
      <c r="I29" s="1670">
        <v>3</v>
      </c>
      <c r="J29" s="554">
        <v>17697</v>
      </c>
      <c r="K29" s="1014">
        <v>27</v>
      </c>
      <c r="L29" s="554">
        <f t="shared" si="1"/>
        <v>1.5</v>
      </c>
      <c r="M29" s="698" t="s">
        <v>109</v>
      </c>
      <c r="N29" s="1582">
        <v>4.3600000000000003</v>
      </c>
      <c r="O29" s="697">
        <f t="shared" si="2"/>
        <v>115738.38000000002</v>
      </c>
      <c r="P29" s="556">
        <f t="shared" si="0"/>
        <v>28934.595000000005</v>
      </c>
      <c r="Q29" s="1538"/>
      <c r="R29" s="700"/>
      <c r="S29" s="554">
        <v>0.1</v>
      </c>
      <c r="T29" s="556">
        <f t="shared" si="3"/>
        <v>14467.297500000004</v>
      </c>
      <c r="U29" s="1541"/>
      <c r="V29" s="700"/>
      <c r="W29" s="559">
        <f t="shared" si="4"/>
        <v>159140.27250000005</v>
      </c>
      <c r="X29" s="1547">
        <f>U28+Q28</f>
        <v>0</v>
      </c>
      <c r="Y29" s="1547">
        <f>V28+R28</f>
        <v>0</v>
      </c>
      <c r="Z29" s="23">
        <f>W28*12</f>
        <v>2465782</v>
      </c>
      <c r="AA29" s="24">
        <f>Z29/12/29.33*56</f>
        <v>392328.0827366747</v>
      </c>
      <c r="AB29" s="24">
        <f>Z29*1.25</f>
        <v>3082227.5</v>
      </c>
      <c r="AC29" s="24">
        <f>AB29/12/29.33*56</f>
        <v>490410.10342084331</v>
      </c>
    </row>
    <row r="30" spans="1:44" s="24" customFormat="1" ht="17.25" customHeight="1">
      <c r="A30" s="13" t="s">
        <v>378</v>
      </c>
      <c r="B30" s="13" t="s">
        <v>63</v>
      </c>
      <c r="C30" s="5" t="s">
        <v>64</v>
      </c>
      <c r="D30" s="536" t="s">
        <v>780</v>
      </c>
      <c r="E30" s="5" t="s">
        <v>159</v>
      </c>
      <c r="F30" s="42">
        <v>0.5</v>
      </c>
      <c r="G30" s="15" t="s">
        <v>56</v>
      </c>
      <c r="H30" s="15" t="s">
        <v>56</v>
      </c>
      <c r="I30" s="14">
        <v>3</v>
      </c>
      <c r="J30" s="15">
        <v>17697</v>
      </c>
      <c r="K30" s="15"/>
      <c r="L30" s="10">
        <v>0.5</v>
      </c>
      <c r="M30" s="21"/>
      <c r="N30" s="10">
        <v>3.31</v>
      </c>
      <c r="O30" s="18">
        <f>N30*J30*L30</f>
        <v>29288.535</v>
      </c>
      <c r="P30" s="44"/>
      <c r="Q30" s="8"/>
      <c r="R30" s="7"/>
      <c r="S30" s="7">
        <v>0.1</v>
      </c>
      <c r="T30" s="44">
        <f>(O30+P30+R30)*S30</f>
        <v>2928.8535000000002</v>
      </c>
      <c r="U30" s="9"/>
      <c r="V30" s="7"/>
      <c r="W30" s="70">
        <f>O30+R30+T30+V30+P30</f>
        <v>32217.388500000001</v>
      </c>
      <c r="X30" s="1268">
        <f>Q30+S30+U30</f>
        <v>0.1</v>
      </c>
      <c r="Y30" s="1268">
        <f>R30+T30+V30</f>
        <v>2928.8535000000002</v>
      </c>
      <c r="Z30" s="1264">
        <f>W30*12</f>
        <v>386608.66200000001</v>
      </c>
      <c r="AA30" s="1382">
        <f>Z30/12/29.33*30</f>
        <v>32953.346573474264</v>
      </c>
      <c r="AB30" s="1396"/>
      <c r="AC30" s="1396"/>
      <c r="AD30" s="1396"/>
      <c r="AE30" s="1396"/>
      <c r="AF30" s="1396"/>
      <c r="AG30" s="1396"/>
      <c r="AH30" s="1396"/>
      <c r="AI30" s="1396"/>
      <c r="AJ30" s="1396"/>
      <c r="AK30" s="1396"/>
      <c r="AL30" s="1396"/>
      <c r="AM30" s="1396"/>
      <c r="AN30" s="1396"/>
      <c r="AO30" s="1396"/>
      <c r="AP30" s="1396"/>
      <c r="AQ30" s="1396"/>
      <c r="AR30" s="1396"/>
    </row>
    <row r="31" spans="1:44" s="24" customFormat="1" ht="19.5" customHeight="1">
      <c r="A31" s="13" t="s">
        <v>378</v>
      </c>
      <c r="B31" s="13" t="s">
        <v>71</v>
      </c>
      <c r="C31" s="5" t="s">
        <v>75</v>
      </c>
      <c r="D31" s="539" t="s">
        <v>787</v>
      </c>
      <c r="E31" s="5" t="s">
        <v>159</v>
      </c>
      <c r="F31" s="42">
        <v>0.5</v>
      </c>
      <c r="G31" s="15" t="s">
        <v>56</v>
      </c>
      <c r="H31" s="15" t="s">
        <v>56</v>
      </c>
      <c r="I31" s="14">
        <v>2</v>
      </c>
      <c r="J31" s="15">
        <v>17697</v>
      </c>
      <c r="K31" s="15"/>
      <c r="L31" s="10">
        <v>0.5</v>
      </c>
      <c r="M31" s="21"/>
      <c r="N31" s="10">
        <v>4.0999999999999996</v>
      </c>
      <c r="O31" s="18">
        <f>N31*J31*L31</f>
        <v>36278.85</v>
      </c>
      <c r="P31" s="42"/>
      <c r="Q31" s="8"/>
      <c r="R31" s="7"/>
      <c r="S31" s="7">
        <v>0.1</v>
      </c>
      <c r="T31" s="44">
        <f>(O31+P31+R31)*S31</f>
        <v>3627.8850000000002</v>
      </c>
      <c r="U31" s="9">
        <v>0.2</v>
      </c>
      <c r="V31" s="7">
        <f>U31*J31*50%</f>
        <v>1769.7</v>
      </c>
      <c r="W31" s="70">
        <f>O31+R31+T31+V31+P31</f>
        <v>41676.434999999998</v>
      </c>
      <c r="X31" s="1268">
        <f>Q31+S31+U31+W31</f>
        <v>41676.735000000001</v>
      </c>
      <c r="Y31" s="1268">
        <f>R31+T31+V31+X31</f>
        <v>47074.32</v>
      </c>
      <c r="Z31" s="1264">
        <f>W31*12</f>
        <v>500117.22</v>
      </c>
      <c r="AA31" s="1382">
        <f>Z31/12/29.33*30</f>
        <v>42628.470848960111</v>
      </c>
      <c r="AB31" s="1396"/>
      <c r="AC31" s="1396"/>
      <c r="AD31" s="1396"/>
      <c r="AE31" s="1396"/>
      <c r="AF31" s="1396"/>
      <c r="AG31" s="1396"/>
      <c r="AH31" s="1396"/>
      <c r="AI31" s="1396"/>
      <c r="AJ31" s="1396"/>
      <c r="AK31" s="1396"/>
      <c r="AL31" s="1396"/>
      <c r="AM31" s="1396"/>
      <c r="AN31" s="1396"/>
      <c r="AO31" s="1396"/>
      <c r="AP31" s="1396"/>
      <c r="AQ31" s="1396"/>
      <c r="AR31" s="1396"/>
    </row>
    <row r="32" spans="1:44" s="24" customFormat="1" ht="17.25" customHeight="1">
      <c r="A32" s="153" t="s">
        <v>116</v>
      </c>
      <c r="B32" s="561" t="s">
        <v>99</v>
      </c>
      <c r="C32" s="560" t="s">
        <v>64</v>
      </c>
      <c r="D32" s="562" t="s">
        <v>660</v>
      </c>
      <c r="E32" s="562" t="s">
        <v>114</v>
      </c>
      <c r="F32" s="547">
        <v>1</v>
      </c>
      <c r="G32" s="563" t="s">
        <v>102</v>
      </c>
      <c r="H32" s="563" t="s">
        <v>118</v>
      </c>
      <c r="I32" s="564">
        <v>1</v>
      </c>
      <c r="J32" s="554">
        <v>17697</v>
      </c>
      <c r="K32" s="565">
        <v>36</v>
      </c>
      <c r="L32" s="554">
        <f>K32/18</f>
        <v>2</v>
      </c>
      <c r="M32" s="574" t="s">
        <v>152</v>
      </c>
      <c r="N32" s="1014">
        <v>4.5199999999999996</v>
      </c>
      <c r="O32" s="567">
        <f>N32*J32/18*K32</f>
        <v>159980.87999999998</v>
      </c>
      <c r="P32" s="556">
        <f>O32*25%</f>
        <v>39995.219999999994</v>
      </c>
      <c r="Q32" s="568"/>
      <c r="R32" s="554"/>
      <c r="S32" s="554">
        <v>0.1</v>
      </c>
      <c r="T32" s="556">
        <f>(O32+P32)*S32</f>
        <v>19997.61</v>
      </c>
      <c r="U32" s="569"/>
      <c r="V32" s="554"/>
      <c r="W32" s="559">
        <f>O32+P32+T32</f>
        <v>219973.70999999996</v>
      </c>
      <c r="X32" s="10">
        <f>U32+Q32</f>
        <v>0</v>
      </c>
      <c r="Y32" s="10">
        <f>V32+R32</f>
        <v>0</v>
      </c>
      <c r="Z32" s="23">
        <f>W32*12</f>
        <v>2639684.5199999996</v>
      </c>
      <c r="AA32" s="24">
        <f>Z32/12/29.33*56</f>
        <v>419997.53699284006</v>
      </c>
      <c r="AB32" s="24">
        <f>Z32*1.25</f>
        <v>3299605.6499999994</v>
      </c>
      <c r="AC32" s="24">
        <f>AB32/12/29.33*56</f>
        <v>524996.92124105</v>
      </c>
    </row>
    <row r="33" spans="1:44" s="24" customFormat="1" ht="17.25" customHeight="1">
      <c r="A33" s="646" t="s">
        <v>337</v>
      </c>
      <c r="B33" s="647" t="s">
        <v>338</v>
      </c>
      <c r="C33" s="628" t="s">
        <v>64</v>
      </c>
      <c r="D33" s="646"/>
      <c r="E33" s="628"/>
      <c r="F33" s="642">
        <v>0.5</v>
      </c>
      <c r="G33" s="714"/>
      <c r="H33" s="715"/>
      <c r="I33" s="628">
        <v>2</v>
      </c>
      <c r="J33" s="715">
        <v>17697</v>
      </c>
      <c r="K33" s="715"/>
      <c r="L33" s="554">
        <v>0.5</v>
      </c>
      <c r="M33" s="700"/>
      <c r="N33" s="700">
        <v>2.81</v>
      </c>
      <c r="O33" s="697">
        <f>J33*N33*L33</f>
        <v>24864.285</v>
      </c>
      <c r="P33" s="556"/>
      <c r="Q33" s="700">
        <f>J33*O34*M33</f>
        <v>0</v>
      </c>
      <c r="R33" s="700"/>
      <c r="S33" s="568">
        <v>0.1</v>
      </c>
      <c r="T33" s="552">
        <f>S33*O33</f>
        <v>2486.4285</v>
      </c>
      <c r="U33" s="700"/>
      <c r="V33" s="700"/>
      <c r="W33" s="559">
        <f>O33+T33+V33</f>
        <v>27350.713499999998</v>
      </c>
      <c r="X33" s="1652">
        <f>Q32+U32+W32</f>
        <v>219973.70999999996</v>
      </c>
      <c r="Y33" s="1652">
        <f>R32+V32+X33</f>
        <v>219973.70999999996</v>
      </c>
      <c r="Z33" s="1277">
        <f>W32*12</f>
        <v>2639684.5199999996</v>
      </c>
      <c r="AA33" s="1458">
        <f>Z33/12/29.33*24</f>
        <v>179998.94442550288</v>
      </c>
      <c r="AB33" s="1278"/>
      <c r="AC33" s="1278"/>
      <c r="AD33" s="1278"/>
      <c r="AE33" s="1278"/>
      <c r="AF33" s="1278"/>
      <c r="AG33" s="1278"/>
      <c r="AH33" s="1278"/>
      <c r="AI33" s="1278"/>
      <c r="AJ33" s="1278"/>
      <c r="AK33" s="1569"/>
      <c r="AL33" s="1569"/>
      <c r="AM33" s="1278"/>
      <c r="AN33" s="1278"/>
      <c r="AO33" s="1278"/>
      <c r="AP33" s="1278"/>
      <c r="AQ33" s="1278"/>
      <c r="AR33" s="1278"/>
    </row>
    <row r="34" spans="1:44" s="24" customFormat="1" ht="17.25" customHeight="1">
      <c r="A34" s="1701" t="s">
        <v>81</v>
      </c>
      <c r="B34" s="6" t="s">
        <v>82</v>
      </c>
      <c r="C34" s="30" t="s">
        <v>64</v>
      </c>
      <c r="D34" s="57" t="s">
        <v>773</v>
      </c>
      <c r="E34" s="30" t="s">
        <v>84</v>
      </c>
      <c r="F34" s="65">
        <v>1</v>
      </c>
      <c r="G34" s="20" t="s">
        <v>56</v>
      </c>
      <c r="H34" s="5" t="s">
        <v>56</v>
      </c>
      <c r="I34" s="20">
        <v>3</v>
      </c>
      <c r="J34" s="7">
        <v>17697</v>
      </c>
      <c r="K34" s="882"/>
      <c r="L34" s="1547">
        <v>1</v>
      </c>
      <c r="M34" s="882"/>
      <c r="N34" s="1547">
        <v>3.5</v>
      </c>
      <c r="O34" s="883">
        <f>N34*J34*L34</f>
        <v>61939.5</v>
      </c>
      <c r="P34" s="42"/>
      <c r="Q34" s="882"/>
      <c r="R34" s="1635"/>
      <c r="S34" s="7">
        <v>0.1</v>
      </c>
      <c r="T34" s="44">
        <f>(O34+P34+R34)*S34</f>
        <v>6193.9500000000007</v>
      </c>
      <c r="U34" s="882"/>
      <c r="V34" s="881"/>
      <c r="W34" s="70">
        <f>O34+R34+T34+V34+P34</f>
        <v>68133.45</v>
      </c>
      <c r="X34" s="1269">
        <f>Q34+S34+U34</f>
        <v>0.1</v>
      </c>
      <c r="Y34" s="1269">
        <f>R34+T34+V34</f>
        <v>6193.9500000000007</v>
      </c>
      <c r="Z34" s="1264">
        <f>W34*12</f>
        <v>817601.39999999991</v>
      </c>
      <c r="AA34" s="1382">
        <f>Z34/12/29.33*30</f>
        <v>69689.856801909307</v>
      </c>
      <c r="AB34" s="1436"/>
      <c r="AC34" s="1436"/>
      <c r="AD34" s="1436"/>
      <c r="AE34" s="1436"/>
      <c r="AF34" s="1436"/>
      <c r="AG34" s="1436"/>
      <c r="AH34" s="1436"/>
      <c r="AI34" s="1436"/>
      <c r="AJ34" s="1436"/>
      <c r="AK34" s="1436"/>
      <c r="AL34" s="1436"/>
      <c r="AM34" s="1436"/>
      <c r="AN34" s="1437"/>
      <c r="AO34" s="1437"/>
      <c r="AP34" s="1437"/>
      <c r="AQ34" s="1437"/>
      <c r="AR34" s="1437"/>
    </row>
    <row r="35" spans="1:44" s="24" customFormat="1" ht="17.25" customHeight="1">
      <c r="A35" s="153" t="s">
        <v>127</v>
      </c>
      <c r="B35" s="561" t="s">
        <v>99</v>
      </c>
      <c r="C35" s="560" t="s">
        <v>25</v>
      </c>
      <c r="D35" s="562" t="s">
        <v>661</v>
      </c>
      <c r="E35" s="562" t="s">
        <v>34</v>
      </c>
      <c r="F35" s="547">
        <v>1</v>
      </c>
      <c r="G35" s="563" t="s">
        <v>102</v>
      </c>
      <c r="H35" s="563" t="s">
        <v>103</v>
      </c>
      <c r="I35" s="564">
        <v>1</v>
      </c>
      <c r="J35" s="554">
        <v>17697</v>
      </c>
      <c r="K35" s="565">
        <v>26</v>
      </c>
      <c r="L35" s="554">
        <f>K35/18</f>
        <v>1.4444444444444444</v>
      </c>
      <c r="M35" s="574" t="s">
        <v>152</v>
      </c>
      <c r="N35" s="1014">
        <v>4.75</v>
      </c>
      <c r="O35" s="567">
        <f>N35*J35/18*K35</f>
        <v>121421.08333333334</v>
      </c>
      <c r="P35" s="556">
        <f t="shared" ref="P35:P44" si="5">O35*25%</f>
        <v>30355.270833333336</v>
      </c>
      <c r="Q35" s="568"/>
      <c r="R35" s="554"/>
      <c r="S35" s="554">
        <v>0.1</v>
      </c>
      <c r="T35" s="556">
        <f>(O35+P35)*S35</f>
        <v>15177.63541666667</v>
      </c>
      <c r="U35" s="569"/>
      <c r="V35" s="554"/>
      <c r="W35" s="559">
        <f>O35+P35+T35</f>
        <v>166953.98958333334</v>
      </c>
      <c r="X35" s="10"/>
      <c r="Y35" s="10"/>
      <c r="Z35" s="23">
        <f>W35*12</f>
        <v>2003447.875</v>
      </c>
      <c r="AA35" s="24">
        <f>Z35/12/29.33*56</f>
        <v>318766.56722354813</v>
      </c>
      <c r="AB35" s="24">
        <f>Z35*1.25</f>
        <v>2504309.84375</v>
      </c>
      <c r="AC35" s="24">
        <f>AB35/12/29.33*56</f>
        <v>398458.20902943518</v>
      </c>
    </row>
    <row r="36" spans="1:44" s="1692" customFormat="1" ht="17.25" customHeight="1">
      <c r="A36" s="153" t="s">
        <v>127</v>
      </c>
      <c r="B36" s="561" t="s">
        <v>99</v>
      </c>
      <c r="C36" s="560" t="s">
        <v>25</v>
      </c>
      <c r="D36" s="562" t="s">
        <v>661</v>
      </c>
      <c r="E36" s="562" t="s">
        <v>34</v>
      </c>
      <c r="F36" s="1668">
        <v>1</v>
      </c>
      <c r="G36" s="563" t="s">
        <v>102</v>
      </c>
      <c r="H36" s="563" t="s">
        <v>103</v>
      </c>
      <c r="I36" s="564">
        <v>1</v>
      </c>
      <c r="J36" s="554">
        <v>17697</v>
      </c>
      <c r="K36" s="1014">
        <v>4</v>
      </c>
      <c r="L36" s="554">
        <f>K36/18</f>
        <v>0.22222222222222221</v>
      </c>
      <c r="M36" s="574" t="s">
        <v>152</v>
      </c>
      <c r="N36" s="1014">
        <v>4.75</v>
      </c>
      <c r="O36" s="567">
        <f>N36*J36/18*K36</f>
        <v>18680.166666666668</v>
      </c>
      <c r="P36" s="556">
        <f t="shared" si="5"/>
        <v>4670.041666666667</v>
      </c>
      <c r="Q36" s="568"/>
      <c r="R36" s="554"/>
      <c r="S36" s="554">
        <v>0.1</v>
      </c>
      <c r="T36" s="556">
        <f>(O36+P36)*S36</f>
        <v>2335.0208333333335</v>
      </c>
      <c r="U36" s="19"/>
      <c r="V36" s="554"/>
      <c r="W36" s="559">
        <f>O36+P36+T36</f>
        <v>25685.229166666668</v>
      </c>
      <c r="X36" s="10"/>
      <c r="Y36" s="10"/>
      <c r="Z36" s="23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</row>
    <row r="37" spans="1:44" s="24" customFormat="1" ht="17.25" customHeight="1">
      <c r="A37" s="153" t="s">
        <v>386</v>
      </c>
      <c r="B37" s="561" t="s">
        <v>99</v>
      </c>
      <c r="C37" s="560" t="s">
        <v>25</v>
      </c>
      <c r="D37" s="582" t="s">
        <v>662</v>
      </c>
      <c r="E37" s="582" t="s">
        <v>34</v>
      </c>
      <c r="F37" s="547">
        <v>1</v>
      </c>
      <c r="G37" s="563" t="s">
        <v>102</v>
      </c>
      <c r="H37" s="563" t="s">
        <v>103</v>
      </c>
      <c r="I37" s="581">
        <v>1</v>
      </c>
      <c r="J37" s="554">
        <v>17697</v>
      </c>
      <c r="K37" s="565">
        <v>28</v>
      </c>
      <c r="L37" s="554">
        <f>K37/18</f>
        <v>1.5555555555555556</v>
      </c>
      <c r="M37" s="574" t="s">
        <v>152</v>
      </c>
      <c r="N37" s="1014">
        <v>4.75</v>
      </c>
      <c r="O37" s="567">
        <f>N37*J37/18*K37</f>
        <v>130761.16666666667</v>
      </c>
      <c r="P37" s="556">
        <f t="shared" si="5"/>
        <v>32690.291666666668</v>
      </c>
      <c r="Q37" s="568"/>
      <c r="R37" s="554"/>
      <c r="S37" s="554">
        <v>0.1</v>
      </c>
      <c r="T37" s="556">
        <f>(O37+P37)*S37</f>
        <v>16345.145833333336</v>
      </c>
      <c r="U37" s="569"/>
      <c r="V37" s="554"/>
      <c r="W37" s="559">
        <f>O37+P37+T37</f>
        <v>179796.60416666669</v>
      </c>
      <c r="X37" s="10"/>
      <c r="Y37" s="10"/>
      <c r="Z37" s="23">
        <f>W37*12</f>
        <v>2157559.25</v>
      </c>
      <c r="AA37" s="24">
        <f>Z37/12/29.33*56</f>
        <v>343287.0723945903</v>
      </c>
      <c r="AB37" s="24">
        <f>Z37*1.25</f>
        <v>2696949.0625</v>
      </c>
      <c r="AC37" s="24">
        <f>AB37/12/29.33*56</f>
        <v>429108.84049323789</v>
      </c>
    </row>
    <row r="38" spans="1:44" s="24" customFormat="1" ht="17.25" customHeight="1">
      <c r="A38" s="17" t="s">
        <v>38</v>
      </c>
      <c r="B38" s="6" t="s">
        <v>32</v>
      </c>
      <c r="C38" s="16" t="s">
        <v>25</v>
      </c>
      <c r="D38" s="543" t="s">
        <v>774</v>
      </c>
      <c r="E38" s="734" t="s">
        <v>40</v>
      </c>
      <c r="F38" s="1729">
        <v>1</v>
      </c>
      <c r="G38" s="5" t="s">
        <v>28</v>
      </c>
      <c r="H38" s="5" t="s">
        <v>35</v>
      </c>
      <c r="I38" s="735">
        <v>3</v>
      </c>
      <c r="J38" s="18">
        <v>17697</v>
      </c>
      <c r="K38" s="18"/>
      <c r="L38" s="1629">
        <v>1</v>
      </c>
      <c r="M38" s="18"/>
      <c r="N38" s="1628">
        <v>5.77</v>
      </c>
      <c r="O38" s="18">
        <f>N38*J38*L38</f>
        <v>102111.68999999999</v>
      </c>
      <c r="P38" s="44">
        <f t="shared" si="5"/>
        <v>25527.922499999997</v>
      </c>
      <c r="Q38" s="19">
        <v>0.25</v>
      </c>
      <c r="R38" s="18">
        <v>31600</v>
      </c>
      <c r="S38" s="7">
        <v>0.1</v>
      </c>
      <c r="T38" s="44">
        <v>13073</v>
      </c>
      <c r="U38" s="736"/>
      <c r="V38" s="18"/>
      <c r="W38" s="70">
        <f>O38+R38+T38+V38+P38</f>
        <v>172312.61249999999</v>
      </c>
      <c r="X38" s="1268">
        <f>Q38+S38+U38</f>
        <v>0.35</v>
      </c>
      <c r="Y38" s="1268">
        <f>R38+T38+V38</f>
        <v>44673</v>
      </c>
      <c r="Z38" s="1264">
        <f>W38*12</f>
        <v>2067751.3499999999</v>
      </c>
      <c r="AA38" s="1382">
        <f>Z38/12/29.33*30</f>
        <v>176248.83651551313</v>
      </c>
      <c r="AB38" s="1264"/>
      <c r="AC38" s="1264"/>
      <c r="AD38" s="1383"/>
      <c r="AE38" s="1383"/>
      <c r="AF38" s="1264"/>
      <c r="AG38" s="1407"/>
      <c r="AH38" s="1407"/>
      <c r="AI38" s="1407"/>
      <c r="AJ38" s="1407"/>
      <c r="AK38" s="1408"/>
      <c r="AL38" s="1407"/>
      <c r="AM38" s="1407"/>
      <c r="AN38" s="1407"/>
      <c r="AO38" s="1409"/>
      <c r="AP38" s="1408">
        <f>O38+T38+R38+V38</f>
        <v>146784.69</v>
      </c>
      <c r="AQ38" s="1407"/>
      <c r="AR38" s="1407"/>
    </row>
    <row r="39" spans="1:44" s="24" customFormat="1" ht="17.25" customHeight="1">
      <c r="A39" s="661" t="s">
        <v>38</v>
      </c>
      <c r="B39" s="647" t="s">
        <v>99</v>
      </c>
      <c r="C39" s="663" t="s">
        <v>25</v>
      </c>
      <c r="D39" s="664" t="s">
        <v>663</v>
      </c>
      <c r="E39" s="664" t="s">
        <v>40</v>
      </c>
      <c r="F39" s="1727">
        <v>1</v>
      </c>
      <c r="G39" s="177" t="s">
        <v>102</v>
      </c>
      <c r="H39" s="177" t="s">
        <v>103</v>
      </c>
      <c r="I39" s="178">
        <v>1</v>
      </c>
      <c r="J39" s="554">
        <v>17697</v>
      </c>
      <c r="K39" s="665">
        <v>9</v>
      </c>
      <c r="L39" s="567">
        <f>K39/18</f>
        <v>0.5</v>
      </c>
      <c r="M39" s="997" t="s">
        <v>152</v>
      </c>
      <c r="N39" s="1608">
        <v>4.75</v>
      </c>
      <c r="O39" s="567">
        <f>J39*N39/18*K39</f>
        <v>42030.375</v>
      </c>
      <c r="P39" s="556">
        <f t="shared" si="5"/>
        <v>10507.59375</v>
      </c>
      <c r="Q39" s="666">
        <v>0.25</v>
      </c>
      <c r="R39" s="554">
        <f>(O39+P39)*Q39</f>
        <v>13134.4921875</v>
      </c>
      <c r="S39" s="554">
        <v>0.1</v>
      </c>
      <c r="T39" s="556">
        <f>(O39+P39+R39)*S39</f>
        <v>6567.24609375</v>
      </c>
      <c r="U39" s="19"/>
      <c r="V39" s="554"/>
      <c r="W39" s="559">
        <f>O39+P39+R39+T39</f>
        <v>72239.70703125</v>
      </c>
      <c r="X39" s="238"/>
      <c r="Y39" s="238"/>
      <c r="Z39" s="1370">
        <f>W38*12</f>
        <v>2067751.3499999999</v>
      </c>
      <c r="AA39" s="225">
        <f>Z39/12/29.33*56</f>
        <v>328997.82816229115</v>
      </c>
      <c r="AB39" s="225">
        <f>Z39*1.25</f>
        <v>2584689.1875</v>
      </c>
      <c r="AC39" s="225">
        <f>AB39/12/29.33*56</f>
        <v>411247.28520286398</v>
      </c>
      <c r="AD39" s="225"/>
      <c r="AE39" s="225"/>
      <c r="AF39" s="225"/>
      <c r="AG39" s="225"/>
      <c r="AH39" s="225"/>
      <c r="AI39" s="225"/>
      <c r="AJ39" s="225"/>
      <c r="AK39" s="225"/>
      <c r="AL39" s="225"/>
      <c r="AM39" s="225"/>
      <c r="AN39" s="225"/>
      <c r="AO39" s="225"/>
      <c r="AP39" s="225"/>
      <c r="AQ39" s="225"/>
      <c r="AR39" s="225"/>
    </row>
    <row r="40" spans="1:44" s="24" customFormat="1" ht="17.25" customHeight="1">
      <c r="A40" s="647" t="s">
        <v>268</v>
      </c>
      <c r="B40" s="647" t="s">
        <v>99</v>
      </c>
      <c r="C40" s="628" t="s">
        <v>25</v>
      </c>
      <c r="D40" s="586" t="s">
        <v>664</v>
      </c>
      <c r="E40" s="562" t="s">
        <v>40</v>
      </c>
      <c r="F40" s="547">
        <v>1</v>
      </c>
      <c r="G40" s="563" t="s">
        <v>102</v>
      </c>
      <c r="H40" s="563" t="s">
        <v>103</v>
      </c>
      <c r="I40" s="629">
        <v>1</v>
      </c>
      <c r="J40" s="554">
        <v>17697</v>
      </c>
      <c r="K40" s="648">
        <v>32</v>
      </c>
      <c r="L40" s="554">
        <f>K40/18</f>
        <v>1.7777777777777777</v>
      </c>
      <c r="M40" s="574" t="s">
        <v>152</v>
      </c>
      <c r="N40" s="1598">
        <v>4.75</v>
      </c>
      <c r="O40" s="567">
        <f>N40*J40/18*K40</f>
        <v>149441.33333333334</v>
      </c>
      <c r="P40" s="556">
        <f t="shared" si="5"/>
        <v>37360.333333333336</v>
      </c>
      <c r="Q40" s="568"/>
      <c r="R40" s="554"/>
      <c r="S40" s="554">
        <v>0.1</v>
      </c>
      <c r="T40" s="556">
        <f>(O40+P40)*S40</f>
        <v>18680.166666666668</v>
      </c>
      <c r="U40" s="19"/>
      <c r="V40" s="554"/>
      <c r="W40" s="559">
        <f>O40+P40+T40</f>
        <v>205481.83333333334</v>
      </c>
      <c r="X40" s="10"/>
      <c r="Y40" s="10"/>
      <c r="Z40" s="23"/>
    </row>
    <row r="41" spans="1:44" s="24" customFormat="1" ht="17.25" customHeight="1">
      <c r="A41" s="153" t="s">
        <v>458</v>
      </c>
      <c r="B41" s="561" t="s">
        <v>99</v>
      </c>
      <c r="C41" s="560" t="s">
        <v>25</v>
      </c>
      <c r="D41" s="582" t="s">
        <v>662</v>
      </c>
      <c r="E41" s="582" t="s">
        <v>34</v>
      </c>
      <c r="F41" s="547">
        <v>1</v>
      </c>
      <c r="G41" s="563" t="s">
        <v>102</v>
      </c>
      <c r="H41" s="563" t="s">
        <v>103</v>
      </c>
      <c r="I41" s="581">
        <v>1</v>
      </c>
      <c r="J41" s="554">
        <v>17697</v>
      </c>
      <c r="K41" s="565">
        <v>17</v>
      </c>
      <c r="L41" s="554">
        <f>K41/18</f>
        <v>0.94444444444444442</v>
      </c>
      <c r="M41" s="574" t="s">
        <v>152</v>
      </c>
      <c r="N41" s="1014">
        <v>4.75</v>
      </c>
      <c r="O41" s="567">
        <f>N41*J41/18*K41</f>
        <v>79390.708333333343</v>
      </c>
      <c r="P41" s="556">
        <f t="shared" si="5"/>
        <v>19847.677083333336</v>
      </c>
      <c r="Q41" s="568"/>
      <c r="R41" s="554"/>
      <c r="S41" s="554">
        <v>0.1</v>
      </c>
      <c r="T41" s="556">
        <f>(O41+P41)*S41</f>
        <v>9923.8385416666697</v>
      </c>
      <c r="U41" s="569"/>
      <c r="V41" s="554"/>
      <c r="W41" s="559">
        <f>O41+P41+T41</f>
        <v>109162.22395833336</v>
      </c>
      <c r="X41" s="10"/>
      <c r="Y41" s="10"/>
      <c r="Z41" s="23"/>
    </row>
    <row r="42" spans="1:44" s="24" customFormat="1" ht="17.25" customHeight="1">
      <c r="A42" s="730" t="s">
        <v>45</v>
      </c>
      <c r="B42" s="6" t="s">
        <v>46</v>
      </c>
      <c r="C42" s="560" t="s">
        <v>25</v>
      </c>
      <c r="D42" s="1716" t="s">
        <v>727</v>
      </c>
      <c r="E42" s="1716" t="s">
        <v>34</v>
      </c>
      <c r="F42" s="547">
        <v>1</v>
      </c>
      <c r="G42" s="5" t="s">
        <v>28</v>
      </c>
      <c r="H42" s="5" t="s">
        <v>29</v>
      </c>
      <c r="I42" s="731" t="s">
        <v>44</v>
      </c>
      <c r="J42" s="7">
        <v>17697</v>
      </c>
      <c r="K42" s="7"/>
      <c r="L42" s="10">
        <v>1</v>
      </c>
      <c r="M42" s="7"/>
      <c r="N42" s="10">
        <v>5.91</v>
      </c>
      <c r="O42" s="18">
        <f>N42*J42*L42</f>
        <v>104589.27</v>
      </c>
      <c r="P42" s="44">
        <f t="shared" si="5"/>
        <v>26147.317500000001</v>
      </c>
      <c r="Q42" s="19"/>
      <c r="R42" s="7"/>
      <c r="S42" s="7">
        <v>0.1</v>
      </c>
      <c r="T42" s="44">
        <f>(O42+P42+R42)*S42</f>
        <v>13073.658750000002</v>
      </c>
      <c r="U42" s="9"/>
      <c r="V42" s="7"/>
      <c r="W42" s="70">
        <f>O42+R42+T42+V42+P42</f>
        <v>143810.24625</v>
      </c>
      <c r="X42" s="1268">
        <f>Q42+S42+U42</f>
        <v>0.1</v>
      </c>
      <c r="Y42" s="1268">
        <f>R42+T42+V42</f>
        <v>13073.658750000002</v>
      </c>
      <c r="Z42" s="1264">
        <f>W42*12</f>
        <v>1725722.9550000001</v>
      </c>
      <c r="AA42" s="1382">
        <f>Z42/12/29.33*30</f>
        <v>147095.37632117287</v>
      </c>
      <c r="AB42" s="1265"/>
      <c r="AC42" s="1265"/>
      <c r="AD42" s="1265"/>
      <c r="AE42" s="1265"/>
      <c r="AF42" s="1265"/>
      <c r="AG42" s="1265"/>
      <c r="AH42" s="1265"/>
      <c r="AI42" s="1265"/>
      <c r="AJ42" s="1265"/>
      <c r="AK42" s="1265"/>
      <c r="AL42" s="1265"/>
      <c r="AM42" s="1265"/>
      <c r="AN42" s="1265"/>
      <c r="AO42" s="1265"/>
      <c r="AP42" s="1265"/>
      <c r="AQ42" s="1265"/>
      <c r="AR42" s="1265"/>
    </row>
    <row r="43" spans="1:44" s="24" customFormat="1" ht="17.25" customHeight="1">
      <c r="A43" s="998" t="s">
        <v>130</v>
      </c>
      <c r="B43" s="873" t="s">
        <v>99</v>
      </c>
      <c r="C43" s="874" t="s">
        <v>25</v>
      </c>
      <c r="D43" s="1716" t="s">
        <v>665</v>
      </c>
      <c r="E43" s="1716" t="s">
        <v>34</v>
      </c>
      <c r="F43" s="547">
        <v>1</v>
      </c>
      <c r="G43" s="563" t="s">
        <v>102</v>
      </c>
      <c r="H43" s="563" t="s">
        <v>103</v>
      </c>
      <c r="I43" s="564">
        <v>1</v>
      </c>
      <c r="J43" s="554">
        <v>17697</v>
      </c>
      <c r="K43" s="1540">
        <v>9</v>
      </c>
      <c r="L43" s="554">
        <f>K43/18</f>
        <v>0.5</v>
      </c>
      <c r="M43" s="1004" t="s">
        <v>152</v>
      </c>
      <c r="N43" s="1157">
        <v>4.75</v>
      </c>
      <c r="O43" s="697">
        <f>N43*J43/18*K43</f>
        <v>42030.375</v>
      </c>
      <c r="P43" s="556">
        <f t="shared" si="5"/>
        <v>10507.59375</v>
      </c>
      <c r="Q43" s="1538"/>
      <c r="R43" s="700"/>
      <c r="S43" s="554">
        <v>0.1</v>
      </c>
      <c r="T43" s="556">
        <f>(O43+P43)*S43</f>
        <v>5253.796875</v>
      </c>
      <c r="U43" s="699"/>
      <c r="V43" s="700"/>
      <c r="W43" s="559">
        <f>O43+P43+T43</f>
        <v>57791.765625</v>
      </c>
      <c r="X43" s="882">
        <f>U43+Q43</f>
        <v>0</v>
      </c>
      <c r="Y43" s="882">
        <f>V43+R43</f>
        <v>0</v>
      </c>
      <c r="Z43" s="23">
        <f>W43*12</f>
        <v>693501.1875</v>
      </c>
      <c r="AA43" s="24">
        <f>Z43/12/29.33*56</f>
        <v>110342.27326968974</v>
      </c>
      <c r="AB43" s="24">
        <f>Z43*1.25</f>
        <v>866876.484375</v>
      </c>
      <c r="AC43" s="24">
        <f>AB43/12/29.33*56</f>
        <v>137927.84158711217</v>
      </c>
    </row>
    <row r="44" spans="1:44" s="24" customFormat="1" ht="17.25" customHeight="1">
      <c r="A44" s="669" t="s">
        <v>306</v>
      </c>
      <c r="B44" s="647" t="s">
        <v>99</v>
      </c>
      <c r="C44" s="663" t="s">
        <v>25</v>
      </c>
      <c r="D44" s="670" t="s">
        <v>666</v>
      </c>
      <c r="E44" s="670" t="s">
        <v>68</v>
      </c>
      <c r="F44" s="1727">
        <v>1</v>
      </c>
      <c r="G44" s="177" t="s">
        <v>102</v>
      </c>
      <c r="H44" s="177" t="s">
        <v>103</v>
      </c>
      <c r="I44" s="182">
        <v>4</v>
      </c>
      <c r="J44" s="554">
        <v>17697</v>
      </c>
      <c r="K44" s="665">
        <v>31</v>
      </c>
      <c r="L44" s="567">
        <f>K44/18</f>
        <v>1.7222222222222223</v>
      </c>
      <c r="M44" s="997" t="s">
        <v>112</v>
      </c>
      <c r="N44" s="1610">
        <v>3.64</v>
      </c>
      <c r="O44" s="567">
        <f>J44*N44/18*K44</f>
        <v>110940.52666666667</v>
      </c>
      <c r="P44" s="556">
        <f t="shared" si="5"/>
        <v>27735.131666666668</v>
      </c>
      <c r="Q44" s="666">
        <v>0.25</v>
      </c>
      <c r="R44" s="554">
        <f>(O44+P44)*Q44</f>
        <v>34668.914583333331</v>
      </c>
      <c r="S44" s="554">
        <v>0.1</v>
      </c>
      <c r="T44" s="556">
        <f>(O44+P44+R44)*S44</f>
        <v>17334.457291666666</v>
      </c>
      <c r="U44" s="19"/>
      <c r="V44" s="554"/>
      <c r="W44" s="559">
        <f>O44+P44+R44+T44</f>
        <v>190679.03020833334</v>
      </c>
      <c r="X44" s="406">
        <f>U43+S43+Q43</f>
        <v>0.1</v>
      </c>
      <c r="Y44" s="406">
        <f>V43+T43+R43</f>
        <v>5253.796875</v>
      </c>
      <c r="Z44" s="375">
        <f>W43*12</f>
        <v>693501.1875</v>
      </c>
      <c r="AA44" s="377">
        <f>Z44/12/29.33*56</f>
        <v>110342.27326968974</v>
      </c>
      <c r="AB44" s="377">
        <f>Z44*1.25</f>
        <v>866876.484375</v>
      </c>
      <c r="AC44" s="377">
        <f>AB44/12/29.33*56</f>
        <v>137927.84158711217</v>
      </c>
      <c r="AD44" s="377"/>
      <c r="AE44" s="377"/>
      <c r="AF44" s="377"/>
      <c r="AG44" s="377"/>
      <c r="AH44" s="377"/>
      <c r="AI44" s="377"/>
      <c r="AJ44" s="377"/>
      <c r="AK44" s="377"/>
      <c r="AL44" s="377"/>
      <c r="AM44" s="377"/>
      <c r="AN44" s="377"/>
      <c r="AO44" s="377"/>
      <c r="AP44" s="377"/>
      <c r="AQ44" s="377"/>
      <c r="AR44" s="377"/>
    </row>
    <row r="45" spans="1:44" s="24" customFormat="1" ht="17.25" customHeight="1">
      <c r="A45" s="153" t="s">
        <v>734</v>
      </c>
      <c r="B45" s="647" t="s">
        <v>340</v>
      </c>
      <c r="C45" s="560" t="s">
        <v>64</v>
      </c>
      <c r="D45" s="563"/>
      <c r="E45" s="717"/>
      <c r="F45" s="706" t="s">
        <v>409</v>
      </c>
      <c r="G45" s="563"/>
      <c r="H45" s="689"/>
      <c r="I45" s="563">
        <v>2</v>
      </c>
      <c r="J45" s="554">
        <v>17697</v>
      </c>
      <c r="K45" s="554"/>
      <c r="L45" s="554">
        <v>1</v>
      </c>
      <c r="M45" s="554"/>
      <c r="N45" s="554">
        <v>2.81</v>
      </c>
      <c r="O45" s="567">
        <f>J45*N45*L45*F45</f>
        <v>74592.854999999996</v>
      </c>
      <c r="P45" s="556"/>
      <c r="Q45" s="554">
        <f>J45*O46*M45</f>
        <v>0</v>
      </c>
      <c r="R45" s="554"/>
      <c r="S45" s="568">
        <v>0.1</v>
      </c>
      <c r="T45" s="552">
        <f>S45*O45</f>
        <v>7459.2855</v>
      </c>
      <c r="U45" s="569">
        <v>0.3</v>
      </c>
      <c r="V45" s="554">
        <f>U45*J45*1.5</f>
        <v>7963.65</v>
      </c>
      <c r="W45" s="559">
        <f>O45+T45+V45</f>
        <v>90015.790499999988</v>
      </c>
      <c r="X45" s="1651">
        <f>Q44+U44+W44</f>
        <v>190679.28020833334</v>
      </c>
      <c r="Y45" s="1651">
        <f>R44+V44+X45</f>
        <v>225348.19479166667</v>
      </c>
      <c r="Z45" s="1277">
        <f>W44*12</f>
        <v>2288148.3624999998</v>
      </c>
      <c r="AA45" s="1458">
        <f>Z45/12/29.33*24</f>
        <v>156027.8460620525</v>
      </c>
      <c r="AB45" s="1458"/>
      <c r="AC45" s="1458"/>
      <c r="AD45" s="1458"/>
      <c r="AE45" s="1458"/>
      <c r="AF45" s="1458"/>
      <c r="AG45" s="1458"/>
      <c r="AH45" s="1458"/>
      <c r="AI45" s="1458"/>
      <c r="AJ45" s="1458"/>
      <c r="AK45" s="1458"/>
      <c r="AL45" s="1458"/>
      <c r="AM45" s="1458"/>
      <c r="AN45" s="1459"/>
      <c r="AO45" s="1459"/>
      <c r="AP45" s="1459"/>
      <c r="AQ45" s="1459"/>
      <c r="AR45" s="1459"/>
    </row>
    <row r="46" spans="1:44" s="24" customFormat="1" ht="17.25" customHeight="1">
      <c r="A46" s="729" t="s">
        <v>354</v>
      </c>
      <c r="B46" s="662" t="s">
        <v>786</v>
      </c>
      <c r="C46" s="663" t="s">
        <v>75</v>
      </c>
      <c r="D46" s="663"/>
      <c r="E46" s="727"/>
      <c r="F46" s="1732">
        <v>1</v>
      </c>
      <c r="G46" s="728"/>
      <c r="H46" s="728"/>
      <c r="I46" s="663">
        <v>1</v>
      </c>
      <c r="J46" s="567">
        <v>17697</v>
      </c>
      <c r="K46" s="567"/>
      <c r="L46" s="554">
        <v>1</v>
      </c>
      <c r="M46" s="567"/>
      <c r="N46" s="554">
        <v>2.77</v>
      </c>
      <c r="O46" s="567">
        <f>J46*N46*L46</f>
        <v>49020.69</v>
      </c>
      <c r="P46" s="556"/>
      <c r="Q46" s="554">
        <f>J46*O47*M46</f>
        <v>0</v>
      </c>
      <c r="R46" s="567"/>
      <c r="S46" s="568">
        <v>0.1</v>
      </c>
      <c r="T46" s="552">
        <f>S46*O46</f>
        <v>4902.0690000000004</v>
      </c>
      <c r="U46" s="567">
        <v>0</v>
      </c>
      <c r="V46" s="593">
        <v>12439.34</v>
      </c>
      <c r="W46" s="559">
        <f>O46+T46+V46</f>
        <v>66362.099000000002</v>
      </c>
      <c r="X46" s="1651">
        <f>Q45+U45+W45</f>
        <v>90016.090499999991</v>
      </c>
      <c r="Y46" s="1651">
        <f>R45+V45+X46</f>
        <v>97979.740499999985</v>
      </c>
      <c r="Z46" s="1277">
        <f>W45*12</f>
        <v>1080189.4859999998</v>
      </c>
      <c r="AA46" s="1458">
        <f>Z46/12/29.33*24</f>
        <v>73657.653324241386</v>
      </c>
      <c r="AB46" s="1277"/>
      <c r="AC46" s="1277"/>
      <c r="AD46" s="1482"/>
      <c r="AE46" s="1483"/>
      <c r="AF46" s="1277"/>
      <c r="AG46" s="1278"/>
      <c r="AH46" s="1278"/>
      <c r="AI46" s="1278"/>
      <c r="AJ46" s="1278"/>
      <c r="AK46" s="1278"/>
      <c r="AL46" s="1278"/>
      <c r="AM46" s="1278"/>
      <c r="AN46" s="1278"/>
      <c r="AO46" s="1278"/>
      <c r="AP46" s="1278"/>
      <c r="AQ46" s="1278"/>
      <c r="AR46" s="1278"/>
    </row>
    <row r="47" spans="1:44" s="24" customFormat="1" ht="17.25" customHeight="1">
      <c r="A47" s="998" t="s">
        <v>791</v>
      </c>
      <c r="B47" s="549" t="s">
        <v>99</v>
      </c>
      <c r="C47" s="874" t="s">
        <v>75</v>
      </c>
      <c r="D47" s="1539" t="s">
        <v>796</v>
      </c>
      <c r="E47" s="562" t="s">
        <v>797</v>
      </c>
      <c r="F47" s="1731">
        <v>1</v>
      </c>
      <c r="G47" s="1543" t="s">
        <v>102</v>
      </c>
      <c r="H47" s="1543" t="s">
        <v>118</v>
      </c>
      <c r="I47" s="698">
        <v>3</v>
      </c>
      <c r="J47" s="554">
        <v>17697</v>
      </c>
      <c r="K47" s="1157">
        <v>21</v>
      </c>
      <c r="L47" s="700">
        <f t="shared" ref="L47:L52" si="6">K47/18</f>
        <v>1.1666666666666667</v>
      </c>
      <c r="M47" s="698" t="s">
        <v>109</v>
      </c>
      <c r="N47" s="1157">
        <v>3.97</v>
      </c>
      <c r="O47" s="697">
        <f>N47*J47/18*K47</f>
        <v>81966.604999999996</v>
      </c>
      <c r="P47" s="556">
        <f t="shared" ref="P47:P52" si="7">O47*25%</f>
        <v>20491.651249999999</v>
      </c>
      <c r="Q47" s="1538"/>
      <c r="R47" s="700"/>
      <c r="S47" s="554">
        <v>0.1</v>
      </c>
      <c r="T47" s="556">
        <f>(O47+P47)*S47</f>
        <v>10245.825624999999</v>
      </c>
      <c r="U47" s="1541"/>
      <c r="V47" s="700"/>
      <c r="W47" s="559">
        <f>O47+P47+T47</f>
        <v>112704.08187499999</v>
      </c>
      <c r="X47" s="1547">
        <f>U46+Q46</f>
        <v>0</v>
      </c>
      <c r="Y47" s="1547">
        <f>V46+R46</f>
        <v>12439.34</v>
      </c>
      <c r="Z47" s="23">
        <f>W46*12</f>
        <v>796345.18800000008</v>
      </c>
      <c r="AA47" s="24">
        <f>Z47/12/29.33*56</f>
        <v>126705.67828162294</v>
      </c>
      <c r="AB47" s="24">
        <f>Z47*1.25</f>
        <v>995431.4850000001</v>
      </c>
      <c r="AC47" s="24">
        <f>AB47/12/29.33*56</f>
        <v>158382.09785202867</v>
      </c>
    </row>
    <row r="48" spans="1:44" s="24" customFormat="1" ht="17.25" customHeight="1">
      <c r="A48" s="153" t="s">
        <v>455</v>
      </c>
      <c r="B48" s="561" t="s">
        <v>99</v>
      </c>
      <c r="C48" s="563" t="s">
        <v>25</v>
      </c>
      <c r="D48" s="210" t="s">
        <v>667</v>
      </c>
      <c r="E48" s="562" t="s">
        <v>34</v>
      </c>
      <c r="F48" s="547">
        <v>1</v>
      </c>
      <c r="G48" s="563" t="s">
        <v>102</v>
      </c>
      <c r="H48" s="563" t="s">
        <v>103</v>
      </c>
      <c r="I48" s="564">
        <v>1</v>
      </c>
      <c r="J48" s="554">
        <v>17697</v>
      </c>
      <c r="K48" s="565">
        <v>8</v>
      </c>
      <c r="L48" s="554">
        <f t="shared" si="6"/>
        <v>0.44444444444444442</v>
      </c>
      <c r="M48" s="997" t="s">
        <v>152</v>
      </c>
      <c r="N48" s="1014">
        <v>4.75</v>
      </c>
      <c r="O48" s="567">
        <f>N48*J48/18*K48</f>
        <v>37360.333333333336</v>
      </c>
      <c r="P48" s="556">
        <f t="shared" si="7"/>
        <v>9340.0833333333339</v>
      </c>
      <c r="Q48" s="568"/>
      <c r="R48" s="554"/>
      <c r="S48" s="554">
        <v>0.1</v>
      </c>
      <c r="T48" s="556">
        <f>(O48+P48)*S48</f>
        <v>4670.041666666667</v>
      </c>
      <c r="U48" s="569"/>
      <c r="V48" s="554"/>
      <c r="W48" s="559">
        <f>O48+P48+T48</f>
        <v>51370.458333333336</v>
      </c>
      <c r="X48" s="1691">
        <f>U48+Q48</f>
        <v>0</v>
      </c>
      <c r="Y48" s="1691">
        <f>V48+R48</f>
        <v>0</v>
      </c>
      <c r="Z48" s="23">
        <f>W48*12</f>
        <v>616445.5</v>
      </c>
      <c r="AA48" s="24">
        <f>Z48/12/29.33*56</f>
        <v>98082.020684168674</v>
      </c>
      <c r="AB48" s="24">
        <f>Z48*1.25</f>
        <v>770556.875</v>
      </c>
      <c r="AC48" s="24">
        <f>AB48/12/29.33*56</f>
        <v>122602.52585521083</v>
      </c>
      <c r="AD48" s="1692"/>
      <c r="AE48" s="1692"/>
      <c r="AF48" s="1692"/>
      <c r="AG48" s="1692"/>
      <c r="AH48" s="1692"/>
      <c r="AI48" s="1692"/>
      <c r="AJ48" s="1692"/>
      <c r="AK48" s="1692"/>
      <c r="AL48" s="1692"/>
      <c r="AM48" s="1692"/>
      <c r="AN48" s="1692"/>
      <c r="AO48" s="1692"/>
      <c r="AP48" s="1692"/>
      <c r="AQ48" s="1692"/>
      <c r="AR48" s="1692"/>
    </row>
    <row r="49" spans="1:44" s="24" customFormat="1" ht="17.25" customHeight="1">
      <c r="A49" s="661" t="s">
        <v>309</v>
      </c>
      <c r="B49" s="647" t="s">
        <v>99</v>
      </c>
      <c r="C49" s="663" t="s">
        <v>25</v>
      </c>
      <c r="D49" s="664" t="s">
        <v>668</v>
      </c>
      <c r="E49" s="664" t="s">
        <v>40</v>
      </c>
      <c r="F49" s="1727">
        <v>1</v>
      </c>
      <c r="G49" s="177" t="s">
        <v>102</v>
      </c>
      <c r="H49" s="177" t="s">
        <v>103</v>
      </c>
      <c r="I49" s="178">
        <v>1</v>
      </c>
      <c r="J49" s="554">
        <v>17697</v>
      </c>
      <c r="K49" s="665">
        <v>24</v>
      </c>
      <c r="L49" s="567">
        <f t="shared" si="6"/>
        <v>1.3333333333333333</v>
      </c>
      <c r="M49" s="997" t="s">
        <v>152</v>
      </c>
      <c r="N49" s="1608">
        <v>4.75</v>
      </c>
      <c r="O49" s="567">
        <f>J49*N49/18*K49</f>
        <v>112081</v>
      </c>
      <c r="P49" s="556">
        <f t="shared" si="7"/>
        <v>28020.25</v>
      </c>
      <c r="Q49" s="666">
        <v>0.25</v>
      </c>
      <c r="R49" s="554">
        <f>(O49+P49)*Q49</f>
        <v>35025.3125</v>
      </c>
      <c r="S49" s="554">
        <v>0.1</v>
      </c>
      <c r="T49" s="556">
        <f>(O49+P49+R49)*S49</f>
        <v>17512.65625</v>
      </c>
      <c r="U49" s="19"/>
      <c r="V49" s="554"/>
      <c r="W49" s="559">
        <f>O49+P49+R49+T49</f>
        <v>192639.21875</v>
      </c>
      <c r="X49" s="406">
        <f>U48+Q48</f>
        <v>0</v>
      </c>
      <c r="Y49" s="406">
        <f>V48+R48</f>
        <v>0</v>
      </c>
      <c r="Z49" s="375">
        <f>W48*12</f>
        <v>616445.5</v>
      </c>
      <c r="AA49" s="377">
        <f>Z49/12/29.33*56</f>
        <v>98082.020684168674</v>
      </c>
      <c r="AB49" s="377">
        <f>Z49*1.25</f>
        <v>770556.875</v>
      </c>
      <c r="AC49" s="377">
        <f>AB49/12/29.33*56</f>
        <v>122602.52585521083</v>
      </c>
      <c r="AD49" s="377"/>
      <c r="AE49" s="377"/>
      <c r="AF49" s="377"/>
      <c r="AG49" s="377"/>
      <c r="AH49" s="377"/>
      <c r="AI49" s="377"/>
      <c r="AJ49" s="377"/>
      <c r="AK49" s="377"/>
      <c r="AL49" s="377"/>
      <c r="AM49" s="377"/>
      <c r="AN49" s="377"/>
      <c r="AO49" s="377"/>
      <c r="AP49" s="377"/>
      <c r="AQ49" s="377"/>
      <c r="AR49" s="377"/>
    </row>
    <row r="50" spans="1:44" s="24" customFormat="1" ht="17.25" customHeight="1">
      <c r="A50" s="153" t="s">
        <v>227</v>
      </c>
      <c r="B50" s="561" t="s">
        <v>99</v>
      </c>
      <c r="C50" s="560" t="s">
        <v>25</v>
      </c>
      <c r="D50" s="562" t="s">
        <v>741</v>
      </c>
      <c r="E50" s="562" t="s">
        <v>669</v>
      </c>
      <c r="F50" s="547">
        <v>1</v>
      </c>
      <c r="G50" s="580" t="s">
        <v>102</v>
      </c>
      <c r="H50" s="580" t="s">
        <v>103</v>
      </c>
      <c r="I50" s="574">
        <v>2</v>
      </c>
      <c r="J50" s="554">
        <v>17697</v>
      </c>
      <c r="K50" s="565">
        <v>4</v>
      </c>
      <c r="L50" s="554">
        <f t="shared" si="6"/>
        <v>0.22222222222222221</v>
      </c>
      <c r="M50" s="1014" t="s">
        <v>104</v>
      </c>
      <c r="N50" s="1014">
        <v>4.09</v>
      </c>
      <c r="O50" s="567">
        <f>N50*J50/18*K50</f>
        <v>16084.606666666667</v>
      </c>
      <c r="P50" s="556">
        <f t="shared" si="7"/>
        <v>4021.1516666666666</v>
      </c>
      <c r="Q50" s="568"/>
      <c r="R50" s="554"/>
      <c r="S50" s="554">
        <v>0.1</v>
      </c>
      <c r="T50" s="556">
        <f>(O50+P50)*S50</f>
        <v>2010.5758333333333</v>
      </c>
      <c r="U50" s="569"/>
      <c r="V50" s="554"/>
      <c r="W50" s="559">
        <f>O50+P50+T50</f>
        <v>22116.334166666664</v>
      </c>
      <c r="X50" s="10">
        <f>U50+Q50</f>
        <v>0</v>
      </c>
      <c r="Y50" s="10">
        <f>V50+R50</f>
        <v>0</v>
      </c>
      <c r="Z50" s="23">
        <f>W50*12</f>
        <v>265396.00999999995</v>
      </c>
      <c r="AA50" s="24">
        <f>Z50/12/29.33*56</f>
        <v>42226.891010342079</v>
      </c>
      <c r="AB50" s="24">
        <f>Z50*1.25</f>
        <v>331745.01249999995</v>
      </c>
      <c r="AC50" s="24">
        <f>AB50/12/29.33*56</f>
        <v>52783.613762927605</v>
      </c>
    </row>
    <row r="51" spans="1:44" s="24" customFormat="1" ht="17.25" customHeight="1">
      <c r="A51" s="153" t="s">
        <v>227</v>
      </c>
      <c r="B51" s="561" t="s">
        <v>99</v>
      </c>
      <c r="C51" s="560" t="s">
        <v>25</v>
      </c>
      <c r="D51" s="562" t="s">
        <v>741</v>
      </c>
      <c r="E51" s="562" t="s">
        <v>669</v>
      </c>
      <c r="F51" s="1668">
        <v>1</v>
      </c>
      <c r="G51" s="580" t="s">
        <v>102</v>
      </c>
      <c r="H51" s="580" t="s">
        <v>103</v>
      </c>
      <c r="I51" s="574">
        <v>2</v>
      </c>
      <c r="J51" s="554">
        <v>17697</v>
      </c>
      <c r="K51" s="1643">
        <v>20</v>
      </c>
      <c r="L51" s="554">
        <f t="shared" si="6"/>
        <v>1.1111111111111112</v>
      </c>
      <c r="M51" s="566" t="s">
        <v>104</v>
      </c>
      <c r="N51" s="1672">
        <v>4.09</v>
      </c>
      <c r="O51" s="567">
        <f>N51*J51/18*K51</f>
        <v>80423.033333333326</v>
      </c>
      <c r="P51" s="556">
        <f t="shared" si="7"/>
        <v>20105.758333333331</v>
      </c>
      <c r="Q51" s="568"/>
      <c r="R51" s="554"/>
      <c r="S51" s="554">
        <v>0.1</v>
      </c>
      <c r="T51" s="556">
        <f>(O51+P51)*S51</f>
        <v>10052.879166666666</v>
      </c>
      <c r="U51" s="19"/>
      <c r="V51" s="554"/>
      <c r="W51" s="559">
        <f>O51+P51+T51</f>
        <v>110581.67083333332</v>
      </c>
      <c r="X51" s="10"/>
      <c r="Y51" s="10"/>
      <c r="Z51" s="23"/>
    </row>
    <row r="52" spans="1:44" s="24" customFormat="1" ht="17.25" customHeight="1">
      <c r="A52" s="998" t="s">
        <v>230</v>
      </c>
      <c r="B52" s="873" t="s">
        <v>99</v>
      </c>
      <c r="C52" s="874" t="s">
        <v>25</v>
      </c>
      <c r="D52" s="1650" t="s">
        <v>736</v>
      </c>
      <c r="E52" s="1539" t="s">
        <v>217</v>
      </c>
      <c r="F52" s="1668">
        <v>1</v>
      </c>
      <c r="G52" s="580" t="s">
        <v>232</v>
      </c>
      <c r="H52" s="580" t="s">
        <v>233</v>
      </c>
      <c r="I52" s="574">
        <v>1</v>
      </c>
      <c r="J52" s="554">
        <v>17697</v>
      </c>
      <c r="K52" s="1648">
        <v>36</v>
      </c>
      <c r="L52" s="700">
        <f t="shared" si="6"/>
        <v>2</v>
      </c>
      <c r="M52" s="698" t="s">
        <v>152</v>
      </c>
      <c r="N52" s="1582">
        <v>4.75</v>
      </c>
      <c r="O52" s="697">
        <f>N52*J52/18*K52</f>
        <v>168121.5</v>
      </c>
      <c r="P52" s="556">
        <f t="shared" si="7"/>
        <v>42030.375</v>
      </c>
      <c r="Q52" s="1538"/>
      <c r="R52" s="700"/>
      <c r="S52" s="554">
        <v>0.1</v>
      </c>
      <c r="T52" s="556">
        <f>(O52+P52)*S52</f>
        <v>21015.1875</v>
      </c>
      <c r="U52" s="1541"/>
      <c r="V52" s="700"/>
      <c r="W52" s="559">
        <f>O52+P52+T52</f>
        <v>231167.0625</v>
      </c>
      <c r="X52" s="1547">
        <f>U51+Q51</f>
        <v>0</v>
      </c>
      <c r="Y52" s="1547">
        <f>V51+R51</f>
        <v>0</v>
      </c>
      <c r="Z52" s="23">
        <f>W51*12</f>
        <v>1326980.0499999998</v>
      </c>
      <c r="AA52" s="24">
        <f>Z52/12/29.33*56</f>
        <v>211134.45505171042</v>
      </c>
      <c r="AB52" s="24">
        <f>Z52*1.25</f>
        <v>1658725.0624999998</v>
      </c>
      <c r="AC52" s="24">
        <f>AB52/12/29.33*56</f>
        <v>263918.06881463801</v>
      </c>
    </row>
    <row r="53" spans="1:44" s="24" customFormat="1" ht="17.25" customHeight="1">
      <c r="A53" s="998" t="s">
        <v>347</v>
      </c>
      <c r="B53" s="873" t="s">
        <v>784</v>
      </c>
      <c r="C53" s="874" t="s">
        <v>25</v>
      </c>
      <c r="D53" s="1002"/>
      <c r="E53" s="874"/>
      <c r="F53" s="706">
        <v>1</v>
      </c>
      <c r="G53" s="563"/>
      <c r="H53" s="689"/>
      <c r="I53" s="563">
        <v>1</v>
      </c>
      <c r="J53" s="554">
        <v>17697</v>
      </c>
      <c r="K53" s="700"/>
      <c r="L53" s="554">
        <v>1</v>
      </c>
      <c r="M53" s="700"/>
      <c r="N53" s="552">
        <v>2.77</v>
      </c>
      <c r="O53" s="697">
        <f>J53*N53*L53</f>
        <v>49020.69</v>
      </c>
      <c r="P53" s="556"/>
      <c r="Q53" s="700">
        <f>J53*O54*M53</f>
        <v>0</v>
      </c>
      <c r="R53" s="1538"/>
      <c r="S53" s="568">
        <v>0.1</v>
      </c>
      <c r="T53" s="552">
        <f>S53*O53</f>
        <v>4902.0690000000004</v>
      </c>
      <c r="U53" s="1759">
        <v>0.5</v>
      </c>
      <c r="V53" s="887">
        <v>12439.34</v>
      </c>
      <c r="W53" s="559">
        <f>O53+T53+V53</f>
        <v>66362.099000000002</v>
      </c>
      <c r="X53" s="1652">
        <f>Q52+U52+W52</f>
        <v>231167.0625</v>
      </c>
      <c r="Y53" s="1652">
        <f>R52+V52+X53</f>
        <v>231167.0625</v>
      </c>
      <c r="Z53" s="1277">
        <f>W52*12</f>
        <v>2774004.75</v>
      </c>
      <c r="AA53" s="1458">
        <f>Z53/12/29.33*24</f>
        <v>189158.18274803954</v>
      </c>
      <c r="AB53" s="1458"/>
      <c r="AC53" s="1458"/>
      <c r="AD53" s="1458"/>
      <c r="AE53" s="1458"/>
      <c r="AF53" s="1458"/>
      <c r="AG53" s="1458"/>
      <c r="AH53" s="1458"/>
      <c r="AI53" s="1458"/>
      <c r="AJ53" s="1458"/>
      <c r="AK53" s="1458"/>
      <c r="AL53" s="1458"/>
      <c r="AM53" s="1458"/>
      <c r="AN53" s="1459"/>
      <c r="AO53" s="1459"/>
      <c r="AP53" s="1459"/>
      <c r="AQ53" s="1459"/>
      <c r="AR53" s="1459"/>
    </row>
    <row r="54" spans="1:44" s="24" customFormat="1" ht="17.25" customHeight="1">
      <c r="A54" s="153" t="s">
        <v>341</v>
      </c>
      <c r="B54" s="647" t="s">
        <v>340</v>
      </c>
      <c r="C54" s="560" t="s">
        <v>64</v>
      </c>
      <c r="D54" s="563"/>
      <c r="E54" s="711"/>
      <c r="F54" s="706">
        <v>1</v>
      </c>
      <c r="G54" s="563"/>
      <c r="H54" s="689"/>
      <c r="I54" s="563">
        <v>2</v>
      </c>
      <c r="J54" s="554">
        <v>17697</v>
      </c>
      <c r="K54" s="554"/>
      <c r="L54" s="554">
        <v>1</v>
      </c>
      <c r="M54" s="554"/>
      <c r="N54" s="554">
        <v>2.81</v>
      </c>
      <c r="O54" s="567">
        <f>J54*N54*L54</f>
        <v>49728.57</v>
      </c>
      <c r="P54" s="556"/>
      <c r="Q54" s="554">
        <f>J54*O55*M54</f>
        <v>0</v>
      </c>
      <c r="R54" s="568"/>
      <c r="S54" s="568">
        <v>0.1</v>
      </c>
      <c r="T54" s="552">
        <f>S54*O54</f>
        <v>4972.857</v>
      </c>
      <c r="U54" s="569">
        <v>0.3</v>
      </c>
      <c r="V54" s="554">
        <f>U54*J54</f>
        <v>5309.0999999999995</v>
      </c>
      <c r="W54" s="559">
        <f>O54+T54+V54</f>
        <v>60010.526999999995</v>
      </c>
      <c r="X54" s="1651">
        <f>Q53+U53+W53</f>
        <v>66362.599000000002</v>
      </c>
      <c r="Y54" s="1651">
        <f>R53+V53+X54</f>
        <v>78801.938999999998</v>
      </c>
      <c r="Z54" s="1277">
        <f>W53*12</f>
        <v>796345.18800000008</v>
      </c>
      <c r="AA54" s="1458">
        <f>Z54/12/29.33*24</f>
        <v>54302.433549266971</v>
      </c>
      <c r="AB54" s="1458"/>
      <c r="AC54" s="1458"/>
      <c r="AD54" s="1458"/>
      <c r="AE54" s="1458"/>
      <c r="AF54" s="1458"/>
      <c r="AG54" s="1458"/>
      <c r="AH54" s="1458"/>
      <c r="AI54" s="1458"/>
      <c r="AJ54" s="1458"/>
      <c r="AK54" s="1458"/>
      <c r="AL54" s="1458"/>
      <c r="AM54" s="1458"/>
      <c r="AN54" s="1459"/>
      <c r="AO54" s="1459"/>
      <c r="AP54" s="1459"/>
      <c r="AQ54" s="1459"/>
      <c r="AR54" s="1459"/>
    </row>
    <row r="55" spans="1:44" s="24" customFormat="1" ht="17.25" customHeight="1">
      <c r="A55" s="647" t="s">
        <v>269</v>
      </c>
      <c r="B55" s="647" t="s">
        <v>99</v>
      </c>
      <c r="C55" s="628" t="s">
        <v>25</v>
      </c>
      <c r="D55" s="586" t="s">
        <v>670</v>
      </c>
      <c r="E55" s="582" t="s">
        <v>271</v>
      </c>
      <c r="F55" s="547">
        <v>1</v>
      </c>
      <c r="G55" s="563" t="s">
        <v>102</v>
      </c>
      <c r="H55" s="563" t="s">
        <v>103</v>
      </c>
      <c r="I55" s="629">
        <v>1</v>
      </c>
      <c r="J55" s="554">
        <v>17697</v>
      </c>
      <c r="K55" s="648">
        <v>34</v>
      </c>
      <c r="L55" s="554">
        <f>K55/18</f>
        <v>1.8888888888888888</v>
      </c>
      <c r="M55" s="574" t="s">
        <v>152</v>
      </c>
      <c r="N55" s="1598">
        <v>4.62</v>
      </c>
      <c r="O55" s="567">
        <f>N55*J55/18*K55</f>
        <v>154435.81999999998</v>
      </c>
      <c r="P55" s="556">
        <f>O55*25%</f>
        <v>38608.954999999994</v>
      </c>
      <c r="Q55" s="568"/>
      <c r="R55" s="554"/>
      <c r="S55" s="554">
        <v>0.1</v>
      </c>
      <c r="T55" s="556">
        <f>(O55+P55)*S55</f>
        <v>19304.477499999997</v>
      </c>
      <c r="U55" s="19"/>
      <c r="V55" s="554"/>
      <c r="W55" s="559">
        <f>O55+P55+T55</f>
        <v>212349.25249999997</v>
      </c>
      <c r="X55" s="10">
        <f>U54+Q54</f>
        <v>0.3</v>
      </c>
      <c r="Y55" s="10">
        <f>V54+R54</f>
        <v>5309.0999999999995</v>
      </c>
      <c r="Z55" s="23">
        <f>W54*12</f>
        <v>720126.32399999991</v>
      </c>
      <c r="AA55" s="24">
        <f>Z55/12/29.33*56</f>
        <v>114578.57183770882</v>
      </c>
      <c r="AB55" s="24">
        <f>Z55*1.25</f>
        <v>900157.90499999991</v>
      </c>
      <c r="AC55" s="24">
        <f>AB55/12/29.33*56</f>
        <v>143223.21479713602</v>
      </c>
    </row>
    <row r="56" spans="1:44" s="24" customFormat="1" ht="15.75">
      <c r="A56" s="153" t="s">
        <v>138</v>
      </c>
      <c r="B56" s="561" t="s">
        <v>99</v>
      </c>
      <c r="C56" s="563" t="s">
        <v>25</v>
      </c>
      <c r="D56" s="562" t="s">
        <v>671</v>
      </c>
      <c r="E56" s="562" t="s">
        <v>476</v>
      </c>
      <c r="F56" s="547">
        <v>1</v>
      </c>
      <c r="G56" s="563" t="s">
        <v>102</v>
      </c>
      <c r="H56" s="563" t="s">
        <v>103</v>
      </c>
      <c r="I56" s="1584">
        <v>3</v>
      </c>
      <c r="J56" s="554">
        <v>17697</v>
      </c>
      <c r="K56" s="565">
        <v>18</v>
      </c>
      <c r="L56" s="554">
        <f>K56/18</f>
        <v>1</v>
      </c>
      <c r="M56" s="1585" t="s">
        <v>109</v>
      </c>
      <c r="N56" s="1014">
        <v>4.07</v>
      </c>
      <c r="O56" s="567">
        <f>N56*J56/18*K56</f>
        <v>72026.790000000008</v>
      </c>
      <c r="P56" s="556">
        <f>O56*25%</f>
        <v>18006.697500000002</v>
      </c>
      <c r="Q56" s="568"/>
      <c r="R56" s="554"/>
      <c r="S56" s="554">
        <v>0.1</v>
      </c>
      <c r="T56" s="556">
        <f>(O56+P56)*S56</f>
        <v>9003.3487500000028</v>
      </c>
      <c r="U56" s="569"/>
      <c r="V56" s="554"/>
      <c r="W56" s="559">
        <f>O56+P56+T56</f>
        <v>99036.836250000022</v>
      </c>
      <c r="X56" s="7"/>
      <c r="Y56" s="7"/>
      <c r="Z56" s="23">
        <f>W56*12</f>
        <v>1188442.0350000001</v>
      </c>
      <c r="AA56" s="24">
        <f>Z56/12/29.33*56</f>
        <v>189091.81145584729</v>
      </c>
      <c r="AB56" s="24">
        <f>Z56*1.25</f>
        <v>1485552.5437500002</v>
      </c>
      <c r="AC56" s="24">
        <f>AB56/12/29.33*56</f>
        <v>236364.76431980912</v>
      </c>
    </row>
    <row r="57" spans="1:44" s="24" customFormat="1" ht="16.5" customHeight="1">
      <c r="A57" s="153" t="s">
        <v>58</v>
      </c>
      <c r="B57" s="561" t="s">
        <v>99</v>
      </c>
      <c r="C57" s="563" t="s">
        <v>25</v>
      </c>
      <c r="D57" s="562" t="s">
        <v>608</v>
      </c>
      <c r="E57" s="562" t="s">
        <v>366</v>
      </c>
      <c r="F57" s="547">
        <v>1</v>
      </c>
      <c r="G57" s="563" t="s">
        <v>102</v>
      </c>
      <c r="H57" s="563" t="s">
        <v>103</v>
      </c>
      <c r="I57" s="581">
        <v>2</v>
      </c>
      <c r="J57" s="554">
        <v>17697</v>
      </c>
      <c r="K57" s="565">
        <v>14</v>
      </c>
      <c r="L57" s="554">
        <f>K57/18</f>
        <v>0.77777777777777779</v>
      </c>
      <c r="M57" s="1014" t="s">
        <v>104</v>
      </c>
      <c r="N57" s="1014">
        <v>4.4400000000000004</v>
      </c>
      <c r="O57" s="567">
        <f>N57*J57/18*K57</f>
        <v>61113.64</v>
      </c>
      <c r="P57" s="556">
        <f>O57*25%</f>
        <v>15278.41</v>
      </c>
      <c r="Q57" s="568"/>
      <c r="R57" s="554"/>
      <c r="S57" s="554">
        <v>0.1</v>
      </c>
      <c r="T57" s="556">
        <f>(O57+P57)*S57</f>
        <v>7639.2050000000008</v>
      </c>
      <c r="U57" s="569"/>
      <c r="V57" s="554"/>
      <c r="W57" s="559">
        <f>O57+P57+T57</f>
        <v>84031.255000000005</v>
      </c>
      <c r="X57" s="10">
        <f>U57+Q57</f>
        <v>0</v>
      </c>
      <c r="Y57" s="10">
        <f>V57+R57</f>
        <v>0</v>
      </c>
      <c r="Z57" s="23">
        <f>W57*12</f>
        <v>1008375.06</v>
      </c>
      <c r="AA57" s="24">
        <f>Z57/12/29.33*56</f>
        <v>160441.53699284012</v>
      </c>
      <c r="AB57" s="24">
        <f>Z57*1.25</f>
        <v>1260468.8250000002</v>
      </c>
      <c r="AC57" s="24">
        <f>AB57/12/29.33*56</f>
        <v>200551.92124105018</v>
      </c>
    </row>
    <row r="58" spans="1:44" s="24" customFormat="1" ht="17.25" customHeight="1">
      <c r="A58" s="153" t="s">
        <v>145</v>
      </c>
      <c r="B58" s="561" t="s">
        <v>99</v>
      </c>
      <c r="C58" s="563" t="s">
        <v>25</v>
      </c>
      <c r="D58" s="562" t="s">
        <v>672</v>
      </c>
      <c r="E58" s="562" t="s">
        <v>476</v>
      </c>
      <c r="F58" s="547">
        <v>1</v>
      </c>
      <c r="G58" s="563" t="s">
        <v>102</v>
      </c>
      <c r="H58" s="563" t="s">
        <v>103</v>
      </c>
      <c r="I58" s="581">
        <v>2</v>
      </c>
      <c r="J58" s="554">
        <v>17697</v>
      </c>
      <c r="K58" s="565">
        <v>12</v>
      </c>
      <c r="L58" s="554">
        <f>K58/18</f>
        <v>0.66666666666666663</v>
      </c>
      <c r="M58" s="1581" t="s">
        <v>104</v>
      </c>
      <c r="N58" s="1014">
        <v>4.09</v>
      </c>
      <c r="O58" s="567">
        <f>N58*J58/18*K58</f>
        <v>48253.82</v>
      </c>
      <c r="P58" s="556">
        <f>O58*25%</f>
        <v>12063.455</v>
      </c>
      <c r="Q58" s="568"/>
      <c r="R58" s="554"/>
      <c r="S58" s="554">
        <v>0.1</v>
      </c>
      <c r="T58" s="556">
        <f>(O58+P58)*S58</f>
        <v>6031.7275000000009</v>
      </c>
      <c r="U58" s="569"/>
      <c r="V58" s="554"/>
      <c r="W58" s="559">
        <f>O58+P58+T58</f>
        <v>66349.002500000002</v>
      </c>
      <c r="X58" s="10">
        <f>U58+Q58</f>
        <v>0</v>
      </c>
      <c r="Y58" s="10">
        <f>V58+R58</f>
        <v>0</v>
      </c>
      <c r="Z58" s="23">
        <f>W58*12</f>
        <v>796188.03</v>
      </c>
      <c r="AA58" s="24">
        <f>Z58/12/29.33*56</f>
        <v>126680.67303102625</v>
      </c>
      <c r="AB58" s="24">
        <f>Z58*1.25</f>
        <v>995235.03750000009</v>
      </c>
      <c r="AC58" s="24">
        <f>AB58/12/29.33*56</f>
        <v>158350.84128878283</v>
      </c>
    </row>
    <row r="59" spans="1:44" s="916" customFormat="1" ht="17.25" customHeight="1">
      <c r="A59" s="153" t="s">
        <v>145</v>
      </c>
      <c r="B59" s="561" t="s">
        <v>99</v>
      </c>
      <c r="C59" s="563" t="s">
        <v>25</v>
      </c>
      <c r="D59" s="562" t="s">
        <v>672</v>
      </c>
      <c r="E59" s="562" t="s">
        <v>476</v>
      </c>
      <c r="F59" s="547">
        <v>1</v>
      </c>
      <c r="G59" s="563" t="s">
        <v>102</v>
      </c>
      <c r="H59" s="563" t="s">
        <v>103</v>
      </c>
      <c r="I59" s="581">
        <v>2</v>
      </c>
      <c r="J59" s="554">
        <v>17697</v>
      </c>
      <c r="K59" s="665">
        <v>16</v>
      </c>
      <c r="L59" s="567">
        <f>K59/18</f>
        <v>0.88888888888888884</v>
      </c>
      <c r="M59" s="698" t="s">
        <v>385</v>
      </c>
      <c r="N59" s="1612">
        <v>4.09</v>
      </c>
      <c r="O59" s="697">
        <f>J59*N59/18*K59</f>
        <v>64338.426666666666</v>
      </c>
      <c r="P59" s="556">
        <f>O59*25%</f>
        <v>16084.606666666667</v>
      </c>
      <c r="Q59" s="1752">
        <v>0.25</v>
      </c>
      <c r="R59" s="700">
        <f>(O59+P59)*Q59</f>
        <v>20105.758333333331</v>
      </c>
      <c r="S59" s="554">
        <v>0.1</v>
      </c>
      <c r="T59" s="556">
        <f>(O59+P59+R59)*S59</f>
        <v>10052.879166666666</v>
      </c>
      <c r="U59" s="1541"/>
      <c r="V59" s="700"/>
      <c r="W59" s="559">
        <f>O59+P59+R59+T59</f>
        <v>110581.67083333332</v>
      </c>
      <c r="X59" s="1175">
        <f>U58+S58+Q58</f>
        <v>0.1</v>
      </c>
      <c r="Y59" s="1175">
        <f>V58+T58+R58</f>
        <v>6031.7275000000009</v>
      </c>
      <c r="Z59" s="375">
        <f>W58*12</f>
        <v>796188.03</v>
      </c>
      <c r="AA59" s="377">
        <f>Z59/12/29.33*56</f>
        <v>126680.67303102625</v>
      </c>
      <c r="AB59" s="377">
        <f>Z59*1.25</f>
        <v>995235.03750000009</v>
      </c>
      <c r="AC59" s="377">
        <f>AB59/12/29.33*56</f>
        <v>158350.84128878283</v>
      </c>
      <c r="AD59" s="377"/>
      <c r="AE59" s="377"/>
      <c r="AF59" s="377"/>
      <c r="AG59" s="377"/>
      <c r="AH59" s="377"/>
      <c r="AI59" s="377"/>
      <c r="AJ59" s="377"/>
      <c r="AK59" s="377"/>
      <c r="AL59" s="377"/>
      <c r="AM59" s="377"/>
      <c r="AN59" s="377"/>
      <c r="AO59" s="377"/>
      <c r="AP59" s="377"/>
      <c r="AQ59" s="377"/>
      <c r="AR59" s="377"/>
    </row>
    <row r="60" spans="1:44" s="916" customFormat="1" ht="17.25" customHeight="1">
      <c r="A60" s="702" t="s">
        <v>767</v>
      </c>
      <c r="B60" s="1630" t="s">
        <v>768</v>
      </c>
      <c r="C60" s="894" t="s">
        <v>25</v>
      </c>
      <c r="D60" s="1720" t="s">
        <v>769</v>
      </c>
      <c r="E60" s="894" t="s">
        <v>77</v>
      </c>
      <c r="F60" s="42">
        <v>1</v>
      </c>
      <c r="G60" s="5" t="s">
        <v>56</v>
      </c>
      <c r="H60" s="5" t="s">
        <v>56</v>
      </c>
      <c r="I60" s="731" t="s">
        <v>57</v>
      </c>
      <c r="J60" s="7">
        <v>17697</v>
      </c>
      <c r="K60" s="882"/>
      <c r="L60" s="10">
        <v>1</v>
      </c>
      <c r="M60" s="1633"/>
      <c r="N60" s="1634" t="s">
        <v>770</v>
      </c>
      <c r="O60" s="883">
        <f>N60*J60*L60</f>
        <v>74858.310000000012</v>
      </c>
      <c r="P60" s="44"/>
      <c r="Q60" s="882"/>
      <c r="R60" s="1635"/>
      <c r="S60" s="7">
        <v>0.1</v>
      </c>
      <c r="T60" s="44">
        <f>(O60+P60+R60)*S60</f>
        <v>7485.8310000000019</v>
      </c>
      <c r="U60" s="882"/>
      <c r="V60" s="881"/>
      <c r="W60" s="70">
        <f>O60+R60+T60+V60+P60</f>
        <v>82344.141000000018</v>
      </c>
      <c r="X60" s="1269"/>
      <c r="Y60" s="1269"/>
      <c r="Z60" s="1264"/>
      <c r="AA60" s="1382"/>
      <c r="AB60" s="1264"/>
      <c r="AC60" s="1264"/>
      <c r="AD60" s="1264"/>
      <c r="AE60" s="1264"/>
      <c r="AF60" s="1264"/>
      <c r="AG60" s="1264"/>
      <c r="AH60" s="1264"/>
      <c r="AI60" s="1264"/>
      <c r="AJ60" s="1264"/>
      <c r="AK60" s="1264"/>
      <c r="AL60" s="1264"/>
      <c r="AM60" s="1264"/>
      <c r="AN60" s="1265"/>
      <c r="AO60" s="1265"/>
      <c r="AP60" s="1265"/>
      <c r="AQ60" s="1265"/>
      <c r="AR60" s="1265"/>
    </row>
    <row r="61" spans="1:44" s="916" customFormat="1" ht="17.25" customHeight="1">
      <c r="A61" s="647" t="s">
        <v>391</v>
      </c>
      <c r="B61" s="647" t="s">
        <v>99</v>
      </c>
      <c r="C61" s="563" t="s">
        <v>25</v>
      </c>
      <c r="D61" s="586" t="s">
        <v>673</v>
      </c>
      <c r="E61" s="582" t="s">
        <v>77</v>
      </c>
      <c r="F61" s="547">
        <v>1</v>
      </c>
      <c r="G61" s="563" t="s">
        <v>102</v>
      </c>
      <c r="H61" s="563" t="s">
        <v>103</v>
      </c>
      <c r="I61" s="629">
        <v>4</v>
      </c>
      <c r="J61" s="554">
        <v>17697</v>
      </c>
      <c r="K61" s="1739">
        <v>24</v>
      </c>
      <c r="L61" s="554">
        <f>K61/18</f>
        <v>1.3333333333333333</v>
      </c>
      <c r="M61" s="1604" t="s">
        <v>112</v>
      </c>
      <c r="N61" s="1605">
        <v>3.71</v>
      </c>
      <c r="O61" s="697">
        <f>N61*J61/18*K61</f>
        <v>87541.16</v>
      </c>
      <c r="P61" s="556">
        <f>O61*25%</f>
        <v>21885.29</v>
      </c>
      <c r="Q61" s="1538"/>
      <c r="R61" s="700"/>
      <c r="S61" s="554">
        <v>0.1</v>
      </c>
      <c r="T61" s="556">
        <f>(O61+P61)*S61</f>
        <v>10942.645000000002</v>
      </c>
      <c r="U61" s="1541"/>
      <c r="V61" s="700"/>
      <c r="W61" s="559">
        <f>O61+P61+T61</f>
        <v>120369.09500000002</v>
      </c>
      <c r="X61" s="1547">
        <f>U60+Q60</f>
        <v>0</v>
      </c>
      <c r="Y61" s="1547">
        <f>V60+R60</f>
        <v>0</v>
      </c>
      <c r="Z61" s="23">
        <f>W60*12</f>
        <v>988129.69200000027</v>
      </c>
      <c r="AA61" s="24">
        <f>Z61/12/29.33*56</f>
        <v>157220.31694510742</v>
      </c>
      <c r="AB61" s="24">
        <f>Z61*1.25</f>
        <v>1235162.1150000002</v>
      </c>
      <c r="AC61" s="24">
        <f>AB61/12/29.33*56</f>
        <v>196525.39618138428</v>
      </c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</row>
    <row r="62" spans="1:44" s="916" customFormat="1" ht="17.25" customHeight="1">
      <c r="A62" s="26" t="s">
        <v>619</v>
      </c>
      <c r="B62" s="6" t="s">
        <v>622</v>
      </c>
      <c r="C62" s="5" t="s">
        <v>75</v>
      </c>
      <c r="D62" s="57" t="s">
        <v>778</v>
      </c>
      <c r="E62" s="5" t="s">
        <v>779</v>
      </c>
      <c r="F62" s="42">
        <v>1</v>
      </c>
      <c r="G62" s="5" t="s">
        <v>56</v>
      </c>
      <c r="H62" s="5" t="s">
        <v>56</v>
      </c>
      <c r="I62" s="27">
        <v>3</v>
      </c>
      <c r="J62" s="7">
        <v>17697</v>
      </c>
      <c r="K62" s="7"/>
      <c r="L62" s="10">
        <v>0.5</v>
      </c>
      <c r="M62" s="739"/>
      <c r="N62" s="10">
        <v>3.57</v>
      </c>
      <c r="O62" s="18">
        <f>N62*J62*L62</f>
        <v>31589.144999999997</v>
      </c>
      <c r="P62" s="42"/>
      <c r="Q62" s="7"/>
      <c r="R62" s="8"/>
      <c r="S62" s="7">
        <v>0.1</v>
      </c>
      <c r="T62" s="44">
        <f>(O62+P62+R62)*S62</f>
        <v>3158.9144999999999</v>
      </c>
      <c r="U62" s="7"/>
      <c r="V62" s="9"/>
      <c r="W62" s="70">
        <f>O62+R62+T62+V62+P62</f>
        <v>34748.059499999996</v>
      </c>
      <c r="X62" s="1268">
        <f>Q62+S62+U62</f>
        <v>0.1</v>
      </c>
      <c r="Y62" s="1268">
        <f>R62+T62+V62</f>
        <v>3158.9144999999999</v>
      </c>
      <c r="Z62" s="1264">
        <f>W62*12</f>
        <v>416976.71399999992</v>
      </c>
      <c r="AA62" s="1382">
        <f>Z62/12/29.33*30</f>
        <v>35541.82696897375</v>
      </c>
      <c r="AB62" s="1264"/>
      <c r="AC62" s="1264"/>
      <c r="AD62" s="1264"/>
      <c r="AE62" s="1264"/>
      <c r="AF62" s="1264"/>
      <c r="AG62" s="1264"/>
      <c r="AH62" s="1264"/>
      <c r="AI62" s="1264"/>
      <c r="AJ62" s="1264"/>
      <c r="AK62" s="1264"/>
      <c r="AL62" s="1264"/>
      <c r="AM62" s="1264"/>
      <c r="AN62" s="1265"/>
      <c r="AO62" s="1265"/>
      <c r="AP62" s="1265"/>
      <c r="AQ62" s="1265"/>
      <c r="AR62" s="1265"/>
    </row>
    <row r="63" spans="1:44" s="24" customFormat="1" ht="17.25" customHeight="1">
      <c r="A63" s="153" t="s">
        <v>143</v>
      </c>
      <c r="B63" s="561" t="s">
        <v>99</v>
      </c>
      <c r="C63" s="563" t="s">
        <v>25</v>
      </c>
      <c r="D63" s="562" t="s">
        <v>674</v>
      </c>
      <c r="E63" s="562" t="s">
        <v>239</v>
      </c>
      <c r="F63" s="547">
        <v>1</v>
      </c>
      <c r="G63" s="563" t="s">
        <v>102</v>
      </c>
      <c r="H63" s="563" t="s">
        <v>103</v>
      </c>
      <c r="I63" s="581">
        <v>1</v>
      </c>
      <c r="J63" s="554">
        <v>17697</v>
      </c>
      <c r="K63" s="565">
        <v>28</v>
      </c>
      <c r="L63" s="554">
        <f t="shared" ref="L63:L68" si="8">K63/18</f>
        <v>1.5555555555555556</v>
      </c>
      <c r="M63" s="574" t="s">
        <v>152</v>
      </c>
      <c r="N63" s="1014">
        <v>4.49</v>
      </c>
      <c r="O63" s="567">
        <f>N63*J63/18*K63</f>
        <v>123603.71333333332</v>
      </c>
      <c r="P63" s="556">
        <f t="shared" ref="P63:P81" si="9">O63*25%</f>
        <v>30900.92833333333</v>
      </c>
      <c r="Q63" s="568"/>
      <c r="R63" s="554"/>
      <c r="S63" s="554">
        <v>0.1</v>
      </c>
      <c r="T63" s="556">
        <f>(O63+P63)*S63</f>
        <v>15450.464166666667</v>
      </c>
      <c r="U63" s="569"/>
      <c r="V63" s="554"/>
      <c r="W63" s="559">
        <f>O63+P63+T63</f>
        <v>169955.10583333333</v>
      </c>
      <c r="X63" s="10">
        <f>U63+Q63</f>
        <v>0</v>
      </c>
      <c r="Y63" s="10">
        <f>V63+R63</f>
        <v>0</v>
      </c>
      <c r="Z63" s="23">
        <f>W63*12</f>
        <v>2039461.27</v>
      </c>
      <c r="AA63" s="24">
        <f>Z63/12/29.33*56</f>
        <v>324496.62211614958</v>
      </c>
      <c r="AB63" s="24">
        <f>Z63*1.25</f>
        <v>2549326.5874999999</v>
      </c>
      <c r="AC63" s="24">
        <f>AB63/12/29.33*56</f>
        <v>405620.77764518699</v>
      </c>
    </row>
    <row r="64" spans="1:44" s="24" customFormat="1" ht="17.25" customHeight="1">
      <c r="A64" s="998" t="s">
        <v>447</v>
      </c>
      <c r="B64" s="873" t="s">
        <v>99</v>
      </c>
      <c r="C64" s="1002" t="s">
        <v>75</v>
      </c>
      <c r="D64" s="1539" t="s">
        <v>806</v>
      </c>
      <c r="E64" s="1539" t="s">
        <v>602</v>
      </c>
      <c r="F64" s="547">
        <v>1</v>
      </c>
      <c r="G64" s="563" t="s">
        <v>102</v>
      </c>
      <c r="H64" s="563" t="s">
        <v>118</v>
      </c>
      <c r="I64" s="581">
        <v>4</v>
      </c>
      <c r="J64" s="554">
        <v>17697</v>
      </c>
      <c r="K64" s="565">
        <v>10</v>
      </c>
      <c r="L64" s="554">
        <f t="shared" si="8"/>
        <v>0.55555555555555558</v>
      </c>
      <c r="M64" s="574" t="s">
        <v>112</v>
      </c>
      <c r="N64" s="1014">
        <v>3.36</v>
      </c>
      <c r="O64" s="567">
        <f>N64*J64/18*K64</f>
        <v>33034.400000000001</v>
      </c>
      <c r="P64" s="556">
        <f t="shared" si="9"/>
        <v>8258.6</v>
      </c>
      <c r="Q64" s="568"/>
      <c r="R64" s="554"/>
      <c r="S64" s="554">
        <v>0.1</v>
      </c>
      <c r="T64" s="556">
        <f>(O64+P64)*S64</f>
        <v>4129.3</v>
      </c>
      <c r="U64" s="569"/>
      <c r="V64" s="554"/>
      <c r="W64" s="559">
        <f>O64+P64+T64</f>
        <v>45422.3</v>
      </c>
      <c r="X64" s="10">
        <f>U64+Q64</f>
        <v>0</v>
      </c>
      <c r="Y64" s="10">
        <f>V64+R64</f>
        <v>0</v>
      </c>
      <c r="Z64" s="23">
        <f>W64*12</f>
        <v>545067.60000000009</v>
      </c>
      <c r="AA64" s="24">
        <f>Z64/12/29.33*56</f>
        <v>86725.155131264939</v>
      </c>
      <c r="AB64" s="24">
        <f>Z64*1.25</f>
        <v>681334.50000000012</v>
      </c>
      <c r="AC64" s="24">
        <f>AB64/12/29.33*56</f>
        <v>108406.44391408117</v>
      </c>
    </row>
    <row r="65" spans="1:44" s="24" customFormat="1" ht="17.25" customHeight="1">
      <c r="A65" s="491" t="s">
        <v>447</v>
      </c>
      <c r="B65" s="647" t="s">
        <v>99</v>
      </c>
      <c r="C65" s="663" t="s">
        <v>300</v>
      </c>
      <c r="D65" s="664" t="s">
        <v>738</v>
      </c>
      <c r="E65" s="664" t="s">
        <v>602</v>
      </c>
      <c r="F65" s="1727">
        <v>1</v>
      </c>
      <c r="G65" s="177" t="s">
        <v>102</v>
      </c>
      <c r="H65" s="177" t="s">
        <v>118</v>
      </c>
      <c r="I65" s="178">
        <v>4</v>
      </c>
      <c r="J65" s="554">
        <v>17697</v>
      </c>
      <c r="K65" s="696">
        <v>10</v>
      </c>
      <c r="L65" s="567">
        <f t="shared" si="8"/>
        <v>0.55555555555555558</v>
      </c>
      <c r="M65" s="1004" t="s">
        <v>112</v>
      </c>
      <c r="N65" s="1612">
        <v>3.36</v>
      </c>
      <c r="O65" s="697">
        <f>J65*N65/18*K65</f>
        <v>33034.400000000001</v>
      </c>
      <c r="P65" s="556">
        <f t="shared" si="9"/>
        <v>8258.6</v>
      </c>
      <c r="Q65" s="1752">
        <v>0.25</v>
      </c>
      <c r="R65" s="700">
        <f>(O65+P65)*Q65</f>
        <v>10323.25</v>
      </c>
      <c r="S65" s="554">
        <v>0.1</v>
      </c>
      <c r="T65" s="556">
        <f>(O65+P65+R65)*S65</f>
        <v>5161.625</v>
      </c>
      <c r="U65" s="1541"/>
      <c r="V65" s="700"/>
      <c r="W65" s="559">
        <f>O65+P65+R65+T65</f>
        <v>56777.875</v>
      </c>
      <c r="X65" s="988">
        <f>U64+S64+Q64</f>
        <v>0.1</v>
      </c>
      <c r="Y65" s="988">
        <f>V64+T64+R64</f>
        <v>4129.3</v>
      </c>
      <c r="Z65" s="81">
        <f>W64*12</f>
        <v>545067.60000000009</v>
      </c>
      <c r="AA65" s="80">
        <f>Z65/12/29.33*56</f>
        <v>86725.155131264939</v>
      </c>
      <c r="AB65" s="80">
        <f>Z65*1.25</f>
        <v>681334.50000000012</v>
      </c>
      <c r="AC65" s="80">
        <f>AB65/12/29.33*56</f>
        <v>108406.44391408117</v>
      </c>
      <c r="AD65" s="986"/>
      <c r="AE65" s="986"/>
      <c r="AF65" s="986"/>
      <c r="AG65" s="986"/>
      <c r="AH65" s="986"/>
      <c r="AI65" s="986"/>
      <c r="AJ65" s="986"/>
      <c r="AK65" s="986"/>
      <c r="AL65" s="986"/>
      <c r="AM65" s="986"/>
      <c r="AN65" s="986"/>
      <c r="AO65" s="986"/>
      <c r="AP65" s="986"/>
      <c r="AQ65" s="986"/>
      <c r="AR65" s="986"/>
    </row>
    <row r="66" spans="1:44" s="24" customFormat="1" ht="17.25" customHeight="1">
      <c r="A66" s="153" t="s">
        <v>803</v>
      </c>
      <c r="B66" s="561" t="s">
        <v>99</v>
      </c>
      <c r="C66" s="563" t="s">
        <v>25</v>
      </c>
      <c r="D66" s="562" t="s">
        <v>807</v>
      </c>
      <c r="E66" s="562" t="s">
        <v>34</v>
      </c>
      <c r="F66" s="547">
        <v>1</v>
      </c>
      <c r="G66" s="563" t="s">
        <v>102</v>
      </c>
      <c r="H66" s="563" t="s">
        <v>103</v>
      </c>
      <c r="I66" s="581">
        <v>1</v>
      </c>
      <c r="J66" s="554">
        <v>17697</v>
      </c>
      <c r="K66" s="565">
        <v>12</v>
      </c>
      <c r="L66" s="554">
        <f t="shared" si="8"/>
        <v>0.66666666666666663</v>
      </c>
      <c r="M66" s="574" t="s">
        <v>152</v>
      </c>
      <c r="N66" s="1014">
        <v>4.75</v>
      </c>
      <c r="O66" s="567">
        <f>N66*J66/18*K66</f>
        <v>56040.5</v>
      </c>
      <c r="P66" s="556">
        <f t="shared" si="9"/>
        <v>14010.125</v>
      </c>
      <c r="Q66" s="568"/>
      <c r="R66" s="554"/>
      <c r="S66" s="554">
        <v>0.1</v>
      </c>
      <c r="T66" s="556">
        <f>(O66+P66)*S66</f>
        <v>7005.0625</v>
      </c>
      <c r="U66" s="569"/>
      <c r="V66" s="554"/>
      <c r="W66" s="559">
        <f>O66+P66+T66</f>
        <v>77055.6875</v>
      </c>
      <c r="X66" s="10"/>
      <c r="Y66" s="10"/>
      <c r="Z66" s="23"/>
    </row>
    <row r="67" spans="1:44" s="24" customFormat="1" ht="17.25" customHeight="1">
      <c r="A67" s="153" t="s">
        <v>803</v>
      </c>
      <c r="B67" s="561" t="s">
        <v>99</v>
      </c>
      <c r="C67" s="563" t="s">
        <v>25</v>
      </c>
      <c r="D67" s="562" t="s">
        <v>807</v>
      </c>
      <c r="E67" s="562" t="s">
        <v>34</v>
      </c>
      <c r="F67" s="547">
        <v>1</v>
      </c>
      <c r="G67" s="563" t="s">
        <v>102</v>
      </c>
      <c r="H67" s="563" t="s">
        <v>103</v>
      </c>
      <c r="I67" s="581">
        <v>1</v>
      </c>
      <c r="J67" s="554">
        <v>17697</v>
      </c>
      <c r="K67" s="565">
        <v>6</v>
      </c>
      <c r="L67" s="554">
        <f t="shared" si="8"/>
        <v>0.33333333333333331</v>
      </c>
      <c r="M67" s="698" t="s">
        <v>152</v>
      </c>
      <c r="N67" s="1157">
        <v>4.75</v>
      </c>
      <c r="O67" s="697">
        <f>N67*J67/18*K67</f>
        <v>28020.25</v>
      </c>
      <c r="P67" s="556">
        <f t="shared" si="9"/>
        <v>7005.0625</v>
      </c>
      <c r="Q67" s="1538"/>
      <c r="R67" s="700"/>
      <c r="S67" s="700">
        <v>0.1</v>
      </c>
      <c r="T67" s="556">
        <f>(O67+P67)*S67</f>
        <v>3502.53125</v>
      </c>
      <c r="U67" s="1541"/>
      <c r="V67" s="700"/>
      <c r="W67" s="559">
        <f>O67+P67+T67</f>
        <v>38527.84375</v>
      </c>
      <c r="X67" s="10"/>
      <c r="Y67" s="10"/>
      <c r="Z67" s="23"/>
    </row>
    <row r="68" spans="1:44" s="24" customFormat="1" ht="15.75">
      <c r="A68" s="153" t="s">
        <v>147</v>
      </c>
      <c r="B68" s="561" t="s">
        <v>148</v>
      </c>
      <c r="C68" s="563" t="s">
        <v>25</v>
      </c>
      <c r="D68" s="562" t="s">
        <v>676</v>
      </c>
      <c r="E68" s="562" t="s">
        <v>51</v>
      </c>
      <c r="F68" s="547">
        <v>1</v>
      </c>
      <c r="G68" s="563" t="s">
        <v>102</v>
      </c>
      <c r="H68" s="563" t="s">
        <v>103</v>
      </c>
      <c r="I68" s="564">
        <v>3</v>
      </c>
      <c r="J68" s="554">
        <v>17697</v>
      </c>
      <c r="K68" s="565">
        <v>34</v>
      </c>
      <c r="L68" s="554">
        <f t="shared" si="8"/>
        <v>1.8888888888888888</v>
      </c>
      <c r="M68" s="1583" t="s">
        <v>109</v>
      </c>
      <c r="N68" s="1157">
        <v>4.43</v>
      </c>
      <c r="O68" s="697">
        <f>N68*J68/18*K68</f>
        <v>148084.56333333332</v>
      </c>
      <c r="P68" s="556">
        <f t="shared" si="9"/>
        <v>37021.140833333331</v>
      </c>
      <c r="Q68" s="1538"/>
      <c r="R68" s="700"/>
      <c r="S68" s="700">
        <v>0.1</v>
      </c>
      <c r="T68" s="556">
        <f>(O68+P68)*S68</f>
        <v>18510.570416666666</v>
      </c>
      <c r="U68" s="699"/>
      <c r="V68" s="700"/>
      <c r="W68" s="559">
        <f>O68+P68+T68</f>
        <v>203616.27458333332</v>
      </c>
      <c r="X68" s="35">
        <f>U68+Q68</f>
        <v>0</v>
      </c>
      <c r="Y68" s="35">
        <f>V68+R68</f>
        <v>0</v>
      </c>
      <c r="Z68" s="23">
        <f>W68*12</f>
        <v>2443395.2949999999</v>
      </c>
      <c r="AA68" s="24">
        <f>Z68/12/29.33*56</f>
        <v>388766.15672235476</v>
      </c>
      <c r="AB68" s="24">
        <f>Z68*1.25</f>
        <v>3054244.1187499999</v>
      </c>
      <c r="AC68" s="24">
        <f>AB68/12/29.33*56</f>
        <v>485957.69590294355</v>
      </c>
    </row>
    <row r="69" spans="1:44" s="24" customFormat="1" ht="15.75">
      <c r="A69" s="1705" t="s">
        <v>91</v>
      </c>
      <c r="B69" s="1707" t="s">
        <v>783</v>
      </c>
      <c r="C69" s="5" t="s">
        <v>25</v>
      </c>
      <c r="D69" s="562" t="s">
        <v>677</v>
      </c>
      <c r="E69" s="5" t="s">
        <v>367</v>
      </c>
      <c r="F69" s="42">
        <v>1</v>
      </c>
      <c r="G69" s="20" t="s">
        <v>28</v>
      </c>
      <c r="H69" s="20" t="s">
        <v>29</v>
      </c>
      <c r="I69" s="731" t="s">
        <v>44</v>
      </c>
      <c r="J69" s="7">
        <v>17697</v>
      </c>
      <c r="K69" s="7"/>
      <c r="L69" s="10">
        <v>1</v>
      </c>
      <c r="M69" s="882"/>
      <c r="N69" s="1634" t="s">
        <v>771</v>
      </c>
      <c r="O69" s="883">
        <f>N69*J69*L69</f>
        <v>98926.23</v>
      </c>
      <c r="P69" s="44">
        <f t="shared" si="9"/>
        <v>24731.557499999999</v>
      </c>
      <c r="Q69" s="882"/>
      <c r="R69" s="1635"/>
      <c r="S69" s="882">
        <v>0.1</v>
      </c>
      <c r="T69" s="44">
        <f>(O69+P69+R69)*S69</f>
        <v>12365.778749999999</v>
      </c>
      <c r="U69" s="882"/>
      <c r="V69" s="881"/>
      <c r="W69" s="70">
        <f>O69+R69+T69+V69+P69</f>
        <v>136023.56625</v>
      </c>
      <c r="X69" s="1445">
        <f>Q69+S69+U69</f>
        <v>0.1</v>
      </c>
      <c r="Y69" s="1445">
        <f>R69+T69+V69</f>
        <v>12365.778749999999</v>
      </c>
      <c r="Z69" s="1264">
        <f>W69*12</f>
        <v>1632282.7949999999</v>
      </c>
      <c r="AA69" s="1382">
        <f>Z69/12/29.33*30</f>
        <v>139130.82125809751</v>
      </c>
      <c r="AB69" s="1264"/>
      <c r="AC69" s="1264"/>
      <c r="AD69" s="1264"/>
      <c r="AE69" s="1264"/>
      <c r="AF69" s="1264"/>
      <c r="AG69" s="1264"/>
      <c r="AH69" s="1264"/>
      <c r="AI69" s="1264"/>
      <c r="AJ69" s="1264"/>
      <c r="AK69" s="1264"/>
      <c r="AL69" s="1264"/>
      <c r="AM69" s="1264"/>
      <c r="AN69" s="1265"/>
      <c r="AO69" s="1265"/>
      <c r="AP69" s="1265"/>
      <c r="AQ69" s="1265"/>
      <c r="AR69" s="1265"/>
    </row>
    <row r="70" spans="1:44" s="24" customFormat="1" ht="17.25" customHeight="1">
      <c r="A70" s="1008" t="s">
        <v>91</v>
      </c>
      <c r="B70" s="1009" t="s">
        <v>99</v>
      </c>
      <c r="C70" s="1002" t="s">
        <v>25</v>
      </c>
      <c r="D70" s="1539" t="s">
        <v>677</v>
      </c>
      <c r="E70" s="1539" t="s">
        <v>93</v>
      </c>
      <c r="F70" s="874">
        <v>1</v>
      </c>
      <c r="G70" s="1002" t="s">
        <v>102</v>
      </c>
      <c r="H70" s="1002" t="s">
        <v>103</v>
      </c>
      <c r="I70" s="1590">
        <v>1</v>
      </c>
      <c r="J70" s="888">
        <v>17697</v>
      </c>
      <c r="K70" s="1010">
        <v>9</v>
      </c>
      <c r="L70" s="554">
        <f t="shared" ref="L70:L81" si="10">K70/18</f>
        <v>0.5</v>
      </c>
      <c r="M70" s="698" t="s">
        <v>152</v>
      </c>
      <c r="N70" s="1021">
        <v>4.62</v>
      </c>
      <c r="O70" s="607">
        <f t="shared" ref="O70:O79" si="11">N70*J70/18*K70</f>
        <v>40880.069999999992</v>
      </c>
      <c r="P70" s="556">
        <f t="shared" si="9"/>
        <v>10220.017499999998</v>
      </c>
      <c r="Q70" s="1011"/>
      <c r="R70" s="888"/>
      <c r="S70" s="605">
        <v>0.1</v>
      </c>
      <c r="T70" s="556">
        <f t="shared" ref="T70:T79" si="12">(O70+P70)*S70</f>
        <v>5110.00875</v>
      </c>
      <c r="U70" s="1012"/>
      <c r="V70" s="888"/>
      <c r="W70" s="559">
        <f t="shared" ref="W70:W79" si="13">O70+P70+T70</f>
        <v>56210.096249999995</v>
      </c>
      <c r="X70" s="1690">
        <f>U70+Q70</f>
        <v>0</v>
      </c>
      <c r="Y70" s="1690">
        <f>V70+R70</f>
        <v>0</v>
      </c>
      <c r="Z70" s="23">
        <f>W70*12</f>
        <v>674521.15499999991</v>
      </c>
      <c r="AA70" s="24">
        <f>Z70/12/29.33*56</f>
        <v>107322.37947494033</v>
      </c>
      <c r="AB70" s="24">
        <f>Z70*1.25</f>
        <v>843151.44374999986</v>
      </c>
      <c r="AC70" s="24">
        <f>AB70/12/29.33*56</f>
        <v>134152.97434367539</v>
      </c>
    </row>
    <row r="71" spans="1:44" s="24" customFormat="1" ht="17.25" customHeight="1">
      <c r="A71" s="1008" t="s">
        <v>678</v>
      </c>
      <c r="B71" s="1009" t="s">
        <v>99</v>
      </c>
      <c r="C71" s="1592" t="s">
        <v>75</v>
      </c>
      <c r="D71" s="1586" t="s">
        <v>738</v>
      </c>
      <c r="E71" s="1586" t="s">
        <v>602</v>
      </c>
      <c r="F71" s="1728">
        <v>1</v>
      </c>
      <c r="G71" s="1593" t="s">
        <v>102</v>
      </c>
      <c r="H71" s="1593" t="s">
        <v>118</v>
      </c>
      <c r="I71" s="1594">
        <v>4</v>
      </c>
      <c r="J71" s="888">
        <v>17697</v>
      </c>
      <c r="K71" s="1649">
        <v>11</v>
      </c>
      <c r="L71" s="888">
        <f t="shared" si="10"/>
        <v>0.61111111111111116</v>
      </c>
      <c r="M71" s="1744" t="s">
        <v>112</v>
      </c>
      <c r="N71" s="1595">
        <v>3.36</v>
      </c>
      <c r="O71" s="1013">
        <f t="shared" si="11"/>
        <v>36337.840000000004</v>
      </c>
      <c r="P71" s="1013">
        <f t="shared" si="9"/>
        <v>9084.4600000000009</v>
      </c>
      <c r="Q71" s="1011"/>
      <c r="R71" s="888"/>
      <c r="S71" s="888">
        <v>0.1</v>
      </c>
      <c r="T71" s="1013">
        <f t="shared" si="12"/>
        <v>4542.2300000000005</v>
      </c>
      <c r="U71" s="1758"/>
      <c r="V71" s="888"/>
      <c r="W71" s="1697">
        <f t="shared" si="13"/>
        <v>49964.530000000006</v>
      </c>
      <c r="X71" s="1690"/>
      <c r="Y71" s="1690"/>
      <c r="Z71" s="23"/>
    </row>
    <row r="72" spans="1:44" s="24" customFormat="1" ht="17.25" customHeight="1">
      <c r="A72" s="548" t="s">
        <v>804</v>
      </c>
      <c r="B72" s="549" t="s">
        <v>99</v>
      </c>
      <c r="C72" s="577" t="s">
        <v>75</v>
      </c>
      <c r="D72" s="583" t="s">
        <v>738</v>
      </c>
      <c r="E72" s="583" t="s">
        <v>108</v>
      </c>
      <c r="F72" s="547">
        <v>1</v>
      </c>
      <c r="G72" s="577" t="s">
        <v>102</v>
      </c>
      <c r="H72" s="577" t="s">
        <v>118</v>
      </c>
      <c r="I72" s="578">
        <v>4</v>
      </c>
      <c r="J72" s="552">
        <v>17697</v>
      </c>
      <c r="K72" s="553">
        <v>18</v>
      </c>
      <c r="L72" s="552">
        <f t="shared" si="10"/>
        <v>1</v>
      </c>
      <c r="M72" s="1670" t="s">
        <v>112</v>
      </c>
      <c r="N72" s="1582">
        <v>3.36</v>
      </c>
      <c r="O72" s="556">
        <f t="shared" si="11"/>
        <v>59461.919999999998</v>
      </c>
      <c r="P72" s="556">
        <f t="shared" si="9"/>
        <v>14865.48</v>
      </c>
      <c r="Q72" s="557"/>
      <c r="R72" s="552"/>
      <c r="S72" s="552">
        <v>0.1</v>
      </c>
      <c r="T72" s="556">
        <f t="shared" si="12"/>
        <v>7432.74</v>
      </c>
      <c r="U72" s="558"/>
      <c r="V72" s="552"/>
      <c r="W72" s="559">
        <f t="shared" si="13"/>
        <v>81760.14</v>
      </c>
      <c r="X72" s="10"/>
      <c r="Y72" s="10"/>
      <c r="Z72" s="23"/>
    </row>
    <row r="73" spans="1:44" s="24" customFormat="1" ht="18" customHeight="1">
      <c r="A73" s="153" t="s">
        <v>150</v>
      </c>
      <c r="B73" s="561" t="s">
        <v>99</v>
      </c>
      <c r="C73" s="563" t="s">
        <v>25</v>
      </c>
      <c r="D73" s="562" t="s">
        <v>680</v>
      </c>
      <c r="E73" s="562" t="s">
        <v>34</v>
      </c>
      <c r="F73" s="560">
        <v>1</v>
      </c>
      <c r="G73" s="563" t="s">
        <v>102</v>
      </c>
      <c r="H73" s="563" t="s">
        <v>103</v>
      </c>
      <c r="I73" s="564">
        <v>1</v>
      </c>
      <c r="J73" s="554">
        <v>17697</v>
      </c>
      <c r="K73" s="565">
        <v>26</v>
      </c>
      <c r="L73" s="554">
        <f t="shared" si="10"/>
        <v>1.4444444444444444</v>
      </c>
      <c r="M73" s="997" t="s">
        <v>152</v>
      </c>
      <c r="N73" s="1014">
        <v>4.75</v>
      </c>
      <c r="O73" s="567">
        <f t="shared" si="11"/>
        <v>121421.08333333334</v>
      </c>
      <c r="P73" s="697">
        <f t="shared" si="9"/>
        <v>30355.270833333336</v>
      </c>
      <c r="Q73" s="568"/>
      <c r="R73" s="554"/>
      <c r="S73" s="552">
        <v>0.1</v>
      </c>
      <c r="T73" s="567">
        <f t="shared" si="12"/>
        <v>15177.63541666667</v>
      </c>
      <c r="U73" s="569"/>
      <c r="V73" s="554"/>
      <c r="W73" s="570">
        <f t="shared" si="13"/>
        <v>166953.98958333334</v>
      </c>
      <c r="X73" s="7">
        <f>U73+Q73</f>
        <v>0</v>
      </c>
      <c r="Y73" s="7">
        <f>V73+R73</f>
        <v>0</v>
      </c>
      <c r="Z73" s="23">
        <f>W73*12</f>
        <v>2003447.875</v>
      </c>
      <c r="AA73" s="24">
        <f>Z73/12/29.33*56</f>
        <v>318766.56722354813</v>
      </c>
      <c r="AB73" s="24">
        <f>Z73*1.25</f>
        <v>2504309.84375</v>
      </c>
      <c r="AC73" s="24">
        <f>AB73/12/29.33*56</f>
        <v>398458.20902943518</v>
      </c>
    </row>
    <row r="74" spans="1:44" s="24" customFormat="1" ht="16.5" customHeight="1">
      <c r="A74" s="153" t="s">
        <v>153</v>
      </c>
      <c r="B74" s="561" t="s">
        <v>99</v>
      </c>
      <c r="C74" s="560" t="s">
        <v>25</v>
      </c>
      <c r="D74" s="560" t="s">
        <v>818</v>
      </c>
      <c r="E74" s="562" t="s">
        <v>819</v>
      </c>
      <c r="F74" s="560">
        <v>1</v>
      </c>
      <c r="G74" s="560" t="s">
        <v>102</v>
      </c>
      <c r="H74" s="560" t="s">
        <v>103</v>
      </c>
      <c r="I74" s="1603">
        <v>1</v>
      </c>
      <c r="J74" s="554">
        <v>17697</v>
      </c>
      <c r="K74" s="565">
        <v>10</v>
      </c>
      <c r="L74" s="554">
        <f t="shared" si="10"/>
        <v>0.55555555555555558</v>
      </c>
      <c r="M74" s="997" t="s">
        <v>152</v>
      </c>
      <c r="N74" s="1014">
        <v>4.75</v>
      </c>
      <c r="O74" s="567">
        <f t="shared" si="11"/>
        <v>46700.416666666672</v>
      </c>
      <c r="P74" s="697">
        <f t="shared" si="9"/>
        <v>11675.104166666668</v>
      </c>
      <c r="Q74" s="568"/>
      <c r="R74" s="554"/>
      <c r="S74" s="552">
        <v>0.1</v>
      </c>
      <c r="T74" s="567">
        <f t="shared" si="12"/>
        <v>5837.5520833333348</v>
      </c>
      <c r="U74" s="569"/>
      <c r="V74" s="554"/>
      <c r="W74" s="570">
        <f t="shared" si="13"/>
        <v>64213.072916666679</v>
      </c>
      <c r="X74" s="7"/>
      <c r="Y74" s="7"/>
      <c r="Z74" s="23"/>
    </row>
    <row r="75" spans="1:44" s="24" customFormat="1" ht="17.25" customHeight="1">
      <c r="A75" s="153" t="s">
        <v>157</v>
      </c>
      <c r="B75" s="561" t="s">
        <v>99</v>
      </c>
      <c r="C75" s="563" t="s">
        <v>75</v>
      </c>
      <c r="D75" s="583" t="s">
        <v>681</v>
      </c>
      <c r="E75" s="562" t="s">
        <v>108</v>
      </c>
      <c r="F75" s="560">
        <v>1</v>
      </c>
      <c r="G75" s="563" t="s">
        <v>102</v>
      </c>
      <c r="H75" s="563" t="s">
        <v>118</v>
      </c>
      <c r="I75" s="564">
        <v>4</v>
      </c>
      <c r="J75" s="554">
        <v>17697</v>
      </c>
      <c r="K75" s="565">
        <v>26</v>
      </c>
      <c r="L75" s="554">
        <f t="shared" si="10"/>
        <v>1.4444444444444444</v>
      </c>
      <c r="M75" s="1004" t="s">
        <v>112</v>
      </c>
      <c r="N75" s="1157">
        <v>3.41</v>
      </c>
      <c r="O75" s="567">
        <f t="shared" si="11"/>
        <v>87167.556666666671</v>
      </c>
      <c r="P75" s="697">
        <f t="shared" si="9"/>
        <v>21791.889166666668</v>
      </c>
      <c r="Q75" s="1538"/>
      <c r="R75" s="700"/>
      <c r="S75" s="552">
        <v>0.1</v>
      </c>
      <c r="T75" s="567">
        <f t="shared" si="12"/>
        <v>10895.944583333334</v>
      </c>
      <c r="U75" s="569"/>
      <c r="V75" s="554"/>
      <c r="W75" s="570">
        <f t="shared" si="13"/>
        <v>119855.39041666666</v>
      </c>
      <c r="X75" s="10">
        <f>U75+Q75</f>
        <v>0</v>
      </c>
      <c r="Y75" s="10">
        <f>V75+R75</f>
        <v>0</v>
      </c>
      <c r="Z75" s="23">
        <f>W75*12</f>
        <v>1438264.6850000001</v>
      </c>
      <c r="AA75" s="24">
        <f t="shared" ref="AA75:AA81" si="14">Z75/12/29.33*56</f>
        <v>228840.84089101036</v>
      </c>
      <c r="AB75" s="24">
        <f t="shared" ref="AB75:AB81" si="15">Z75*1.25</f>
        <v>1797830.8562500002</v>
      </c>
      <c r="AC75" s="24">
        <f t="shared" ref="AC75:AC81" si="16">AB75/12/29.33*56</f>
        <v>286051.05111376295</v>
      </c>
    </row>
    <row r="76" spans="1:44" s="24" customFormat="1" ht="17.25" customHeight="1">
      <c r="A76" s="153" t="s">
        <v>160</v>
      </c>
      <c r="B76" s="561" t="s">
        <v>148</v>
      </c>
      <c r="C76" s="563" t="s">
        <v>25</v>
      </c>
      <c r="D76" s="562" t="s">
        <v>682</v>
      </c>
      <c r="E76" s="562" t="s">
        <v>34</v>
      </c>
      <c r="F76" s="560">
        <v>1</v>
      </c>
      <c r="G76" s="563" t="s">
        <v>102</v>
      </c>
      <c r="H76" s="563" t="s">
        <v>103</v>
      </c>
      <c r="I76" s="564">
        <v>2</v>
      </c>
      <c r="J76" s="554">
        <v>17697</v>
      </c>
      <c r="K76" s="565">
        <v>29</v>
      </c>
      <c r="L76" s="554">
        <f t="shared" si="10"/>
        <v>1.6111111111111112</v>
      </c>
      <c r="M76" s="566" t="s">
        <v>104</v>
      </c>
      <c r="N76" s="1014">
        <v>4.51</v>
      </c>
      <c r="O76" s="567">
        <f t="shared" si="11"/>
        <v>128588.36833333335</v>
      </c>
      <c r="P76" s="697">
        <f t="shared" si="9"/>
        <v>32147.092083333337</v>
      </c>
      <c r="Q76" s="568"/>
      <c r="R76" s="554"/>
      <c r="S76" s="552">
        <v>0.1</v>
      </c>
      <c r="T76" s="567">
        <f t="shared" si="12"/>
        <v>16073.54604166667</v>
      </c>
      <c r="U76" s="569"/>
      <c r="V76" s="554"/>
      <c r="W76" s="570">
        <f t="shared" si="13"/>
        <v>176809.00645833337</v>
      </c>
      <c r="X76" s="1547">
        <f>U76+Q76</f>
        <v>0</v>
      </c>
      <c r="Y76" s="1547">
        <f>V76+R76</f>
        <v>0</v>
      </c>
      <c r="Z76" s="23">
        <f>W76*12</f>
        <v>2121708.0775000006</v>
      </c>
      <c r="AA76" s="24">
        <f t="shared" si="14"/>
        <v>337582.82856006373</v>
      </c>
      <c r="AB76" s="24">
        <f t="shared" si="15"/>
        <v>2652135.0968750007</v>
      </c>
      <c r="AC76" s="24">
        <f t="shared" si="16"/>
        <v>421978.53570007969</v>
      </c>
    </row>
    <row r="77" spans="1:44" s="24" customFormat="1" ht="17.25" customHeight="1">
      <c r="A77" s="998" t="s">
        <v>360</v>
      </c>
      <c r="B77" s="873" t="s">
        <v>99</v>
      </c>
      <c r="C77" s="1002" t="s">
        <v>25</v>
      </c>
      <c r="D77" s="583" t="s">
        <v>683</v>
      </c>
      <c r="E77" s="1539" t="s">
        <v>362</v>
      </c>
      <c r="F77" s="571">
        <v>1</v>
      </c>
      <c r="G77" s="580" t="s">
        <v>102</v>
      </c>
      <c r="H77" s="580" t="s">
        <v>103</v>
      </c>
      <c r="I77" s="574">
        <v>1</v>
      </c>
      <c r="J77" s="554">
        <v>17697</v>
      </c>
      <c r="K77" s="1648">
        <v>24</v>
      </c>
      <c r="L77" s="554">
        <f t="shared" si="10"/>
        <v>1.3333333333333333</v>
      </c>
      <c r="M77" s="1583" t="s">
        <v>152</v>
      </c>
      <c r="N77" s="1591">
        <v>4.55</v>
      </c>
      <c r="O77" s="567">
        <f t="shared" si="11"/>
        <v>107361.79999999999</v>
      </c>
      <c r="P77" s="697">
        <f t="shared" si="9"/>
        <v>26840.449999999997</v>
      </c>
      <c r="Q77" s="1538"/>
      <c r="R77" s="700"/>
      <c r="S77" s="552">
        <v>0.1</v>
      </c>
      <c r="T77" s="567">
        <f t="shared" si="12"/>
        <v>13420.225</v>
      </c>
      <c r="U77" s="1541"/>
      <c r="V77" s="700"/>
      <c r="W77" s="570">
        <f t="shared" si="13"/>
        <v>147622.47500000001</v>
      </c>
      <c r="X77" s="10">
        <f>U76+Q76</f>
        <v>0</v>
      </c>
      <c r="Y77" s="10">
        <f>V76+R76</f>
        <v>0</v>
      </c>
      <c r="Z77" s="23">
        <f>W76*12</f>
        <v>2121708.0775000006</v>
      </c>
      <c r="AA77" s="24">
        <f t="shared" si="14"/>
        <v>337582.82856006373</v>
      </c>
      <c r="AB77" s="24">
        <f t="shared" si="15"/>
        <v>2652135.0968750007</v>
      </c>
      <c r="AC77" s="24">
        <f t="shared" si="16"/>
        <v>421978.53570007969</v>
      </c>
    </row>
    <row r="78" spans="1:44" s="24" customFormat="1" ht="17.25" customHeight="1">
      <c r="A78" s="153" t="s">
        <v>743</v>
      </c>
      <c r="B78" s="561" t="s">
        <v>744</v>
      </c>
      <c r="C78" s="628" t="s">
        <v>25</v>
      </c>
      <c r="D78" s="586" t="s">
        <v>745</v>
      </c>
      <c r="E78" s="562" t="s">
        <v>403</v>
      </c>
      <c r="F78" s="571">
        <v>1</v>
      </c>
      <c r="G78" s="563" t="s">
        <v>102</v>
      </c>
      <c r="H78" s="563" t="s">
        <v>103</v>
      </c>
      <c r="I78" s="629">
        <v>3</v>
      </c>
      <c r="J78" s="554">
        <v>17697</v>
      </c>
      <c r="K78" s="1643">
        <v>24</v>
      </c>
      <c r="L78" s="554">
        <f t="shared" si="10"/>
        <v>1.3333333333333333</v>
      </c>
      <c r="M78" s="574" t="s">
        <v>109</v>
      </c>
      <c r="N78" s="1015">
        <v>4.1399999999999997</v>
      </c>
      <c r="O78" s="567">
        <f t="shared" si="11"/>
        <v>97687.439999999988</v>
      </c>
      <c r="P78" s="697">
        <f t="shared" si="9"/>
        <v>24421.859999999997</v>
      </c>
      <c r="Q78" s="568"/>
      <c r="R78" s="554"/>
      <c r="S78" s="552">
        <v>0.1</v>
      </c>
      <c r="T78" s="567">
        <f t="shared" si="12"/>
        <v>12210.93</v>
      </c>
      <c r="U78" s="19"/>
      <c r="V78" s="554"/>
      <c r="W78" s="570">
        <f t="shared" si="13"/>
        <v>134320.22999999998</v>
      </c>
      <c r="X78" s="1547"/>
      <c r="Y78" s="1547"/>
      <c r="Z78" s="23">
        <f>W77*12</f>
        <v>1771469.7000000002</v>
      </c>
      <c r="AA78" s="24">
        <f t="shared" si="14"/>
        <v>281856.75417661096</v>
      </c>
      <c r="AB78" s="24">
        <f t="shared" si="15"/>
        <v>2214337.125</v>
      </c>
      <c r="AC78" s="24">
        <f t="shared" si="16"/>
        <v>352320.94272076373</v>
      </c>
    </row>
    <row r="79" spans="1:44" s="24" customFormat="1" ht="17.25" customHeight="1">
      <c r="A79" s="153" t="s">
        <v>162</v>
      </c>
      <c r="B79" s="561" t="s">
        <v>99</v>
      </c>
      <c r="C79" s="563" t="s">
        <v>25</v>
      </c>
      <c r="D79" s="582" t="s">
        <v>503</v>
      </c>
      <c r="E79" s="562" t="s">
        <v>77</v>
      </c>
      <c r="F79" s="560">
        <v>1</v>
      </c>
      <c r="G79" s="563" t="s">
        <v>102</v>
      </c>
      <c r="H79" s="563" t="s">
        <v>103</v>
      </c>
      <c r="I79" s="581">
        <v>4</v>
      </c>
      <c r="J79" s="554">
        <v>17697</v>
      </c>
      <c r="K79" s="565">
        <v>30</v>
      </c>
      <c r="L79" s="554">
        <f t="shared" si="10"/>
        <v>1.6666666666666667</v>
      </c>
      <c r="M79" s="574" t="s">
        <v>112</v>
      </c>
      <c r="N79" s="1014">
        <v>3.71</v>
      </c>
      <c r="O79" s="567">
        <f t="shared" si="11"/>
        <v>109426.45</v>
      </c>
      <c r="P79" s="697">
        <f t="shared" si="9"/>
        <v>27356.612499999999</v>
      </c>
      <c r="Q79" s="568"/>
      <c r="R79" s="554"/>
      <c r="S79" s="552">
        <v>0.1</v>
      </c>
      <c r="T79" s="567">
        <f t="shared" si="12"/>
        <v>13678.306250000001</v>
      </c>
      <c r="U79" s="569"/>
      <c r="V79" s="554"/>
      <c r="W79" s="570">
        <f t="shared" si="13"/>
        <v>150461.36874999999</v>
      </c>
      <c r="X79" s="10">
        <f>U79+Q79</f>
        <v>0</v>
      </c>
      <c r="Y79" s="10">
        <f>V79+R79</f>
        <v>0</v>
      </c>
      <c r="Z79" s="23">
        <f>W79*12</f>
        <v>1805536.4249999998</v>
      </c>
      <c r="AA79" s="24">
        <f t="shared" si="14"/>
        <v>287277.076372315</v>
      </c>
      <c r="AB79" s="24">
        <f t="shared" si="15"/>
        <v>2256920.53125</v>
      </c>
      <c r="AC79" s="24">
        <f t="shared" si="16"/>
        <v>359096.3454653938</v>
      </c>
    </row>
    <row r="80" spans="1:44" s="24" customFormat="1" ht="17.25" customHeight="1">
      <c r="A80" s="662" t="s">
        <v>319</v>
      </c>
      <c r="B80" s="647" t="s">
        <v>99</v>
      </c>
      <c r="C80" s="663" t="s">
        <v>25</v>
      </c>
      <c r="D80" s="664" t="s">
        <v>684</v>
      </c>
      <c r="E80" s="664" t="s">
        <v>239</v>
      </c>
      <c r="F80" s="177">
        <v>1</v>
      </c>
      <c r="G80" s="177" t="s">
        <v>232</v>
      </c>
      <c r="H80" s="177" t="s">
        <v>233</v>
      </c>
      <c r="I80" s="178">
        <v>3</v>
      </c>
      <c r="J80" s="554">
        <v>17697</v>
      </c>
      <c r="K80" s="665">
        <v>21</v>
      </c>
      <c r="L80" s="567">
        <f t="shared" si="10"/>
        <v>1.1666666666666667</v>
      </c>
      <c r="M80" s="566" t="s">
        <v>109</v>
      </c>
      <c r="N80" s="1610">
        <v>4.21</v>
      </c>
      <c r="O80" s="567">
        <f>J80*N80/18*K80</f>
        <v>86921.764999999985</v>
      </c>
      <c r="P80" s="697">
        <f t="shared" si="9"/>
        <v>21730.441249999996</v>
      </c>
      <c r="Q80" s="666">
        <v>0.25</v>
      </c>
      <c r="R80" s="554">
        <f>(O80+P80)*Q80</f>
        <v>27163.051562499997</v>
      </c>
      <c r="S80" s="552">
        <v>0.1</v>
      </c>
      <c r="T80" s="567">
        <f>(O80+P80+R80)*S80</f>
        <v>13581.52578125</v>
      </c>
      <c r="U80" s="19"/>
      <c r="V80" s="554"/>
      <c r="W80" s="570">
        <f>O80+P80+R80+T80</f>
        <v>149396.78359375001</v>
      </c>
      <c r="X80" s="359">
        <f>U79+S79+Q79</f>
        <v>0.1</v>
      </c>
      <c r="Y80" s="359">
        <f>V79+T79+R79</f>
        <v>13678.306250000001</v>
      </c>
      <c r="Z80" s="375">
        <f>W79*12</f>
        <v>1805536.4249999998</v>
      </c>
      <c r="AA80" s="377">
        <f t="shared" si="14"/>
        <v>287277.076372315</v>
      </c>
      <c r="AB80" s="377">
        <f t="shared" si="15"/>
        <v>2256920.53125</v>
      </c>
      <c r="AC80" s="377">
        <f t="shared" si="16"/>
        <v>359096.3454653938</v>
      </c>
      <c r="AD80" s="377"/>
      <c r="AE80" s="377"/>
      <c r="AF80" s="377"/>
      <c r="AG80" s="377"/>
      <c r="AH80" s="377"/>
      <c r="AI80" s="377"/>
      <c r="AJ80" s="377"/>
      <c r="AK80" s="377"/>
      <c r="AL80" s="377"/>
      <c r="AM80" s="377"/>
      <c r="AN80" s="377"/>
      <c r="AO80" s="377"/>
      <c r="AP80" s="377"/>
      <c r="AQ80" s="377"/>
      <c r="AR80" s="377"/>
    </row>
    <row r="81" spans="1:44" s="24" customFormat="1" ht="15.75">
      <c r="A81" s="647" t="s">
        <v>272</v>
      </c>
      <c r="B81" s="647" t="s">
        <v>617</v>
      </c>
      <c r="C81" s="628" t="s">
        <v>25</v>
      </c>
      <c r="D81" s="586" t="s">
        <v>685</v>
      </c>
      <c r="E81" s="582" t="s">
        <v>434</v>
      </c>
      <c r="F81" s="560">
        <v>1</v>
      </c>
      <c r="G81" s="563" t="s">
        <v>102</v>
      </c>
      <c r="H81" s="563" t="s">
        <v>103</v>
      </c>
      <c r="I81" s="629">
        <v>1</v>
      </c>
      <c r="J81" s="554">
        <v>17697</v>
      </c>
      <c r="K81" s="648">
        <v>32</v>
      </c>
      <c r="L81" s="554">
        <f t="shared" si="10"/>
        <v>1.7777777777777777</v>
      </c>
      <c r="M81" s="574" t="s">
        <v>152</v>
      </c>
      <c r="N81" s="1598">
        <v>4.6900000000000004</v>
      </c>
      <c r="O81" s="567">
        <f>N81*J81/18*K81</f>
        <v>147553.65333333335</v>
      </c>
      <c r="P81" s="697">
        <f t="shared" si="9"/>
        <v>36888.413333333338</v>
      </c>
      <c r="Q81" s="568"/>
      <c r="R81" s="554"/>
      <c r="S81" s="552">
        <v>0.1</v>
      </c>
      <c r="T81" s="567">
        <f>(O81+P81)*S81</f>
        <v>18444.206666666669</v>
      </c>
      <c r="U81" s="19"/>
      <c r="V81" s="554"/>
      <c r="W81" s="570">
        <f>O81+P81+T81</f>
        <v>202886.27333333335</v>
      </c>
      <c r="X81" s="10">
        <f>U79+Q79</f>
        <v>0</v>
      </c>
      <c r="Y81" s="10">
        <f>V79+R79</f>
        <v>0</v>
      </c>
      <c r="Z81" s="23">
        <f>W79*12</f>
        <v>1805536.4249999998</v>
      </c>
      <c r="AA81" s="24">
        <f t="shared" si="14"/>
        <v>287277.076372315</v>
      </c>
      <c r="AB81" s="24">
        <f t="shared" si="15"/>
        <v>2256920.53125</v>
      </c>
      <c r="AC81" s="24">
        <f t="shared" si="16"/>
        <v>359096.3454653938</v>
      </c>
    </row>
    <row r="82" spans="1:44" s="24" customFormat="1" ht="17.25" customHeight="1">
      <c r="A82" s="702" t="s">
        <v>52</v>
      </c>
      <c r="B82" s="1630" t="s">
        <v>53</v>
      </c>
      <c r="C82" s="894" t="s">
        <v>25</v>
      </c>
      <c r="D82" s="142" t="s">
        <v>775</v>
      </c>
      <c r="E82" s="894" t="s">
        <v>73</v>
      </c>
      <c r="F82" s="5">
        <v>1</v>
      </c>
      <c r="G82" s="20" t="s">
        <v>56</v>
      </c>
      <c r="H82" s="20" t="s">
        <v>56</v>
      </c>
      <c r="I82" s="731" t="s">
        <v>57</v>
      </c>
      <c r="J82" s="7">
        <v>17697</v>
      </c>
      <c r="K82" s="882"/>
      <c r="L82" s="10">
        <v>1</v>
      </c>
      <c r="M82" s="882"/>
      <c r="N82" s="1634" t="s">
        <v>639</v>
      </c>
      <c r="O82" s="18">
        <f>N82*J82*L82</f>
        <v>78397.709999999992</v>
      </c>
      <c r="P82" s="882"/>
      <c r="Q82" s="882"/>
      <c r="R82" s="1635"/>
      <c r="S82" s="44">
        <v>0.1</v>
      </c>
      <c r="T82" s="7">
        <f>(O82+P82+R82)*S82</f>
        <v>7839.7709999999997</v>
      </c>
      <c r="U82" s="882"/>
      <c r="V82" s="881"/>
      <c r="W82" s="10">
        <f>O82+R82+T82+V82+P82</f>
        <v>86237.480999999985</v>
      </c>
      <c r="X82" s="1268">
        <f>Q82+S82+U82</f>
        <v>0.1</v>
      </c>
      <c r="Y82" s="1268">
        <f>R82+T82+V82</f>
        <v>7839.7709999999997</v>
      </c>
      <c r="Z82" s="1264">
        <f>W82*12</f>
        <v>1034849.7719999999</v>
      </c>
      <c r="AA82" s="1382">
        <f>Z82/12/29.33*30</f>
        <v>88207.447323559478</v>
      </c>
      <c r="AB82" s="1264"/>
      <c r="AC82" s="1264"/>
      <c r="AD82" s="1264"/>
      <c r="AE82" s="1264"/>
      <c r="AF82" s="1264"/>
      <c r="AG82" s="1264"/>
      <c r="AH82" s="1264"/>
      <c r="AI82" s="1264"/>
      <c r="AJ82" s="1264"/>
      <c r="AK82" s="1264"/>
      <c r="AL82" s="1264"/>
      <c r="AM82" s="1264"/>
      <c r="AN82" s="1265"/>
      <c r="AO82" s="1265"/>
      <c r="AP82" s="1265"/>
      <c r="AQ82" s="1265"/>
      <c r="AR82" s="1265"/>
    </row>
    <row r="83" spans="1:44" s="24" customFormat="1" ht="15.75">
      <c r="A83" s="998" t="s">
        <v>166</v>
      </c>
      <c r="B83" s="873" t="s">
        <v>99</v>
      </c>
      <c r="C83" s="1002" t="s">
        <v>25</v>
      </c>
      <c r="D83" s="1539" t="s">
        <v>684</v>
      </c>
      <c r="E83" s="1539" t="s">
        <v>239</v>
      </c>
      <c r="F83" s="874">
        <v>1</v>
      </c>
      <c r="G83" s="1002" t="s">
        <v>102</v>
      </c>
      <c r="H83" s="1002" t="s">
        <v>103</v>
      </c>
      <c r="I83" s="1590">
        <v>1</v>
      </c>
      <c r="J83" s="700">
        <v>17697</v>
      </c>
      <c r="K83" s="1540">
        <v>36</v>
      </c>
      <c r="L83" s="554">
        <f>K83/18</f>
        <v>2</v>
      </c>
      <c r="M83" s="698" t="s">
        <v>152</v>
      </c>
      <c r="N83" s="1157">
        <v>4.49</v>
      </c>
      <c r="O83" s="697">
        <f>N83*J83/18*K83</f>
        <v>158919.06</v>
      </c>
      <c r="P83" s="697">
        <f>O83*25%</f>
        <v>39729.764999999999</v>
      </c>
      <c r="Q83" s="1538"/>
      <c r="R83" s="700"/>
      <c r="S83" s="552">
        <v>0.1</v>
      </c>
      <c r="T83" s="567">
        <f>(O83+P83)*S83</f>
        <v>19864.882500000003</v>
      </c>
      <c r="U83" s="699"/>
      <c r="V83" s="700"/>
      <c r="W83" s="570">
        <f>O83+P83+T83</f>
        <v>218513.70750000002</v>
      </c>
      <c r="X83" s="1547">
        <f>U83+Q83</f>
        <v>0</v>
      </c>
      <c r="Y83" s="1547">
        <f>V83+R83</f>
        <v>0</v>
      </c>
      <c r="Z83" s="23">
        <f>W83*12</f>
        <v>2622164.4900000002</v>
      </c>
      <c r="AA83" s="24">
        <f>Z83/12/29.33*56</f>
        <v>417209.94272076379</v>
      </c>
      <c r="AB83" s="24">
        <f>Z83*1.25</f>
        <v>3277705.6125000003</v>
      </c>
      <c r="AC83" s="24">
        <f>AB83/12/29.33*56</f>
        <v>521512.42840095476</v>
      </c>
    </row>
    <row r="84" spans="1:44" s="24" customFormat="1" ht="15.75">
      <c r="A84" s="153" t="s">
        <v>342</v>
      </c>
      <c r="B84" s="647" t="s">
        <v>340</v>
      </c>
      <c r="C84" s="560" t="s">
        <v>64</v>
      </c>
      <c r="D84" s="563"/>
      <c r="E84" s="711"/>
      <c r="F84" s="712">
        <v>1</v>
      </c>
      <c r="G84" s="563"/>
      <c r="H84" s="689"/>
      <c r="I84" s="563">
        <v>2</v>
      </c>
      <c r="J84" s="554">
        <v>17697</v>
      </c>
      <c r="K84" s="554"/>
      <c r="L84" s="554">
        <v>1</v>
      </c>
      <c r="M84" s="554"/>
      <c r="N84" s="554">
        <v>2.81</v>
      </c>
      <c r="O84" s="567">
        <f>J84*N84*L84</f>
        <v>49728.57</v>
      </c>
      <c r="P84" s="697"/>
      <c r="Q84" s="554">
        <f>J84*O85*M84</f>
        <v>0</v>
      </c>
      <c r="R84" s="568"/>
      <c r="S84" s="557">
        <v>0.1</v>
      </c>
      <c r="T84" s="554">
        <f>S84*O84</f>
        <v>4972.857</v>
      </c>
      <c r="U84" s="569">
        <v>0.3</v>
      </c>
      <c r="V84" s="554">
        <f>U84*J84</f>
        <v>5309.0999999999995</v>
      </c>
      <c r="W84" s="570">
        <f>O84+T84+V84</f>
        <v>60010.526999999995</v>
      </c>
      <c r="X84" s="1652">
        <f>Q83+U83+W83</f>
        <v>218513.70750000002</v>
      </c>
      <c r="Y84" s="1652">
        <f>R83+V83+X84</f>
        <v>218513.70750000002</v>
      </c>
      <c r="Z84" s="1277">
        <f>W83*12</f>
        <v>2622164.4900000002</v>
      </c>
      <c r="AA84" s="1458">
        <f>Z84/12/29.33*24</f>
        <v>178804.26116604163</v>
      </c>
      <c r="AB84" s="1458"/>
      <c r="AC84" s="1458"/>
      <c r="AD84" s="1458"/>
      <c r="AE84" s="1458"/>
      <c r="AF84" s="1458"/>
      <c r="AG84" s="1458"/>
      <c r="AH84" s="1458"/>
      <c r="AI84" s="1458"/>
      <c r="AJ84" s="1458"/>
      <c r="AK84" s="1458"/>
      <c r="AL84" s="1458"/>
      <c r="AM84" s="1458"/>
      <c r="AN84" s="1459"/>
      <c r="AO84" s="1459"/>
      <c r="AP84" s="1459"/>
      <c r="AQ84" s="1459"/>
      <c r="AR84" s="1459"/>
    </row>
    <row r="85" spans="1:44" s="24" customFormat="1" ht="17.25" customHeight="1">
      <c r="A85" s="726" t="s">
        <v>607</v>
      </c>
      <c r="B85" s="662" t="s">
        <v>786</v>
      </c>
      <c r="C85" s="663" t="s">
        <v>75</v>
      </c>
      <c r="D85" s="663"/>
      <c r="E85" s="727"/>
      <c r="F85" s="663">
        <v>1</v>
      </c>
      <c r="G85" s="728"/>
      <c r="H85" s="728"/>
      <c r="I85" s="663">
        <v>1</v>
      </c>
      <c r="J85" s="567">
        <v>17697</v>
      </c>
      <c r="K85" s="567"/>
      <c r="L85" s="554">
        <v>1</v>
      </c>
      <c r="M85" s="567"/>
      <c r="N85" s="554">
        <v>2.77</v>
      </c>
      <c r="O85" s="567">
        <f>J85*N85*L85</f>
        <v>49020.69</v>
      </c>
      <c r="P85" s="697"/>
      <c r="Q85" s="554">
        <f>J85*O86*M85</f>
        <v>0</v>
      </c>
      <c r="R85" s="567"/>
      <c r="S85" s="557">
        <v>0.1</v>
      </c>
      <c r="T85" s="554">
        <f>S85*O85</f>
        <v>4902.0690000000004</v>
      </c>
      <c r="U85" s="567">
        <v>0</v>
      </c>
      <c r="V85" s="593">
        <v>12439.34</v>
      </c>
      <c r="W85" s="570">
        <f>O85+T85+V85</f>
        <v>66362.099000000002</v>
      </c>
      <c r="X85" s="1651">
        <f>Q84+U84+W84</f>
        <v>60010.826999999997</v>
      </c>
      <c r="Y85" s="1651">
        <f>R84+V84+X85</f>
        <v>65319.926999999996</v>
      </c>
      <c r="Z85" s="1277">
        <f>W84*12</f>
        <v>720126.32399999991</v>
      </c>
      <c r="AA85" s="1458">
        <f>Z85/12/29.33*24</f>
        <v>49105.102216160922</v>
      </c>
      <c r="AB85" s="1277"/>
      <c r="AC85" s="1277"/>
      <c r="AD85" s="1482"/>
      <c r="AE85" s="1483"/>
      <c r="AF85" s="1277"/>
      <c r="AG85" s="1278"/>
      <c r="AH85" s="1278"/>
      <c r="AI85" s="1278"/>
      <c r="AJ85" s="1278"/>
      <c r="AK85" s="1278"/>
      <c r="AL85" s="1569"/>
      <c r="AM85" s="1278"/>
      <c r="AN85" s="1278"/>
      <c r="AO85" s="1278"/>
      <c r="AP85" s="1278"/>
      <c r="AQ85" s="1278"/>
      <c r="AR85" s="1278"/>
    </row>
    <row r="86" spans="1:44" s="24" customFormat="1" ht="17.25" customHeight="1">
      <c r="A86" s="153" t="s">
        <v>739</v>
      </c>
      <c r="B86" s="561" t="s">
        <v>99</v>
      </c>
      <c r="C86" s="563" t="s">
        <v>25</v>
      </c>
      <c r="D86" s="562" t="s">
        <v>707</v>
      </c>
      <c r="E86" s="1586" t="s">
        <v>159</v>
      </c>
      <c r="F86" s="560">
        <v>1</v>
      </c>
      <c r="G86" s="563" t="s">
        <v>102</v>
      </c>
      <c r="H86" s="563" t="s">
        <v>103</v>
      </c>
      <c r="I86" s="581">
        <v>4</v>
      </c>
      <c r="J86" s="554">
        <v>17697</v>
      </c>
      <c r="K86" s="565">
        <v>4</v>
      </c>
      <c r="L86" s="554">
        <f>K86/18</f>
        <v>0.22222222222222221</v>
      </c>
      <c r="M86" s="574" t="s">
        <v>112</v>
      </c>
      <c r="N86" s="1157">
        <v>3.71</v>
      </c>
      <c r="O86" s="567">
        <f>N86*J86/18*K86</f>
        <v>14590.193333333333</v>
      </c>
      <c r="P86" s="697">
        <f>O86*25%</f>
        <v>3647.5483333333332</v>
      </c>
      <c r="Q86" s="1538"/>
      <c r="R86" s="700"/>
      <c r="S86" s="552">
        <v>0.1</v>
      </c>
      <c r="T86" s="567">
        <f>(O86+P86)*S86</f>
        <v>1823.7741666666666</v>
      </c>
      <c r="U86" s="569"/>
      <c r="V86" s="554"/>
      <c r="W86" s="570">
        <f>O86+P86+T86</f>
        <v>20061.515833333331</v>
      </c>
      <c r="X86" s="10"/>
      <c r="Y86" s="10"/>
      <c r="Z86" s="23"/>
    </row>
    <row r="87" spans="1:44" s="24" customFormat="1" ht="17.25" customHeight="1">
      <c r="A87" s="662" t="s">
        <v>739</v>
      </c>
      <c r="B87" s="647" t="s">
        <v>99</v>
      </c>
      <c r="C87" s="663" t="s">
        <v>25</v>
      </c>
      <c r="D87" s="664" t="s">
        <v>503</v>
      </c>
      <c r="E87" s="664" t="s">
        <v>77</v>
      </c>
      <c r="F87" s="177">
        <v>1</v>
      </c>
      <c r="G87" s="177" t="s">
        <v>102</v>
      </c>
      <c r="H87" s="177" t="s">
        <v>103</v>
      </c>
      <c r="I87" s="182">
        <v>4</v>
      </c>
      <c r="J87" s="554">
        <v>17697</v>
      </c>
      <c r="K87" s="665">
        <v>10</v>
      </c>
      <c r="L87" s="567">
        <f>K87/18</f>
        <v>0.55555555555555558</v>
      </c>
      <c r="M87" s="997" t="s">
        <v>112</v>
      </c>
      <c r="N87" s="1610">
        <v>3.71</v>
      </c>
      <c r="O87" s="567">
        <f>J87*N87/18*K87</f>
        <v>36475.48333333333</v>
      </c>
      <c r="P87" s="697">
        <f>O87*25%</f>
        <v>9118.8708333333325</v>
      </c>
      <c r="Q87" s="666">
        <v>0.25</v>
      </c>
      <c r="R87" s="554">
        <f>(O87+P87)*Q87</f>
        <v>11398.588541666666</v>
      </c>
      <c r="S87" s="552">
        <v>0.1</v>
      </c>
      <c r="T87" s="567">
        <f>(O87+P87+R87)*S87</f>
        <v>5699.294270833333</v>
      </c>
      <c r="U87" s="19"/>
      <c r="V87" s="554"/>
      <c r="W87" s="570">
        <f>O87+P87+R87+T87</f>
        <v>62692.236979166664</v>
      </c>
      <c r="X87" s="919"/>
      <c r="Y87" s="919"/>
      <c r="Z87" s="375">
        <f>W86*12</f>
        <v>240738.18999999997</v>
      </c>
      <c r="AA87" s="377">
        <f>Z87/12/29.33*56</f>
        <v>38303.610182975332</v>
      </c>
      <c r="AB87" s="377">
        <f>Z87*1.25</f>
        <v>300922.73749999999</v>
      </c>
      <c r="AC87" s="377">
        <f>AB87/12/29.33*56</f>
        <v>47879.512728719172</v>
      </c>
      <c r="AD87" s="377"/>
      <c r="AE87" s="377"/>
      <c r="AF87" s="377"/>
      <c r="AG87" s="377"/>
      <c r="AH87" s="377"/>
      <c r="AI87" s="377"/>
      <c r="AJ87" s="377"/>
      <c r="AK87" s="377"/>
      <c r="AL87" s="377"/>
      <c r="AM87" s="377"/>
      <c r="AN87" s="377"/>
      <c r="AO87" s="377"/>
      <c r="AP87" s="377"/>
      <c r="AQ87" s="377"/>
      <c r="AR87" s="377"/>
    </row>
    <row r="88" spans="1:44" s="24" customFormat="1" ht="17.25" customHeight="1">
      <c r="A88" s="872" t="s">
        <v>274</v>
      </c>
      <c r="B88" s="692" t="s">
        <v>99</v>
      </c>
      <c r="C88" s="875" t="s">
        <v>25</v>
      </c>
      <c r="D88" s="1599" t="s">
        <v>686</v>
      </c>
      <c r="E88" s="1539" t="s">
        <v>239</v>
      </c>
      <c r="F88" s="874">
        <v>1</v>
      </c>
      <c r="G88" s="563" t="s">
        <v>102</v>
      </c>
      <c r="H88" s="563" t="s">
        <v>103</v>
      </c>
      <c r="I88" s="629">
        <v>2</v>
      </c>
      <c r="J88" s="554">
        <v>17697</v>
      </c>
      <c r="K88" s="1739">
        <v>23</v>
      </c>
      <c r="L88" s="700">
        <f>K88/18</f>
        <v>1.2777777777777777</v>
      </c>
      <c r="M88" s="698" t="s">
        <v>104</v>
      </c>
      <c r="N88" s="1600">
        <v>4.2300000000000004</v>
      </c>
      <c r="O88" s="697">
        <f>N88*J88/18*K88</f>
        <v>95652.285000000018</v>
      </c>
      <c r="P88" s="697">
        <f>O88*25%</f>
        <v>23913.071250000005</v>
      </c>
      <c r="Q88" s="1538"/>
      <c r="R88" s="700"/>
      <c r="S88" s="552">
        <v>0.1</v>
      </c>
      <c r="T88" s="567">
        <f>(O88+P88)*S88</f>
        <v>11956.535625000004</v>
      </c>
      <c r="U88" s="1541"/>
      <c r="V88" s="700"/>
      <c r="W88" s="570">
        <f>O88+P88+T88</f>
        <v>131521.89187500003</v>
      </c>
      <c r="X88" s="1547"/>
      <c r="Y88" s="1547"/>
      <c r="Z88" s="23">
        <f>W87*12</f>
        <v>752306.84375</v>
      </c>
      <c r="AA88" s="24">
        <f>Z88/12/29.33*56</f>
        <v>119698.78182179792</v>
      </c>
      <c r="AB88" s="24">
        <f>Z88*1.25</f>
        <v>940383.5546875</v>
      </c>
      <c r="AC88" s="24">
        <f>AB88/12/29.33*56</f>
        <v>149623.47727724741</v>
      </c>
    </row>
    <row r="89" spans="1:44" s="24" customFormat="1" ht="17.25" customHeight="1">
      <c r="A89" s="998" t="s">
        <v>274</v>
      </c>
      <c r="B89" s="692" t="s">
        <v>99</v>
      </c>
      <c r="C89" s="693" t="s">
        <v>25</v>
      </c>
      <c r="D89" s="643" t="s">
        <v>686</v>
      </c>
      <c r="E89" s="1539" t="s">
        <v>239</v>
      </c>
      <c r="F89" s="177">
        <v>1</v>
      </c>
      <c r="G89" s="177" t="s">
        <v>102</v>
      </c>
      <c r="H89" s="177" t="s">
        <v>103</v>
      </c>
      <c r="I89" s="178">
        <v>2</v>
      </c>
      <c r="J89" s="554">
        <v>17697</v>
      </c>
      <c r="K89" s="696">
        <v>12</v>
      </c>
      <c r="L89" s="567">
        <f>K89/18</f>
        <v>0.66666666666666663</v>
      </c>
      <c r="M89" s="698" t="s">
        <v>104</v>
      </c>
      <c r="N89" s="1612">
        <v>4.2300000000000004</v>
      </c>
      <c r="O89" s="697">
        <f>J89*N89/18*K89</f>
        <v>49905.540000000008</v>
      </c>
      <c r="P89" s="697">
        <f>O89*25%</f>
        <v>12476.385000000002</v>
      </c>
      <c r="Q89" s="1752">
        <v>0.25</v>
      </c>
      <c r="R89" s="700">
        <f>(O89+P89)*Q89</f>
        <v>15595.481250000003</v>
      </c>
      <c r="S89" s="552">
        <v>0.1</v>
      </c>
      <c r="T89" s="567">
        <f>(O89+P89+R89)*S89</f>
        <v>7797.7406250000022</v>
      </c>
      <c r="U89" s="1541"/>
      <c r="V89" s="700"/>
      <c r="W89" s="570">
        <f>O89+P89+R89+T89</f>
        <v>85775.14687500002</v>
      </c>
      <c r="X89" s="919"/>
      <c r="Y89" s="919"/>
      <c r="Z89" s="375">
        <f>W88*12</f>
        <v>1578262.7025000004</v>
      </c>
      <c r="AA89" s="377">
        <f>Z89/12/29.33*56</f>
        <v>251115.78400954659</v>
      </c>
      <c r="AB89" s="377">
        <f>Z89*1.25</f>
        <v>1972828.3781250005</v>
      </c>
      <c r="AC89" s="377">
        <f>AB89/12/29.33*56</f>
        <v>313894.73001193325</v>
      </c>
      <c r="AD89" s="377"/>
      <c r="AE89" s="377"/>
      <c r="AF89" s="377"/>
      <c r="AG89" s="377"/>
      <c r="AH89" s="377"/>
      <c r="AI89" s="377"/>
      <c r="AJ89" s="377"/>
      <c r="AK89" s="377"/>
      <c r="AL89" s="377"/>
      <c r="AM89" s="377"/>
      <c r="AN89" s="377"/>
      <c r="AO89" s="377"/>
      <c r="AP89" s="377"/>
      <c r="AQ89" s="377"/>
      <c r="AR89" s="377"/>
    </row>
    <row r="90" spans="1:44" s="24" customFormat="1" ht="17.25" customHeight="1">
      <c r="A90" s="1704" t="s">
        <v>420</v>
      </c>
      <c r="B90" s="1706" t="s">
        <v>99</v>
      </c>
      <c r="C90" s="1710" t="s">
        <v>25</v>
      </c>
      <c r="D90" s="1717" t="s">
        <v>687</v>
      </c>
      <c r="E90" s="1586" t="s">
        <v>239</v>
      </c>
      <c r="F90" s="560">
        <v>1</v>
      </c>
      <c r="G90" s="1592" t="s">
        <v>102</v>
      </c>
      <c r="H90" s="1592" t="s">
        <v>103</v>
      </c>
      <c r="I90" s="1737">
        <v>3</v>
      </c>
      <c r="J90" s="554">
        <v>17697</v>
      </c>
      <c r="K90" s="1741">
        <v>20</v>
      </c>
      <c r="L90" s="554">
        <f>K90/18</f>
        <v>1.1111111111111112</v>
      </c>
      <c r="M90" s="1601" t="s">
        <v>109</v>
      </c>
      <c r="N90" s="1749">
        <v>4.21</v>
      </c>
      <c r="O90" s="567">
        <f>N90*J90/18*K90</f>
        <v>82782.633333333331</v>
      </c>
      <c r="P90" s="697">
        <f>O90*25%</f>
        <v>20695.658333333333</v>
      </c>
      <c r="Q90" s="608"/>
      <c r="R90" s="605"/>
      <c r="S90" s="552">
        <v>0.1</v>
      </c>
      <c r="T90" s="567">
        <f>(O90+P90)*S90</f>
        <v>10347.829166666666</v>
      </c>
      <c r="U90" s="19"/>
      <c r="V90" s="554"/>
      <c r="W90" s="570">
        <f>O90+P90+T90</f>
        <v>113826.12083333332</v>
      </c>
      <c r="X90" s="1547">
        <f>U89+Q89</f>
        <v>0.25</v>
      </c>
      <c r="Y90" s="1547">
        <f>V89+R89</f>
        <v>15595.481250000003</v>
      </c>
      <c r="Z90" s="23">
        <f>W89*12</f>
        <v>1029301.7625000002</v>
      </c>
      <c r="AA90" s="24">
        <f>Z90/12/29.33*56</f>
        <v>163771.16348448693</v>
      </c>
      <c r="AB90" s="24">
        <f>Z90*1.25</f>
        <v>1286627.2031250002</v>
      </c>
      <c r="AC90" s="24">
        <f>AB90/12/29.33*56</f>
        <v>204713.95435560864</v>
      </c>
    </row>
    <row r="91" spans="1:44" s="24" customFormat="1" ht="16.5" customHeight="1">
      <c r="A91" s="26" t="s">
        <v>399</v>
      </c>
      <c r="B91" s="6" t="s">
        <v>621</v>
      </c>
      <c r="C91" s="5" t="s">
        <v>25</v>
      </c>
      <c r="D91" s="45" t="s">
        <v>776</v>
      </c>
      <c r="E91" s="5" t="s">
        <v>77</v>
      </c>
      <c r="F91" s="5">
        <v>1</v>
      </c>
      <c r="G91" s="5" t="s">
        <v>61</v>
      </c>
      <c r="H91" s="5" t="s">
        <v>61</v>
      </c>
      <c r="I91" s="27">
        <v>1</v>
      </c>
      <c r="J91" s="885">
        <v>17697</v>
      </c>
      <c r="K91" s="885"/>
      <c r="L91" s="10">
        <v>1</v>
      </c>
      <c r="M91" s="1633"/>
      <c r="N91" s="1746" t="s">
        <v>402</v>
      </c>
      <c r="O91" s="18">
        <f>N91*J91*L91</f>
        <v>53798.879999999997</v>
      </c>
      <c r="P91" s="882"/>
      <c r="Q91" s="885"/>
      <c r="R91" s="1641"/>
      <c r="S91" s="44">
        <v>0.1</v>
      </c>
      <c r="T91" s="7">
        <f>(O91+P91+R91)*S91</f>
        <v>5379.8879999999999</v>
      </c>
      <c r="U91" s="7"/>
      <c r="V91" s="9"/>
      <c r="W91" s="10">
        <f>O91+R91+T91+V91+P91</f>
        <v>59178.767999999996</v>
      </c>
      <c r="X91" s="1445">
        <f>Q91+S91+U91</f>
        <v>0.1</v>
      </c>
      <c r="Y91" s="1445">
        <f>R91+T91+V91</f>
        <v>5379.8879999999999</v>
      </c>
      <c r="Z91" s="1264">
        <f>W91*12</f>
        <v>710145.21600000001</v>
      </c>
      <c r="AA91" s="1382">
        <f>Z91/12/29.33*30</f>
        <v>60530.618479372664</v>
      </c>
      <c r="AB91" s="1264"/>
      <c r="AC91" s="1264"/>
      <c r="AD91" s="1264"/>
      <c r="AE91" s="1264"/>
      <c r="AF91" s="1264"/>
      <c r="AG91" s="1264"/>
      <c r="AH91" s="1264"/>
      <c r="AI91" s="1264"/>
      <c r="AJ91" s="1264"/>
      <c r="AK91" s="1264"/>
      <c r="AL91" s="1264"/>
      <c r="AM91" s="1264"/>
      <c r="AN91" s="1265"/>
      <c r="AO91" s="1265"/>
      <c r="AP91" s="1265"/>
      <c r="AQ91" s="1265"/>
      <c r="AR91" s="1265"/>
    </row>
    <row r="92" spans="1:44" s="24" customFormat="1" ht="16.5" customHeight="1">
      <c r="A92" s="153" t="s">
        <v>168</v>
      </c>
      <c r="B92" s="561" t="s">
        <v>99</v>
      </c>
      <c r="C92" s="563" t="s">
        <v>25</v>
      </c>
      <c r="D92" s="562" t="s">
        <v>690</v>
      </c>
      <c r="E92" s="562" t="s">
        <v>73</v>
      </c>
      <c r="F92" s="560">
        <v>1</v>
      </c>
      <c r="G92" s="563" t="s">
        <v>102</v>
      </c>
      <c r="H92" s="563" t="s">
        <v>103</v>
      </c>
      <c r="I92" s="1584">
        <v>2</v>
      </c>
      <c r="J92" s="554">
        <v>17697</v>
      </c>
      <c r="K92" s="565">
        <v>32</v>
      </c>
      <c r="L92" s="554">
        <f t="shared" ref="L92:L105" si="17">K92/18</f>
        <v>1.7777777777777777</v>
      </c>
      <c r="M92" s="566" t="s">
        <v>104</v>
      </c>
      <c r="N92" s="1014">
        <v>4.16</v>
      </c>
      <c r="O92" s="567">
        <f t="shared" ref="O92:O98" si="18">N92*J92/18*K92</f>
        <v>130879.14666666667</v>
      </c>
      <c r="P92" s="697">
        <f t="shared" ref="P92:P105" si="19">O92*25%</f>
        <v>32719.786666666667</v>
      </c>
      <c r="Q92" s="568"/>
      <c r="R92" s="554"/>
      <c r="S92" s="552">
        <v>0.1</v>
      </c>
      <c r="T92" s="567">
        <f t="shared" ref="T92:T98" si="20">(O92+P92)*S92</f>
        <v>16359.893333333335</v>
      </c>
      <c r="U92" s="569"/>
      <c r="V92" s="554"/>
      <c r="W92" s="570">
        <f t="shared" ref="W92:W98" si="21">O92+P92+T92</f>
        <v>179958.82666666669</v>
      </c>
      <c r="X92" s="885">
        <f>U92+Q92</f>
        <v>0</v>
      </c>
      <c r="Y92" s="885">
        <f>V92+R92</f>
        <v>0</v>
      </c>
      <c r="Z92" s="23">
        <f>W92*12</f>
        <v>2159505.9200000004</v>
      </c>
      <c r="AA92" s="24">
        <f>Z92/12/29.33*56</f>
        <v>343596.80509148771</v>
      </c>
      <c r="AB92" s="24">
        <f>Z92*1.25</f>
        <v>2699382.4000000004</v>
      </c>
      <c r="AC92" s="24">
        <f>AB92/12/29.33*56</f>
        <v>429496.00636435964</v>
      </c>
    </row>
    <row r="93" spans="1:44" s="24" customFormat="1" ht="17.25" customHeight="1">
      <c r="A93" s="548" t="s">
        <v>89</v>
      </c>
      <c r="B93" s="549" t="s">
        <v>170</v>
      </c>
      <c r="C93" s="577" t="s">
        <v>25</v>
      </c>
      <c r="D93" s="583" t="s">
        <v>697</v>
      </c>
      <c r="E93" s="583" t="s">
        <v>73</v>
      </c>
      <c r="F93" s="547">
        <v>1</v>
      </c>
      <c r="G93" s="577" t="s">
        <v>102</v>
      </c>
      <c r="H93" s="577" t="s">
        <v>103</v>
      </c>
      <c r="I93" s="1735">
        <v>3</v>
      </c>
      <c r="J93" s="552">
        <v>17697</v>
      </c>
      <c r="K93" s="553">
        <v>15</v>
      </c>
      <c r="L93" s="552">
        <f t="shared" si="17"/>
        <v>0.83333333333333337</v>
      </c>
      <c r="M93" s="566" t="s">
        <v>109</v>
      </c>
      <c r="N93" s="1582">
        <v>4.21</v>
      </c>
      <c r="O93" s="556">
        <f t="shared" si="18"/>
        <v>62086.974999999991</v>
      </c>
      <c r="P93" s="556">
        <f t="shared" si="19"/>
        <v>15521.743749999998</v>
      </c>
      <c r="Q93" s="557"/>
      <c r="R93" s="552"/>
      <c r="S93" s="552">
        <v>0.1</v>
      </c>
      <c r="T93" s="556">
        <f t="shared" si="20"/>
        <v>7760.8718749999989</v>
      </c>
      <c r="U93" s="569"/>
      <c r="V93" s="552"/>
      <c r="W93" s="559">
        <f t="shared" si="21"/>
        <v>85369.590624999983</v>
      </c>
      <c r="X93" s="10">
        <f>U93+Q93</f>
        <v>0</v>
      </c>
      <c r="Y93" s="10">
        <f>V93+R93</f>
        <v>0</v>
      </c>
      <c r="Z93" s="23">
        <f>W93*12</f>
        <v>1024435.0874999998</v>
      </c>
      <c r="AA93" s="24">
        <f>Z93/12/29.33*56</f>
        <v>162996.83174224343</v>
      </c>
      <c r="AB93" s="24">
        <f>Z93*1.25</f>
        <v>1280543.8593749998</v>
      </c>
      <c r="AC93" s="24">
        <f>AB93/12/29.33*56</f>
        <v>203746.03967780428</v>
      </c>
    </row>
    <row r="94" spans="1:44" s="24" customFormat="1" ht="17.25" customHeight="1">
      <c r="A94" s="153" t="s">
        <v>171</v>
      </c>
      <c r="B94" s="561" t="s">
        <v>99</v>
      </c>
      <c r="C94" s="563" t="s">
        <v>25</v>
      </c>
      <c r="D94" s="562" t="s">
        <v>691</v>
      </c>
      <c r="E94" s="562" t="s">
        <v>34</v>
      </c>
      <c r="F94" s="560">
        <v>1</v>
      </c>
      <c r="G94" s="563" t="s">
        <v>102</v>
      </c>
      <c r="H94" s="563" t="s">
        <v>103</v>
      </c>
      <c r="I94" s="581">
        <v>1</v>
      </c>
      <c r="J94" s="554">
        <v>17697</v>
      </c>
      <c r="K94" s="553">
        <v>34</v>
      </c>
      <c r="L94" s="552">
        <f t="shared" si="17"/>
        <v>1.8888888888888888</v>
      </c>
      <c r="M94" s="574" t="s">
        <v>152</v>
      </c>
      <c r="N94" s="1014">
        <v>4.75</v>
      </c>
      <c r="O94" s="556">
        <f t="shared" si="18"/>
        <v>158781.41666666669</v>
      </c>
      <c r="P94" s="556">
        <f t="shared" si="19"/>
        <v>39695.354166666672</v>
      </c>
      <c r="Q94" s="568"/>
      <c r="R94" s="554"/>
      <c r="S94" s="554">
        <v>0.1</v>
      </c>
      <c r="T94" s="556">
        <f t="shared" si="20"/>
        <v>19847.677083333339</v>
      </c>
      <c r="U94" s="569"/>
      <c r="V94" s="552"/>
      <c r="W94" s="559">
        <f t="shared" si="21"/>
        <v>218324.44791666672</v>
      </c>
      <c r="X94" s="70"/>
      <c r="Y94" s="70"/>
      <c r="Z94" s="23">
        <f>W94*12</f>
        <v>2619893.3750000005</v>
      </c>
      <c r="AA94" s="24">
        <f>Z94/12/29.33*56</f>
        <v>416848.58790771686</v>
      </c>
      <c r="AB94" s="24">
        <f>Z94*1.25</f>
        <v>3274866.7187500005</v>
      </c>
      <c r="AC94" s="24">
        <f>AB94/12/29.33*56</f>
        <v>521060.73488464608</v>
      </c>
    </row>
    <row r="95" spans="1:44" s="24" customFormat="1" ht="17.25" customHeight="1">
      <c r="A95" s="998" t="s">
        <v>207</v>
      </c>
      <c r="B95" s="873" t="s">
        <v>817</v>
      </c>
      <c r="C95" s="1002" t="s">
        <v>25</v>
      </c>
      <c r="D95" s="1539" t="s">
        <v>588</v>
      </c>
      <c r="E95" s="1539" t="s">
        <v>362</v>
      </c>
      <c r="F95" s="1724">
        <v>1</v>
      </c>
      <c r="G95" s="560" t="s">
        <v>102</v>
      </c>
      <c r="H95" s="560" t="s">
        <v>103</v>
      </c>
      <c r="I95" s="1603">
        <v>1</v>
      </c>
      <c r="J95" s="554">
        <v>17697</v>
      </c>
      <c r="K95" s="1582">
        <v>26</v>
      </c>
      <c r="L95" s="552">
        <f t="shared" si="17"/>
        <v>1.4444444444444444</v>
      </c>
      <c r="M95" s="1583" t="s">
        <v>152</v>
      </c>
      <c r="N95" s="1591">
        <v>4.6900000000000004</v>
      </c>
      <c r="O95" s="556">
        <f t="shared" si="18"/>
        <v>119887.34333333335</v>
      </c>
      <c r="P95" s="556">
        <f t="shared" si="19"/>
        <v>29971.835833333338</v>
      </c>
      <c r="Q95" s="1538"/>
      <c r="R95" s="700"/>
      <c r="S95" s="554">
        <v>0.1</v>
      </c>
      <c r="T95" s="556">
        <f t="shared" si="20"/>
        <v>14985.917916666671</v>
      </c>
      <c r="U95" s="1541"/>
      <c r="V95" s="552"/>
      <c r="W95" s="559">
        <f t="shared" si="21"/>
        <v>164845.09708333336</v>
      </c>
      <c r="X95" s="10"/>
      <c r="Y95" s="10"/>
      <c r="Z95" s="23"/>
    </row>
    <row r="96" spans="1:44" s="24" customFormat="1" ht="17.25" customHeight="1">
      <c r="A96" s="998" t="s">
        <v>173</v>
      </c>
      <c r="B96" s="873" t="s">
        <v>99</v>
      </c>
      <c r="C96" s="1002" t="s">
        <v>25</v>
      </c>
      <c r="D96" s="1539" t="s">
        <v>693</v>
      </c>
      <c r="E96" s="562" t="s">
        <v>66</v>
      </c>
      <c r="F96" s="874">
        <v>1</v>
      </c>
      <c r="G96" s="563" t="s">
        <v>102</v>
      </c>
      <c r="H96" s="563" t="s">
        <v>103</v>
      </c>
      <c r="I96" s="581">
        <v>1</v>
      </c>
      <c r="J96" s="554">
        <v>17697</v>
      </c>
      <c r="K96" s="553">
        <v>32</v>
      </c>
      <c r="L96" s="552">
        <f t="shared" si="17"/>
        <v>1.7777777777777777</v>
      </c>
      <c r="M96" s="698" t="s">
        <v>152</v>
      </c>
      <c r="N96" s="1748">
        <v>4.55</v>
      </c>
      <c r="O96" s="556">
        <f t="shared" si="18"/>
        <v>143149.06666666665</v>
      </c>
      <c r="P96" s="556">
        <f t="shared" si="19"/>
        <v>35787.266666666663</v>
      </c>
      <c r="Q96" s="1538"/>
      <c r="R96" s="700"/>
      <c r="S96" s="554">
        <v>0.1</v>
      </c>
      <c r="T96" s="556">
        <f t="shared" si="20"/>
        <v>17893.633333333331</v>
      </c>
      <c r="U96" s="699"/>
      <c r="V96" s="552"/>
      <c r="W96" s="559">
        <f t="shared" si="21"/>
        <v>196829.96666666665</v>
      </c>
      <c r="X96" s="1547">
        <f>U96+Q96</f>
        <v>0</v>
      </c>
      <c r="Y96" s="1547">
        <f>V96+R96</f>
        <v>0</v>
      </c>
      <c r="Z96" s="23">
        <f>W96*12</f>
        <v>2361959.5999999996</v>
      </c>
      <c r="AA96" s="24">
        <f>Z96/12/29.33*56</f>
        <v>375809.00556881464</v>
      </c>
      <c r="AB96" s="24">
        <f>Z96*1.25</f>
        <v>2952449.4999999995</v>
      </c>
      <c r="AC96" s="24">
        <f>AB96/12/29.33*56</f>
        <v>469761.2569610182</v>
      </c>
    </row>
    <row r="97" spans="1:44" s="24" customFormat="1" ht="17.25" customHeight="1">
      <c r="A97" s="153" t="s">
        <v>175</v>
      </c>
      <c r="B97" s="561" t="s">
        <v>99</v>
      </c>
      <c r="C97" s="563" t="s">
        <v>25</v>
      </c>
      <c r="D97" s="562" t="s">
        <v>610</v>
      </c>
      <c r="E97" s="562" t="s">
        <v>114</v>
      </c>
      <c r="F97" s="560">
        <v>1</v>
      </c>
      <c r="G97" s="563" t="s">
        <v>102</v>
      </c>
      <c r="H97" s="563" t="s">
        <v>103</v>
      </c>
      <c r="I97" s="564">
        <v>1</v>
      </c>
      <c r="J97" s="554">
        <v>17697</v>
      </c>
      <c r="K97" s="553">
        <v>4</v>
      </c>
      <c r="L97" s="552">
        <f t="shared" si="17"/>
        <v>0.22222222222222221</v>
      </c>
      <c r="M97" s="997" t="s">
        <v>152</v>
      </c>
      <c r="N97" s="1014">
        <v>4.75</v>
      </c>
      <c r="O97" s="556">
        <f t="shared" si="18"/>
        <v>18680.166666666668</v>
      </c>
      <c r="P97" s="556">
        <f t="shared" si="19"/>
        <v>4670.041666666667</v>
      </c>
      <c r="Q97" s="568"/>
      <c r="R97" s="554"/>
      <c r="S97" s="554">
        <v>0.1</v>
      </c>
      <c r="T97" s="556">
        <f t="shared" si="20"/>
        <v>2335.0208333333335</v>
      </c>
      <c r="U97" s="569"/>
      <c r="V97" s="552"/>
      <c r="W97" s="559">
        <f t="shared" si="21"/>
        <v>25685.229166666668</v>
      </c>
      <c r="X97" s="882">
        <f>U97+Q97</f>
        <v>0</v>
      </c>
      <c r="Y97" s="882">
        <f>V97+R97</f>
        <v>0</v>
      </c>
      <c r="Z97" s="23">
        <f>W97*12</f>
        <v>308222.75</v>
      </c>
      <c r="AA97" s="24">
        <f>Z97/12/29.33*56</f>
        <v>49041.010342084337</v>
      </c>
      <c r="AB97" s="24">
        <f>Z97*1.25</f>
        <v>385278.4375</v>
      </c>
      <c r="AC97" s="24">
        <f>AB97/12/29.33*56</f>
        <v>61301.262927605414</v>
      </c>
    </row>
    <row r="98" spans="1:44" s="24" customFormat="1" ht="16.5" customHeight="1">
      <c r="A98" s="153" t="s">
        <v>175</v>
      </c>
      <c r="B98" s="647" t="s">
        <v>617</v>
      </c>
      <c r="C98" s="563" t="s">
        <v>25</v>
      </c>
      <c r="D98" s="562" t="s">
        <v>737</v>
      </c>
      <c r="E98" s="562" t="s">
        <v>114</v>
      </c>
      <c r="F98" s="560">
        <v>1</v>
      </c>
      <c r="G98" s="563" t="s">
        <v>102</v>
      </c>
      <c r="H98" s="563" t="s">
        <v>103</v>
      </c>
      <c r="I98" s="564">
        <v>1</v>
      </c>
      <c r="J98" s="554">
        <v>17697</v>
      </c>
      <c r="K98" s="645">
        <v>16</v>
      </c>
      <c r="L98" s="552">
        <f t="shared" si="17"/>
        <v>0.88888888888888884</v>
      </c>
      <c r="M98" s="574" t="s">
        <v>152</v>
      </c>
      <c r="N98" s="1014">
        <v>4.75</v>
      </c>
      <c r="O98" s="556">
        <f t="shared" si="18"/>
        <v>74720.666666666672</v>
      </c>
      <c r="P98" s="556">
        <f t="shared" si="19"/>
        <v>18680.166666666668</v>
      </c>
      <c r="Q98" s="568"/>
      <c r="R98" s="554"/>
      <c r="S98" s="554">
        <v>0.1</v>
      </c>
      <c r="T98" s="556">
        <f t="shared" si="20"/>
        <v>9340.0833333333339</v>
      </c>
      <c r="U98" s="19"/>
      <c r="V98" s="552"/>
      <c r="W98" s="559">
        <f t="shared" si="21"/>
        <v>102740.91666666667</v>
      </c>
      <c r="X98" s="1547">
        <f>U97+Q97</f>
        <v>0</v>
      </c>
      <c r="Y98" s="1547">
        <f>V97+R97</f>
        <v>0</v>
      </c>
      <c r="Z98" s="23">
        <f>W97*12</f>
        <v>308222.75</v>
      </c>
      <c r="AA98" s="24">
        <f>Z98/12/29.33*56</f>
        <v>49041.010342084337</v>
      </c>
      <c r="AB98" s="24">
        <f>Z98*1.25</f>
        <v>385278.4375</v>
      </c>
      <c r="AC98" s="24">
        <f>AB98/12/29.33*56</f>
        <v>61301.262927605414</v>
      </c>
    </row>
    <row r="99" spans="1:44" s="24" customFormat="1" ht="17.25" customHeight="1">
      <c r="A99" s="491" t="s">
        <v>758</v>
      </c>
      <c r="B99" s="647" t="s">
        <v>99</v>
      </c>
      <c r="C99" s="663" t="s">
        <v>25</v>
      </c>
      <c r="D99" s="664" t="s">
        <v>816</v>
      </c>
      <c r="E99" s="664" t="s">
        <v>366</v>
      </c>
      <c r="F99" s="177">
        <v>1</v>
      </c>
      <c r="G99" s="563" t="s">
        <v>102</v>
      </c>
      <c r="H99" s="563" t="s">
        <v>103</v>
      </c>
      <c r="I99" s="581">
        <v>4</v>
      </c>
      <c r="J99" s="554">
        <v>17697</v>
      </c>
      <c r="K99" s="1607">
        <v>34</v>
      </c>
      <c r="L99" s="556">
        <f t="shared" si="17"/>
        <v>1.8888888888888888</v>
      </c>
      <c r="M99" s="997" t="s">
        <v>112</v>
      </c>
      <c r="N99" s="1608">
        <v>4.12</v>
      </c>
      <c r="O99" s="556">
        <f>J99*N99/18*K99</f>
        <v>137721.98666666666</v>
      </c>
      <c r="P99" s="556">
        <f t="shared" si="19"/>
        <v>34430.496666666666</v>
      </c>
      <c r="Q99" s="666">
        <v>0.25</v>
      </c>
      <c r="R99" s="554"/>
      <c r="S99" s="554">
        <v>0.1</v>
      </c>
      <c r="T99" s="556">
        <f>(O99+P99+R99)*S99</f>
        <v>17215.248333333333</v>
      </c>
      <c r="U99" s="19"/>
      <c r="V99" s="552"/>
      <c r="W99" s="559">
        <f>O99+P99+R99+T99</f>
        <v>189367.73166666666</v>
      </c>
      <c r="X99" s="406"/>
      <c r="Y99" s="406"/>
      <c r="Z99" s="375"/>
      <c r="AA99" s="377"/>
      <c r="AB99" s="377"/>
      <c r="AC99" s="377"/>
      <c r="AD99" s="377"/>
      <c r="AE99" s="377"/>
      <c r="AF99" s="377"/>
      <c r="AG99" s="377"/>
      <c r="AH99" s="377"/>
      <c r="AI99" s="377"/>
      <c r="AJ99" s="377"/>
      <c r="AK99" s="377"/>
      <c r="AL99" s="377"/>
      <c r="AM99" s="377"/>
      <c r="AN99" s="377"/>
      <c r="AO99" s="377"/>
      <c r="AP99" s="377"/>
      <c r="AQ99" s="377"/>
      <c r="AR99" s="377"/>
    </row>
    <row r="100" spans="1:44" s="24" customFormat="1" ht="16.5" customHeight="1">
      <c r="A100" s="153" t="s">
        <v>281</v>
      </c>
      <c r="B100" s="561" t="s">
        <v>99</v>
      </c>
      <c r="C100" s="628" t="s">
        <v>25</v>
      </c>
      <c r="D100" s="586" t="s">
        <v>698</v>
      </c>
      <c r="E100" s="562" t="s">
        <v>40</v>
      </c>
      <c r="F100" s="571">
        <v>1</v>
      </c>
      <c r="G100" s="563" t="s">
        <v>102</v>
      </c>
      <c r="H100" s="563" t="s">
        <v>103</v>
      </c>
      <c r="I100" s="629">
        <v>1</v>
      </c>
      <c r="J100" s="554">
        <v>17697</v>
      </c>
      <c r="K100" s="1671">
        <v>6</v>
      </c>
      <c r="L100" s="552">
        <f t="shared" si="17"/>
        <v>0.33333333333333331</v>
      </c>
      <c r="M100" s="574" t="s">
        <v>152</v>
      </c>
      <c r="N100" s="1015">
        <v>4.75</v>
      </c>
      <c r="O100" s="556">
        <f>N100*J100/18*K100</f>
        <v>28020.25</v>
      </c>
      <c r="P100" s="556">
        <f t="shared" si="19"/>
        <v>7005.0625</v>
      </c>
      <c r="Q100" s="568"/>
      <c r="R100" s="554"/>
      <c r="S100" s="554">
        <v>0.1</v>
      </c>
      <c r="T100" s="556">
        <f>(O100+P100)*S100</f>
        <v>3502.53125</v>
      </c>
      <c r="U100" s="19"/>
      <c r="V100" s="552"/>
      <c r="W100" s="559">
        <f>O100+P100+T100</f>
        <v>38527.84375</v>
      </c>
      <c r="X100" s="10"/>
      <c r="Y100" s="10"/>
      <c r="Z100" s="23"/>
    </row>
    <row r="101" spans="1:44" s="24" customFormat="1" ht="16.5" customHeight="1">
      <c r="A101" s="692" t="s">
        <v>281</v>
      </c>
      <c r="B101" s="692" t="s">
        <v>99</v>
      </c>
      <c r="C101" s="875" t="s">
        <v>25</v>
      </c>
      <c r="D101" s="1717" t="s">
        <v>694</v>
      </c>
      <c r="E101" s="1586" t="s">
        <v>40</v>
      </c>
      <c r="F101" s="547">
        <v>1</v>
      </c>
      <c r="G101" s="563" t="s">
        <v>102</v>
      </c>
      <c r="H101" s="563" t="s">
        <v>103</v>
      </c>
      <c r="I101" s="1603">
        <v>1</v>
      </c>
      <c r="J101" s="554">
        <v>17697</v>
      </c>
      <c r="K101" s="1739">
        <v>12</v>
      </c>
      <c r="L101" s="554">
        <f t="shared" si="17"/>
        <v>0.66666666666666663</v>
      </c>
      <c r="M101" s="698" t="s">
        <v>152</v>
      </c>
      <c r="N101" s="1600">
        <v>4.75</v>
      </c>
      <c r="O101" s="556">
        <f>N101*J101/18*K101</f>
        <v>56040.5</v>
      </c>
      <c r="P101" s="556">
        <f t="shared" si="19"/>
        <v>14010.125</v>
      </c>
      <c r="Q101" s="1538"/>
      <c r="R101" s="700"/>
      <c r="S101" s="554">
        <v>0.1</v>
      </c>
      <c r="T101" s="556">
        <f>(O101+P101)*S101</f>
        <v>7005.0625</v>
      </c>
      <c r="U101" s="1541"/>
      <c r="V101" s="552"/>
      <c r="W101" s="559">
        <f>O101+P101+T101</f>
        <v>77055.6875</v>
      </c>
      <c r="X101" s="882">
        <f>U100+Q100</f>
        <v>0</v>
      </c>
      <c r="Y101" s="882">
        <f>V100+R100</f>
        <v>0</v>
      </c>
      <c r="Z101" s="23">
        <f>W100*12</f>
        <v>462334.125</v>
      </c>
      <c r="AA101" s="24">
        <f>Z101/12/29.33*56</f>
        <v>73561.515513126491</v>
      </c>
      <c r="AB101" s="24">
        <f>Z101*1.25</f>
        <v>577917.65625</v>
      </c>
      <c r="AC101" s="24">
        <f>AB101/12/29.33*56</f>
        <v>91951.894391408117</v>
      </c>
    </row>
    <row r="102" spans="1:44" s="24" customFormat="1" ht="17.25" customHeight="1">
      <c r="A102" s="1018" t="s">
        <v>519</v>
      </c>
      <c r="B102" s="647" t="s">
        <v>99</v>
      </c>
      <c r="C102" s="663" t="s">
        <v>25</v>
      </c>
      <c r="D102" s="664" t="s">
        <v>815</v>
      </c>
      <c r="E102" s="664" t="s">
        <v>34</v>
      </c>
      <c r="F102" s="177">
        <v>1</v>
      </c>
      <c r="G102" s="177" t="s">
        <v>102</v>
      </c>
      <c r="H102" s="177" t="s">
        <v>103</v>
      </c>
      <c r="I102" s="178">
        <v>1</v>
      </c>
      <c r="J102" s="554">
        <v>17697</v>
      </c>
      <c r="K102" s="1607">
        <v>18</v>
      </c>
      <c r="L102" s="556">
        <f t="shared" si="17"/>
        <v>1</v>
      </c>
      <c r="M102" s="574" t="s">
        <v>152</v>
      </c>
      <c r="N102" s="567">
        <v>4.75</v>
      </c>
      <c r="O102" s="556">
        <f>J102*N102/18*K102</f>
        <v>84060.75</v>
      </c>
      <c r="P102" s="556">
        <f t="shared" si="19"/>
        <v>21015.1875</v>
      </c>
      <c r="Q102" s="666">
        <v>0.25</v>
      </c>
      <c r="R102" s="554">
        <f>(O102+P102)*Q102</f>
        <v>26268.984375</v>
      </c>
      <c r="S102" s="554">
        <v>0.1</v>
      </c>
      <c r="T102" s="556">
        <f>(O102+P102+R102)*S102</f>
        <v>13134.4921875</v>
      </c>
      <c r="U102" s="19"/>
      <c r="V102" s="552"/>
      <c r="W102" s="559">
        <f>O102+P102+R102+T102</f>
        <v>144479.4140625</v>
      </c>
      <c r="X102" s="359"/>
      <c r="Y102" s="359"/>
      <c r="Z102" s="375"/>
      <c r="AA102" s="377"/>
      <c r="AB102" s="377"/>
      <c r="AC102" s="377"/>
      <c r="AD102" s="377"/>
      <c r="AE102" s="377"/>
      <c r="AF102" s="377"/>
      <c r="AG102" s="377"/>
      <c r="AH102" s="377"/>
      <c r="AI102" s="377"/>
      <c r="AJ102" s="377"/>
      <c r="AK102" s="377"/>
      <c r="AL102" s="377"/>
      <c r="AM102" s="377"/>
      <c r="AN102" s="377"/>
      <c r="AO102" s="377"/>
      <c r="AP102" s="377"/>
      <c r="AQ102" s="377"/>
      <c r="AR102" s="377"/>
    </row>
    <row r="103" spans="1:44" s="24" customFormat="1" ht="17.25" customHeight="1">
      <c r="A103" s="153" t="s">
        <v>177</v>
      </c>
      <c r="B103" s="561" t="s">
        <v>99</v>
      </c>
      <c r="C103" s="563" t="s">
        <v>178</v>
      </c>
      <c r="D103" s="562" t="s">
        <v>695</v>
      </c>
      <c r="E103" s="562" t="s">
        <v>366</v>
      </c>
      <c r="F103" s="560">
        <v>1</v>
      </c>
      <c r="G103" s="563" t="s">
        <v>102</v>
      </c>
      <c r="H103" s="563" t="s">
        <v>103</v>
      </c>
      <c r="I103" s="581">
        <v>2</v>
      </c>
      <c r="J103" s="554">
        <v>17697</v>
      </c>
      <c r="K103" s="553">
        <v>28</v>
      </c>
      <c r="L103" s="552">
        <f t="shared" si="17"/>
        <v>1.5555555555555556</v>
      </c>
      <c r="M103" s="1583" t="s">
        <v>104</v>
      </c>
      <c r="N103" s="1014">
        <v>4.4400000000000004</v>
      </c>
      <c r="O103" s="556">
        <f>N103*J103/18*K103</f>
        <v>122227.28</v>
      </c>
      <c r="P103" s="556">
        <f t="shared" si="19"/>
        <v>30556.82</v>
      </c>
      <c r="Q103" s="568"/>
      <c r="R103" s="554"/>
      <c r="S103" s="554">
        <v>0.1</v>
      </c>
      <c r="T103" s="556">
        <f>(O103+P103)*S103</f>
        <v>15278.410000000002</v>
      </c>
      <c r="U103" s="569"/>
      <c r="V103" s="552"/>
      <c r="W103" s="559">
        <f>O103+P103+T103</f>
        <v>168062.51</v>
      </c>
      <c r="X103" s="152"/>
      <c r="Y103" s="152"/>
      <c r="Z103" s="23">
        <f>W103*12</f>
        <v>2016750.12</v>
      </c>
      <c r="AA103" s="24">
        <f>Z103/12/29.33*56</f>
        <v>320883.07398568024</v>
      </c>
      <c r="AB103" s="24">
        <f>Z103*1.25</f>
        <v>2520937.6500000004</v>
      </c>
      <c r="AC103" s="24">
        <f>AB103/12/29.33*56</f>
        <v>401103.84248210036</v>
      </c>
      <c r="AD103" s="916"/>
      <c r="AE103" s="916"/>
      <c r="AF103" s="916"/>
      <c r="AG103" s="916"/>
      <c r="AH103" s="916"/>
      <c r="AI103" s="916"/>
      <c r="AJ103" s="916"/>
      <c r="AK103" s="916"/>
      <c r="AL103" s="916"/>
      <c r="AM103" s="916"/>
      <c r="AN103" s="916"/>
      <c r="AO103" s="916"/>
      <c r="AP103" s="916"/>
      <c r="AQ103" s="916"/>
      <c r="AR103" s="916"/>
    </row>
    <row r="104" spans="1:44" s="24" customFormat="1" ht="17.25" customHeight="1">
      <c r="A104" s="153" t="s">
        <v>808</v>
      </c>
      <c r="B104" s="561" t="s">
        <v>99</v>
      </c>
      <c r="C104" s="563" t="s">
        <v>152</v>
      </c>
      <c r="D104" s="562" t="s">
        <v>809</v>
      </c>
      <c r="E104" s="562" t="s">
        <v>34</v>
      </c>
      <c r="F104" s="560">
        <v>1</v>
      </c>
      <c r="G104" s="563" t="s">
        <v>102</v>
      </c>
      <c r="H104" s="563" t="s">
        <v>103</v>
      </c>
      <c r="I104" s="581">
        <v>3</v>
      </c>
      <c r="J104" s="554">
        <v>17697</v>
      </c>
      <c r="K104" s="553">
        <v>28</v>
      </c>
      <c r="L104" s="552">
        <f t="shared" si="17"/>
        <v>1.5555555555555556</v>
      </c>
      <c r="M104" s="566" t="s">
        <v>109</v>
      </c>
      <c r="N104" s="1014">
        <v>4.5</v>
      </c>
      <c r="O104" s="556">
        <f>N104*J104/18*K104</f>
        <v>123879</v>
      </c>
      <c r="P104" s="556">
        <f t="shared" si="19"/>
        <v>30969.75</v>
      </c>
      <c r="Q104" s="568"/>
      <c r="R104" s="554"/>
      <c r="S104" s="554">
        <v>0.1</v>
      </c>
      <c r="T104" s="556">
        <f>(O104+P104)*S104</f>
        <v>15484.875</v>
      </c>
      <c r="U104" s="569"/>
      <c r="V104" s="552"/>
      <c r="W104" s="559">
        <f>O104+P104+T104</f>
        <v>170333.625</v>
      </c>
      <c r="X104" s="152"/>
      <c r="Y104" s="152"/>
      <c r="Z104" s="23"/>
      <c r="AD104" s="916"/>
      <c r="AE104" s="916"/>
      <c r="AF104" s="916"/>
      <c r="AG104" s="916"/>
      <c r="AH104" s="916"/>
      <c r="AI104" s="916"/>
      <c r="AJ104" s="916"/>
      <c r="AK104" s="916"/>
      <c r="AL104" s="916"/>
      <c r="AM104" s="916"/>
      <c r="AN104" s="916"/>
      <c r="AO104" s="916"/>
      <c r="AP104" s="916"/>
      <c r="AQ104" s="916"/>
      <c r="AR104" s="916"/>
    </row>
    <row r="105" spans="1:44" s="24" customFormat="1" ht="17.25" customHeight="1">
      <c r="A105" s="647" t="s">
        <v>282</v>
      </c>
      <c r="B105" s="647" t="s">
        <v>617</v>
      </c>
      <c r="C105" s="628" t="s">
        <v>25</v>
      </c>
      <c r="D105" s="586" t="s">
        <v>699</v>
      </c>
      <c r="E105" s="562" t="s">
        <v>40</v>
      </c>
      <c r="F105" s="560">
        <v>1</v>
      </c>
      <c r="G105" s="563" t="s">
        <v>102</v>
      </c>
      <c r="H105" s="563" t="s">
        <v>103</v>
      </c>
      <c r="I105" s="1603">
        <v>1</v>
      </c>
      <c r="J105" s="554">
        <v>17697</v>
      </c>
      <c r="K105" s="645">
        <v>34</v>
      </c>
      <c r="L105" s="552">
        <f t="shared" si="17"/>
        <v>1.8888888888888888</v>
      </c>
      <c r="M105" s="574" t="s">
        <v>152</v>
      </c>
      <c r="N105" s="1598">
        <v>4.75</v>
      </c>
      <c r="O105" s="556">
        <f>N105*J105/18*K105</f>
        <v>158781.41666666669</v>
      </c>
      <c r="P105" s="556">
        <f t="shared" si="19"/>
        <v>39695.354166666672</v>
      </c>
      <c r="Q105" s="568"/>
      <c r="R105" s="554"/>
      <c r="S105" s="554">
        <v>0.1</v>
      </c>
      <c r="T105" s="556">
        <f>(O105+P105)*S105</f>
        <v>19847.677083333339</v>
      </c>
      <c r="U105" s="19"/>
      <c r="V105" s="552"/>
      <c r="W105" s="559">
        <f>O105+P105+T105</f>
        <v>218324.44791666672</v>
      </c>
      <c r="X105" s="10"/>
      <c r="Y105" s="10"/>
      <c r="Z105" s="23"/>
    </row>
    <row r="106" spans="1:44" s="24" customFormat="1" ht="17.25" customHeight="1">
      <c r="A106" s="153" t="s">
        <v>506</v>
      </c>
      <c r="B106" s="647" t="s">
        <v>340</v>
      </c>
      <c r="C106" s="560" t="s">
        <v>64</v>
      </c>
      <c r="D106" s="563"/>
      <c r="E106" s="711"/>
      <c r="F106" s="712" t="s">
        <v>409</v>
      </c>
      <c r="G106" s="563"/>
      <c r="H106" s="689"/>
      <c r="I106" s="563">
        <v>2</v>
      </c>
      <c r="J106" s="554">
        <v>17697</v>
      </c>
      <c r="K106" s="552"/>
      <c r="L106" s="552">
        <v>1</v>
      </c>
      <c r="M106" s="554"/>
      <c r="N106" s="554">
        <v>2.81</v>
      </c>
      <c r="O106" s="556">
        <f>J106*N106*L106*F106</f>
        <v>74592.854999999996</v>
      </c>
      <c r="P106" s="556"/>
      <c r="Q106" s="554">
        <f>J106*O107*M106</f>
        <v>0</v>
      </c>
      <c r="R106" s="554"/>
      <c r="S106" s="568">
        <v>0.1</v>
      </c>
      <c r="T106" s="552">
        <f>S106*O106</f>
        <v>7459.2855</v>
      </c>
      <c r="U106" s="569">
        <v>0.3</v>
      </c>
      <c r="V106" s="552">
        <f>U106*J106*1.5</f>
        <v>7963.65</v>
      </c>
      <c r="W106" s="559">
        <f>O106+T106+V106</f>
        <v>90015.790499999988</v>
      </c>
      <c r="X106" s="1651">
        <f>Q105+U105+W105</f>
        <v>218324.44791666672</v>
      </c>
      <c r="Y106" s="1651">
        <f>R105+V105+X106</f>
        <v>218324.44791666672</v>
      </c>
      <c r="Z106" s="1277">
        <f>W105*12</f>
        <v>2619893.3750000005</v>
      </c>
      <c r="AA106" s="1458">
        <f>Z106/12/29.33*24</f>
        <v>178649.39481759295</v>
      </c>
      <c r="AB106" s="1278"/>
      <c r="AC106" s="1278"/>
      <c r="AD106" s="1278"/>
      <c r="AE106" s="1278"/>
      <c r="AF106" s="1278"/>
      <c r="AG106" s="1278"/>
      <c r="AH106" s="1278"/>
      <c r="AI106" s="1278"/>
      <c r="AJ106" s="1278"/>
      <c r="AK106" s="1278"/>
      <c r="AL106" s="1278"/>
      <c r="AM106" s="1278"/>
      <c r="AN106" s="1278"/>
      <c r="AO106" s="1278"/>
      <c r="AP106" s="1278"/>
      <c r="AQ106" s="1278"/>
      <c r="AR106" s="1278"/>
    </row>
    <row r="107" spans="1:44" s="24" customFormat="1" ht="17.25" customHeight="1">
      <c r="A107" s="872" t="s">
        <v>357</v>
      </c>
      <c r="B107" s="873" t="s">
        <v>358</v>
      </c>
      <c r="C107" s="874" t="s">
        <v>64</v>
      </c>
      <c r="D107" s="872"/>
      <c r="E107" s="872"/>
      <c r="F107" s="875">
        <v>1</v>
      </c>
      <c r="G107" s="714"/>
      <c r="H107" s="715"/>
      <c r="I107" s="628">
        <v>1</v>
      </c>
      <c r="J107" s="715">
        <v>17697</v>
      </c>
      <c r="K107" s="1742"/>
      <c r="L107" s="552">
        <v>1</v>
      </c>
      <c r="M107" s="700"/>
      <c r="N107" s="700">
        <v>2.77</v>
      </c>
      <c r="O107" s="556">
        <f>J107*N107*L107</f>
        <v>49020.69</v>
      </c>
      <c r="P107" s="556"/>
      <c r="Q107" s="700" t="e">
        <f>J107*#REF!*M107</f>
        <v>#REF!</v>
      </c>
      <c r="R107" s="700"/>
      <c r="S107" s="568">
        <v>0.1</v>
      </c>
      <c r="T107" s="552">
        <f>S107*O107</f>
        <v>4902.0690000000004</v>
      </c>
      <c r="U107" s="697">
        <v>0</v>
      </c>
      <c r="V107" s="556">
        <v>0</v>
      </c>
      <c r="W107" s="559">
        <f>O107+T107+V107</f>
        <v>53922.759000000005</v>
      </c>
      <c r="X107" s="1651">
        <f>Q106+U106+W106</f>
        <v>90016.090499999991</v>
      </c>
      <c r="Y107" s="1651">
        <f>R106+V106+X107</f>
        <v>97979.740499999985</v>
      </c>
      <c r="Z107" s="1277">
        <f>W106*12</f>
        <v>1080189.4859999998</v>
      </c>
      <c r="AA107" s="1458">
        <f>Z107/12/29.33*24</f>
        <v>73657.653324241386</v>
      </c>
      <c r="AB107" s="1493">
        <f>SUM(W82:W107)</f>
        <v>3028023.3790833335</v>
      </c>
      <c r="AC107" s="1469"/>
      <c r="AD107" s="1469"/>
      <c r="AE107" s="1469"/>
      <c r="AF107" s="1469"/>
      <c r="AG107" s="1469"/>
      <c r="AH107" s="1469"/>
      <c r="AI107" s="1469"/>
      <c r="AJ107" s="1469"/>
      <c r="AK107" s="1469"/>
      <c r="AL107" s="1469"/>
      <c r="AM107" s="1469"/>
      <c r="AN107" s="1469"/>
      <c r="AO107" s="1469"/>
      <c r="AP107" s="1469"/>
      <c r="AQ107" s="1469"/>
      <c r="AR107" s="1469"/>
    </row>
    <row r="108" spans="1:44" s="24" customFormat="1" ht="17.25" customHeight="1">
      <c r="A108" s="647" t="s">
        <v>392</v>
      </c>
      <c r="B108" s="647" t="s">
        <v>99</v>
      </c>
      <c r="C108" s="628" t="s">
        <v>25</v>
      </c>
      <c r="D108" s="586" t="s">
        <v>700</v>
      </c>
      <c r="E108" s="582" t="s">
        <v>434</v>
      </c>
      <c r="F108" s="560">
        <v>1</v>
      </c>
      <c r="G108" s="563" t="s">
        <v>102</v>
      </c>
      <c r="H108" s="563" t="s">
        <v>103</v>
      </c>
      <c r="I108" s="1584">
        <v>2</v>
      </c>
      <c r="J108" s="554">
        <v>17697</v>
      </c>
      <c r="K108" s="645">
        <v>24</v>
      </c>
      <c r="L108" s="552">
        <f>K108/18</f>
        <v>1.3333333333333333</v>
      </c>
      <c r="M108" s="574" t="s">
        <v>104</v>
      </c>
      <c r="N108" s="1602">
        <v>4.4400000000000004</v>
      </c>
      <c r="O108" s="556">
        <f>N108*J108/18*K108</f>
        <v>104766.24</v>
      </c>
      <c r="P108" s="556">
        <f>O108*25%</f>
        <v>26191.56</v>
      </c>
      <c r="Q108" s="568"/>
      <c r="R108" s="554"/>
      <c r="S108" s="554">
        <v>0.1</v>
      </c>
      <c r="T108" s="556">
        <f>(O108+P108)*S108</f>
        <v>13095.78</v>
      </c>
      <c r="U108" s="19"/>
      <c r="V108" s="552"/>
      <c r="W108" s="559">
        <f>O108+P108+T108</f>
        <v>144053.58000000002</v>
      </c>
      <c r="X108" s="882" t="e">
        <f>U107+Q107</f>
        <v>#REF!</v>
      </c>
      <c r="Y108" s="882">
        <f>V107+R107</f>
        <v>0</v>
      </c>
      <c r="Z108" s="23">
        <f>W107*12</f>
        <v>647073.10800000001</v>
      </c>
      <c r="AA108" s="24">
        <f>Z108/12/29.33*56</f>
        <v>102955.14844868735</v>
      </c>
      <c r="AB108" s="24">
        <f>Z108*1.25</f>
        <v>808841.38500000001</v>
      </c>
      <c r="AC108" s="24">
        <f>AB108/12/29.33*56</f>
        <v>128693.93556085917</v>
      </c>
    </row>
    <row r="109" spans="1:44" s="24" customFormat="1" ht="16.5" customHeight="1">
      <c r="A109" s="647" t="s">
        <v>706</v>
      </c>
      <c r="B109" s="647" t="s">
        <v>99</v>
      </c>
      <c r="C109" s="563" t="s">
        <v>75</v>
      </c>
      <c r="D109" s="586" t="s">
        <v>707</v>
      </c>
      <c r="E109" s="562" t="s">
        <v>159</v>
      </c>
      <c r="F109" s="560">
        <v>1</v>
      </c>
      <c r="G109" s="563" t="s">
        <v>102</v>
      </c>
      <c r="H109" s="563" t="s">
        <v>118</v>
      </c>
      <c r="I109" s="1603">
        <v>4</v>
      </c>
      <c r="J109" s="554">
        <v>17697</v>
      </c>
      <c r="K109" s="645">
        <v>15</v>
      </c>
      <c r="L109" s="552">
        <f>K109/18</f>
        <v>0.83333333333333337</v>
      </c>
      <c r="M109" s="1604" t="s">
        <v>112</v>
      </c>
      <c r="N109" s="1602">
        <v>3.32</v>
      </c>
      <c r="O109" s="556">
        <f>N109*J109/18*K109</f>
        <v>48961.69999999999</v>
      </c>
      <c r="P109" s="556">
        <f>O109*25%</f>
        <v>12240.424999999997</v>
      </c>
      <c r="Q109" s="568"/>
      <c r="R109" s="554"/>
      <c r="S109" s="554">
        <v>0.1</v>
      </c>
      <c r="T109" s="556">
        <f>(O109+P109)*S109</f>
        <v>6120.2124999999987</v>
      </c>
      <c r="U109" s="19"/>
      <c r="V109" s="552"/>
      <c r="W109" s="559">
        <f>O109+P109+T109</f>
        <v>67322.33749999998</v>
      </c>
      <c r="X109" s="7"/>
      <c r="Y109" s="7"/>
      <c r="Z109" s="23">
        <f>W108*12</f>
        <v>1728642.9600000002</v>
      </c>
      <c r="AA109" s="24">
        <f>Z109/12/29.33*56</f>
        <v>275042.63484486873</v>
      </c>
      <c r="AB109" s="24">
        <f>Z109*1.25</f>
        <v>2160803.7000000002</v>
      </c>
      <c r="AC109" s="24">
        <f>AB109/12/29.33*56</f>
        <v>343803.2935560859</v>
      </c>
    </row>
    <row r="110" spans="1:44" s="24" customFormat="1" ht="17.25" customHeight="1">
      <c r="A110" s="1018" t="s">
        <v>706</v>
      </c>
      <c r="B110" s="647" t="s">
        <v>99</v>
      </c>
      <c r="C110" s="663" t="s">
        <v>75</v>
      </c>
      <c r="D110" s="664" t="s">
        <v>707</v>
      </c>
      <c r="E110" s="664" t="s">
        <v>159</v>
      </c>
      <c r="F110" s="177">
        <v>1</v>
      </c>
      <c r="G110" s="563" t="s">
        <v>102</v>
      </c>
      <c r="H110" s="563" t="s">
        <v>118</v>
      </c>
      <c r="I110" s="1603">
        <v>4</v>
      </c>
      <c r="J110" s="554">
        <v>17697</v>
      </c>
      <c r="K110" s="1607">
        <v>8</v>
      </c>
      <c r="L110" s="556">
        <f>K110/18</f>
        <v>0.44444444444444442</v>
      </c>
      <c r="M110" s="574" t="s">
        <v>112</v>
      </c>
      <c r="N110" s="697">
        <v>3.32</v>
      </c>
      <c r="O110" s="556">
        <f>J110*N110/18*K110</f>
        <v>26112.906666666662</v>
      </c>
      <c r="P110" s="556">
        <f>O110*25%</f>
        <v>6528.2266666666656</v>
      </c>
      <c r="Q110" s="1752">
        <v>0.25</v>
      </c>
      <c r="R110" s="700"/>
      <c r="S110" s="700">
        <v>0.1</v>
      </c>
      <c r="T110" s="556">
        <f>(O110+P110+R110)*S110</f>
        <v>3264.1133333333328</v>
      </c>
      <c r="U110" s="1541"/>
      <c r="V110" s="552"/>
      <c r="W110" s="559">
        <f>O110+P110+R110+T110</f>
        <v>35905.246666666659</v>
      </c>
      <c r="X110" s="984"/>
      <c r="Y110" s="984"/>
      <c r="Z110" s="81">
        <f>W109*12</f>
        <v>807868.04999999981</v>
      </c>
      <c r="AA110" s="80">
        <f>Z110/12/29.33*56</f>
        <v>128539.06921241047</v>
      </c>
      <c r="AB110" s="80">
        <f>Z110*1.25</f>
        <v>1009835.0624999998</v>
      </c>
      <c r="AC110" s="80">
        <f>AB110/12/29.33*56</f>
        <v>160673.8365155131</v>
      </c>
      <c r="AD110" s="986"/>
      <c r="AE110" s="986"/>
      <c r="AF110" s="986"/>
      <c r="AG110" s="986"/>
      <c r="AH110" s="986"/>
      <c r="AI110" s="986"/>
      <c r="AJ110" s="986"/>
      <c r="AK110" s="986"/>
      <c r="AL110" s="986"/>
      <c r="AM110" s="986"/>
      <c r="AN110" s="986"/>
      <c r="AO110" s="986"/>
      <c r="AP110" s="986"/>
      <c r="AQ110" s="986"/>
      <c r="AR110" s="986"/>
    </row>
    <row r="111" spans="1:44" s="24" customFormat="1" ht="17.25" customHeight="1">
      <c r="A111" s="702" t="s">
        <v>85</v>
      </c>
      <c r="B111" s="1630" t="s">
        <v>86</v>
      </c>
      <c r="C111" s="894" t="s">
        <v>25</v>
      </c>
      <c r="D111" s="1720" t="s">
        <v>733</v>
      </c>
      <c r="E111" s="894" t="s">
        <v>249</v>
      </c>
      <c r="F111" s="894">
        <v>1</v>
      </c>
      <c r="G111" s="894" t="s">
        <v>56</v>
      </c>
      <c r="H111" s="5" t="s">
        <v>56</v>
      </c>
      <c r="I111" s="731" t="s">
        <v>57</v>
      </c>
      <c r="J111" s="7">
        <v>17697</v>
      </c>
      <c r="K111" s="44"/>
      <c r="L111" s="70">
        <v>1</v>
      </c>
      <c r="M111" s="7"/>
      <c r="N111" s="1547">
        <v>4.43</v>
      </c>
      <c r="O111" s="67">
        <f>N111*J111*L111</f>
        <v>78397.709999999992</v>
      </c>
      <c r="P111" s="42"/>
      <c r="Q111" s="1635"/>
      <c r="R111" s="884"/>
      <c r="S111" s="7">
        <v>0.1</v>
      </c>
      <c r="T111" s="44">
        <f>(O111+P111+R111)*S111</f>
        <v>7839.7709999999997</v>
      </c>
      <c r="U111" s="1760"/>
      <c r="V111" s="1761"/>
      <c r="W111" s="70">
        <f>O111+R111+T111+V111+P111</f>
        <v>86237.480999999985</v>
      </c>
      <c r="X111" s="1269">
        <f>Q111+S111+U111</f>
        <v>0.1</v>
      </c>
      <c r="Y111" s="1269">
        <f>R111+T111+V111</f>
        <v>7839.7709999999997</v>
      </c>
      <c r="Z111" s="1264">
        <f>W111*12</f>
        <v>1034849.7719999999</v>
      </c>
      <c r="AA111" s="1382">
        <f>Z111/12/29.33*30</f>
        <v>88207.447323559478</v>
      </c>
      <c r="AB111" s="1265"/>
      <c r="AC111" s="1265"/>
      <c r="AD111" s="1265"/>
      <c r="AE111" s="1265"/>
      <c r="AF111" s="1265"/>
      <c r="AG111" s="1265"/>
      <c r="AH111" s="1265"/>
      <c r="AI111" s="1265"/>
      <c r="AJ111" s="1265"/>
      <c r="AK111" s="1265"/>
      <c r="AL111" s="1265"/>
      <c r="AM111" s="1265"/>
      <c r="AN111" s="1265"/>
      <c r="AO111" s="1265"/>
      <c r="AP111" s="1265"/>
      <c r="AQ111" s="1265"/>
      <c r="AR111" s="1265"/>
    </row>
    <row r="112" spans="1:44" s="24" customFormat="1" ht="17.25" customHeight="1">
      <c r="A112" s="153" t="s">
        <v>182</v>
      </c>
      <c r="B112" s="561" t="s">
        <v>99</v>
      </c>
      <c r="C112" s="563" t="s">
        <v>25</v>
      </c>
      <c r="D112" s="562" t="s">
        <v>701</v>
      </c>
      <c r="E112" s="562" t="s">
        <v>51</v>
      </c>
      <c r="F112" s="560">
        <v>1</v>
      </c>
      <c r="G112" s="563" t="s">
        <v>102</v>
      </c>
      <c r="H112" s="563" t="s">
        <v>103</v>
      </c>
      <c r="I112" s="581">
        <v>1</v>
      </c>
      <c r="J112" s="554">
        <v>17697</v>
      </c>
      <c r="K112" s="553">
        <v>32</v>
      </c>
      <c r="L112" s="552">
        <f>K112/18</f>
        <v>1.7777777777777777</v>
      </c>
      <c r="M112" s="566" t="s">
        <v>104</v>
      </c>
      <c r="N112" s="1014">
        <v>4.51</v>
      </c>
      <c r="O112" s="556">
        <f>N112*J112/18*K112</f>
        <v>141890.61333333334</v>
      </c>
      <c r="P112" s="556">
        <f>O112*25%</f>
        <v>35472.653333333335</v>
      </c>
      <c r="Q112" s="568"/>
      <c r="R112" s="554"/>
      <c r="S112" s="554">
        <v>0.1</v>
      </c>
      <c r="T112" s="556">
        <f>(O112+P112)*S112</f>
        <v>17736.326666666668</v>
      </c>
      <c r="U112" s="569"/>
      <c r="V112" s="552"/>
      <c r="W112" s="559">
        <f>O112+P112+T112</f>
        <v>195099.59333333332</v>
      </c>
      <c r="X112" s="1693"/>
      <c r="Y112" s="1693"/>
      <c r="Z112" s="23"/>
      <c r="AD112" s="916"/>
      <c r="AE112" s="916"/>
      <c r="AF112" s="916"/>
      <c r="AG112" s="916"/>
      <c r="AH112" s="916"/>
      <c r="AI112" s="916"/>
      <c r="AJ112" s="916"/>
      <c r="AK112" s="916"/>
      <c r="AL112" s="916"/>
      <c r="AM112" s="916"/>
      <c r="AN112" s="916"/>
      <c r="AO112" s="916"/>
      <c r="AP112" s="916"/>
      <c r="AQ112" s="916"/>
      <c r="AR112" s="916"/>
    </row>
    <row r="113" spans="1:44" s="24" customFormat="1" ht="17.25" customHeight="1">
      <c r="A113" s="153" t="s">
        <v>184</v>
      </c>
      <c r="B113" s="561" t="s">
        <v>99</v>
      </c>
      <c r="C113" s="563" t="s">
        <v>25</v>
      </c>
      <c r="D113" s="586" t="s">
        <v>702</v>
      </c>
      <c r="E113" s="562" t="s">
        <v>27</v>
      </c>
      <c r="F113" s="560">
        <v>1</v>
      </c>
      <c r="G113" s="563" t="s">
        <v>102</v>
      </c>
      <c r="H113" s="563" t="s">
        <v>103</v>
      </c>
      <c r="I113" s="581">
        <v>1</v>
      </c>
      <c r="J113" s="554">
        <v>17697</v>
      </c>
      <c r="K113" s="553">
        <v>32</v>
      </c>
      <c r="L113" s="552">
        <f>K113/18</f>
        <v>1.7777777777777777</v>
      </c>
      <c r="M113" s="574" t="s">
        <v>152</v>
      </c>
      <c r="N113" s="1014">
        <v>4.6900000000000004</v>
      </c>
      <c r="O113" s="556">
        <f>N113*J113/18*K113</f>
        <v>147553.65333333335</v>
      </c>
      <c r="P113" s="556">
        <f>O113*25%</f>
        <v>36888.413333333338</v>
      </c>
      <c r="Q113" s="568"/>
      <c r="R113" s="554"/>
      <c r="S113" s="554">
        <v>0.1</v>
      </c>
      <c r="T113" s="556">
        <f>(O113+P113)*S113</f>
        <v>18444.206666666669</v>
      </c>
      <c r="U113" s="569"/>
      <c r="V113" s="552"/>
      <c r="W113" s="559">
        <f>O113+P113+T113</f>
        <v>202886.27333333335</v>
      </c>
      <c r="X113" s="152"/>
      <c r="Y113" s="152"/>
      <c r="Z113" s="23">
        <f>W113*12</f>
        <v>2434635.2800000003</v>
      </c>
      <c r="AA113" s="24">
        <f>Z113/12/29.33*56</f>
        <v>387372.35958631668</v>
      </c>
      <c r="AB113" s="24">
        <f>Z113*1.25</f>
        <v>3043294.1000000006</v>
      </c>
      <c r="AC113" s="24">
        <f>AB113/12/29.33*56</f>
        <v>484215.4494828959</v>
      </c>
      <c r="AD113" s="916"/>
      <c r="AE113" s="916"/>
      <c r="AF113" s="916"/>
      <c r="AG113" s="916"/>
      <c r="AH113" s="916"/>
      <c r="AI113" s="916"/>
      <c r="AJ113" s="916"/>
      <c r="AK113" s="916"/>
      <c r="AL113" s="916"/>
      <c r="AM113" s="916"/>
      <c r="AN113" s="916"/>
      <c r="AO113" s="916"/>
      <c r="AP113" s="916"/>
      <c r="AQ113" s="916"/>
      <c r="AR113" s="916"/>
    </row>
    <row r="114" spans="1:44" s="1346" customFormat="1" ht="17.25" customHeight="1">
      <c r="A114" s="647" t="s">
        <v>184</v>
      </c>
      <c r="B114" s="647" t="s">
        <v>99</v>
      </c>
      <c r="C114" s="628" t="s">
        <v>25</v>
      </c>
      <c r="D114" s="586" t="s">
        <v>265</v>
      </c>
      <c r="E114" s="562" t="s">
        <v>40</v>
      </c>
      <c r="F114" s="560">
        <v>1</v>
      </c>
      <c r="G114" s="563" t="s">
        <v>102</v>
      </c>
      <c r="H114" s="563" t="s">
        <v>103</v>
      </c>
      <c r="I114" s="629">
        <v>1</v>
      </c>
      <c r="J114" s="554">
        <v>17697</v>
      </c>
      <c r="K114" s="648">
        <v>4</v>
      </c>
      <c r="L114" s="554">
        <f>K114/18</f>
        <v>0.22222222222222221</v>
      </c>
      <c r="M114" s="574" t="s">
        <v>152</v>
      </c>
      <c r="N114" s="1598">
        <v>4.75</v>
      </c>
      <c r="O114" s="567">
        <f>N114*J114/18*K114</f>
        <v>18680.166666666668</v>
      </c>
      <c r="P114" s="697">
        <f>O114*25%</f>
        <v>4670.041666666667</v>
      </c>
      <c r="Q114" s="568"/>
      <c r="R114" s="554"/>
      <c r="S114" s="554">
        <v>0.1</v>
      </c>
      <c r="T114" s="567">
        <f>(O114+P114)*S114</f>
        <v>2335.0208333333335</v>
      </c>
      <c r="U114" s="19"/>
      <c r="V114" s="554"/>
      <c r="W114" s="570">
        <f>O114+P114+T114</f>
        <v>25685.229166666668</v>
      </c>
      <c r="X114" s="882">
        <f>U113+Q113</f>
        <v>0</v>
      </c>
      <c r="Y114" s="882">
        <f>V113+R113</f>
        <v>0</v>
      </c>
      <c r="Z114" s="23">
        <f>W113*12</f>
        <v>2434635.2800000003</v>
      </c>
      <c r="AA114" s="24">
        <f>Z114/12/29.33*56</f>
        <v>387372.35958631668</v>
      </c>
      <c r="AB114" s="24">
        <f>Z114*1.25</f>
        <v>3043294.1000000006</v>
      </c>
      <c r="AC114" s="24">
        <f>AB114/12/29.33*56</f>
        <v>484215.4494828959</v>
      </c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</row>
    <row r="115" spans="1:44" s="225" customFormat="1" ht="17.25" customHeight="1">
      <c r="A115" s="153" t="s">
        <v>186</v>
      </c>
      <c r="B115" s="561" t="s">
        <v>99</v>
      </c>
      <c r="C115" s="563" t="s">
        <v>25</v>
      </c>
      <c r="D115" s="562" t="s">
        <v>703</v>
      </c>
      <c r="E115" s="562" t="s">
        <v>27</v>
      </c>
      <c r="F115" s="560">
        <v>1</v>
      </c>
      <c r="G115" s="563" t="s">
        <v>102</v>
      </c>
      <c r="H115" s="563" t="s">
        <v>103</v>
      </c>
      <c r="I115" s="581">
        <v>1</v>
      </c>
      <c r="J115" s="554">
        <v>17697</v>
      </c>
      <c r="K115" s="565">
        <v>27</v>
      </c>
      <c r="L115" s="554">
        <f>K115/18</f>
        <v>1.5</v>
      </c>
      <c r="M115" s="574" t="s">
        <v>152</v>
      </c>
      <c r="N115" s="1014">
        <v>4.75</v>
      </c>
      <c r="O115" s="567">
        <f>N115*J115/18*K115</f>
        <v>126091.12500000001</v>
      </c>
      <c r="P115" s="697">
        <f>O115*25%</f>
        <v>31522.781250000004</v>
      </c>
      <c r="Q115" s="568"/>
      <c r="R115" s="554"/>
      <c r="S115" s="554">
        <v>0.1</v>
      </c>
      <c r="T115" s="567">
        <f>(O115+P115)*S115</f>
        <v>15761.390625000004</v>
      </c>
      <c r="U115" s="569"/>
      <c r="V115" s="554"/>
      <c r="W115" s="570">
        <f>O115+P115+T115</f>
        <v>173375.29687500003</v>
      </c>
      <c r="X115" s="10">
        <f>U115+Q115</f>
        <v>0</v>
      </c>
      <c r="Y115" s="10">
        <f>V115+R115</f>
        <v>0</v>
      </c>
      <c r="Z115" s="23">
        <f>W115*12</f>
        <v>2080503.5625000005</v>
      </c>
      <c r="AA115" s="24">
        <f>Z115/12/29.33*56</f>
        <v>331026.81980906927</v>
      </c>
      <c r="AB115" s="24">
        <f>Z115*1.25</f>
        <v>2600629.4531250005</v>
      </c>
      <c r="AC115" s="24">
        <f>AB115/12/29.33*56</f>
        <v>413783.52476133656</v>
      </c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</row>
    <row r="116" spans="1:44" s="377" customFormat="1" ht="15.75">
      <c r="A116" s="153" t="s">
        <v>810</v>
      </c>
      <c r="B116" s="561" t="s">
        <v>99</v>
      </c>
      <c r="C116" s="563" t="s">
        <v>25</v>
      </c>
      <c r="D116" s="583" t="s">
        <v>811</v>
      </c>
      <c r="E116" s="562" t="s">
        <v>34</v>
      </c>
      <c r="F116" s="560">
        <v>1</v>
      </c>
      <c r="G116" s="563" t="s">
        <v>102</v>
      </c>
      <c r="H116" s="563" t="s">
        <v>103</v>
      </c>
      <c r="I116" s="581">
        <v>1</v>
      </c>
      <c r="J116" s="554">
        <v>17697</v>
      </c>
      <c r="K116" s="565">
        <v>22</v>
      </c>
      <c r="L116" s="554">
        <f>K116/18</f>
        <v>1.2222222222222223</v>
      </c>
      <c r="M116" s="574" t="s">
        <v>152</v>
      </c>
      <c r="N116" s="1014">
        <v>4.75</v>
      </c>
      <c r="O116" s="567">
        <f>N116*J116/18*K116</f>
        <v>102740.91666666667</v>
      </c>
      <c r="P116" s="697">
        <f>O116*25%</f>
        <v>25685.229166666668</v>
      </c>
      <c r="Q116" s="568"/>
      <c r="R116" s="554"/>
      <c r="S116" s="554">
        <v>0.1</v>
      </c>
      <c r="T116" s="567">
        <f>(O116+P116)*S116</f>
        <v>12842.614583333336</v>
      </c>
      <c r="U116" s="569"/>
      <c r="V116" s="554"/>
      <c r="W116" s="570">
        <f>O116+P116+T116</f>
        <v>141268.76041666669</v>
      </c>
      <c r="X116" s="10">
        <f>U116+Q116</f>
        <v>0</v>
      </c>
      <c r="Y116" s="10">
        <f>V116+R116</f>
        <v>0</v>
      </c>
      <c r="Z116" s="23">
        <f>W116*12</f>
        <v>1695225.1250000002</v>
      </c>
      <c r="AA116" s="24">
        <f>Z116/12/29.33*56</f>
        <v>269725.55688146385</v>
      </c>
      <c r="AB116" s="24">
        <f>Z116*1.25</f>
        <v>2119031.4062500005</v>
      </c>
      <c r="AC116" s="24">
        <f>AB116/12/29.33*56</f>
        <v>337156.94610182982</v>
      </c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</row>
    <row r="117" spans="1:44" s="377" customFormat="1" ht="17.25" customHeight="1">
      <c r="A117" s="153" t="s">
        <v>345</v>
      </c>
      <c r="B117" s="561" t="s">
        <v>784</v>
      </c>
      <c r="C117" s="560" t="s">
        <v>64</v>
      </c>
      <c r="D117" s="563"/>
      <c r="E117" s="711"/>
      <c r="F117" s="712">
        <v>1</v>
      </c>
      <c r="G117" s="563"/>
      <c r="H117" s="689"/>
      <c r="I117" s="563">
        <v>1</v>
      </c>
      <c r="J117" s="554">
        <v>17697</v>
      </c>
      <c r="K117" s="554"/>
      <c r="L117" s="567">
        <v>1</v>
      </c>
      <c r="M117" s="554"/>
      <c r="N117" s="554">
        <v>2.77</v>
      </c>
      <c r="O117" s="567">
        <f>J117*N117*L117</f>
        <v>49020.69</v>
      </c>
      <c r="P117" s="697"/>
      <c r="Q117" s="554">
        <f>J117*O118*M117</f>
        <v>0</v>
      </c>
      <c r="R117" s="568"/>
      <c r="S117" s="568">
        <v>0.1</v>
      </c>
      <c r="T117" s="554">
        <f>S117*O117</f>
        <v>4902.0690000000004</v>
      </c>
      <c r="U117" s="724">
        <v>0.5</v>
      </c>
      <c r="V117" s="593">
        <v>12439.34</v>
      </c>
      <c r="W117" s="570">
        <f>O117+T117+V117</f>
        <v>66362.099000000002</v>
      </c>
      <c r="X117" s="1651">
        <f>Q116+U116+W116</f>
        <v>141268.76041666669</v>
      </c>
      <c r="Y117" s="1651">
        <f>R116+V116+X117</f>
        <v>141268.76041666669</v>
      </c>
      <c r="Z117" s="1277">
        <f>W116*12</f>
        <v>1695225.1250000002</v>
      </c>
      <c r="AA117" s="1458">
        <f>Z117/12/29.33*24</f>
        <v>115596.6672349131</v>
      </c>
      <c r="AB117" s="1277"/>
      <c r="AC117" s="1277"/>
      <c r="AD117" s="1482"/>
      <c r="AE117" s="1483"/>
      <c r="AF117" s="1277"/>
      <c r="AG117" s="1278"/>
      <c r="AH117" s="1278"/>
      <c r="AI117" s="1278"/>
      <c r="AJ117" s="1278"/>
      <c r="AK117" s="1278"/>
      <c r="AL117" s="1278"/>
      <c r="AM117" s="1278"/>
      <c r="AN117" s="1278"/>
      <c r="AO117" s="1278"/>
      <c r="AP117" s="1278"/>
      <c r="AQ117" s="1278"/>
      <c r="AR117" s="1278"/>
    </row>
    <row r="118" spans="1:44" s="377" customFormat="1" ht="17.25" customHeight="1">
      <c r="A118" s="153" t="s">
        <v>243</v>
      </c>
      <c r="B118" s="561" t="s">
        <v>99</v>
      </c>
      <c r="C118" s="563" t="s">
        <v>25</v>
      </c>
      <c r="D118" s="562" t="s">
        <v>705</v>
      </c>
      <c r="E118" s="562" t="s">
        <v>239</v>
      </c>
      <c r="F118" s="1668">
        <v>1</v>
      </c>
      <c r="G118" s="580" t="s">
        <v>102</v>
      </c>
      <c r="H118" s="580" t="s">
        <v>103</v>
      </c>
      <c r="I118" s="574">
        <v>2</v>
      </c>
      <c r="J118" s="554">
        <v>17697</v>
      </c>
      <c r="K118" s="1643">
        <v>32</v>
      </c>
      <c r="L118" s="554">
        <f>K118/18</f>
        <v>1.7777777777777777</v>
      </c>
      <c r="M118" s="566" t="s">
        <v>596</v>
      </c>
      <c r="N118" s="1015">
        <v>4.2300000000000004</v>
      </c>
      <c r="O118" s="567">
        <f>N118*J118/18*K118</f>
        <v>133081.44000000003</v>
      </c>
      <c r="P118" s="697">
        <f>O118*25%</f>
        <v>33270.360000000008</v>
      </c>
      <c r="Q118" s="568"/>
      <c r="R118" s="554"/>
      <c r="S118" s="554">
        <v>0.1</v>
      </c>
      <c r="T118" s="567">
        <f>(O118+P118)*S118</f>
        <v>16635.180000000004</v>
      </c>
      <c r="U118" s="19"/>
      <c r="V118" s="554"/>
      <c r="W118" s="570">
        <f>O118+P118+T118</f>
        <v>182986.98000000004</v>
      </c>
      <c r="X118" s="10">
        <f>U117+Q117</f>
        <v>0.5</v>
      </c>
      <c r="Y118" s="10">
        <f>V117+R117</f>
        <v>12439.34</v>
      </c>
      <c r="Z118" s="23">
        <f>W117*12</f>
        <v>796345.18800000008</v>
      </c>
      <c r="AA118" s="24">
        <f>Z118/12/29.33*56</f>
        <v>126705.67828162294</v>
      </c>
      <c r="AB118" s="24">
        <f>Z118*1.25</f>
        <v>995431.4850000001</v>
      </c>
      <c r="AC118" s="24">
        <f>AB118/12/29.33*56</f>
        <v>158382.09785202867</v>
      </c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</row>
    <row r="119" spans="1:44" s="986" customFormat="1" ht="17.25" customHeight="1">
      <c r="A119" s="690" t="s">
        <v>732</v>
      </c>
      <c r="B119" s="6" t="s">
        <v>86</v>
      </c>
      <c r="C119" s="20" t="s">
        <v>25</v>
      </c>
      <c r="D119" s="1637" t="s">
        <v>707</v>
      </c>
      <c r="E119" s="742" t="s">
        <v>159</v>
      </c>
      <c r="F119" s="738">
        <v>1</v>
      </c>
      <c r="G119" s="5" t="s">
        <v>56</v>
      </c>
      <c r="H119" s="5" t="s">
        <v>56</v>
      </c>
      <c r="I119" s="731" t="s">
        <v>57</v>
      </c>
      <c r="J119" s="7">
        <v>17697</v>
      </c>
      <c r="K119" s="7"/>
      <c r="L119" s="10">
        <v>0.5</v>
      </c>
      <c r="M119" s="7"/>
      <c r="N119" s="10">
        <v>4.0999999999999996</v>
      </c>
      <c r="O119" s="18">
        <f>N119*J119*L119</f>
        <v>36278.85</v>
      </c>
      <c r="P119" s="894"/>
      <c r="Q119" s="8"/>
      <c r="R119" s="7"/>
      <c r="S119" s="7">
        <v>0.1</v>
      </c>
      <c r="T119" s="7">
        <f>(O119+P119+R119)*S119</f>
        <v>3627.8850000000002</v>
      </c>
      <c r="U119" s="9"/>
      <c r="V119" s="7"/>
      <c r="W119" s="10">
        <f>O119+R119+T119+V119+P119</f>
        <v>39906.735000000001</v>
      </c>
      <c r="X119" s="1268">
        <f>Q119+S119+U119</f>
        <v>0.1</v>
      </c>
      <c r="Y119" s="1268">
        <f>R119+T119+V119</f>
        <v>3627.8850000000002</v>
      </c>
      <c r="Z119" s="1264">
        <f>W119*12</f>
        <v>478880.82</v>
      </c>
      <c r="AA119" s="1382">
        <f>Z119/12/29.33*30</f>
        <v>40818.344698261171</v>
      </c>
      <c r="AB119" s="1265"/>
      <c r="AC119" s="1265"/>
      <c r="AD119" s="1265"/>
      <c r="AE119" s="1265"/>
      <c r="AF119" s="1265"/>
      <c r="AG119" s="1265"/>
      <c r="AH119" s="1265"/>
      <c r="AI119" s="1265"/>
      <c r="AJ119" s="1265"/>
      <c r="AK119" s="1265"/>
      <c r="AL119" s="1265"/>
      <c r="AM119" s="1265"/>
      <c r="AN119" s="1265"/>
      <c r="AO119" s="1265"/>
      <c r="AP119" s="1265"/>
      <c r="AQ119" s="1265"/>
      <c r="AR119" s="1265"/>
    </row>
    <row r="120" spans="1:44" s="377" customFormat="1" ht="17.25" customHeight="1">
      <c r="A120" s="153" t="s">
        <v>332</v>
      </c>
      <c r="B120" s="647" t="s">
        <v>338</v>
      </c>
      <c r="C120" s="560" t="s">
        <v>64</v>
      </c>
      <c r="D120" s="563"/>
      <c r="E120" s="711"/>
      <c r="F120" s="717">
        <v>0.5</v>
      </c>
      <c r="G120" s="563"/>
      <c r="H120" s="689"/>
      <c r="I120" s="563">
        <v>2</v>
      </c>
      <c r="J120" s="554">
        <v>17697</v>
      </c>
      <c r="K120" s="554"/>
      <c r="L120" s="554">
        <v>0.5</v>
      </c>
      <c r="M120" s="700"/>
      <c r="N120" s="700">
        <v>2.81</v>
      </c>
      <c r="O120" s="567">
        <f>J120*N120*L120</f>
        <v>24864.285</v>
      </c>
      <c r="P120" s="697"/>
      <c r="Q120" s="554">
        <f>J120*O121*M120</f>
        <v>0</v>
      </c>
      <c r="R120" s="568"/>
      <c r="S120" s="568">
        <v>0.1</v>
      </c>
      <c r="T120" s="554">
        <f>S120*O120</f>
        <v>2486.4285</v>
      </c>
      <c r="U120" s="554"/>
      <c r="V120" s="554"/>
      <c r="W120" s="570">
        <f>O120+T120+V120</f>
        <v>27350.713499999998</v>
      </c>
      <c r="X120" s="1651">
        <f>Q119+U119+W119</f>
        <v>39906.735000000001</v>
      </c>
      <c r="Y120" s="1651">
        <f>R119+V119+X120</f>
        <v>39906.735000000001</v>
      </c>
      <c r="Z120" s="1277">
        <f>W119*12</f>
        <v>478880.82</v>
      </c>
      <c r="AA120" s="1458">
        <f>Z120/12/29.33*24</f>
        <v>32654.675758608937</v>
      </c>
      <c r="AB120" s="1458"/>
      <c r="AC120" s="1458"/>
      <c r="AD120" s="1458"/>
      <c r="AE120" s="1458"/>
      <c r="AF120" s="1458"/>
      <c r="AG120" s="1458"/>
      <c r="AH120" s="1458"/>
      <c r="AI120" s="1458"/>
      <c r="AJ120" s="1458"/>
      <c r="AK120" s="1458"/>
      <c r="AL120" s="1458"/>
      <c r="AM120" s="1458"/>
      <c r="AN120" s="1459"/>
      <c r="AO120" s="1459"/>
      <c r="AP120" s="1459"/>
      <c r="AQ120" s="1459"/>
      <c r="AR120" s="1459"/>
    </row>
    <row r="121" spans="1:44" s="377" customFormat="1" ht="17.25" customHeight="1">
      <c r="A121" s="153" t="s">
        <v>245</v>
      </c>
      <c r="B121" s="561" t="s">
        <v>99</v>
      </c>
      <c r="C121" s="563" t="s">
        <v>25</v>
      </c>
      <c r="D121" s="562" t="s">
        <v>461</v>
      </c>
      <c r="E121" s="562" t="s">
        <v>40</v>
      </c>
      <c r="F121" s="571">
        <v>1</v>
      </c>
      <c r="G121" s="580" t="s">
        <v>102</v>
      </c>
      <c r="H121" s="580" t="s">
        <v>103</v>
      </c>
      <c r="I121" s="574">
        <v>1</v>
      </c>
      <c r="J121" s="554">
        <v>17697</v>
      </c>
      <c r="K121" s="1643">
        <v>36</v>
      </c>
      <c r="L121" s="554">
        <f t="shared" ref="L121:L126" si="22">K121/18</f>
        <v>2</v>
      </c>
      <c r="M121" s="698" t="s">
        <v>152</v>
      </c>
      <c r="N121" s="1591">
        <v>4.75</v>
      </c>
      <c r="O121" s="567">
        <f t="shared" ref="O121:O126" si="23">N121*J121/18*K121</f>
        <v>168121.5</v>
      </c>
      <c r="P121" s="697">
        <f t="shared" ref="P121:P126" si="24">O121*25%</f>
        <v>42030.375</v>
      </c>
      <c r="Q121" s="568"/>
      <c r="R121" s="554"/>
      <c r="S121" s="554">
        <v>0.1</v>
      </c>
      <c r="T121" s="567">
        <f t="shared" ref="T121:T126" si="25">(O121+P121)*S121</f>
        <v>21015.1875</v>
      </c>
      <c r="U121" s="19"/>
      <c r="V121" s="554"/>
      <c r="W121" s="570">
        <f t="shared" ref="W121:W126" si="26">O121+P121+T121</f>
        <v>231167.0625</v>
      </c>
      <c r="X121" s="1547">
        <f>U120+Q120</f>
        <v>0</v>
      </c>
      <c r="Y121" s="1547">
        <f>V120+R120</f>
        <v>0</v>
      </c>
      <c r="Z121" s="23">
        <f>W120*12</f>
        <v>328208.56199999998</v>
      </c>
      <c r="AA121" s="24">
        <f>Z121/12/29.33*56</f>
        <v>52220.932696897376</v>
      </c>
      <c r="AB121" s="24">
        <f>Z121*1.25</f>
        <v>410260.70249999996</v>
      </c>
      <c r="AC121" s="24">
        <f>AB121/12/29.33*56</f>
        <v>65276.16587112171</v>
      </c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</row>
    <row r="122" spans="1:44" s="377" customFormat="1" ht="17.25" customHeight="1">
      <c r="A122" s="647" t="s">
        <v>762</v>
      </c>
      <c r="B122" s="647" t="s">
        <v>763</v>
      </c>
      <c r="C122" s="563" t="s">
        <v>152</v>
      </c>
      <c r="D122" s="586" t="s">
        <v>764</v>
      </c>
      <c r="E122" s="562" t="s">
        <v>367</v>
      </c>
      <c r="F122" s="560"/>
      <c r="G122" s="563" t="s">
        <v>102</v>
      </c>
      <c r="H122" s="563" t="s">
        <v>103</v>
      </c>
      <c r="I122" s="1603">
        <v>3</v>
      </c>
      <c r="J122" s="554">
        <v>17697</v>
      </c>
      <c r="K122" s="648">
        <v>26</v>
      </c>
      <c r="L122" s="554">
        <f t="shared" si="22"/>
        <v>1.4444444444444444</v>
      </c>
      <c r="M122" s="1601" t="s">
        <v>109</v>
      </c>
      <c r="N122" s="1602">
        <v>4.3600000000000003</v>
      </c>
      <c r="O122" s="567">
        <f t="shared" si="23"/>
        <v>111451.77333333336</v>
      </c>
      <c r="P122" s="697">
        <f t="shared" si="24"/>
        <v>27862.94333333334</v>
      </c>
      <c r="Q122" s="568"/>
      <c r="R122" s="554"/>
      <c r="S122" s="554">
        <v>0.1</v>
      </c>
      <c r="T122" s="567">
        <f t="shared" si="25"/>
        <v>13931.471666666672</v>
      </c>
      <c r="U122" s="19"/>
      <c r="V122" s="554"/>
      <c r="W122" s="570">
        <f t="shared" si="26"/>
        <v>153246.18833333338</v>
      </c>
      <c r="X122" s="882"/>
      <c r="Y122" s="882"/>
      <c r="Z122" s="23">
        <f>W121*12</f>
        <v>2774004.75</v>
      </c>
      <c r="AA122" s="24">
        <f>Z122/12/29.33*56</f>
        <v>441369.09307875898</v>
      </c>
      <c r="AB122" s="24">
        <f>Z122*1.25</f>
        <v>3467505.9375</v>
      </c>
      <c r="AC122" s="24">
        <f>AB122/12/29.33*56</f>
        <v>551711.36634844868</v>
      </c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</row>
    <row r="123" spans="1:44" s="377" customFormat="1" ht="17.25" customHeight="1">
      <c r="A123" s="1700" t="s">
        <v>188</v>
      </c>
      <c r="B123" s="588" t="s">
        <v>99</v>
      </c>
      <c r="C123" s="1709" t="s">
        <v>25</v>
      </c>
      <c r="D123" s="1715" t="s">
        <v>708</v>
      </c>
      <c r="E123" s="591" t="s">
        <v>51</v>
      </c>
      <c r="F123" s="560">
        <v>1</v>
      </c>
      <c r="G123" s="589" t="s">
        <v>102</v>
      </c>
      <c r="H123" s="589" t="s">
        <v>103</v>
      </c>
      <c r="I123" s="581">
        <v>1</v>
      </c>
      <c r="J123" s="554">
        <v>17697</v>
      </c>
      <c r="K123" s="553">
        <v>34</v>
      </c>
      <c r="L123" s="554">
        <f t="shared" si="22"/>
        <v>1.8888888888888888</v>
      </c>
      <c r="M123" s="698" t="s">
        <v>152</v>
      </c>
      <c r="N123" s="1157">
        <v>4.75</v>
      </c>
      <c r="O123" s="567">
        <f t="shared" si="23"/>
        <v>158781.41666666669</v>
      </c>
      <c r="P123" s="697">
        <f t="shared" si="24"/>
        <v>39695.354166666672</v>
      </c>
      <c r="Q123" s="568"/>
      <c r="R123" s="700"/>
      <c r="S123" s="554">
        <v>0.1</v>
      </c>
      <c r="T123" s="567">
        <f t="shared" si="25"/>
        <v>19847.677083333339</v>
      </c>
      <c r="U123" s="699"/>
      <c r="V123" s="552"/>
      <c r="W123" s="570">
        <f t="shared" si="26"/>
        <v>218324.44791666672</v>
      </c>
      <c r="X123" s="10"/>
      <c r="Y123" s="10"/>
      <c r="Z123" s="23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</row>
    <row r="124" spans="1:44" s="377" customFormat="1" ht="17.25" customHeight="1">
      <c r="A124" s="587" t="s">
        <v>450</v>
      </c>
      <c r="B124" s="588" t="s">
        <v>99</v>
      </c>
      <c r="C124" s="589" t="s">
        <v>25</v>
      </c>
      <c r="D124" s="590" t="s">
        <v>802</v>
      </c>
      <c r="E124" s="591" t="s">
        <v>34</v>
      </c>
      <c r="F124" s="560">
        <v>1</v>
      </c>
      <c r="G124" s="589" t="s">
        <v>102</v>
      </c>
      <c r="H124" s="589" t="s">
        <v>103</v>
      </c>
      <c r="I124" s="564">
        <v>1</v>
      </c>
      <c r="J124" s="593">
        <v>17697</v>
      </c>
      <c r="K124" s="594">
        <v>24</v>
      </c>
      <c r="L124" s="554">
        <f t="shared" si="22"/>
        <v>1.3333333333333333</v>
      </c>
      <c r="M124" s="698" t="s">
        <v>152</v>
      </c>
      <c r="N124" s="1020">
        <v>4.6900000000000004</v>
      </c>
      <c r="O124" s="596">
        <f t="shared" si="23"/>
        <v>110665.24000000002</v>
      </c>
      <c r="P124" s="697">
        <f t="shared" si="24"/>
        <v>27666.310000000005</v>
      </c>
      <c r="Q124" s="597"/>
      <c r="R124" s="593"/>
      <c r="S124" s="593">
        <v>0.1</v>
      </c>
      <c r="T124" s="567">
        <f t="shared" si="25"/>
        <v>13833.155000000002</v>
      </c>
      <c r="U124" s="598"/>
      <c r="V124" s="593"/>
      <c r="W124" s="570">
        <f t="shared" si="26"/>
        <v>152164.70500000002</v>
      </c>
      <c r="X124" s="1547">
        <f>U124+Q124</f>
        <v>0</v>
      </c>
      <c r="Y124" s="1547">
        <f>V124+R124</f>
        <v>0</v>
      </c>
      <c r="Z124" s="23">
        <f>W124*12</f>
        <v>1825976.4600000002</v>
      </c>
      <c r="AA124" s="24">
        <f>Z124/12/29.33*56</f>
        <v>290529.26968973753</v>
      </c>
      <c r="AB124" s="24">
        <f>Z124*1.25</f>
        <v>2282470.5750000002</v>
      </c>
      <c r="AC124" s="24">
        <f>AB124/12/29.33*56</f>
        <v>363161.58711217187</v>
      </c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</row>
    <row r="125" spans="1:44" s="986" customFormat="1" ht="17.25" customHeight="1">
      <c r="A125" s="998" t="s">
        <v>586</v>
      </c>
      <c r="B125" s="561" t="s">
        <v>99</v>
      </c>
      <c r="C125" s="1002" t="s">
        <v>25</v>
      </c>
      <c r="D125" s="1646" t="s">
        <v>710</v>
      </c>
      <c r="E125" s="1539" t="s">
        <v>259</v>
      </c>
      <c r="F125" s="571">
        <v>1</v>
      </c>
      <c r="G125" s="1543" t="s">
        <v>102</v>
      </c>
      <c r="H125" s="580" t="s">
        <v>103</v>
      </c>
      <c r="I125" s="574">
        <v>3</v>
      </c>
      <c r="J125" s="554">
        <v>17697</v>
      </c>
      <c r="K125" s="1671">
        <v>32</v>
      </c>
      <c r="L125" s="554">
        <f t="shared" si="22"/>
        <v>1.7777777777777777</v>
      </c>
      <c r="M125" s="1583" t="s">
        <v>109</v>
      </c>
      <c r="N125" s="1591">
        <v>4.1399999999999997</v>
      </c>
      <c r="O125" s="567">
        <f t="shared" si="23"/>
        <v>130249.91999999998</v>
      </c>
      <c r="P125" s="697">
        <f t="shared" si="24"/>
        <v>32562.479999999996</v>
      </c>
      <c r="Q125" s="568"/>
      <c r="R125" s="700"/>
      <c r="S125" s="554">
        <v>0.1</v>
      </c>
      <c r="T125" s="567">
        <f t="shared" si="25"/>
        <v>16281.239999999998</v>
      </c>
      <c r="U125" s="1541"/>
      <c r="V125" s="552"/>
      <c r="W125" s="570">
        <f t="shared" si="26"/>
        <v>179093.63999999996</v>
      </c>
      <c r="X125" s="1547"/>
      <c r="Y125" s="1547"/>
      <c r="Z125" s="23">
        <f>W124*12</f>
        <v>1825976.4600000002</v>
      </c>
      <c r="AA125" s="24">
        <f>Z125/12/29.33*56</f>
        <v>290529.26968973753</v>
      </c>
      <c r="AB125" s="24">
        <f>Z125*1.25</f>
        <v>2282470.5750000002</v>
      </c>
      <c r="AC125" s="24">
        <f>AB125/12/29.33*56</f>
        <v>363161.58711217187</v>
      </c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</row>
    <row r="126" spans="1:44" s="986" customFormat="1" ht="17.25" customHeight="1">
      <c r="A126" s="647" t="s">
        <v>287</v>
      </c>
      <c r="B126" s="647" t="s">
        <v>99</v>
      </c>
      <c r="C126" s="628" t="s">
        <v>25</v>
      </c>
      <c r="D126" s="586" t="s">
        <v>711</v>
      </c>
      <c r="E126" s="562" t="s">
        <v>40</v>
      </c>
      <c r="F126" s="560">
        <v>1</v>
      </c>
      <c r="G126" s="563" t="s">
        <v>102</v>
      </c>
      <c r="H126" s="563" t="s">
        <v>103</v>
      </c>
      <c r="I126" s="1603">
        <v>1</v>
      </c>
      <c r="J126" s="554">
        <v>17697</v>
      </c>
      <c r="K126" s="648">
        <v>24</v>
      </c>
      <c r="L126" s="554">
        <f t="shared" si="22"/>
        <v>1.3333333333333333</v>
      </c>
      <c r="M126" s="574" t="s">
        <v>152</v>
      </c>
      <c r="N126" s="1598">
        <v>4.75</v>
      </c>
      <c r="O126" s="567">
        <f t="shared" si="23"/>
        <v>112081</v>
      </c>
      <c r="P126" s="697">
        <f t="shared" si="24"/>
        <v>28020.25</v>
      </c>
      <c r="Q126" s="568"/>
      <c r="R126" s="554"/>
      <c r="S126" s="554">
        <v>0.1</v>
      </c>
      <c r="T126" s="567">
        <f t="shared" si="25"/>
        <v>14010.125</v>
      </c>
      <c r="U126" s="19"/>
      <c r="V126" s="554"/>
      <c r="W126" s="570">
        <f t="shared" si="26"/>
        <v>154111.375</v>
      </c>
      <c r="X126" s="1547"/>
      <c r="Y126" s="1547"/>
      <c r="Z126" s="23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</row>
    <row r="127" spans="1:44" s="986" customFormat="1" ht="17.25" customHeight="1">
      <c r="A127" s="1702" t="s">
        <v>253</v>
      </c>
      <c r="B127" s="6" t="s">
        <v>800</v>
      </c>
      <c r="C127" s="1639" t="s">
        <v>25</v>
      </c>
      <c r="D127" s="1719" t="s">
        <v>707</v>
      </c>
      <c r="E127" s="1640" t="s">
        <v>159</v>
      </c>
      <c r="F127" s="738">
        <v>1</v>
      </c>
      <c r="G127" s="5" t="s">
        <v>56</v>
      </c>
      <c r="H127" s="5" t="s">
        <v>56</v>
      </c>
      <c r="I127" s="731" t="s">
        <v>57</v>
      </c>
      <c r="J127" s="7">
        <v>17697</v>
      </c>
      <c r="K127" s="882"/>
      <c r="L127" s="10">
        <v>0.5</v>
      </c>
      <c r="M127" s="882"/>
      <c r="N127" s="1547">
        <v>4.0999999999999996</v>
      </c>
      <c r="O127" s="18">
        <f>N127*J127*L127</f>
        <v>36278.85</v>
      </c>
      <c r="P127" s="894"/>
      <c r="Q127" s="8"/>
      <c r="R127" s="7"/>
      <c r="S127" s="7">
        <v>0.1</v>
      </c>
      <c r="T127" s="7">
        <f>(O127+P127+R127)*S127</f>
        <v>3627.8850000000002</v>
      </c>
      <c r="U127" s="881"/>
      <c r="V127" s="882"/>
      <c r="W127" s="10">
        <f>O127+R127+T127+V127+P127</f>
        <v>39906.735000000001</v>
      </c>
      <c r="X127" s="1268"/>
      <c r="Y127" s="1268"/>
      <c r="Z127" s="1264"/>
      <c r="AA127" s="1382"/>
      <c r="AB127" s="1265"/>
      <c r="AC127" s="1265"/>
      <c r="AD127" s="1265"/>
      <c r="AE127" s="1265"/>
      <c r="AF127" s="1265"/>
      <c r="AG127" s="1265"/>
      <c r="AH127" s="1265"/>
      <c r="AI127" s="1265"/>
      <c r="AJ127" s="1265"/>
      <c r="AK127" s="1265"/>
      <c r="AL127" s="1265"/>
      <c r="AM127" s="1265"/>
      <c r="AN127" s="1265"/>
      <c r="AO127" s="1265"/>
      <c r="AP127" s="1265"/>
      <c r="AQ127" s="1265"/>
      <c r="AR127" s="1265"/>
    </row>
    <row r="128" spans="1:44" s="24" customFormat="1" ht="17.25" customHeight="1">
      <c r="A128" s="548" t="s">
        <v>253</v>
      </c>
      <c r="B128" s="561" t="s">
        <v>148</v>
      </c>
      <c r="C128" s="577" t="s">
        <v>25</v>
      </c>
      <c r="D128" s="1714" t="s">
        <v>712</v>
      </c>
      <c r="E128" s="583" t="s">
        <v>712</v>
      </c>
      <c r="F128" s="1725">
        <v>1</v>
      </c>
      <c r="G128" s="577" t="s">
        <v>102</v>
      </c>
      <c r="H128" s="577" t="s">
        <v>103</v>
      </c>
      <c r="I128" s="644">
        <v>1</v>
      </c>
      <c r="J128" s="552">
        <v>17697</v>
      </c>
      <c r="K128" s="1671">
        <v>28</v>
      </c>
      <c r="L128" s="552">
        <f>K128/18</f>
        <v>1.5555555555555556</v>
      </c>
      <c r="M128" s="555" t="s">
        <v>152</v>
      </c>
      <c r="N128" s="1672">
        <v>4.75</v>
      </c>
      <c r="O128" s="567">
        <f>N128*J128/18*K128</f>
        <v>130761.16666666667</v>
      </c>
      <c r="P128" s="556">
        <f>O128*25%</f>
        <v>32690.291666666668</v>
      </c>
      <c r="Q128" s="557"/>
      <c r="R128" s="552"/>
      <c r="S128" s="1756">
        <v>0.1</v>
      </c>
      <c r="T128" s="556">
        <f>(O128+P128)*S128</f>
        <v>16345.145833333336</v>
      </c>
      <c r="U128" s="1673"/>
      <c r="V128" s="552"/>
      <c r="W128" s="559">
        <f>O128+P128+T128</f>
        <v>179796.60416666669</v>
      </c>
      <c r="X128" s="10"/>
      <c r="Y128" s="10"/>
      <c r="Z128" s="23"/>
    </row>
    <row r="129" spans="1:44" s="1459" customFormat="1" ht="18" customHeight="1">
      <c r="A129" s="153" t="s">
        <v>792</v>
      </c>
      <c r="B129" s="561" t="s">
        <v>99</v>
      </c>
      <c r="C129" s="563" t="s">
        <v>25</v>
      </c>
      <c r="D129" s="1722" t="s">
        <v>793</v>
      </c>
      <c r="E129" s="562" t="s">
        <v>463</v>
      </c>
      <c r="F129" s="571">
        <v>1</v>
      </c>
      <c r="G129" s="580" t="s">
        <v>102</v>
      </c>
      <c r="H129" s="580" t="s">
        <v>103</v>
      </c>
      <c r="I129" s="574">
        <v>3</v>
      </c>
      <c r="J129" s="554">
        <v>17697</v>
      </c>
      <c r="K129" s="1643">
        <v>18</v>
      </c>
      <c r="L129" s="552">
        <f>K129/18</f>
        <v>1</v>
      </c>
      <c r="M129" s="566" t="s">
        <v>109</v>
      </c>
      <c r="N129" s="1672">
        <v>4.28</v>
      </c>
      <c r="O129" s="567">
        <f>N129*J129/18*K129</f>
        <v>75743.16</v>
      </c>
      <c r="P129" s="556">
        <f>O129*25%</f>
        <v>18935.79</v>
      </c>
      <c r="Q129" s="557"/>
      <c r="R129" s="554"/>
      <c r="S129" s="1756">
        <v>0.1</v>
      </c>
      <c r="T129" s="556">
        <f>(O129+P129)*S129</f>
        <v>9467.8950000000023</v>
      </c>
      <c r="U129" s="19"/>
      <c r="V129" s="554"/>
      <c r="W129" s="559">
        <f>O129+P129+T129</f>
        <v>104146.84500000002</v>
      </c>
      <c r="X129" s="70"/>
      <c r="Y129" s="70"/>
      <c r="Z129" s="23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</row>
    <row r="130" spans="1:44" s="1459" customFormat="1" ht="15.75" customHeight="1">
      <c r="A130" s="662" t="s">
        <v>524</v>
      </c>
      <c r="B130" s="647" t="s">
        <v>99</v>
      </c>
      <c r="C130" s="663" t="s">
        <v>25</v>
      </c>
      <c r="D130" s="1718" t="s">
        <v>814</v>
      </c>
      <c r="E130" s="664" t="s">
        <v>366</v>
      </c>
      <c r="F130" s="177">
        <v>1</v>
      </c>
      <c r="G130" s="177" t="s">
        <v>102</v>
      </c>
      <c r="H130" s="177" t="s">
        <v>103</v>
      </c>
      <c r="I130" s="178">
        <v>1</v>
      </c>
      <c r="J130" s="554">
        <v>17697</v>
      </c>
      <c r="K130" s="665">
        <v>17</v>
      </c>
      <c r="L130" s="567">
        <f>K130/18</f>
        <v>0.94444444444444442</v>
      </c>
      <c r="M130" s="997" t="s">
        <v>152</v>
      </c>
      <c r="N130" s="567">
        <v>4.6900000000000004</v>
      </c>
      <c r="O130" s="567">
        <f>J130*N130/18*K130</f>
        <v>78387.878333333341</v>
      </c>
      <c r="P130" s="556">
        <f>O130*25%</f>
        <v>19596.969583333335</v>
      </c>
      <c r="Q130" s="1754">
        <v>0.25</v>
      </c>
      <c r="R130" s="554">
        <f>(O130+P130)*Q130</f>
        <v>24496.21197916667</v>
      </c>
      <c r="S130" s="1756">
        <v>0.1</v>
      </c>
      <c r="T130" s="556">
        <f>(O130+P130+R130)*S130</f>
        <v>12248.105989583335</v>
      </c>
      <c r="U130" s="19"/>
      <c r="V130" s="554"/>
      <c r="W130" s="559">
        <f>O130+P130+R130+T130</f>
        <v>134729.16588541667</v>
      </c>
      <c r="X130" s="1763"/>
      <c r="Y130" s="1763"/>
      <c r="Z130" s="81"/>
      <c r="AA130" s="80"/>
      <c r="AB130" s="80"/>
      <c r="AC130" s="80"/>
      <c r="AD130" s="986"/>
      <c r="AE130" s="986"/>
      <c r="AF130" s="986"/>
      <c r="AG130" s="986"/>
      <c r="AH130" s="986"/>
      <c r="AI130" s="986"/>
      <c r="AJ130" s="986"/>
      <c r="AK130" s="986"/>
      <c r="AL130" s="986"/>
      <c r="AM130" s="986"/>
      <c r="AN130" s="986"/>
      <c r="AO130" s="986"/>
      <c r="AP130" s="986"/>
      <c r="AQ130" s="986"/>
      <c r="AR130" s="986"/>
    </row>
    <row r="131" spans="1:44" s="1278" customFormat="1" ht="15.75">
      <c r="A131" s="153" t="s">
        <v>343</v>
      </c>
      <c r="B131" s="647" t="s">
        <v>340</v>
      </c>
      <c r="C131" s="560" t="s">
        <v>64</v>
      </c>
      <c r="D131" s="710"/>
      <c r="E131" s="711"/>
      <c r="F131" s="712">
        <v>1</v>
      </c>
      <c r="G131" s="563"/>
      <c r="H131" s="689"/>
      <c r="I131" s="563">
        <v>2</v>
      </c>
      <c r="J131" s="554">
        <v>17697</v>
      </c>
      <c r="K131" s="554"/>
      <c r="L131" s="554">
        <v>1</v>
      </c>
      <c r="M131" s="554"/>
      <c r="N131" s="554">
        <v>2.81</v>
      </c>
      <c r="O131" s="567">
        <f>J131*N131*L131</f>
        <v>49728.57</v>
      </c>
      <c r="P131" s="556"/>
      <c r="Q131" s="552">
        <f>J131*O132*M131</f>
        <v>0</v>
      </c>
      <c r="R131" s="568"/>
      <c r="S131" s="708">
        <v>0.1</v>
      </c>
      <c r="T131" s="552">
        <f>S131*O131</f>
        <v>4972.857</v>
      </c>
      <c r="U131" s="569">
        <v>0.3</v>
      </c>
      <c r="V131" s="554">
        <f>U131*J131</f>
        <v>5309.0999999999995</v>
      </c>
      <c r="W131" s="559">
        <f>O131+T131+V131</f>
        <v>60010.526999999995</v>
      </c>
      <c r="X131" s="1276">
        <f>Q130+U130+W130</f>
        <v>134729.41588541667</v>
      </c>
      <c r="Y131" s="1276">
        <f>R130+V130+X131</f>
        <v>159225.62786458334</v>
      </c>
      <c r="Z131" s="1277">
        <f>W130*12</f>
        <v>1616749.9906250001</v>
      </c>
      <c r="AA131" s="1458">
        <f>Z131/12/29.33*24</f>
        <v>110245.48180190932</v>
      </c>
      <c r="AB131" s="1458"/>
      <c r="AC131" s="1458"/>
      <c r="AD131" s="1458"/>
      <c r="AE131" s="1458"/>
      <c r="AF131" s="1458"/>
      <c r="AG131" s="1458"/>
      <c r="AH131" s="1458"/>
      <c r="AI131" s="1458"/>
      <c r="AJ131" s="1458"/>
      <c r="AK131" s="1458"/>
      <c r="AL131" s="1458"/>
      <c r="AM131" s="1458"/>
      <c r="AN131" s="1459"/>
      <c r="AO131" s="1459"/>
      <c r="AP131" s="1459"/>
      <c r="AQ131" s="1459"/>
      <c r="AR131" s="1459"/>
    </row>
    <row r="132" spans="1:44" s="1278" customFormat="1" ht="19.5" customHeight="1">
      <c r="A132" s="647" t="s">
        <v>289</v>
      </c>
      <c r="B132" s="647" t="s">
        <v>99</v>
      </c>
      <c r="C132" s="563" t="s">
        <v>64</v>
      </c>
      <c r="D132" s="1721" t="s">
        <v>713</v>
      </c>
      <c r="E132" s="582" t="s">
        <v>77</v>
      </c>
      <c r="F132" s="560">
        <v>1</v>
      </c>
      <c r="G132" s="563" t="s">
        <v>102</v>
      </c>
      <c r="H132" s="563" t="s">
        <v>118</v>
      </c>
      <c r="I132" s="1603">
        <v>4</v>
      </c>
      <c r="J132" s="554">
        <v>17697</v>
      </c>
      <c r="K132" s="648">
        <v>18</v>
      </c>
      <c r="L132" s="554">
        <f>K132/18</f>
        <v>1</v>
      </c>
      <c r="M132" s="1601" t="s">
        <v>112</v>
      </c>
      <c r="N132" s="1750">
        <v>3.45</v>
      </c>
      <c r="O132" s="567">
        <f>N132*J132/18*K132</f>
        <v>61054.65</v>
      </c>
      <c r="P132" s="556">
        <f>O132*25%</f>
        <v>15263.6625</v>
      </c>
      <c r="Q132" s="557"/>
      <c r="R132" s="554"/>
      <c r="S132" s="1756">
        <v>0.1</v>
      </c>
      <c r="T132" s="556">
        <f>(O132+P132)*S132</f>
        <v>7631.8312500000002</v>
      </c>
      <c r="U132" s="19"/>
      <c r="V132" s="554"/>
      <c r="W132" s="559">
        <f>O132+P132+T132</f>
        <v>83950.143750000003</v>
      </c>
      <c r="X132" s="44">
        <f>U131+Q131</f>
        <v>0.3</v>
      </c>
      <c r="Y132" s="44">
        <f>V131+R131</f>
        <v>5309.0999999999995</v>
      </c>
      <c r="Z132" s="23">
        <f>W131*12</f>
        <v>720126.32399999991</v>
      </c>
      <c r="AA132" s="24">
        <f>Z132/12/29.33*56</f>
        <v>114578.57183770882</v>
      </c>
      <c r="AB132" s="24">
        <f>Z132*1.25</f>
        <v>900157.90499999991</v>
      </c>
      <c r="AC132" s="24">
        <f>AB132/12/29.33*56</f>
        <v>143223.21479713602</v>
      </c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</row>
    <row r="133" spans="1:44" s="1469" customFormat="1" ht="15.75">
      <c r="A133" s="153" t="s">
        <v>255</v>
      </c>
      <c r="B133" s="561" t="s">
        <v>99</v>
      </c>
      <c r="C133" s="563" t="s">
        <v>25</v>
      </c>
      <c r="D133" s="1713" t="s">
        <v>714</v>
      </c>
      <c r="E133" s="562" t="s">
        <v>40</v>
      </c>
      <c r="F133" s="571">
        <v>1</v>
      </c>
      <c r="G133" s="580" t="s">
        <v>102</v>
      </c>
      <c r="H133" s="580" t="s">
        <v>103</v>
      </c>
      <c r="I133" s="574">
        <v>1</v>
      </c>
      <c r="J133" s="554">
        <v>17697</v>
      </c>
      <c r="K133" s="1643">
        <v>34</v>
      </c>
      <c r="L133" s="554">
        <f>K133/18</f>
        <v>1.8888888888888888</v>
      </c>
      <c r="M133" s="574" t="s">
        <v>152</v>
      </c>
      <c r="N133" s="1582">
        <v>4.75</v>
      </c>
      <c r="O133" s="567">
        <f>N133*J133/18*K133</f>
        <v>158781.41666666669</v>
      </c>
      <c r="P133" s="556">
        <f>O133*25%</f>
        <v>39695.354166666672</v>
      </c>
      <c r="Q133" s="557"/>
      <c r="R133" s="554"/>
      <c r="S133" s="1756">
        <v>0.1</v>
      </c>
      <c r="T133" s="556">
        <f>(O133+P133)*S133</f>
        <v>19847.677083333339</v>
      </c>
      <c r="U133" s="19"/>
      <c r="V133" s="554"/>
      <c r="W133" s="559">
        <f>O133+P133+T133</f>
        <v>218324.44791666672</v>
      </c>
      <c r="X133" s="70"/>
      <c r="Y133" s="70"/>
      <c r="Z133" s="23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</row>
    <row r="134" spans="1:44" s="1469" customFormat="1" ht="15.75">
      <c r="A134" s="153" t="s">
        <v>735</v>
      </c>
      <c r="B134" s="647" t="s">
        <v>338</v>
      </c>
      <c r="C134" s="560" t="s">
        <v>64</v>
      </c>
      <c r="D134" s="710"/>
      <c r="E134" s="560"/>
      <c r="F134" s="717">
        <v>0.5</v>
      </c>
      <c r="G134" s="563"/>
      <c r="H134" s="689"/>
      <c r="I134" s="563">
        <v>2</v>
      </c>
      <c r="J134" s="554">
        <v>17697</v>
      </c>
      <c r="K134" s="554"/>
      <c r="L134" s="554">
        <v>0.5</v>
      </c>
      <c r="M134" s="554"/>
      <c r="N134" s="552">
        <v>2.81</v>
      </c>
      <c r="O134" s="567">
        <f>J134*N134*L134</f>
        <v>24864.285</v>
      </c>
      <c r="P134" s="556"/>
      <c r="Q134" s="552">
        <f>J134*O135*M134</f>
        <v>0</v>
      </c>
      <c r="R134" s="554"/>
      <c r="S134" s="708">
        <v>0.1</v>
      </c>
      <c r="T134" s="552">
        <f>S134*O134</f>
        <v>2486.4285</v>
      </c>
      <c r="U134" s="554"/>
      <c r="V134" s="554"/>
      <c r="W134" s="559">
        <f>O134+T134+V134</f>
        <v>27350.713499999998</v>
      </c>
      <c r="X134" s="1276">
        <f>Q133+U133+W133</f>
        <v>218324.44791666672</v>
      </c>
      <c r="Y134" s="1276">
        <f>R133+V133+X134</f>
        <v>218324.44791666672</v>
      </c>
      <c r="Z134" s="1277">
        <f>W133*12</f>
        <v>2619893.3750000005</v>
      </c>
      <c r="AA134" s="1458">
        <f>Z134/12/29.33*24</f>
        <v>178649.39481759295</v>
      </c>
      <c r="AB134" s="1458"/>
      <c r="AC134" s="1458"/>
      <c r="AD134" s="1458"/>
      <c r="AE134" s="1458"/>
      <c r="AF134" s="1458"/>
      <c r="AG134" s="1458"/>
      <c r="AH134" s="1458"/>
      <c r="AI134" s="1458"/>
      <c r="AJ134" s="1458"/>
      <c r="AK134" s="1458"/>
      <c r="AL134" s="1458"/>
      <c r="AM134" s="1458"/>
      <c r="AN134" s="1459"/>
      <c r="AO134" s="1459"/>
      <c r="AP134" s="1459"/>
      <c r="AQ134" s="1459"/>
      <c r="AR134" s="1459"/>
    </row>
    <row r="135" spans="1:44" s="1469" customFormat="1" ht="15.75">
      <c r="A135" s="153" t="s">
        <v>735</v>
      </c>
      <c r="B135" s="725" t="s">
        <v>785</v>
      </c>
      <c r="C135" s="560" t="s">
        <v>64</v>
      </c>
      <c r="D135" s="563"/>
      <c r="E135" s="560"/>
      <c r="F135" s="712">
        <v>1</v>
      </c>
      <c r="G135" s="563"/>
      <c r="H135" s="689"/>
      <c r="I135" s="563">
        <v>1</v>
      </c>
      <c r="J135" s="554">
        <v>17697</v>
      </c>
      <c r="K135" s="554"/>
      <c r="L135" s="554">
        <v>1</v>
      </c>
      <c r="M135" s="554"/>
      <c r="N135" s="552">
        <v>2.77</v>
      </c>
      <c r="O135" s="567">
        <f>J135*N135*L135</f>
        <v>49020.69</v>
      </c>
      <c r="P135" s="556"/>
      <c r="Q135" s="552">
        <f>J135*O136*M135</f>
        <v>0</v>
      </c>
      <c r="R135" s="554"/>
      <c r="S135" s="708">
        <v>0.1</v>
      </c>
      <c r="T135" s="552">
        <f>S135*O135</f>
        <v>4902.0690000000004</v>
      </c>
      <c r="U135" s="724">
        <v>0.5</v>
      </c>
      <c r="V135" s="593">
        <v>12439.34</v>
      </c>
      <c r="W135" s="559">
        <f>O135+T135+V135</f>
        <v>66362.099000000002</v>
      </c>
      <c r="X135" s="1276">
        <f>Q134+U134+W134</f>
        <v>27350.713499999998</v>
      </c>
      <c r="Y135" s="1276">
        <f>R134+V134+X135</f>
        <v>27350.713499999998</v>
      </c>
      <c r="Z135" s="1277">
        <f>W134*12</f>
        <v>328208.56199999998</v>
      </c>
      <c r="AA135" s="1458">
        <f>Z135/12/29.33*24</f>
        <v>22380.399727241733</v>
      </c>
      <c r="AB135" s="1458"/>
      <c r="AC135" s="1458"/>
      <c r="AD135" s="1458"/>
      <c r="AE135" s="1458"/>
      <c r="AF135" s="1458"/>
      <c r="AG135" s="1458"/>
      <c r="AH135" s="1458"/>
      <c r="AI135" s="1458"/>
      <c r="AJ135" s="1458"/>
      <c r="AK135" s="1458"/>
      <c r="AL135" s="1458"/>
      <c r="AM135" s="1458"/>
      <c r="AN135" s="1459"/>
      <c r="AO135" s="1459"/>
      <c r="AP135" s="1459"/>
      <c r="AQ135" s="1459"/>
      <c r="AR135" s="1459"/>
    </row>
    <row r="136" spans="1:44" s="1459" customFormat="1" ht="15.75">
      <c r="A136" s="153" t="s">
        <v>257</v>
      </c>
      <c r="B136" s="561" t="s">
        <v>99</v>
      </c>
      <c r="C136" s="563" t="s">
        <v>25</v>
      </c>
      <c r="D136" s="562" t="s">
        <v>715</v>
      </c>
      <c r="E136" s="562" t="s">
        <v>239</v>
      </c>
      <c r="F136" s="571">
        <v>1</v>
      </c>
      <c r="G136" s="580" t="s">
        <v>102</v>
      </c>
      <c r="H136" s="580" t="s">
        <v>103</v>
      </c>
      <c r="I136" s="574">
        <v>2</v>
      </c>
      <c r="J136" s="554">
        <v>17697</v>
      </c>
      <c r="K136" s="1643">
        <v>27</v>
      </c>
      <c r="L136" s="554">
        <f>K136/18</f>
        <v>1.5</v>
      </c>
      <c r="M136" s="566" t="s">
        <v>104</v>
      </c>
      <c r="N136" s="1672">
        <v>4.2300000000000004</v>
      </c>
      <c r="O136" s="567">
        <f>N136*J136/18*K136</f>
        <v>112287.46500000003</v>
      </c>
      <c r="P136" s="556">
        <f>O136*25%</f>
        <v>28071.866250000006</v>
      </c>
      <c r="Q136" s="557"/>
      <c r="R136" s="554"/>
      <c r="S136" s="1756">
        <v>0.1</v>
      </c>
      <c r="T136" s="556">
        <f>(O136+P136)*S136</f>
        <v>14035.933125000005</v>
      </c>
      <c r="U136" s="19"/>
      <c r="V136" s="554"/>
      <c r="W136" s="559">
        <f>O136+P136+T136</f>
        <v>154395.26437500006</v>
      </c>
      <c r="X136" s="70">
        <f>U135+Q135</f>
        <v>0.5</v>
      </c>
      <c r="Y136" s="70">
        <f>V135+R135</f>
        <v>12439.34</v>
      </c>
      <c r="Z136" s="23">
        <f>W135*12</f>
        <v>796345.18800000008</v>
      </c>
      <c r="AA136" s="24">
        <f>Z136/12/29.33*56</f>
        <v>126705.67828162294</v>
      </c>
      <c r="AB136" s="24">
        <f>Z136*1.25</f>
        <v>995431.4850000001</v>
      </c>
      <c r="AC136" s="24">
        <f>AB136/12/29.33*56</f>
        <v>158382.09785202867</v>
      </c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</row>
    <row r="137" spans="1:44" s="1459" customFormat="1" ht="15.75">
      <c r="A137" s="153" t="s">
        <v>193</v>
      </c>
      <c r="B137" s="561" t="s">
        <v>99</v>
      </c>
      <c r="C137" s="563" t="s">
        <v>64</v>
      </c>
      <c r="D137" s="210" t="s">
        <v>716</v>
      </c>
      <c r="E137" s="562" t="s">
        <v>403</v>
      </c>
      <c r="F137" s="560">
        <v>1</v>
      </c>
      <c r="G137" s="563" t="s">
        <v>102</v>
      </c>
      <c r="H137" s="563" t="s">
        <v>118</v>
      </c>
      <c r="I137" s="581">
        <v>3</v>
      </c>
      <c r="J137" s="593">
        <v>17697</v>
      </c>
      <c r="K137" s="594">
        <v>34</v>
      </c>
      <c r="L137" s="554">
        <f>K137/18</f>
        <v>1.8888888888888888</v>
      </c>
      <c r="M137" s="997" t="s">
        <v>152</v>
      </c>
      <c r="N137" s="1747">
        <v>4.75</v>
      </c>
      <c r="O137" s="596">
        <f>N137*J137/18*K137</f>
        <v>158781.41666666669</v>
      </c>
      <c r="P137" s="556">
        <f>O137*25%</f>
        <v>39695.354166666672</v>
      </c>
      <c r="Q137" s="1753"/>
      <c r="R137" s="593"/>
      <c r="S137" s="1757">
        <v>0.1</v>
      </c>
      <c r="T137" s="556">
        <f>(O137+P137)*S137</f>
        <v>19847.677083333339</v>
      </c>
      <c r="U137" s="598"/>
      <c r="V137" s="593"/>
      <c r="W137" s="559">
        <f>O137+P137+T137</f>
        <v>218324.44791666672</v>
      </c>
      <c r="X137" s="44">
        <f>U137+Q137</f>
        <v>0</v>
      </c>
      <c r="Y137" s="44">
        <f>V137+R137</f>
        <v>0</v>
      </c>
      <c r="Z137" s="23">
        <f>W137*12</f>
        <v>2619893.3750000005</v>
      </c>
      <c r="AA137" s="24">
        <f>Z137/12/29.33*56</f>
        <v>416848.58790771686</v>
      </c>
      <c r="AB137" s="24">
        <f>Z137*1.25</f>
        <v>3274866.7187500005</v>
      </c>
      <c r="AC137" s="24">
        <f>AB137/12/29.33*56</f>
        <v>521060.73488464608</v>
      </c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</row>
    <row r="138" spans="1:44" s="1459" customFormat="1" ht="15.75">
      <c r="A138" s="153" t="s">
        <v>606</v>
      </c>
      <c r="B138" s="561" t="s">
        <v>784</v>
      </c>
      <c r="C138" s="560" t="s">
        <v>64</v>
      </c>
      <c r="D138" s="563"/>
      <c r="E138" s="560"/>
      <c r="F138" s="712">
        <v>1</v>
      </c>
      <c r="G138" s="563"/>
      <c r="H138" s="689"/>
      <c r="I138" s="563">
        <v>1</v>
      </c>
      <c r="J138" s="554">
        <v>17697</v>
      </c>
      <c r="K138" s="554"/>
      <c r="L138" s="554">
        <v>1</v>
      </c>
      <c r="M138" s="554"/>
      <c r="N138" s="552">
        <v>2.77</v>
      </c>
      <c r="O138" s="567">
        <f>J138*N138*L138</f>
        <v>49020.69</v>
      </c>
      <c r="P138" s="556"/>
      <c r="Q138" s="552">
        <f>J138*O139*M138</f>
        <v>0</v>
      </c>
      <c r="R138" s="568"/>
      <c r="S138" s="708">
        <v>0.1</v>
      </c>
      <c r="T138" s="552">
        <f>S138*O138</f>
        <v>4902.0690000000004</v>
      </c>
      <c r="U138" s="724">
        <v>0.5</v>
      </c>
      <c r="V138" s="593">
        <v>12439.34</v>
      </c>
      <c r="W138" s="559">
        <f>O138+T138+V138</f>
        <v>66362.099000000002</v>
      </c>
      <c r="X138" s="1276">
        <f>Q137+U137+W137</f>
        <v>218324.44791666672</v>
      </c>
      <c r="Y138" s="1276">
        <f>R137+V137+X138</f>
        <v>218324.44791666672</v>
      </c>
      <c r="Z138" s="1277">
        <f>W137*12</f>
        <v>2619893.3750000005</v>
      </c>
      <c r="AA138" s="1458">
        <f>Z138/12/29.33*24</f>
        <v>178649.39481759295</v>
      </c>
      <c r="AB138" s="1458"/>
      <c r="AC138" s="1458"/>
      <c r="AD138" s="1458"/>
      <c r="AE138" s="1458"/>
      <c r="AF138" s="1458"/>
      <c r="AG138" s="1458"/>
      <c r="AH138" s="1458"/>
      <c r="AI138" s="1458"/>
      <c r="AJ138" s="1458"/>
      <c r="AK138" s="1458"/>
      <c r="AL138" s="1458"/>
      <c r="AM138" s="1458"/>
    </row>
    <row r="139" spans="1:44" s="1459" customFormat="1" ht="15">
      <c r="A139" s="730" t="s">
        <v>48</v>
      </c>
      <c r="B139" s="6" t="s">
        <v>49</v>
      </c>
      <c r="C139" s="5" t="s">
        <v>25</v>
      </c>
      <c r="D139" s="57" t="s">
        <v>777</v>
      </c>
      <c r="E139" s="5" t="s">
        <v>51</v>
      </c>
      <c r="F139" s="5">
        <v>1</v>
      </c>
      <c r="G139" s="20" t="s">
        <v>28</v>
      </c>
      <c r="H139" s="20" t="s">
        <v>35</v>
      </c>
      <c r="I139" s="731" t="s">
        <v>30</v>
      </c>
      <c r="J139" s="7">
        <v>17697</v>
      </c>
      <c r="K139" s="7"/>
      <c r="L139" s="10">
        <v>1</v>
      </c>
      <c r="M139" s="7"/>
      <c r="N139" s="1751" t="s">
        <v>370</v>
      </c>
      <c r="O139" s="18">
        <f>N139*J139*L139</f>
        <v>99280.170000000013</v>
      </c>
      <c r="P139" s="44"/>
      <c r="Q139" s="44"/>
      <c r="R139" s="8"/>
      <c r="S139" s="1755">
        <v>0.1</v>
      </c>
      <c r="T139" s="44">
        <f>(O139+P139+R139)*S139</f>
        <v>9928.0170000000016</v>
      </c>
      <c r="U139" s="7"/>
      <c r="V139" s="9"/>
      <c r="W139" s="70">
        <f>O139+R139+T139+V139+P139</f>
        <v>109208.18700000002</v>
      </c>
      <c r="X139" s="1762">
        <f>Q139+S139+U139</f>
        <v>0.1</v>
      </c>
      <c r="Y139" s="1762">
        <f>R139+T139+V139</f>
        <v>9928.0170000000016</v>
      </c>
      <c r="Z139" s="1264">
        <f>W139*12</f>
        <v>1310498.2440000002</v>
      </c>
      <c r="AA139" s="1382">
        <f>Z139/12/29.33*30</f>
        <v>111702.88475963179</v>
      </c>
      <c r="AB139" s="1264"/>
      <c r="AC139" s="1264"/>
      <c r="AD139" s="1264"/>
      <c r="AE139" s="1264"/>
      <c r="AF139" s="1264"/>
      <c r="AG139" s="1264"/>
      <c r="AH139" s="1264"/>
      <c r="AI139" s="1264"/>
      <c r="AJ139" s="1264"/>
      <c r="AK139" s="1264"/>
      <c r="AL139" s="1264"/>
      <c r="AM139" s="1264"/>
      <c r="AN139" s="1265"/>
      <c r="AO139" s="1265"/>
      <c r="AP139" s="1265"/>
      <c r="AQ139" s="1265"/>
      <c r="AR139" s="1265"/>
    </row>
    <row r="140" spans="1:44" s="1278" customFormat="1" ht="15.75">
      <c r="A140" s="153" t="s">
        <v>197</v>
      </c>
      <c r="B140" s="561" t="s">
        <v>99</v>
      </c>
      <c r="C140" s="563" t="s">
        <v>25</v>
      </c>
      <c r="D140" s="210" t="s">
        <v>717</v>
      </c>
      <c r="E140" s="562" t="s">
        <v>34</v>
      </c>
      <c r="F140" s="560">
        <v>1</v>
      </c>
      <c r="G140" s="563" t="s">
        <v>102</v>
      </c>
      <c r="H140" s="563" t="s">
        <v>103</v>
      </c>
      <c r="I140" s="564">
        <v>1</v>
      </c>
      <c r="J140" s="554">
        <v>17697</v>
      </c>
      <c r="K140" s="565">
        <v>32</v>
      </c>
      <c r="L140" s="554">
        <f>K140/18</f>
        <v>1.7777777777777777</v>
      </c>
      <c r="M140" s="566" t="s">
        <v>109</v>
      </c>
      <c r="N140" s="1582">
        <v>3.97</v>
      </c>
      <c r="O140" s="567">
        <f>N140*J140/18*K140</f>
        <v>124901.49333333333</v>
      </c>
      <c r="P140" s="556">
        <f>O140*25%</f>
        <v>31225.373333333333</v>
      </c>
      <c r="Q140" s="557"/>
      <c r="R140" s="554"/>
      <c r="S140" s="1756">
        <v>0.1</v>
      </c>
      <c r="T140" s="556">
        <f>(O140+P140)*S140</f>
        <v>15612.686666666668</v>
      </c>
      <c r="U140" s="569"/>
      <c r="V140" s="554"/>
      <c r="W140" s="559">
        <f>O140+P140+T140</f>
        <v>171739.55333333334</v>
      </c>
      <c r="X140" s="70"/>
      <c r="Y140" s="70"/>
      <c r="Z140" s="23">
        <f>W140*12</f>
        <v>2060874.6400000001</v>
      </c>
      <c r="AA140" s="24">
        <f>Z140/12/29.33*56</f>
        <v>327903.68178202072</v>
      </c>
      <c r="AB140" s="24">
        <f>Z140*1.25</f>
        <v>2576093.3000000003</v>
      </c>
      <c r="AC140" s="24">
        <f>AB140/12/29.33*56</f>
        <v>409879.6022275259</v>
      </c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</row>
    <row r="141" spans="1:44" s="1278" customFormat="1" ht="15.75">
      <c r="A141" s="153" t="s">
        <v>388</v>
      </c>
      <c r="B141" s="561" t="s">
        <v>99</v>
      </c>
      <c r="C141" s="563" t="s">
        <v>189</v>
      </c>
      <c r="D141" s="1713" t="s">
        <v>718</v>
      </c>
      <c r="E141" s="562" t="s">
        <v>34</v>
      </c>
      <c r="F141" s="571">
        <v>1</v>
      </c>
      <c r="G141" s="580" t="s">
        <v>102</v>
      </c>
      <c r="H141" s="580" t="s">
        <v>103</v>
      </c>
      <c r="I141" s="574">
        <v>1</v>
      </c>
      <c r="J141" s="554">
        <v>17697</v>
      </c>
      <c r="K141" s="1643">
        <v>9</v>
      </c>
      <c r="L141" s="554">
        <f>K141/18</f>
        <v>0.5</v>
      </c>
      <c r="M141" s="574" t="s">
        <v>152</v>
      </c>
      <c r="N141" s="1672">
        <v>4.75</v>
      </c>
      <c r="O141" s="567">
        <f>N141*J141/18*K141</f>
        <v>42030.375</v>
      </c>
      <c r="P141" s="556">
        <f>O141*25%</f>
        <v>10507.59375</v>
      </c>
      <c r="Q141" s="557"/>
      <c r="R141" s="554"/>
      <c r="S141" s="1756">
        <v>0.1</v>
      </c>
      <c r="T141" s="556">
        <f>(O141+P141)*S141</f>
        <v>5253.796875</v>
      </c>
      <c r="U141" s="19"/>
      <c r="V141" s="554"/>
      <c r="W141" s="559">
        <f>O141+P141+T141</f>
        <v>57791.765625</v>
      </c>
      <c r="X141" s="70"/>
      <c r="Y141" s="70"/>
      <c r="Z141" s="23">
        <f>W140*12</f>
        <v>2060874.6400000001</v>
      </c>
      <c r="AA141" s="24">
        <f>Z141/12/29.33*56</f>
        <v>327903.68178202072</v>
      </c>
      <c r="AB141" s="24">
        <f>Z141*1.25</f>
        <v>2576093.3000000003</v>
      </c>
      <c r="AC141" s="24">
        <f>AB141/12/29.33*56</f>
        <v>409879.6022275259</v>
      </c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</row>
    <row r="142" spans="1:44" s="1469" customFormat="1" ht="15.75">
      <c r="A142" s="1699" t="s">
        <v>31</v>
      </c>
      <c r="B142" s="39" t="s">
        <v>32</v>
      </c>
      <c r="C142" s="1708" t="s">
        <v>25</v>
      </c>
      <c r="D142" s="1711" t="s">
        <v>772</v>
      </c>
      <c r="E142" s="1723" t="s">
        <v>34</v>
      </c>
      <c r="F142" s="1708">
        <v>1</v>
      </c>
      <c r="G142" s="1708" t="s">
        <v>28</v>
      </c>
      <c r="H142" s="1708" t="s">
        <v>35</v>
      </c>
      <c r="I142" s="1734" t="s">
        <v>30</v>
      </c>
      <c r="J142" s="1738">
        <v>17697</v>
      </c>
      <c r="K142" s="1738"/>
      <c r="L142" s="10">
        <v>1</v>
      </c>
      <c r="M142" s="1738"/>
      <c r="N142" s="1745">
        <v>5.77</v>
      </c>
      <c r="O142" s="7">
        <f>N142*J142</f>
        <v>102111.68999999999</v>
      </c>
      <c r="P142" s="44">
        <f>O142*25%</f>
        <v>25527.922499999997</v>
      </c>
      <c r="Q142" s="68"/>
      <c r="R142" s="1738"/>
      <c r="S142" s="1755">
        <v>0.1</v>
      </c>
      <c r="T142" s="44">
        <f>(O142+P142+R142)*S142</f>
        <v>12763.96125</v>
      </c>
      <c r="U142" s="38"/>
      <c r="V142" s="34"/>
      <c r="W142" s="70">
        <f>O142+R142+T142+V142+P142</f>
        <v>140403.57374999998</v>
      </c>
      <c r="X142" s="1762">
        <f>Q142+S142+U142</f>
        <v>0.1</v>
      </c>
      <c r="Y142" s="1762">
        <f>R142+T142+V142</f>
        <v>12763.96125</v>
      </c>
      <c r="Z142" s="1264">
        <f>W142*12</f>
        <v>1684842.8849999998</v>
      </c>
      <c r="AA142" s="1382">
        <f>Z142/12/29.33*30</f>
        <v>143610.88348107738</v>
      </c>
      <c r="AB142" s="1265"/>
      <c r="AC142" s="1265"/>
      <c r="AD142" s="1265"/>
      <c r="AE142" s="1265"/>
      <c r="AF142" s="1265"/>
      <c r="AG142" s="1388"/>
      <c r="AH142" s="1389"/>
      <c r="AI142" s="1265"/>
      <c r="AJ142" s="1265"/>
      <c r="AK142" s="1265"/>
      <c r="AL142" s="1265"/>
      <c r="AM142" s="1265"/>
      <c r="AN142" s="1265"/>
      <c r="AO142" s="1265"/>
      <c r="AP142" s="1265"/>
      <c r="AQ142" s="1265"/>
      <c r="AR142" s="1265"/>
    </row>
    <row r="143" spans="1:44" s="1278" customFormat="1" ht="15.75">
      <c r="A143" s="153" t="s">
        <v>333</v>
      </c>
      <c r="B143" s="725" t="s">
        <v>785</v>
      </c>
      <c r="C143" s="560" t="s">
        <v>64</v>
      </c>
      <c r="D143" s="563"/>
      <c r="E143" s="560"/>
      <c r="F143" s="712">
        <v>1</v>
      </c>
      <c r="G143" s="563"/>
      <c r="H143" s="689"/>
      <c r="I143" s="563">
        <v>1</v>
      </c>
      <c r="J143" s="554">
        <v>17697</v>
      </c>
      <c r="K143" s="554"/>
      <c r="L143" s="1743">
        <v>1</v>
      </c>
      <c r="M143" s="554"/>
      <c r="N143" s="554">
        <v>2.77</v>
      </c>
      <c r="O143" s="567">
        <f>J143*N143*L143</f>
        <v>49020.69</v>
      </c>
      <c r="P143" s="556"/>
      <c r="Q143" s="552">
        <f>J143*O144*M143</f>
        <v>0</v>
      </c>
      <c r="R143" s="554"/>
      <c r="S143" s="708">
        <v>0.1</v>
      </c>
      <c r="T143" s="552">
        <f>S143*O143</f>
        <v>4902.0690000000004</v>
      </c>
      <c r="U143" s="724">
        <v>0.5</v>
      </c>
      <c r="V143" s="593">
        <v>12439.34</v>
      </c>
      <c r="W143" s="559">
        <f>O143+T143+V143</f>
        <v>66362.099000000002</v>
      </c>
      <c r="X143" s="1276">
        <f>Q142+U142+W142</f>
        <v>140403.57374999998</v>
      </c>
      <c r="Y143" s="1276">
        <f>R142+V142+X143</f>
        <v>140403.57374999998</v>
      </c>
      <c r="Z143" s="1277">
        <f>W142*12</f>
        <v>1684842.8849999998</v>
      </c>
      <c r="AA143" s="1458">
        <f>Z143/12/29.33*24</f>
        <v>114888.70678486192</v>
      </c>
    </row>
    <row r="144" spans="1:44" s="1459" customFormat="1" ht="15.75">
      <c r="A144" s="153" t="s">
        <v>350</v>
      </c>
      <c r="B144" s="725" t="s">
        <v>785</v>
      </c>
      <c r="C144" s="560" t="s">
        <v>64</v>
      </c>
      <c r="D144" s="563"/>
      <c r="E144" s="560"/>
      <c r="F144" s="712">
        <v>1</v>
      </c>
      <c r="G144" s="563"/>
      <c r="H144" s="689"/>
      <c r="I144" s="563">
        <v>1</v>
      </c>
      <c r="J144" s="554">
        <v>17697</v>
      </c>
      <c r="K144" s="554"/>
      <c r="L144" s="554">
        <v>1</v>
      </c>
      <c r="M144" s="554"/>
      <c r="N144" s="554">
        <v>2.77</v>
      </c>
      <c r="O144" s="567">
        <f>J144*N144*L144</f>
        <v>49020.69</v>
      </c>
      <c r="P144" s="556"/>
      <c r="Q144" s="552">
        <f>J144*O145*M144</f>
        <v>0</v>
      </c>
      <c r="R144" s="554"/>
      <c r="S144" s="708">
        <v>0.1</v>
      </c>
      <c r="T144" s="552">
        <f>S144*O144</f>
        <v>4902.0690000000004</v>
      </c>
      <c r="U144" s="724">
        <v>0.5</v>
      </c>
      <c r="V144" s="593">
        <v>12439.34</v>
      </c>
      <c r="W144" s="559">
        <f>O144+T144+V144</f>
        <v>66362.099000000002</v>
      </c>
      <c r="X144" s="1276">
        <f>Q143+U143+W143</f>
        <v>66362.599000000002</v>
      </c>
      <c r="Y144" s="1276">
        <f>R143+V143+X144</f>
        <v>78801.938999999998</v>
      </c>
      <c r="Z144" s="1277">
        <f>W143*12</f>
        <v>796345.18800000008</v>
      </c>
      <c r="AA144" s="1458">
        <f>Z144/12/29.33*24</f>
        <v>54302.433549266971</v>
      </c>
      <c r="AB144" s="1278"/>
      <c r="AC144" s="1278"/>
      <c r="AD144" s="1278"/>
      <c r="AE144" s="1278"/>
      <c r="AF144" s="1278"/>
      <c r="AG144" s="1278"/>
      <c r="AH144" s="1278"/>
      <c r="AI144" s="1278"/>
      <c r="AJ144" s="1278"/>
      <c r="AK144" s="1278"/>
      <c r="AL144" s="1569"/>
      <c r="AM144" s="1569"/>
      <c r="AN144" s="1278"/>
      <c r="AO144" s="1278"/>
      <c r="AP144" s="1278"/>
      <c r="AQ144" s="1278"/>
      <c r="AR144" s="1278"/>
    </row>
    <row r="145" spans="1:44" s="1459" customFormat="1" ht="15.75">
      <c r="A145" s="153" t="s">
        <v>199</v>
      </c>
      <c r="B145" s="561" t="s">
        <v>99</v>
      </c>
      <c r="C145" s="563" t="s">
        <v>64</v>
      </c>
      <c r="D145" s="210" t="s">
        <v>721</v>
      </c>
      <c r="E145" s="562" t="s">
        <v>722</v>
      </c>
      <c r="F145" s="560">
        <v>1</v>
      </c>
      <c r="G145" s="563" t="s">
        <v>102</v>
      </c>
      <c r="H145" s="563" t="s">
        <v>118</v>
      </c>
      <c r="I145" s="581">
        <v>4</v>
      </c>
      <c r="J145" s="554">
        <v>17697</v>
      </c>
      <c r="K145" s="565">
        <v>21</v>
      </c>
      <c r="L145" s="554">
        <f>K145/18</f>
        <v>1.1666666666666667</v>
      </c>
      <c r="M145" s="997" t="s">
        <v>152</v>
      </c>
      <c r="N145" s="1014">
        <v>4.75</v>
      </c>
      <c r="O145" s="567">
        <f>N145*J145/18*K145</f>
        <v>98070.875</v>
      </c>
      <c r="P145" s="556">
        <f>O145*25%</f>
        <v>24517.71875</v>
      </c>
      <c r="Q145" s="557"/>
      <c r="R145" s="554"/>
      <c r="S145" s="1756">
        <v>0.1</v>
      </c>
      <c r="T145" s="556">
        <f>(O145+P145)*S145</f>
        <v>12258.859375</v>
      </c>
      <c r="U145" s="569"/>
      <c r="V145" s="554"/>
      <c r="W145" s="559">
        <f>O145+P145+T145</f>
        <v>134847.453125</v>
      </c>
      <c r="X145" s="44">
        <f>U145+Q145</f>
        <v>0</v>
      </c>
      <c r="Y145" s="44">
        <f>V145+R145</f>
        <v>0</v>
      </c>
      <c r="Z145" s="23">
        <f>W145*12</f>
        <v>1618169.4375</v>
      </c>
      <c r="AA145" s="24">
        <f>Z145/12/29.33*56</f>
        <v>257465.30429594271</v>
      </c>
      <c r="AB145" s="24">
        <f>Z145*1.25</f>
        <v>2022711.796875</v>
      </c>
      <c r="AC145" s="24">
        <f>AB145/12/29.33*56</f>
        <v>321831.63036992843</v>
      </c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</row>
    <row r="146" spans="1:44" s="1459" customFormat="1" ht="15.75">
      <c r="A146" s="726" t="s">
        <v>351</v>
      </c>
      <c r="B146" s="662" t="s">
        <v>786</v>
      </c>
      <c r="C146" s="663" t="s">
        <v>75</v>
      </c>
      <c r="D146" s="663"/>
      <c r="E146" s="727"/>
      <c r="F146" s="663">
        <v>1</v>
      </c>
      <c r="G146" s="728"/>
      <c r="H146" s="728"/>
      <c r="I146" s="663">
        <v>1</v>
      </c>
      <c r="J146" s="567">
        <v>17697</v>
      </c>
      <c r="K146" s="567"/>
      <c r="L146" s="554">
        <v>1</v>
      </c>
      <c r="M146" s="567"/>
      <c r="N146" s="554">
        <v>2.77</v>
      </c>
      <c r="O146" s="567">
        <f>J146*N146*L146</f>
        <v>49020.69</v>
      </c>
      <c r="P146" s="556"/>
      <c r="Q146" s="552">
        <f>J146*O147*M146</f>
        <v>0</v>
      </c>
      <c r="R146" s="567"/>
      <c r="S146" s="708">
        <v>0.1</v>
      </c>
      <c r="T146" s="552">
        <f>S146*O146</f>
        <v>4902.0690000000004</v>
      </c>
      <c r="U146" s="567">
        <v>0</v>
      </c>
      <c r="V146" s="593">
        <v>12439.34</v>
      </c>
      <c r="W146" s="559">
        <f>O146+T146+V146</f>
        <v>66362.099000000002</v>
      </c>
      <c r="X146" s="1276">
        <f>Q145+U145+W145</f>
        <v>134847.453125</v>
      </c>
      <c r="Y146" s="1276">
        <f>R145+V145+X146</f>
        <v>134847.453125</v>
      </c>
      <c r="Z146" s="1277">
        <f>W145*12</f>
        <v>1618169.4375</v>
      </c>
      <c r="AA146" s="1458">
        <f>Z146/12/29.33*24</f>
        <v>110342.27326968973</v>
      </c>
      <c r="AB146" s="1278"/>
      <c r="AC146" s="1278"/>
      <c r="AD146" s="1278"/>
      <c r="AE146" s="1278"/>
      <c r="AF146" s="1278"/>
      <c r="AG146" s="1278"/>
      <c r="AH146" s="1278"/>
      <c r="AI146" s="1278"/>
      <c r="AJ146" s="1278"/>
      <c r="AK146" s="1278"/>
      <c r="AL146" s="1569"/>
      <c r="AM146" s="1278"/>
      <c r="AN146" s="1278"/>
      <c r="AO146" s="1278"/>
      <c r="AP146" s="1278"/>
      <c r="AQ146" s="1278"/>
      <c r="AR146" s="1278"/>
    </row>
    <row r="147" spans="1:44" s="1278" customFormat="1" ht="15.75">
      <c r="A147" s="1703" t="s">
        <v>329</v>
      </c>
      <c r="B147" s="647" t="s">
        <v>99</v>
      </c>
      <c r="C147" s="663" t="s">
        <v>75</v>
      </c>
      <c r="D147" s="664" t="s">
        <v>684</v>
      </c>
      <c r="E147" s="664" t="s">
        <v>239</v>
      </c>
      <c r="F147" s="177">
        <v>1</v>
      </c>
      <c r="G147" s="563" t="s">
        <v>102</v>
      </c>
      <c r="H147" s="563" t="s">
        <v>118</v>
      </c>
      <c r="I147" s="564">
        <v>3</v>
      </c>
      <c r="J147" s="554">
        <v>17697</v>
      </c>
      <c r="K147" s="665">
        <v>18</v>
      </c>
      <c r="L147" s="567">
        <f>K147/18</f>
        <v>1</v>
      </c>
      <c r="M147" s="574" t="s">
        <v>109</v>
      </c>
      <c r="N147" s="1608">
        <v>4.03</v>
      </c>
      <c r="O147" s="567">
        <f>J147*N147/18*K147</f>
        <v>71318.91</v>
      </c>
      <c r="P147" s="556">
        <f>O147*25%</f>
        <v>17829.727500000001</v>
      </c>
      <c r="Q147" s="1754">
        <v>0.25</v>
      </c>
      <c r="R147" s="554">
        <f>(O147+P147)*Q147</f>
        <v>22287.159375000003</v>
      </c>
      <c r="S147" s="1756">
        <v>0.1</v>
      </c>
      <c r="T147" s="556">
        <f>(O147+P147+R147)*S147</f>
        <v>11143.579687500001</v>
      </c>
      <c r="U147" s="19"/>
      <c r="V147" s="554"/>
      <c r="W147" s="559">
        <f>O147+P147+R147+T147</f>
        <v>122579.37656250002</v>
      </c>
      <c r="X147" s="1764">
        <f>U146+S146+Q146</f>
        <v>0.1</v>
      </c>
      <c r="Y147" s="1764">
        <f>V146+T146+R146</f>
        <v>17341.409</v>
      </c>
      <c r="Z147" s="81">
        <f>W146*12</f>
        <v>796345.18800000008</v>
      </c>
      <c r="AA147" s="80">
        <f>Z147/12/29.33*56</f>
        <v>126705.67828162294</v>
      </c>
      <c r="AB147" s="80">
        <f>Z147*1.25</f>
        <v>995431.4850000001</v>
      </c>
      <c r="AC147" s="80">
        <f>AB147/12/29.33*56</f>
        <v>158382.09785202867</v>
      </c>
      <c r="AD147" s="986"/>
      <c r="AE147" s="986"/>
      <c r="AF147" s="986"/>
      <c r="AG147" s="986"/>
      <c r="AH147" s="986"/>
      <c r="AI147" s="986"/>
      <c r="AJ147" s="986"/>
      <c r="AK147" s="986"/>
      <c r="AL147" s="986"/>
      <c r="AM147" s="986"/>
      <c r="AN147" s="986"/>
      <c r="AO147" s="986"/>
      <c r="AP147" s="986"/>
      <c r="AQ147" s="986"/>
      <c r="AR147" s="986"/>
    </row>
    <row r="148" spans="1:44" s="1278" customFormat="1" ht="15.75">
      <c r="A148" s="646" t="s">
        <v>355</v>
      </c>
      <c r="B148" s="647" t="s">
        <v>356</v>
      </c>
      <c r="C148" s="663" t="s">
        <v>75</v>
      </c>
      <c r="D148" s="646"/>
      <c r="E148" s="646"/>
      <c r="F148" s="628">
        <v>1</v>
      </c>
      <c r="G148" s="714"/>
      <c r="H148" s="715"/>
      <c r="I148" s="628">
        <v>1</v>
      </c>
      <c r="J148" s="715">
        <v>17697</v>
      </c>
      <c r="K148" s="715"/>
      <c r="L148" s="554">
        <v>1</v>
      </c>
      <c r="M148" s="554"/>
      <c r="N148" s="554">
        <v>2.77</v>
      </c>
      <c r="O148" s="567">
        <f>J148*N148*L148</f>
        <v>49020.69</v>
      </c>
      <c r="P148" s="556"/>
      <c r="Q148" s="552">
        <f>J148*O149*M148</f>
        <v>0</v>
      </c>
      <c r="R148" s="554"/>
      <c r="S148" s="708">
        <v>0.1</v>
      </c>
      <c r="T148" s="552">
        <f>S148*O148</f>
        <v>4902.0690000000004</v>
      </c>
      <c r="U148" s="567">
        <v>0</v>
      </c>
      <c r="V148" s="567">
        <v>0</v>
      </c>
      <c r="W148" s="559">
        <f>O148+T148+V148</f>
        <v>53922.759000000005</v>
      </c>
      <c r="X148" s="1276">
        <f>Q147+U147+W147</f>
        <v>122579.62656250002</v>
      </c>
      <c r="Y148" s="1276">
        <f>R147+V147+X148</f>
        <v>144866.78593750001</v>
      </c>
      <c r="Z148" s="1277">
        <f>W147*12</f>
        <v>1470952.5187500003</v>
      </c>
      <c r="AA148" s="1458">
        <f>Z148/12/29.33*24</f>
        <v>100303.61532560521</v>
      </c>
      <c r="AB148" s="1277"/>
      <c r="AC148" s="1277"/>
      <c r="AD148" s="1482"/>
      <c r="AE148" s="1483"/>
      <c r="AF148" s="1277"/>
    </row>
    <row r="149" spans="1:44" s="1278" customFormat="1" ht="15.75">
      <c r="A149" s="646" t="s">
        <v>382</v>
      </c>
      <c r="B149" s="647" t="s">
        <v>338</v>
      </c>
      <c r="C149" s="560" t="s">
        <v>64</v>
      </c>
      <c r="D149" s="646"/>
      <c r="E149" s="646"/>
      <c r="F149" s="628">
        <v>0.5</v>
      </c>
      <c r="G149" s="714"/>
      <c r="H149" s="715"/>
      <c r="I149" s="628">
        <v>2</v>
      </c>
      <c r="J149" s="715">
        <v>17697</v>
      </c>
      <c r="K149" s="715"/>
      <c r="L149" s="554">
        <v>0.5</v>
      </c>
      <c r="M149" s="554"/>
      <c r="N149" s="554">
        <v>2.81</v>
      </c>
      <c r="O149" s="567">
        <f>J149*N149*L149</f>
        <v>24864.285</v>
      </c>
      <c r="P149" s="556"/>
      <c r="Q149" s="552">
        <f>J149*O151*M149</f>
        <v>0</v>
      </c>
      <c r="R149" s="554"/>
      <c r="S149" s="708">
        <v>0.1</v>
      </c>
      <c r="T149" s="552">
        <f>S149*O149</f>
        <v>2486.4285</v>
      </c>
      <c r="U149" s="554"/>
      <c r="V149" s="554"/>
      <c r="W149" s="559">
        <f>O149+T149+V149</f>
        <v>27350.713499999998</v>
      </c>
      <c r="X149" s="1276">
        <f>Q148+U148+W148</f>
        <v>53922.759000000005</v>
      </c>
      <c r="Y149" s="1276">
        <f>R148+V148+X149</f>
        <v>53922.759000000005</v>
      </c>
      <c r="Z149" s="1277">
        <f>W148*12</f>
        <v>647073.10800000001</v>
      </c>
      <c r="AA149" s="1458">
        <f>Z149/12/29.33*24</f>
        <v>44123.635049437435</v>
      </c>
      <c r="AB149" s="1469"/>
      <c r="AC149" s="1469"/>
      <c r="AD149" s="1469"/>
      <c r="AE149" s="1469"/>
      <c r="AF149" s="1469"/>
      <c r="AG149" s="1469"/>
      <c r="AH149" s="1469"/>
      <c r="AI149" s="1469"/>
      <c r="AJ149" s="1469"/>
      <c r="AK149" s="1469"/>
      <c r="AL149" s="1469"/>
      <c r="AM149" s="1469"/>
      <c r="AN149" s="1469"/>
      <c r="AO149" s="1469"/>
      <c r="AP149" s="1469"/>
      <c r="AQ149" s="1469"/>
      <c r="AR149" s="1469"/>
    </row>
    <row r="150" spans="1:44" s="1278" customFormat="1" ht="15.75">
      <c r="A150" s="646" t="s">
        <v>507</v>
      </c>
      <c r="B150" s="647" t="s">
        <v>340</v>
      </c>
      <c r="C150" s="560" t="s">
        <v>64</v>
      </c>
      <c r="D150" s="646"/>
      <c r="E150" s="628"/>
      <c r="F150" s="712" t="s">
        <v>563</v>
      </c>
      <c r="G150" s="714"/>
      <c r="H150" s="715"/>
      <c r="I150" s="563">
        <v>2</v>
      </c>
      <c r="J150" s="715">
        <v>17697</v>
      </c>
      <c r="K150" s="715"/>
      <c r="L150" s="554">
        <v>1.3</v>
      </c>
      <c r="M150" s="554"/>
      <c r="N150" s="554">
        <v>2.81</v>
      </c>
      <c r="O150" s="567">
        <f>J150*N150*L150</f>
        <v>64647.141000000003</v>
      </c>
      <c r="P150" s="556"/>
      <c r="Q150" s="552">
        <f>J150*O151*M150</f>
        <v>0</v>
      </c>
      <c r="R150" s="554"/>
      <c r="S150" s="708">
        <v>0.1</v>
      </c>
      <c r="T150" s="552">
        <f>S150*O150</f>
        <v>6464.7141000000011</v>
      </c>
      <c r="U150" s="569">
        <v>0.3</v>
      </c>
      <c r="V150" s="554">
        <f>U150*J150/1*1.3</f>
        <v>6901.83</v>
      </c>
      <c r="W150" s="559">
        <f>O150+T150+V150</f>
        <v>78013.685100000002</v>
      </c>
      <c r="X150" s="1276">
        <f>Q149+U149+W149</f>
        <v>27350.713499999998</v>
      </c>
      <c r="Y150" s="1276">
        <f>R149+V149+X150</f>
        <v>27350.713499999998</v>
      </c>
      <c r="Z150" s="1277">
        <f>W149*12</f>
        <v>328208.56199999998</v>
      </c>
      <c r="AA150" s="1458">
        <f>Z150/12/29.33*24</f>
        <v>22380.399727241733</v>
      </c>
    </row>
    <row r="151" spans="1:44" s="1278" customFormat="1" ht="15.75">
      <c r="A151" s="153" t="s">
        <v>812</v>
      </c>
      <c r="B151" s="561" t="s">
        <v>99</v>
      </c>
      <c r="C151" s="563" t="s">
        <v>25</v>
      </c>
      <c r="D151" s="210" t="s">
        <v>813</v>
      </c>
      <c r="E151" s="562" t="s">
        <v>34</v>
      </c>
      <c r="F151" s="560">
        <v>1</v>
      </c>
      <c r="G151" s="563" t="s">
        <v>102</v>
      </c>
      <c r="H151" s="563" t="s">
        <v>103</v>
      </c>
      <c r="I151" s="581">
        <v>2</v>
      </c>
      <c r="J151" s="554">
        <v>17697</v>
      </c>
      <c r="K151" s="565">
        <v>14</v>
      </c>
      <c r="L151" s="554">
        <f>K151/18</f>
        <v>0.77777777777777779</v>
      </c>
      <c r="M151" s="574" t="s">
        <v>112</v>
      </c>
      <c r="N151" s="1014">
        <v>3.41</v>
      </c>
      <c r="O151" s="567">
        <f>N151*J151/18*K151</f>
        <v>46936.376666666663</v>
      </c>
      <c r="P151" s="556">
        <f>O151*25%</f>
        <v>11734.094166666666</v>
      </c>
      <c r="Q151" s="557"/>
      <c r="R151" s="554"/>
      <c r="S151" s="1756">
        <v>0.1</v>
      </c>
      <c r="T151" s="556">
        <f>(O151+P151)*S151</f>
        <v>5867.0470833333329</v>
      </c>
      <c r="U151" s="569"/>
      <c r="V151" s="554"/>
      <c r="W151" s="559">
        <f>O151+P151+T151</f>
        <v>64537.517916666657</v>
      </c>
      <c r="X151" s="44"/>
      <c r="Y151" s="44"/>
      <c r="Z151" s="23">
        <f>W151*12</f>
        <v>774450.21499999985</v>
      </c>
      <c r="AA151" s="24">
        <f>Z151/12/29.33*56</f>
        <v>123221.99124900556</v>
      </c>
      <c r="AB151" s="24">
        <f>Z151*1.25</f>
        <v>968062.76874999981</v>
      </c>
      <c r="AC151" s="24">
        <f>AB151/12/29.33*56</f>
        <v>154027.48906125696</v>
      </c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</row>
    <row r="152" spans="1:44" s="1278" customFormat="1" ht="15.75">
      <c r="A152" s="153" t="s">
        <v>202</v>
      </c>
      <c r="B152" s="561" t="s">
        <v>99</v>
      </c>
      <c r="C152" s="563" t="s">
        <v>75</v>
      </c>
      <c r="D152" s="210" t="s">
        <v>720</v>
      </c>
      <c r="E152" s="562" t="s">
        <v>66</v>
      </c>
      <c r="F152" s="560">
        <v>1</v>
      </c>
      <c r="G152" s="563" t="s">
        <v>102</v>
      </c>
      <c r="H152" s="563" t="s">
        <v>103</v>
      </c>
      <c r="I152" s="581">
        <v>2</v>
      </c>
      <c r="J152" s="554">
        <v>17697</v>
      </c>
      <c r="K152" s="565">
        <v>31</v>
      </c>
      <c r="L152" s="554">
        <f>K152/18</f>
        <v>1.7222222222222223</v>
      </c>
      <c r="M152" s="574" t="s">
        <v>104</v>
      </c>
      <c r="N152" s="1014">
        <v>4.51</v>
      </c>
      <c r="O152" s="567">
        <f>N152*J152/18*K152</f>
        <v>137456.53166666668</v>
      </c>
      <c r="P152" s="556">
        <f>O152*25%</f>
        <v>34364.132916666669</v>
      </c>
      <c r="Q152" s="557"/>
      <c r="R152" s="554"/>
      <c r="S152" s="1756">
        <v>0.1</v>
      </c>
      <c r="T152" s="556">
        <f>(O152+P152)*S152</f>
        <v>17182.066458333338</v>
      </c>
      <c r="U152" s="569"/>
      <c r="V152" s="554"/>
      <c r="W152" s="559">
        <f>O152+P152+T152</f>
        <v>189002.7310416667</v>
      </c>
      <c r="X152" s="44"/>
      <c r="Y152" s="44"/>
      <c r="Z152" s="23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</row>
    <row r="153" spans="1:44" s="1469" customFormat="1" ht="15.75">
      <c r="A153" s="13" t="s">
        <v>70</v>
      </c>
      <c r="B153" s="13" t="s">
        <v>71</v>
      </c>
      <c r="C153" s="5" t="s">
        <v>25</v>
      </c>
      <c r="D153" s="536" t="s">
        <v>731</v>
      </c>
      <c r="E153" s="5" t="s">
        <v>239</v>
      </c>
      <c r="F153" s="5">
        <v>1</v>
      </c>
      <c r="G153" s="738" t="s">
        <v>56</v>
      </c>
      <c r="H153" s="738" t="s">
        <v>56</v>
      </c>
      <c r="I153" s="738">
        <v>2</v>
      </c>
      <c r="J153" s="15">
        <v>17697</v>
      </c>
      <c r="K153" s="15"/>
      <c r="L153" s="10">
        <v>0.5</v>
      </c>
      <c r="M153" s="21"/>
      <c r="N153" s="10">
        <v>4.46</v>
      </c>
      <c r="O153" s="18">
        <f>N153*J153*L153</f>
        <v>39464.31</v>
      </c>
      <c r="P153" s="42"/>
      <c r="Q153" s="68"/>
      <c r="R153" s="7"/>
      <c r="S153" s="1755">
        <v>0.1</v>
      </c>
      <c r="T153" s="44">
        <f>(O153+P153+R153)*S153</f>
        <v>3946.431</v>
      </c>
      <c r="U153" s="9">
        <v>0.2</v>
      </c>
      <c r="V153" s="7">
        <f>U153*J153*50%</f>
        <v>1769.7</v>
      </c>
      <c r="W153" s="70">
        <f>O153+R153+T153+V153+P153</f>
        <v>45180.440999999992</v>
      </c>
      <c r="X153" s="1762">
        <f>Q153+S153+U153+W153</f>
        <v>45180.740999999995</v>
      </c>
      <c r="Y153" s="1762">
        <f>R153+T153+V153+X153</f>
        <v>50896.871999999996</v>
      </c>
      <c r="Z153" s="1264">
        <f>W153*12</f>
        <v>542165.2919999999</v>
      </c>
      <c r="AA153" s="1382">
        <f>Z153/12/29.33*30</f>
        <v>46212.520627344013</v>
      </c>
      <c r="AB153" s="1396"/>
      <c r="AC153" s="1396"/>
      <c r="AD153" s="1396"/>
      <c r="AE153" s="1396"/>
      <c r="AF153" s="1396"/>
      <c r="AG153" s="1396"/>
      <c r="AH153" s="1396"/>
      <c r="AI153" s="1396"/>
      <c r="AJ153" s="1396"/>
      <c r="AK153" s="1396"/>
      <c r="AL153" s="1396"/>
      <c r="AM153" s="1396"/>
      <c r="AN153" s="1396"/>
      <c r="AO153" s="1396"/>
      <c r="AP153" s="1396"/>
      <c r="AQ153" s="1396"/>
      <c r="AR153" s="1396"/>
    </row>
    <row r="154" spans="1:44" s="84" customFormat="1" ht="22.5" customHeight="1">
      <c r="A154" s="1"/>
      <c r="B154" s="1577"/>
      <c r="C154" s="1"/>
      <c r="D154" s="1"/>
      <c r="E154" s="1"/>
      <c r="F154" s="1"/>
      <c r="G154" s="1"/>
      <c r="H154" s="1"/>
      <c r="I154" s="1"/>
      <c r="X154" s="141" t="e">
        <f>SUM(X2:X153)</f>
        <v>#REF!</v>
      </c>
      <c r="Y154" s="141">
        <f>SUM(Y2:Y153)</f>
        <v>3765976.4696562495</v>
      </c>
      <c r="Z154" s="262"/>
      <c r="AA154" s="1026" t="e">
        <f>SUM(AA2:AA153)</f>
        <v>#REF!</v>
      </c>
      <c r="AB154" s="262"/>
      <c r="AC154" s="262">
        <f>SUM(AC22:AC153)</f>
        <v>19258121.493784808</v>
      </c>
      <c r="AD154" s="262"/>
      <c r="AE154" s="262"/>
      <c r="AF154" s="262"/>
      <c r="AG154" s="262"/>
      <c r="AH154" s="262"/>
      <c r="AI154" s="262"/>
      <c r="AJ154" s="939"/>
      <c r="AK154" s="939"/>
      <c r="AL154" s="262"/>
      <c r="AM154" s="262"/>
      <c r="AN154" s="262"/>
      <c r="AO154" s="262"/>
      <c r="AP154" s="262"/>
      <c r="AQ154" s="262"/>
    </row>
    <row r="155" spans="1:44" s="24" customFormat="1">
      <c r="A155" s="1"/>
      <c r="B155" s="1577"/>
      <c r="C155" s="1"/>
      <c r="D155" s="1"/>
      <c r="E155" s="1"/>
      <c r="F155" s="1"/>
      <c r="G155" s="1"/>
      <c r="H155" s="1"/>
      <c r="I155" s="1"/>
      <c r="J155" s="1"/>
      <c r="K155" s="3"/>
      <c r="L155" s="3"/>
      <c r="M155" s="1577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</sheetData>
  <sortState ref="A2:AR153">
    <sortCondition ref="A2"/>
  </sortState>
  <pageMargins left="0" right="0" top="0.62992125984251968" bottom="0" header="0.43307086614173229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rgb="FFFF0000"/>
  </sheetPr>
  <dimension ref="A1:AC58"/>
  <sheetViews>
    <sheetView view="pageBreakPreview" topLeftCell="A10" zoomScaleNormal="100" zoomScaleSheetLayoutView="100" workbookViewId="0">
      <selection activeCell="L14" sqref="L14:M14"/>
    </sheetView>
  </sheetViews>
  <sheetFormatPr defaultRowHeight="12.75"/>
  <cols>
    <col min="1" max="1" width="5" style="745" customWidth="1"/>
    <col min="2" max="2" width="29.85546875" style="749" customWidth="1"/>
    <col min="3" max="3" width="6" style="749" customWidth="1"/>
    <col min="4" max="4" width="5.7109375" style="749" customWidth="1"/>
    <col min="5" max="5" width="5.85546875" style="745" customWidth="1"/>
    <col min="6" max="6" width="12.42578125" style="807" customWidth="1"/>
    <col min="7" max="7" width="6.140625" style="807" customWidth="1"/>
    <col min="8" max="8" width="9.42578125" style="807" customWidth="1"/>
    <col min="9" max="9" width="12.5703125" style="807" customWidth="1"/>
    <col min="10" max="10" width="6.28515625" style="807" customWidth="1"/>
    <col min="11" max="11" width="13.7109375" style="807" customWidth="1"/>
    <col min="12" max="12" width="6.85546875" style="807" customWidth="1"/>
    <col min="13" max="13" width="12.140625" style="807" customWidth="1"/>
    <col min="14" max="14" width="5.7109375" style="807" customWidth="1"/>
    <col min="15" max="15" width="11.140625" style="807" customWidth="1"/>
    <col min="16" max="16" width="15.42578125" style="807" customWidth="1"/>
    <col min="17" max="17" width="16.28515625" style="745" customWidth="1"/>
    <col min="18" max="18" width="13.42578125" style="745" customWidth="1"/>
    <col min="19" max="19" width="15" style="745" customWidth="1"/>
    <col min="20" max="20" width="25.28515625" style="745" customWidth="1"/>
    <col min="21" max="21" width="25.7109375" style="745" customWidth="1"/>
    <col min="22" max="256" width="9.140625" style="745"/>
    <col min="257" max="257" width="5" style="745" customWidth="1"/>
    <col min="258" max="258" width="29.85546875" style="745" customWidth="1"/>
    <col min="259" max="259" width="6" style="745" customWidth="1"/>
    <col min="260" max="260" width="5.7109375" style="745" customWidth="1"/>
    <col min="261" max="261" width="5.85546875" style="745" customWidth="1"/>
    <col min="262" max="262" width="12.42578125" style="745" customWidth="1"/>
    <col min="263" max="263" width="6.140625" style="745" customWidth="1"/>
    <col min="264" max="264" width="9.42578125" style="745" customWidth="1"/>
    <col min="265" max="265" width="12.5703125" style="745" customWidth="1"/>
    <col min="266" max="266" width="6.28515625" style="745" customWidth="1"/>
    <col min="267" max="267" width="11.42578125" style="745" customWidth="1"/>
    <col min="268" max="268" width="6.85546875" style="745" customWidth="1"/>
    <col min="269" max="269" width="12.140625" style="745" customWidth="1"/>
    <col min="270" max="270" width="5.7109375" style="745" customWidth="1"/>
    <col min="271" max="271" width="11.140625" style="745" customWidth="1"/>
    <col min="272" max="272" width="15.42578125" style="745" customWidth="1"/>
    <col min="273" max="273" width="14.7109375" style="745" customWidth="1"/>
    <col min="274" max="274" width="13.42578125" style="745" customWidth="1"/>
    <col min="275" max="275" width="15" style="745" customWidth="1"/>
    <col min="276" max="276" width="25.28515625" style="745" customWidth="1"/>
    <col min="277" max="277" width="25.7109375" style="745" customWidth="1"/>
    <col min="278" max="512" width="9.140625" style="745"/>
    <col min="513" max="513" width="5" style="745" customWidth="1"/>
    <col min="514" max="514" width="29.85546875" style="745" customWidth="1"/>
    <col min="515" max="515" width="6" style="745" customWidth="1"/>
    <col min="516" max="516" width="5.7109375" style="745" customWidth="1"/>
    <col min="517" max="517" width="5.85546875" style="745" customWidth="1"/>
    <col min="518" max="518" width="12.42578125" style="745" customWidth="1"/>
    <col min="519" max="519" width="6.140625" style="745" customWidth="1"/>
    <col min="520" max="520" width="9.42578125" style="745" customWidth="1"/>
    <col min="521" max="521" width="12.5703125" style="745" customWidth="1"/>
    <col min="522" max="522" width="6.28515625" style="745" customWidth="1"/>
    <col min="523" max="523" width="11.42578125" style="745" customWidth="1"/>
    <col min="524" max="524" width="6.85546875" style="745" customWidth="1"/>
    <col min="525" max="525" width="12.140625" style="745" customWidth="1"/>
    <col min="526" max="526" width="5.7109375" style="745" customWidth="1"/>
    <col min="527" max="527" width="11.140625" style="745" customWidth="1"/>
    <col min="528" max="528" width="15.42578125" style="745" customWidth="1"/>
    <col min="529" max="529" width="14.7109375" style="745" customWidth="1"/>
    <col min="530" max="530" width="13.42578125" style="745" customWidth="1"/>
    <col min="531" max="531" width="15" style="745" customWidth="1"/>
    <col min="532" max="532" width="25.28515625" style="745" customWidth="1"/>
    <col min="533" max="533" width="25.7109375" style="745" customWidth="1"/>
    <col min="534" max="768" width="9.140625" style="745"/>
    <col min="769" max="769" width="5" style="745" customWidth="1"/>
    <col min="770" max="770" width="29.85546875" style="745" customWidth="1"/>
    <col min="771" max="771" width="6" style="745" customWidth="1"/>
    <col min="772" max="772" width="5.7109375" style="745" customWidth="1"/>
    <col min="773" max="773" width="5.85546875" style="745" customWidth="1"/>
    <col min="774" max="774" width="12.42578125" style="745" customWidth="1"/>
    <col min="775" max="775" width="6.140625" style="745" customWidth="1"/>
    <col min="776" max="776" width="9.42578125" style="745" customWidth="1"/>
    <col min="777" max="777" width="12.5703125" style="745" customWidth="1"/>
    <col min="778" max="778" width="6.28515625" style="745" customWidth="1"/>
    <col min="779" max="779" width="11.42578125" style="745" customWidth="1"/>
    <col min="780" max="780" width="6.85546875" style="745" customWidth="1"/>
    <col min="781" max="781" width="12.140625" style="745" customWidth="1"/>
    <col min="782" max="782" width="5.7109375" style="745" customWidth="1"/>
    <col min="783" max="783" width="11.140625" style="745" customWidth="1"/>
    <col min="784" max="784" width="15.42578125" style="745" customWidth="1"/>
    <col min="785" max="785" width="14.7109375" style="745" customWidth="1"/>
    <col min="786" max="786" width="13.42578125" style="745" customWidth="1"/>
    <col min="787" max="787" width="15" style="745" customWidth="1"/>
    <col min="788" max="788" width="25.28515625" style="745" customWidth="1"/>
    <col min="789" max="789" width="25.7109375" style="745" customWidth="1"/>
    <col min="790" max="1024" width="9.140625" style="745"/>
    <col min="1025" max="1025" width="5" style="745" customWidth="1"/>
    <col min="1026" max="1026" width="29.85546875" style="745" customWidth="1"/>
    <col min="1027" max="1027" width="6" style="745" customWidth="1"/>
    <col min="1028" max="1028" width="5.7109375" style="745" customWidth="1"/>
    <col min="1029" max="1029" width="5.85546875" style="745" customWidth="1"/>
    <col min="1030" max="1030" width="12.42578125" style="745" customWidth="1"/>
    <col min="1031" max="1031" width="6.140625" style="745" customWidth="1"/>
    <col min="1032" max="1032" width="9.42578125" style="745" customWidth="1"/>
    <col min="1033" max="1033" width="12.5703125" style="745" customWidth="1"/>
    <col min="1034" max="1034" width="6.28515625" style="745" customWidth="1"/>
    <col min="1035" max="1035" width="11.42578125" style="745" customWidth="1"/>
    <col min="1036" max="1036" width="6.85546875" style="745" customWidth="1"/>
    <col min="1037" max="1037" width="12.140625" style="745" customWidth="1"/>
    <col min="1038" max="1038" width="5.7109375" style="745" customWidth="1"/>
    <col min="1039" max="1039" width="11.140625" style="745" customWidth="1"/>
    <col min="1040" max="1040" width="15.42578125" style="745" customWidth="1"/>
    <col min="1041" max="1041" width="14.7109375" style="745" customWidth="1"/>
    <col min="1042" max="1042" width="13.42578125" style="745" customWidth="1"/>
    <col min="1043" max="1043" width="15" style="745" customWidth="1"/>
    <col min="1044" max="1044" width="25.28515625" style="745" customWidth="1"/>
    <col min="1045" max="1045" width="25.7109375" style="745" customWidth="1"/>
    <col min="1046" max="1280" width="9.140625" style="745"/>
    <col min="1281" max="1281" width="5" style="745" customWidth="1"/>
    <col min="1282" max="1282" width="29.85546875" style="745" customWidth="1"/>
    <col min="1283" max="1283" width="6" style="745" customWidth="1"/>
    <col min="1284" max="1284" width="5.7109375" style="745" customWidth="1"/>
    <col min="1285" max="1285" width="5.85546875" style="745" customWidth="1"/>
    <col min="1286" max="1286" width="12.42578125" style="745" customWidth="1"/>
    <col min="1287" max="1287" width="6.140625" style="745" customWidth="1"/>
    <col min="1288" max="1288" width="9.42578125" style="745" customWidth="1"/>
    <col min="1289" max="1289" width="12.5703125" style="745" customWidth="1"/>
    <col min="1290" max="1290" width="6.28515625" style="745" customWidth="1"/>
    <col min="1291" max="1291" width="11.42578125" style="745" customWidth="1"/>
    <col min="1292" max="1292" width="6.85546875" style="745" customWidth="1"/>
    <col min="1293" max="1293" width="12.140625" style="745" customWidth="1"/>
    <col min="1294" max="1294" width="5.7109375" style="745" customWidth="1"/>
    <col min="1295" max="1295" width="11.140625" style="745" customWidth="1"/>
    <col min="1296" max="1296" width="15.42578125" style="745" customWidth="1"/>
    <col min="1297" max="1297" width="14.7109375" style="745" customWidth="1"/>
    <col min="1298" max="1298" width="13.42578125" style="745" customWidth="1"/>
    <col min="1299" max="1299" width="15" style="745" customWidth="1"/>
    <col min="1300" max="1300" width="25.28515625" style="745" customWidth="1"/>
    <col min="1301" max="1301" width="25.7109375" style="745" customWidth="1"/>
    <col min="1302" max="1536" width="9.140625" style="745"/>
    <col min="1537" max="1537" width="5" style="745" customWidth="1"/>
    <col min="1538" max="1538" width="29.85546875" style="745" customWidth="1"/>
    <col min="1539" max="1539" width="6" style="745" customWidth="1"/>
    <col min="1540" max="1540" width="5.7109375" style="745" customWidth="1"/>
    <col min="1541" max="1541" width="5.85546875" style="745" customWidth="1"/>
    <col min="1542" max="1542" width="12.42578125" style="745" customWidth="1"/>
    <col min="1543" max="1543" width="6.140625" style="745" customWidth="1"/>
    <col min="1544" max="1544" width="9.42578125" style="745" customWidth="1"/>
    <col min="1545" max="1545" width="12.5703125" style="745" customWidth="1"/>
    <col min="1546" max="1546" width="6.28515625" style="745" customWidth="1"/>
    <col min="1547" max="1547" width="11.42578125" style="745" customWidth="1"/>
    <col min="1548" max="1548" width="6.85546875" style="745" customWidth="1"/>
    <col min="1549" max="1549" width="12.140625" style="745" customWidth="1"/>
    <col min="1550" max="1550" width="5.7109375" style="745" customWidth="1"/>
    <col min="1551" max="1551" width="11.140625" style="745" customWidth="1"/>
    <col min="1552" max="1552" width="15.42578125" style="745" customWidth="1"/>
    <col min="1553" max="1553" width="14.7109375" style="745" customWidth="1"/>
    <col min="1554" max="1554" width="13.42578125" style="745" customWidth="1"/>
    <col min="1555" max="1555" width="15" style="745" customWidth="1"/>
    <col min="1556" max="1556" width="25.28515625" style="745" customWidth="1"/>
    <col min="1557" max="1557" width="25.7109375" style="745" customWidth="1"/>
    <col min="1558" max="1792" width="9.140625" style="745"/>
    <col min="1793" max="1793" width="5" style="745" customWidth="1"/>
    <col min="1794" max="1794" width="29.85546875" style="745" customWidth="1"/>
    <col min="1795" max="1795" width="6" style="745" customWidth="1"/>
    <col min="1796" max="1796" width="5.7109375" style="745" customWidth="1"/>
    <col min="1797" max="1797" width="5.85546875" style="745" customWidth="1"/>
    <col min="1798" max="1798" width="12.42578125" style="745" customWidth="1"/>
    <col min="1799" max="1799" width="6.140625" style="745" customWidth="1"/>
    <col min="1800" max="1800" width="9.42578125" style="745" customWidth="1"/>
    <col min="1801" max="1801" width="12.5703125" style="745" customWidth="1"/>
    <col min="1802" max="1802" width="6.28515625" style="745" customWidth="1"/>
    <col min="1803" max="1803" width="11.42578125" style="745" customWidth="1"/>
    <col min="1804" max="1804" width="6.85546875" style="745" customWidth="1"/>
    <col min="1805" max="1805" width="12.140625" style="745" customWidth="1"/>
    <col min="1806" max="1806" width="5.7109375" style="745" customWidth="1"/>
    <col min="1807" max="1807" width="11.140625" style="745" customWidth="1"/>
    <col min="1808" max="1808" width="15.42578125" style="745" customWidth="1"/>
    <col min="1809" max="1809" width="14.7109375" style="745" customWidth="1"/>
    <col min="1810" max="1810" width="13.42578125" style="745" customWidth="1"/>
    <col min="1811" max="1811" width="15" style="745" customWidth="1"/>
    <col min="1812" max="1812" width="25.28515625" style="745" customWidth="1"/>
    <col min="1813" max="1813" width="25.7109375" style="745" customWidth="1"/>
    <col min="1814" max="2048" width="9.140625" style="745"/>
    <col min="2049" max="2049" width="5" style="745" customWidth="1"/>
    <col min="2050" max="2050" width="29.85546875" style="745" customWidth="1"/>
    <col min="2051" max="2051" width="6" style="745" customWidth="1"/>
    <col min="2052" max="2052" width="5.7109375" style="745" customWidth="1"/>
    <col min="2053" max="2053" width="5.85546875" style="745" customWidth="1"/>
    <col min="2054" max="2054" width="12.42578125" style="745" customWidth="1"/>
    <col min="2055" max="2055" width="6.140625" style="745" customWidth="1"/>
    <col min="2056" max="2056" width="9.42578125" style="745" customWidth="1"/>
    <col min="2057" max="2057" width="12.5703125" style="745" customWidth="1"/>
    <col min="2058" max="2058" width="6.28515625" style="745" customWidth="1"/>
    <col min="2059" max="2059" width="11.42578125" style="745" customWidth="1"/>
    <col min="2060" max="2060" width="6.85546875" style="745" customWidth="1"/>
    <col min="2061" max="2061" width="12.140625" style="745" customWidth="1"/>
    <col min="2062" max="2062" width="5.7109375" style="745" customWidth="1"/>
    <col min="2063" max="2063" width="11.140625" style="745" customWidth="1"/>
    <col min="2064" max="2064" width="15.42578125" style="745" customWidth="1"/>
    <col min="2065" max="2065" width="14.7109375" style="745" customWidth="1"/>
    <col min="2066" max="2066" width="13.42578125" style="745" customWidth="1"/>
    <col min="2067" max="2067" width="15" style="745" customWidth="1"/>
    <col min="2068" max="2068" width="25.28515625" style="745" customWidth="1"/>
    <col min="2069" max="2069" width="25.7109375" style="745" customWidth="1"/>
    <col min="2070" max="2304" width="9.140625" style="745"/>
    <col min="2305" max="2305" width="5" style="745" customWidth="1"/>
    <col min="2306" max="2306" width="29.85546875" style="745" customWidth="1"/>
    <col min="2307" max="2307" width="6" style="745" customWidth="1"/>
    <col min="2308" max="2308" width="5.7109375" style="745" customWidth="1"/>
    <col min="2309" max="2309" width="5.85546875" style="745" customWidth="1"/>
    <col min="2310" max="2310" width="12.42578125" style="745" customWidth="1"/>
    <col min="2311" max="2311" width="6.140625" style="745" customWidth="1"/>
    <col min="2312" max="2312" width="9.42578125" style="745" customWidth="1"/>
    <col min="2313" max="2313" width="12.5703125" style="745" customWidth="1"/>
    <col min="2314" max="2314" width="6.28515625" style="745" customWidth="1"/>
    <col min="2315" max="2315" width="11.42578125" style="745" customWidth="1"/>
    <col min="2316" max="2316" width="6.85546875" style="745" customWidth="1"/>
    <col min="2317" max="2317" width="12.140625" style="745" customWidth="1"/>
    <col min="2318" max="2318" width="5.7109375" style="745" customWidth="1"/>
    <col min="2319" max="2319" width="11.140625" style="745" customWidth="1"/>
    <col min="2320" max="2320" width="15.42578125" style="745" customWidth="1"/>
    <col min="2321" max="2321" width="14.7109375" style="745" customWidth="1"/>
    <col min="2322" max="2322" width="13.42578125" style="745" customWidth="1"/>
    <col min="2323" max="2323" width="15" style="745" customWidth="1"/>
    <col min="2324" max="2324" width="25.28515625" style="745" customWidth="1"/>
    <col min="2325" max="2325" width="25.7109375" style="745" customWidth="1"/>
    <col min="2326" max="2560" width="9.140625" style="745"/>
    <col min="2561" max="2561" width="5" style="745" customWidth="1"/>
    <col min="2562" max="2562" width="29.85546875" style="745" customWidth="1"/>
    <col min="2563" max="2563" width="6" style="745" customWidth="1"/>
    <col min="2564" max="2564" width="5.7109375" style="745" customWidth="1"/>
    <col min="2565" max="2565" width="5.85546875" style="745" customWidth="1"/>
    <col min="2566" max="2566" width="12.42578125" style="745" customWidth="1"/>
    <col min="2567" max="2567" width="6.140625" style="745" customWidth="1"/>
    <col min="2568" max="2568" width="9.42578125" style="745" customWidth="1"/>
    <col min="2569" max="2569" width="12.5703125" style="745" customWidth="1"/>
    <col min="2570" max="2570" width="6.28515625" style="745" customWidth="1"/>
    <col min="2571" max="2571" width="11.42578125" style="745" customWidth="1"/>
    <col min="2572" max="2572" width="6.85546875" style="745" customWidth="1"/>
    <col min="2573" max="2573" width="12.140625" style="745" customWidth="1"/>
    <col min="2574" max="2574" width="5.7109375" style="745" customWidth="1"/>
    <col min="2575" max="2575" width="11.140625" style="745" customWidth="1"/>
    <col min="2576" max="2576" width="15.42578125" style="745" customWidth="1"/>
    <col min="2577" max="2577" width="14.7109375" style="745" customWidth="1"/>
    <col min="2578" max="2578" width="13.42578125" style="745" customWidth="1"/>
    <col min="2579" max="2579" width="15" style="745" customWidth="1"/>
    <col min="2580" max="2580" width="25.28515625" style="745" customWidth="1"/>
    <col min="2581" max="2581" width="25.7109375" style="745" customWidth="1"/>
    <col min="2582" max="2816" width="9.140625" style="745"/>
    <col min="2817" max="2817" width="5" style="745" customWidth="1"/>
    <col min="2818" max="2818" width="29.85546875" style="745" customWidth="1"/>
    <col min="2819" max="2819" width="6" style="745" customWidth="1"/>
    <col min="2820" max="2820" width="5.7109375" style="745" customWidth="1"/>
    <col min="2821" max="2821" width="5.85546875" style="745" customWidth="1"/>
    <col min="2822" max="2822" width="12.42578125" style="745" customWidth="1"/>
    <col min="2823" max="2823" width="6.140625" style="745" customWidth="1"/>
    <col min="2824" max="2824" width="9.42578125" style="745" customWidth="1"/>
    <col min="2825" max="2825" width="12.5703125" style="745" customWidth="1"/>
    <col min="2826" max="2826" width="6.28515625" style="745" customWidth="1"/>
    <col min="2827" max="2827" width="11.42578125" style="745" customWidth="1"/>
    <col min="2828" max="2828" width="6.85546875" style="745" customWidth="1"/>
    <col min="2829" max="2829" width="12.140625" style="745" customWidth="1"/>
    <col min="2830" max="2830" width="5.7109375" style="745" customWidth="1"/>
    <col min="2831" max="2831" width="11.140625" style="745" customWidth="1"/>
    <col min="2832" max="2832" width="15.42578125" style="745" customWidth="1"/>
    <col min="2833" max="2833" width="14.7109375" style="745" customWidth="1"/>
    <col min="2834" max="2834" width="13.42578125" style="745" customWidth="1"/>
    <col min="2835" max="2835" width="15" style="745" customWidth="1"/>
    <col min="2836" max="2836" width="25.28515625" style="745" customWidth="1"/>
    <col min="2837" max="2837" width="25.7109375" style="745" customWidth="1"/>
    <col min="2838" max="3072" width="9.140625" style="745"/>
    <col min="3073" max="3073" width="5" style="745" customWidth="1"/>
    <col min="3074" max="3074" width="29.85546875" style="745" customWidth="1"/>
    <col min="3075" max="3075" width="6" style="745" customWidth="1"/>
    <col min="3076" max="3076" width="5.7109375" style="745" customWidth="1"/>
    <col min="3077" max="3077" width="5.85546875" style="745" customWidth="1"/>
    <col min="3078" max="3078" width="12.42578125" style="745" customWidth="1"/>
    <col min="3079" max="3079" width="6.140625" style="745" customWidth="1"/>
    <col min="3080" max="3080" width="9.42578125" style="745" customWidth="1"/>
    <col min="3081" max="3081" width="12.5703125" style="745" customWidth="1"/>
    <col min="3082" max="3082" width="6.28515625" style="745" customWidth="1"/>
    <col min="3083" max="3083" width="11.42578125" style="745" customWidth="1"/>
    <col min="3084" max="3084" width="6.85546875" style="745" customWidth="1"/>
    <col min="3085" max="3085" width="12.140625" style="745" customWidth="1"/>
    <col min="3086" max="3086" width="5.7109375" style="745" customWidth="1"/>
    <col min="3087" max="3087" width="11.140625" style="745" customWidth="1"/>
    <col min="3088" max="3088" width="15.42578125" style="745" customWidth="1"/>
    <col min="3089" max="3089" width="14.7109375" style="745" customWidth="1"/>
    <col min="3090" max="3090" width="13.42578125" style="745" customWidth="1"/>
    <col min="3091" max="3091" width="15" style="745" customWidth="1"/>
    <col min="3092" max="3092" width="25.28515625" style="745" customWidth="1"/>
    <col min="3093" max="3093" width="25.7109375" style="745" customWidth="1"/>
    <col min="3094" max="3328" width="9.140625" style="745"/>
    <col min="3329" max="3329" width="5" style="745" customWidth="1"/>
    <col min="3330" max="3330" width="29.85546875" style="745" customWidth="1"/>
    <col min="3331" max="3331" width="6" style="745" customWidth="1"/>
    <col min="3332" max="3332" width="5.7109375" style="745" customWidth="1"/>
    <col min="3333" max="3333" width="5.85546875" style="745" customWidth="1"/>
    <col min="3334" max="3334" width="12.42578125" style="745" customWidth="1"/>
    <col min="3335" max="3335" width="6.140625" style="745" customWidth="1"/>
    <col min="3336" max="3336" width="9.42578125" style="745" customWidth="1"/>
    <col min="3337" max="3337" width="12.5703125" style="745" customWidth="1"/>
    <col min="3338" max="3338" width="6.28515625" style="745" customWidth="1"/>
    <col min="3339" max="3339" width="11.42578125" style="745" customWidth="1"/>
    <col min="3340" max="3340" width="6.85546875" style="745" customWidth="1"/>
    <col min="3341" max="3341" width="12.140625" style="745" customWidth="1"/>
    <col min="3342" max="3342" width="5.7109375" style="745" customWidth="1"/>
    <col min="3343" max="3343" width="11.140625" style="745" customWidth="1"/>
    <col min="3344" max="3344" width="15.42578125" style="745" customWidth="1"/>
    <col min="3345" max="3345" width="14.7109375" style="745" customWidth="1"/>
    <col min="3346" max="3346" width="13.42578125" style="745" customWidth="1"/>
    <col min="3347" max="3347" width="15" style="745" customWidth="1"/>
    <col min="3348" max="3348" width="25.28515625" style="745" customWidth="1"/>
    <col min="3349" max="3349" width="25.7109375" style="745" customWidth="1"/>
    <col min="3350" max="3584" width="9.140625" style="745"/>
    <col min="3585" max="3585" width="5" style="745" customWidth="1"/>
    <col min="3586" max="3586" width="29.85546875" style="745" customWidth="1"/>
    <col min="3587" max="3587" width="6" style="745" customWidth="1"/>
    <col min="3588" max="3588" width="5.7109375" style="745" customWidth="1"/>
    <col min="3589" max="3589" width="5.85546875" style="745" customWidth="1"/>
    <col min="3590" max="3590" width="12.42578125" style="745" customWidth="1"/>
    <col min="3591" max="3591" width="6.140625" style="745" customWidth="1"/>
    <col min="3592" max="3592" width="9.42578125" style="745" customWidth="1"/>
    <col min="3593" max="3593" width="12.5703125" style="745" customWidth="1"/>
    <col min="3594" max="3594" width="6.28515625" style="745" customWidth="1"/>
    <col min="3595" max="3595" width="11.42578125" style="745" customWidth="1"/>
    <col min="3596" max="3596" width="6.85546875" style="745" customWidth="1"/>
    <col min="3597" max="3597" width="12.140625" style="745" customWidth="1"/>
    <col min="3598" max="3598" width="5.7109375" style="745" customWidth="1"/>
    <col min="3599" max="3599" width="11.140625" style="745" customWidth="1"/>
    <col min="3600" max="3600" width="15.42578125" style="745" customWidth="1"/>
    <col min="3601" max="3601" width="14.7109375" style="745" customWidth="1"/>
    <col min="3602" max="3602" width="13.42578125" style="745" customWidth="1"/>
    <col min="3603" max="3603" width="15" style="745" customWidth="1"/>
    <col min="3604" max="3604" width="25.28515625" style="745" customWidth="1"/>
    <col min="3605" max="3605" width="25.7109375" style="745" customWidth="1"/>
    <col min="3606" max="3840" width="9.140625" style="745"/>
    <col min="3841" max="3841" width="5" style="745" customWidth="1"/>
    <col min="3842" max="3842" width="29.85546875" style="745" customWidth="1"/>
    <col min="3843" max="3843" width="6" style="745" customWidth="1"/>
    <col min="3844" max="3844" width="5.7109375" style="745" customWidth="1"/>
    <col min="3845" max="3845" width="5.85546875" style="745" customWidth="1"/>
    <col min="3846" max="3846" width="12.42578125" style="745" customWidth="1"/>
    <col min="3847" max="3847" width="6.140625" style="745" customWidth="1"/>
    <col min="3848" max="3848" width="9.42578125" style="745" customWidth="1"/>
    <col min="3849" max="3849" width="12.5703125" style="745" customWidth="1"/>
    <col min="3850" max="3850" width="6.28515625" style="745" customWidth="1"/>
    <col min="3851" max="3851" width="11.42578125" style="745" customWidth="1"/>
    <col min="3852" max="3852" width="6.85546875" style="745" customWidth="1"/>
    <col min="3853" max="3853" width="12.140625" style="745" customWidth="1"/>
    <col min="3854" max="3854" width="5.7109375" style="745" customWidth="1"/>
    <col min="3855" max="3855" width="11.140625" style="745" customWidth="1"/>
    <col min="3856" max="3856" width="15.42578125" style="745" customWidth="1"/>
    <col min="3857" max="3857" width="14.7109375" style="745" customWidth="1"/>
    <col min="3858" max="3858" width="13.42578125" style="745" customWidth="1"/>
    <col min="3859" max="3859" width="15" style="745" customWidth="1"/>
    <col min="3860" max="3860" width="25.28515625" style="745" customWidth="1"/>
    <col min="3861" max="3861" width="25.7109375" style="745" customWidth="1"/>
    <col min="3862" max="4096" width="9.140625" style="745"/>
    <col min="4097" max="4097" width="5" style="745" customWidth="1"/>
    <col min="4098" max="4098" width="29.85546875" style="745" customWidth="1"/>
    <col min="4099" max="4099" width="6" style="745" customWidth="1"/>
    <col min="4100" max="4100" width="5.7109375" style="745" customWidth="1"/>
    <col min="4101" max="4101" width="5.85546875" style="745" customWidth="1"/>
    <col min="4102" max="4102" width="12.42578125" style="745" customWidth="1"/>
    <col min="4103" max="4103" width="6.140625" style="745" customWidth="1"/>
    <col min="4104" max="4104" width="9.42578125" style="745" customWidth="1"/>
    <col min="4105" max="4105" width="12.5703125" style="745" customWidth="1"/>
    <col min="4106" max="4106" width="6.28515625" style="745" customWidth="1"/>
    <col min="4107" max="4107" width="11.42578125" style="745" customWidth="1"/>
    <col min="4108" max="4108" width="6.85546875" style="745" customWidth="1"/>
    <col min="4109" max="4109" width="12.140625" style="745" customWidth="1"/>
    <col min="4110" max="4110" width="5.7109375" style="745" customWidth="1"/>
    <col min="4111" max="4111" width="11.140625" style="745" customWidth="1"/>
    <col min="4112" max="4112" width="15.42578125" style="745" customWidth="1"/>
    <col min="4113" max="4113" width="14.7109375" style="745" customWidth="1"/>
    <col min="4114" max="4114" width="13.42578125" style="745" customWidth="1"/>
    <col min="4115" max="4115" width="15" style="745" customWidth="1"/>
    <col min="4116" max="4116" width="25.28515625" style="745" customWidth="1"/>
    <col min="4117" max="4117" width="25.7109375" style="745" customWidth="1"/>
    <col min="4118" max="4352" width="9.140625" style="745"/>
    <col min="4353" max="4353" width="5" style="745" customWidth="1"/>
    <col min="4354" max="4354" width="29.85546875" style="745" customWidth="1"/>
    <col min="4355" max="4355" width="6" style="745" customWidth="1"/>
    <col min="4356" max="4356" width="5.7109375" style="745" customWidth="1"/>
    <col min="4357" max="4357" width="5.85546875" style="745" customWidth="1"/>
    <col min="4358" max="4358" width="12.42578125" style="745" customWidth="1"/>
    <col min="4359" max="4359" width="6.140625" style="745" customWidth="1"/>
    <col min="4360" max="4360" width="9.42578125" style="745" customWidth="1"/>
    <col min="4361" max="4361" width="12.5703125" style="745" customWidth="1"/>
    <col min="4362" max="4362" width="6.28515625" style="745" customWidth="1"/>
    <col min="4363" max="4363" width="11.42578125" style="745" customWidth="1"/>
    <col min="4364" max="4364" width="6.85546875" style="745" customWidth="1"/>
    <col min="4365" max="4365" width="12.140625" style="745" customWidth="1"/>
    <col min="4366" max="4366" width="5.7109375" style="745" customWidth="1"/>
    <col min="4367" max="4367" width="11.140625" style="745" customWidth="1"/>
    <col min="4368" max="4368" width="15.42578125" style="745" customWidth="1"/>
    <col min="4369" max="4369" width="14.7109375" style="745" customWidth="1"/>
    <col min="4370" max="4370" width="13.42578125" style="745" customWidth="1"/>
    <col min="4371" max="4371" width="15" style="745" customWidth="1"/>
    <col min="4372" max="4372" width="25.28515625" style="745" customWidth="1"/>
    <col min="4373" max="4373" width="25.7109375" style="745" customWidth="1"/>
    <col min="4374" max="4608" width="9.140625" style="745"/>
    <col min="4609" max="4609" width="5" style="745" customWidth="1"/>
    <col min="4610" max="4610" width="29.85546875" style="745" customWidth="1"/>
    <col min="4611" max="4611" width="6" style="745" customWidth="1"/>
    <col min="4612" max="4612" width="5.7109375" style="745" customWidth="1"/>
    <col min="4613" max="4613" width="5.85546875" style="745" customWidth="1"/>
    <col min="4614" max="4614" width="12.42578125" style="745" customWidth="1"/>
    <col min="4615" max="4615" width="6.140625" style="745" customWidth="1"/>
    <col min="4616" max="4616" width="9.42578125" style="745" customWidth="1"/>
    <col min="4617" max="4617" width="12.5703125" style="745" customWidth="1"/>
    <col min="4618" max="4618" width="6.28515625" style="745" customWidth="1"/>
    <col min="4619" max="4619" width="11.42578125" style="745" customWidth="1"/>
    <col min="4620" max="4620" width="6.85546875" style="745" customWidth="1"/>
    <col min="4621" max="4621" width="12.140625" style="745" customWidth="1"/>
    <col min="4622" max="4622" width="5.7109375" style="745" customWidth="1"/>
    <col min="4623" max="4623" width="11.140625" style="745" customWidth="1"/>
    <col min="4624" max="4624" width="15.42578125" style="745" customWidth="1"/>
    <col min="4625" max="4625" width="14.7109375" style="745" customWidth="1"/>
    <col min="4626" max="4626" width="13.42578125" style="745" customWidth="1"/>
    <col min="4627" max="4627" width="15" style="745" customWidth="1"/>
    <col min="4628" max="4628" width="25.28515625" style="745" customWidth="1"/>
    <col min="4629" max="4629" width="25.7109375" style="745" customWidth="1"/>
    <col min="4630" max="4864" width="9.140625" style="745"/>
    <col min="4865" max="4865" width="5" style="745" customWidth="1"/>
    <col min="4866" max="4866" width="29.85546875" style="745" customWidth="1"/>
    <col min="4867" max="4867" width="6" style="745" customWidth="1"/>
    <col min="4868" max="4868" width="5.7109375" style="745" customWidth="1"/>
    <col min="4869" max="4869" width="5.85546875" style="745" customWidth="1"/>
    <col min="4870" max="4870" width="12.42578125" style="745" customWidth="1"/>
    <col min="4871" max="4871" width="6.140625" style="745" customWidth="1"/>
    <col min="4872" max="4872" width="9.42578125" style="745" customWidth="1"/>
    <col min="4873" max="4873" width="12.5703125" style="745" customWidth="1"/>
    <col min="4874" max="4874" width="6.28515625" style="745" customWidth="1"/>
    <col min="4875" max="4875" width="11.42578125" style="745" customWidth="1"/>
    <col min="4876" max="4876" width="6.85546875" style="745" customWidth="1"/>
    <col min="4877" max="4877" width="12.140625" style="745" customWidth="1"/>
    <col min="4878" max="4878" width="5.7109375" style="745" customWidth="1"/>
    <col min="4879" max="4879" width="11.140625" style="745" customWidth="1"/>
    <col min="4880" max="4880" width="15.42578125" style="745" customWidth="1"/>
    <col min="4881" max="4881" width="14.7109375" style="745" customWidth="1"/>
    <col min="4882" max="4882" width="13.42578125" style="745" customWidth="1"/>
    <col min="4883" max="4883" width="15" style="745" customWidth="1"/>
    <col min="4884" max="4884" width="25.28515625" style="745" customWidth="1"/>
    <col min="4885" max="4885" width="25.7109375" style="745" customWidth="1"/>
    <col min="4886" max="5120" width="9.140625" style="745"/>
    <col min="5121" max="5121" width="5" style="745" customWidth="1"/>
    <col min="5122" max="5122" width="29.85546875" style="745" customWidth="1"/>
    <col min="5123" max="5123" width="6" style="745" customWidth="1"/>
    <col min="5124" max="5124" width="5.7109375" style="745" customWidth="1"/>
    <col min="5125" max="5125" width="5.85546875" style="745" customWidth="1"/>
    <col min="5126" max="5126" width="12.42578125" style="745" customWidth="1"/>
    <col min="5127" max="5127" width="6.140625" style="745" customWidth="1"/>
    <col min="5128" max="5128" width="9.42578125" style="745" customWidth="1"/>
    <col min="5129" max="5129" width="12.5703125" style="745" customWidth="1"/>
    <col min="5130" max="5130" width="6.28515625" style="745" customWidth="1"/>
    <col min="5131" max="5131" width="11.42578125" style="745" customWidth="1"/>
    <col min="5132" max="5132" width="6.85546875" style="745" customWidth="1"/>
    <col min="5133" max="5133" width="12.140625" style="745" customWidth="1"/>
    <col min="5134" max="5134" width="5.7109375" style="745" customWidth="1"/>
    <col min="5135" max="5135" width="11.140625" style="745" customWidth="1"/>
    <col min="5136" max="5136" width="15.42578125" style="745" customWidth="1"/>
    <col min="5137" max="5137" width="14.7109375" style="745" customWidth="1"/>
    <col min="5138" max="5138" width="13.42578125" style="745" customWidth="1"/>
    <col min="5139" max="5139" width="15" style="745" customWidth="1"/>
    <col min="5140" max="5140" width="25.28515625" style="745" customWidth="1"/>
    <col min="5141" max="5141" width="25.7109375" style="745" customWidth="1"/>
    <col min="5142" max="5376" width="9.140625" style="745"/>
    <col min="5377" max="5377" width="5" style="745" customWidth="1"/>
    <col min="5378" max="5378" width="29.85546875" style="745" customWidth="1"/>
    <col min="5379" max="5379" width="6" style="745" customWidth="1"/>
    <col min="5380" max="5380" width="5.7109375" style="745" customWidth="1"/>
    <col min="5381" max="5381" width="5.85546875" style="745" customWidth="1"/>
    <col min="5382" max="5382" width="12.42578125" style="745" customWidth="1"/>
    <col min="5383" max="5383" width="6.140625" style="745" customWidth="1"/>
    <col min="5384" max="5384" width="9.42578125" style="745" customWidth="1"/>
    <col min="5385" max="5385" width="12.5703125" style="745" customWidth="1"/>
    <col min="5386" max="5386" width="6.28515625" style="745" customWidth="1"/>
    <col min="5387" max="5387" width="11.42578125" style="745" customWidth="1"/>
    <col min="5388" max="5388" width="6.85546875" style="745" customWidth="1"/>
    <col min="5389" max="5389" width="12.140625" style="745" customWidth="1"/>
    <col min="5390" max="5390" width="5.7109375" style="745" customWidth="1"/>
    <col min="5391" max="5391" width="11.140625" style="745" customWidth="1"/>
    <col min="5392" max="5392" width="15.42578125" style="745" customWidth="1"/>
    <col min="5393" max="5393" width="14.7109375" style="745" customWidth="1"/>
    <col min="5394" max="5394" width="13.42578125" style="745" customWidth="1"/>
    <col min="5395" max="5395" width="15" style="745" customWidth="1"/>
    <col min="5396" max="5396" width="25.28515625" style="745" customWidth="1"/>
    <col min="5397" max="5397" width="25.7109375" style="745" customWidth="1"/>
    <col min="5398" max="5632" width="9.140625" style="745"/>
    <col min="5633" max="5633" width="5" style="745" customWidth="1"/>
    <col min="5634" max="5634" width="29.85546875" style="745" customWidth="1"/>
    <col min="5635" max="5635" width="6" style="745" customWidth="1"/>
    <col min="5636" max="5636" width="5.7109375" style="745" customWidth="1"/>
    <col min="5637" max="5637" width="5.85546875" style="745" customWidth="1"/>
    <col min="5638" max="5638" width="12.42578125" style="745" customWidth="1"/>
    <col min="5639" max="5639" width="6.140625" style="745" customWidth="1"/>
    <col min="5640" max="5640" width="9.42578125" style="745" customWidth="1"/>
    <col min="5641" max="5641" width="12.5703125" style="745" customWidth="1"/>
    <col min="5642" max="5642" width="6.28515625" style="745" customWidth="1"/>
    <col min="5643" max="5643" width="11.42578125" style="745" customWidth="1"/>
    <col min="5644" max="5644" width="6.85546875" style="745" customWidth="1"/>
    <col min="5645" max="5645" width="12.140625" style="745" customWidth="1"/>
    <col min="5646" max="5646" width="5.7109375" style="745" customWidth="1"/>
    <col min="5647" max="5647" width="11.140625" style="745" customWidth="1"/>
    <col min="5648" max="5648" width="15.42578125" style="745" customWidth="1"/>
    <col min="5649" max="5649" width="14.7109375" style="745" customWidth="1"/>
    <col min="5650" max="5650" width="13.42578125" style="745" customWidth="1"/>
    <col min="5651" max="5651" width="15" style="745" customWidth="1"/>
    <col min="5652" max="5652" width="25.28515625" style="745" customWidth="1"/>
    <col min="5653" max="5653" width="25.7109375" style="745" customWidth="1"/>
    <col min="5654" max="5888" width="9.140625" style="745"/>
    <col min="5889" max="5889" width="5" style="745" customWidth="1"/>
    <col min="5890" max="5890" width="29.85546875" style="745" customWidth="1"/>
    <col min="5891" max="5891" width="6" style="745" customWidth="1"/>
    <col min="5892" max="5892" width="5.7109375" style="745" customWidth="1"/>
    <col min="5893" max="5893" width="5.85546875" style="745" customWidth="1"/>
    <col min="5894" max="5894" width="12.42578125" style="745" customWidth="1"/>
    <col min="5895" max="5895" width="6.140625" style="745" customWidth="1"/>
    <col min="5896" max="5896" width="9.42578125" style="745" customWidth="1"/>
    <col min="5897" max="5897" width="12.5703125" style="745" customWidth="1"/>
    <col min="5898" max="5898" width="6.28515625" style="745" customWidth="1"/>
    <col min="5899" max="5899" width="11.42578125" style="745" customWidth="1"/>
    <col min="5900" max="5900" width="6.85546875" style="745" customWidth="1"/>
    <col min="5901" max="5901" width="12.140625" style="745" customWidth="1"/>
    <col min="5902" max="5902" width="5.7109375" style="745" customWidth="1"/>
    <col min="5903" max="5903" width="11.140625" style="745" customWidth="1"/>
    <col min="5904" max="5904" width="15.42578125" style="745" customWidth="1"/>
    <col min="5905" max="5905" width="14.7109375" style="745" customWidth="1"/>
    <col min="5906" max="5906" width="13.42578125" style="745" customWidth="1"/>
    <col min="5907" max="5907" width="15" style="745" customWidth="1"/>
    <col min="5908" max="5908" width="25.28515625" style="745" customWidth="1"/>
    <col min="5909" max="5909" width="25.7109375" style="745" customWidth="1"/>
    <col min="5910" max="6144" width="9.140625" style="745"/>
    <col min="6145" max="6145" width="5" style="745" customWidth="1"/>
    <col min="6146" max="6146" width="29.85546875" style="745" customWidth="1"/>
    <col min="6147" max="6147" width="6" style="745" customWidth="1"/>
    <col min="6148" max="6148" width="5.7109375" style="745" customWidth="1"/>
    <col min="6149" max="6149" width="5.85546875" style="745" customWidth="1"/>
    <col min="6150" max="6150" width="12.42578125" style="745" customWidth="1"/>
    <col min="6151" max="6151" width="6.140625" style="745" customWidth="1"/>
    <col min="6152" max="6152" width="9.42578125" style="745" customWidth="1"/>
    <col min="6153" max="6153" width="12.5703125" style="745" customWidth="1"/>
    <col min="6154" max="6154" width="6.28515625" style="745" customWidth="1"/>
    <col min="6155" max="6155" width="11.42578125" style="745" customWidth="1"/>
    <col min="6156" max="6156" width="6.85546875" style="745" customWidth="1"/>
    <col min="6157" max="6157" width="12.140625" style="745" customWidth="1"/>
    <col min="6158" max="6158" width="5.7109375" style="745" customWidth="1"/>
    <col min="6159" max="6159" width="11.140625" style="745" customWidth="1"/>
    <col min="6160" max="6160" width="15.42578125" style="745" customWidth="1"/>
    <col min="6161" max="6161" width="14.7109375" style="745" customWidth="1"/>
    <col min="6162" max="6162" width="13.42578125" style="745" customWidth="1"/>
    <col min="6163" max="6163" width="15" style="745" customWidth="1"/>
    <col min="6164" max="6164" width="25.28515625" style="745" customWidth="1"/>
    <col min="6165" max="6165" width="25.7109375" style="745" customWidth="1"/>
    <col min="6166" max="6400" width="9.140625" style="745"/>
    <col min="6401" max="6401" width="5" style="745" customWidth="1"/>
    <col min="6402" max="6402" width="29.85546875" style="745" customWidth="1"/>
    <col min="6403" max="6403" width="6" style="745" customWidth="1"/>
    <col min="6404" max="6404" width="5.7109375" style="745" customWidth="1"/>
    <col min="6405" max="6405" width="5.85546875" style="745" customWidth="1"/>
    <col min="6406" max="6406" width="12.42578125" style="745" customWidth="1"/>
    <col min="6407" max="6407" width="6.140625" style="745" customWidth="1"/>
    <col min="6408" max="6408" width="9.42578125" style="745" customWidth="1"/>
    <col min="6409" max="6409" width="12.5703125" style="745" customWidth="1"/>
    <col min="6410" max="6410" width="6.28515625" style="745" customWidth="1"/>
    <col min="6411" max="6411" width="11.42578125" style="745" customWidth="1"/>
    <col min="6412" max="6412" width="6.85546875" style="745" customWidth="1"/>
    <col min="6413" max="6413" width="12.140625" style="745" customWidth="1"/>
    <col min="6414" max="6414" width="5.7109375" style="745" customWidth="1"/>
    <col min="6415" max="6415" width="11.140625" style="745" customWidth="1"/>
    <col min="6416" max="6416" width="15.42578125" style="745" customWidth="1"/>
    <col min="6417" max="6417" width="14.7109375" style="745" customWidth="1"/>
    <col min="6418" max="6418" width="13.42578125" style="745" customWidth="1"/>
    <col min="6419" max="6419" width="15" style="745" customWidth="1"/>
    <col min="6420" max="6420" width="25.28515625" style="745" customWidth="1"/>
    <col min="6421" max="6421" width="25.7109375" style="745" customWidth="1"/>
    <col min="6422" max="6656" width="9.140625" style="745"/>
    <col min="6657" max="6657" width="5" style="745" customWidth="1"/>
    <col min="6658" max="6658" width="29.85546875" style="745" customWidth="1"/>
    <col min="6659" max="6659" width="6" style="745" customWidth="1"/>
    <col min="6660" max="6660" width="5.7109375" style="745" customWidth="1"/>
    <col min="6661" max="6661" width="5.85546875" style="745" customWidth="1"/>
    <col min="6662" max="6662" width="12.42578125" style="745" customWidth="1"/>
    <col min="6663" max="6663" width="6.140625" style="745" customWidth="1"/>
    <col min="6664" max="6664" width="9.42578125" style="745" customWidth="1"/>
    <col min="6665" max="6665" width="12.5703125" style="745" customWidth="1"/>
    <col min="6666" max="6666" width="6.28515625" style="745" customWidth="1"/>
    <col min="6667" max="6667" width="11.42578125" style="745" customWidth="1"/>
    <col min="6668" max="6668" width="6.85546875" style="745" customWidth="1"/>
    <col min="6669" max="6669" width="12.140625" style="745" customWidth="1"/>
    <col min="6670" max="6670" width="5.7109375" style="745" customWidth="1"/>
    <col min="6671" max="6671" width="11.140625" style="745" customWidth="1"/>
    <col min="6672" max="6672" width="15.42578125" style="745" customWidth="1"/>
    <col min="6673" max="6673" width="14.7109375" style="745" customWidth="1"/>
    <col min="6674" max="6674" width="13.42578125" style="745" customWidth="1"/>
    <col min="6675" max="6675" width="15" style="745" customWidth="1"/>
    <col min="6676" max="6676" width="25.28515625" style="745" customWidth="1"/>
    <col min="6677" max="6677" width="25.7109375" style="745" customWidth="1"/>
    <col min="6678" max="6912" width="9.140625" style="745"/>
    <col min="6913" max="6913" width="5" style="745" customWidth="1"/>
    <col min="6914" max="6914" width="29.85546875" style="745" customWidth="1"/>
    <col min="6915" max="6915" width="6" style="745" customWidth="1"/>
    <col min="6916" max="6916" width="5.7109375" style="745" customWidth="1"/>
    <col min="6917" max="6917" width="5.85546875" style="745" customWidth="1"/>
    <col min="6918" max="6918" width="12.42578125" style="745" customWidth="1"/>
    <col min="6919" max="6919" width="6.140625" style="745" customWidth="1"/>
    <col min="6920" max="6920" width="9.42578125" style="745" customWidth="1"/>
    <col min="6921" max="6921" width="12.5703125" style="745" customWidth="1"/>
    <col min="6922" max="6922" width="6.28515625" style="745" customWidth="1"/>
    <col min="6923" max="6923" width="11.42578125" style="745" customWidth="1"/>
    <col min="6924" max="6924" width="6.85546875" style="745" customWidth="1"/>
    <col min="6925" max="6925" width="12.140625" style="745" customWidth="1"/>
    <col min="6926" max="6926" width="5.7109375" style="745" customWidth="1"/>
    <col min="6927" max="6927" width="11.140625" style="745" customWidth="1"/>
    <col min="6928" max="6928" width="15.42578125" style="745" customWidth="1"/>
    <col min="6929" max="6929" width="14.7109375" style="745" customWidth="1"/>
    <col min="6930" max="6930" width="13.42578125" style="745" customWidth="1"/>
    <col min="6931" max="6931" width="15" style="745" customWidth="1"/>
    <col min="6932" max="6932" width="25.28515625" style="745" customWidth="1"/>
    <col min="6933" max="6933" width="25.7109375" style="745" customWidth="1"/>
    <col min="6934" max="7168" width="9.140625" style="745"/>
    <col min="7169" max="7169" width="5" style="745" customWidth="1"/>
    <col min="7170" max="7170" width="29.85546875" style="745" customWidth="1"/>
    <col min="7171" max="7171" width="6" style="745" customWidth="1"/>
    <col min="7172" max="7172" width="5.7109375" style="745" customWidth="1"/>
    <col min="7173" max="7173" width="5.85546875" style="745" customWidth="1"/>
    <col min="7174" max="7174" width="12.42578125" style="745" customWidth="1"/>
    <col min="7175" max="7175" width="6.140625" style="745" customWidth="1"/>
    <col min="7176" max="7176" width="9.42578125" style="745" customWidth="1"/>
    <col min="7177" max="7177" width="12.5703125" style="745" customWidth="1"/>
    <col min="7178" max="7178" width="6.28515625" style="745" customWidth="1"/>
    <col min="7179" max="7179" width="11.42578125" style="745" customWidth="1"/>
    <col min="7180" max="7180" width="6.85546875" style="745" customWidth="1"/>
    <col min="7181" max="7181" width="12.140625" style="745" customWidth="1"/>
    <col min="7182" max="7182" width="5.7109375" style="745" customWidth="1"/>
    <col min="7183" max="7183" width="11.140625" style="745" customWidth="1"/>
    <col min="7184" max="7184" width="15.42578125" style="745" customWidth="1"/>
    <col min="7185" max="7185" width="14.7109375" style="745" customWidth="1"/>
    <col min="7186" max="7186" width="13.42578125" style="745" customWidth="1"/>
    <col min="7187" max="7187" width="15" style="745" customWidth="1"/>
    <col min="7188" max="7188" width="25.28515625" style="745" customWidth="1"/>
    <col min="7189" max="7189" width="25.7109375" style="745" customWidth="1"/>
    <col min="7190" max="7424" width="9.140625" style="745"/>
    <col min="7425" max="7425" width="5" style="745" customWidth="1"/>
    <col min="7426" max="7426" width="29.85546875" style="745" customWidth="1"/>
    <col min="7427" max="7427" width="6" style="745" customWidth="1"/>
    <col min="7428" max="7428" width="5.7109375" style="745" customWidth="1"/>
    <col min="7429" max="7429" width="5.85546875" style="745" customWidth="1"/>
    <col min="7430" max="7430" width="12.42578125" style="745" customWidth="1"/>
    <col min="7431" max="7431" width="6.140625" style="745" customWidth="1"/>
    <col min="7432" max="7432" width="9.42578125" style="745" customWidth="1"/>
    <col min="7433" max="7433" width="12.5703125" style="745" customWidth="1"/>
    <col min="7434" max="7434" width="6.28515625" style="745" customWidth="1"/>
    <col min="7435" max="7435" width="11.42578125" style="745" customWidth="1"/>
    <col min="7436" max="7436" width="6.85546875" style="745" customWidth="1"/>
    <col min="7437" max="7437" width="12.140625" style="745" customWidth="1"/>
    <col min="7438" max="7438" width="5.7109375" style="745" customWidth="1"/>
    <col min="7439" max="7439" width="11.140625" style="745" customWidth="1"/>
    <col min="7440" max="7440" width="15.42578125" style="745" customWidth="1"/>
    <col min="7441" max="7441" width="14.7109375" style="745" customWidth="1"/>
    <col min="7442" max="7442" width="13.42578125" style="745" customWidth="1"/>
    <col min="7443" max="7443" width="15" style="745" customWidth="1"/>
    <col min="7444" max="7444" width="25.28515625" style="745" customWidth="1"/>
    <col min="7445" max="7445" width="25.7109375" style="745" customWidth="1"/>
    <col min="7446" max="7680" width="9.140625" style="745"/>
    <col min="7681" max="7681" width="5" style="745" customWidth="1"/>
    <col min="7682" max="7682" width="29.85546875" style="745" customWidth="1"/>
    <col min="7683" max="7683" width="6" style="745" customWidth="1"/>
    <col min="7684" max="7684" width="5.7109375" style="745" customWidth="1"/>
    <col min="7685" max="7685" width="5.85546875" style="745" customWidth="1"/>
    <col min="7686" max="7686" width="12.42578125" style="745" customWidth="1"/>
    <col min="7687" max="7687" width="6.140625" style="745" customWidth="1"/>
    <col min="7688" max="7688" width="9.42578125" style="745" customWidth="1"/>
    <col min="7689" max="7689" width="12.5703125" style="745" customWidth="1"/>
    <col min="7690" max="7690" width="6.28515625" style="745" customWidth="1"/>
    <col min="7691" max="7691" width="11.42578125" style="745" customWidth="1"/>
    <col min="7692" max="7692" width="6.85546875" style="745" customWidth="1"/>
    <col min="7693" max="7693" width="12.140625" style="745" customWidth="1"/>
    <col min="7694" max="7694" width="5.7109375" style="745" customWidth="1"/>
    <col min="7695" max="7695" width="11.140625" style="745" customWidth="1"/>
    <col min="7696" max="7696" width="15.42578125" style="745" customWidth="1"/>
    <col min="7697" max="7697" width="14.7109375" style="745" customWidth="1"/>
    <col min="7698" max="7698" width="13.42578125" style="745" customWidth="1"/>
    <col min="7699" max="7699" width="15" style="745" customWidth="1"/>
    <col min="7700" max="7700" width="25.28515625" style="745" customWidth="1"/>
    <col min="7701" max="7701" width="25.7109375" style="745" customWidth="1"/>
    <col min="7702" max="7936" width="9.140625" style="745"/>
    <col min="7937" max="7937" width="5" style="745" customWidth="1"/>
    <col min="7938" max="7938" width="29.85546875" style="745" customWidth="1"/>
    <col min="7939" max="7939" width="6" style="745" customWidth="1"/>
    <col min="7940" max="7940" width="5.7109375" style="745" customWidth="1"/>
    <col min="7941" max="7941" width="5.85546875" style="745" customWidth="1"/>
    <col min="7942" max="7942" width="12.42578125" style="745" customWidth="1"/>
    <col min="7943" max="7943" width="6.140625" style="745" customWidth="1"/>
    <col min="7944" max="7944" width="9.42578125" style="745" customWidth="1"/>
    <col min="7945" max="7945" width="12.5703125" style="745" customWidth="1"/>
    <col min="7946" max="7946" width="6.28515625" style="745" customWidth="1"/>
    <col min="7947" max="7947" width="11.42578125" style="745" customWidth="1"/>
    <col min="7948" max="7948" width="6.85546875" style="745" customWidth="1"/>
    <col min="7949" max="7949" width="12.140625" style="745" customWidth="1"/>
    <col min="7950" max="7950" width="5.7109375" style="745" customWidth="1"/>
    <col min="7951" max="7951" width="11.140625" style="745" customWidth="1"/>
    <col min="7952" max="7952" width="15.42578125" style="745" customWidth="1"/>
    <col min="7953" max="7953" width="14.7109375" style="745" customWidth="1"/>
    <col min="7954" max="7954" width="13.42578125" style="745" customWidth="1"/>
    <col min="7955" max="7955" width="15" style="745" customWidth="1"/>
    <col min="7956" max="7956" width="25.28515625" style="745" customWidth="1"/>
    <col min="7957" max="7957" width="25.7109375" style="745" customWidth="1"/>
    <col min="7958" max="8192" width="9.140625" style="745"/>
    <col min="8193" max="8193" width="5" style="745" customWidth="1"/>
    <col min="8194" max="8194" width="29.85546875" style="745" customWidth="1"/>
    <col min="8195" max="8195" width="6" style="745" customWidth="1"/>
    <col min="8196" max="8196" width="5.7109375" style="745" customWidth="1"/>
    <col min="8197" max="8197" width="5.85546875" style="745" customWidth="1"/>
    <col min="8198" max="8198" width="12.42578125" style="745" customWidth="1"/>
    <col min="8199" max="8199" width="6.140625" style="745" customWidth="1"/>
    <col min="8200" max="8200" width="9.42578125" style="745" customWidth="1"/>
    <col min="8201" max="8201" width="12.5703125" style="745" customWidth="1"/>
    <col min="8202" max="8202" width="6.28515625" style="745" customWidth="1"/>
    <col min="8203" max="8203" width="11.42578125" style="745" customWidth="1"/>
    <col min="8204" max="8204" width="6.85546875" style="745" customWidth="1"/>
    <col min="8205" max="8205" width="12.140625" style="745" customWidth="1"/>
    <col min="8206" max="8206" width="5.7109375" style="745" customWidth="1"/>
    <col min="8207" max="8207" width="11.140625" style="745" customWidth="1"/>
    <col min="8208" max="8208" width="15.42578125" style="745" customWidth="1"/>
    <col min="8209" max="8209" width="14.7109375" style="745" customWidth="1"/>
    <col min="8210" max="8210" width="13.42578125" style="745" customWidth="1"/>
    <col min="8211" max="8211" width="15" style="745" customWidth="1"/>
    <col min="8212" max="8212" width="25.28515625" style="745" customWidth="1"/>
    <col min="8213" max="8213" width="25.7109375" style="745" customWidth="1"/>
    <col min="8214" max="8448" width="9.140625" style="745"/>
    <col min="8449" max="8449" width="5" style="745" customWidth="1"/>
    <col min="8450" max="8450" width="29.85546875" style="745" customWidth="1"/>
    <col min="8451" max="8451" width="6" style="745" customWidth="1"/>
    <col min="8452" max="8452" width="5.7109375" style="745" customWidth="1"/>
    <col min="8453" max="8453" width="5.85546875" style="745" customWidth="1"/>
    <col min="8454" max="8454" width="12.42578125" style="745" customWidth="1"/>
    <col min="8455" max="8455" width="6.140625" style="745" customWidth="1"/>
    <col min="8456" max="8456" width="9.42578125" style="745" customWidth="1"/>
    <col min="8457" max="8457" width="12.5703125" style="745" customWidth="1"/>
    <col min="8458" max="8458" width="6.28515625" style="745" customWidth="1"/>
    <col min="8459" max="8459" width="11.42578125" style="745" customWidth="1"/>
    <col min="8460" max="8460" width="6.85546875" style="745" customWidth="1"/>
    <col min="8461" max="8461" width="12.140625" style="745" customWidth="1"/>
    <col min="8462" max="8462" width="5.7109375" style="745" customWidth="1"/>
    <col min="8463" max="8463" width="11.140625" style="745" customWidth="1"/>
    <col min="8464" max="8464" width="15.42578125" style="745" customWidth="1"/>
    <col min="8465" max="8465" width="14.7109375" style="745" customWidth="1"/>
    <col min="8466" max="8466" width="13.42578125" style="745" customWidth="1"/>
    <col min="8467" max="8467" width="15" style="745" customWidth="1"/>
    <col min="8468" max="8468" width="25.28515625" style="745" customWidth="1"/>
    <col min="8469" max="8469" width="25.7109375" style="745" customWidth="1"/>
    <col min="8470" max="8704" width="9.140625" style="745"/>
    <col min="8705" max="8705" width="5" style="745" customWidth="1"/>
    <col min="8706" max="8706" width="29.85546875" style="745" customWidth="1"/>
    <col min="8707" max="8707" width="6" style="745" customWidth="1"/>
    <col min="8708" max="8708" width="5.7109375" style="745" customWidth="1"/>
    <col min="8709" max="8709" width="5.85546875" style="745" customWidth="1"/>
    <col min="8710" max="8710" width="12.42578125" style="745" customWidth="1"/>
    <col min="8711" max="8711" width="6.140625" style="745" customWidth="1"/>
    <col min="8712" max="8712" width="9.42578125" style="745" customWidth="1"/>
    <col min="8713" max="8713" width="12.5703125" style="745" customWidth="1"/>
    <col min="8714" max="8714" width="6.28515625" style="745" customWidth="1"/>
    <col min="8715" max="8715" width="11.42578125" style="745" customWidth="1"/>
    <col min="8716" max="8716" width="6.85546875" style="745" customWidth="1"/>
    <col min="8717" max="8717" width="12.140625" style="745" customWidth="1"/>
    <col min="8718" max="8718" width="5.7109375" style="745" customWidth="1"/>
    <col min="8719" max="8719" width="11.140625" style="745" customWidth="1"/>
    <col min="8720" max="8720" width="15.42578125" style="745" customWidth="1"/>
    <col min="8721" max="8721" width="14.7109375" style="745" customWidth="1"/>
    <col min="8722" max="8722" width="13.42578125" style="745" customWidth="1"/>
    <col min="8723" max="8723" width="15" style="745" customWidth="1"/>
    <col min="8724" max="8724" width="25.28515625" style="745" customWidth="1"/>
    <col min="8725" max="8725" width="25.7109375" style="745" customWidth="1"/>
    <col min="8726" max="8960" width="9.140625" style="745"/>
    <col min="8961" max="8961" width="5" style="745" customWidth="1"/>
    <col min="8962" max="8962" width="29.85546875" style="745" customWidth="1"/>
    <col min="8963" max="8963" width="6" style="745" customWidth="1"/>
    <col min="8964" max="8964" width="5.7109375" style="745" customWidth="1"/>
    <col min="8965" max="8965" width="5.85546875" style="745" customWidth="1"/>
    <col min="8966" max="8966" width="12.42578125" style="745" customWidth="1"/>
    <col min="8967" max="8967" width="6.140625" style="745" customWidth="1"/>
    <col min="8968" max="8968" width="9.42578125" style="745" customWidth="1"/>
    <col min="8969" max="8969" width="12.5703125" style="745" customWidth="1"/>
    <col min="8970" max="8970" width="6.28515625" style="745" customWidth="1"/>
    <col min="8971" max="8971" width="11.42578125" style="745" customWidth="1"/>
    <col min="8972" max="8972" width="6.85546875" style="745" customWidth="1"/>
    <col min="8973" max="8973" width="12.140625" style="745" customWidth="1"/>
    <col min="8974" max="8974" width="5.7109375" style="745" customWidth="1"/>
    <col min="8975" max="8975" width="11.140625" style="745" customWidth="1"/>
    <col min="8976" max="8976" width="15.42578125" style="745" customWidth="1"/>
    <col min="8977" max="8977" width="14.7109375" style="745" customWidth="1"/>
    <col min="8978" max="8978" width="13.42578125" style="745" customWidth="1"/>
    <col min="8979" max="8979" width="15" style="745" customWidth="1"/>
    <col min="8980" max="8980" width="25.28515625" style="745" customWidth="1"/>
    <col min="8981" max="8981" width="25.7109375" style="745" customWidth="1"/>
    <col min="8982" max="9216" width="9.140625" style="745"/>
    <col min="9217" max="9217" width="5" style="745" customWidth="1"/>
    <col min="9218" max="9218" width="29.85546875" style="745" customWidth="1"/>
    <col min="9219" max="9219" width="6" style="745" customWidth="1"/>
    <col min="9220" max="9220" width="5.7109375" style="745" customWidth="1"/>
    <col min="9221" max="9221" width="5.85546875" style="745" customWidth="1"/>
    <col min="9222" max="9222" width="12.42578125" style="745" customWidth="1"/>
    <col min="9223" max="9223" width="6.140625" style="745" customWidth="1"/>
    <col min="9224" max="9224" width="9.42578125" style="745" customWidth="1"/>
    <col min="9225" max="9225" width="12.5703125" style="745" customWidth="1"/>
    <col min="9226" max="9226" width="6.28515625" style="745" customWidth="1"/>
    <col min="9227" max="9227" width="11.42578125" style="745" customWidth="1"/>
    <col min="9228" max="9228" width="6.85546875" style="745" customWidth="1"/>
    <col min="9229" max="9229" width="12.140625" style="745" customWidth="1"/>
    <col min="9230" max="9230" width="5.7109375" style="745" customWidth="1"/>
    <col min="9231" max="9231" width="11.140625" style="745" customWidth="1"/>
    <col min="9232" max="9232" width="15.42578125" style="745" customWidth="1"/>
    <col min="9233" max="9233" width="14.7109375" style="745" customWidth="1"/>
    <col min="9234" max="9234" width="13.42578125" style="745" customWidth="1"/>
    <col min="9235" max="9235" width="15" style="745" customWidth="1"/>
    <col min="9236" max="9236" width="25.28515625" style="745" customWidth="1"/>
    <col min="9237" max="9237" width="25.7109375" style="745" customWidth="1"/>
    <col min="9238" max="9472" width="9.140625" style="745"/>
    <col min="9473" max="9473" width="5" style="745" customWidth="1"/>
    <col min="9474" max="9474" width="29.85546875" style="745" customWidth="1"/>
    <col min="9475" max="9475" width="6" style="745" customWidth="1"/>
    <col min="9476" max="9476" width="5.7109375" style="745" customWidth="1"/>
    <col min="9477" max="9477" width="5.85546875" style="745" customWidth="1"/>
    <col min="9478" max="9478" width="12.42578125" style="745" customWidth="1"/>
    <col min="9479" max="9479" width="6.140625" style="745" customWidth="1"/>
    <col min="9480" max="9480" width="9.42578125" style="745" customWidth="1"/>
    <col min="9481" max="9481" width="12.5703125" style="745" customWidth="1"/>
    <col min="9482" max="9482" width="6.28515625" style="745" customWidth="1"/>
    <col min="9483" max="9483" width="11.42578125" style="745" customWidth="1"/>
    <col min="9484" max="9484" width="6.85546875" style="745" customWidth="1"/>
    <col min="9485" max="9485" width="12.140625" style="745" customWidth="1"/>
    <col min="9486" max="9486" width="5.7109375" style="745" customWidth="1"/>
    <col min="9487" max="9487" width="11.140625" style="745" customWidth="1"/>
    <col min="9488" max="9488" width="15.42578125" style="745" customWidth="1"/>
    <col min="9489" max="9489" width="14.7109375" style="745" customWidth="1"/>
    <col min="9490" max="9490" width="13.42578125" style="745" customWidth="1"/>
    <col min="9491" max="9491" width="15" style="745" customWidth="1"/>
    <col min="9492" max="9492" width="25.28515625" style="745" customWidth="1"/>
    <col min="9493" max="9493" width="25.7109375" style="745" customWidth="1"/>
    <col min="9494" max="9728" width="9.140625" style="745"/>
    <col min="9729" max="9729" width="5" style="745" customWidth="1"/>
    <col min="9730" max="9730" width="29.85546875" style="745" customWidth="1"/>
    <col min="9731" max="9731" width="6" style="745" customWidth="1"/>
    <col min="9732" max="9732" width="5.7109375" style="745" customWidth="1"/>
    <col min="9733" max="9733" width="5.85546875" style="745" customWidth="1"/>
    <col min="9734" max="9734" width="12.42578125" style="745" customWidth="1"/>
    <col min="9735" max="9735" width="6.140625" style="745" customWidth="1"/>
    <col min="9736" max="9736" width="9.42578125" style="745" customWidth="1"/>
    <col min="9737" max="9737" width="12.5703125" style="745" customWidth="1"/>
    <col min="9738" max="9738" width="6.28515625" style="745" customWidth="1"/>
    <col min="9739" max="9739" width="11.42578125" style="745" customWidth="1"/>
    <col min="9740" max="9740" width="6.85546875" style="745" customWidth="1"/>
    <col min="9741" max="9741" width="12.140625" style="745" customWidth="1"/>
    <col min="9742" max="9742" width="5.7109375" style="745" customWidth="1"/>
    <col min="9743" max="9743" width="11.140625" style="745" customWidth="1"/>
    <col min="9744" max="9744" width="15.42578125" style="745" customWidth="1"/>
    <col min="9745" max="9745" width="14.7109375" style="745" customWidth="1"/>
    <col min="9746" max="9746" width="13.42578125" style="745" customWidth="1"/>
    <col min="9747" max="9747" width="15" style="745" customWidth="1"/>
    <col min="9748" max="9748" width="25.28515625" style="745" customWidth="1"/>
    <col min="9749" max="9749" width="25.7109375" style="745" customWidth="1"/>
    <col min="9750" max="9984" width="9.140625" style="745"/>
    <col min="9985" max="9985" width="5" style="745" customWidth="1"/>
    <col min="9986" max="9986" width="29.85546875" style="745" customWidth="1"/>
    <col min="9987" max="9987" width="6" style="745" customWidth="1"/>
    <col min="9988" max="9988" width="5.7109375" style="745" customWidth="1"/>
    <col min="9989" max="9989" width="5.85546875" style="745" customWidth="1"/>
    <col min="9990" max="9990" width="12.42578125" style="745" customWidth="1"/>
    <col min="9991" max="9991" width="6.140625" style="745" customWidth="1"/>
    <col min="9992" max="9992" width="9.42578125" style="745" customWidth="1"/>
    <col min="9993" max="9993" width="12.5703125" style="745" customWidth="1"/>
    <col min="9994" max="9994" width="6.28515625" style="745" customWidth="1"/>
    <col min="9995" max="9995" width="11.42578125" style="745" customWidth="1"/>
    <col min="9996" max="9996" width="6.85546875" style="745" customWidth="1"/>
    <col min="9997" max="9997" width="12.140625" style="745" customWidth="1"/>
    <col min="9998" max="9998" width="5.7109375" style="745" customWidth="1"/>
    <col min="9999" max="9999" width="11.140625" style="745" customWidth="1"/>
    <col min="10000" max="10000" width="15.42578125" style="745" customWidth="1"/>
    <col min="10001" max="10001" width="14.7109375" style="745" customWidth="1"/>
    <col min="10002" max="10002" width="13.42578125" style="745" customWidth="1"/>
    <col min="10003" max="10003" width="15" style="745" customWidth="1"/>
    <col min="10004" max="10004" width="25.28515625" style="745" customWidth="1"/>
    <col min="10005" max="10005" width="25.7109375" style="745" customWidth="1"/>
    <col min="10006" max="10240" width="9.140625" style="745"/>
    <col min="10241" max="10241" width="5" style="745" customWidth="1"/>
    <col min="10242" max="10242" width="29.85546875" style="745" customWidth="1"/>
    <col min="10243" max="10243" width="6" style="745" customWidth="1"/>
    <col min="10244" max="10244" width="5.7109375" style="745" customWidth="1"/>
    <col min="10245" max="10245" width="5.85546875" style="745" customWidth="1"/>
    <col min="10246" max="10246" width="12.42578125" style="745" customWidth="1"/>
    <col min="10247" max="10247" width="6.140625" style="745" customWidth="1"/>
    <col min="10248" max="10248" width="9.42578125" style="745" customWidth="1"/>
    <col min="10249" max="10249" width="12.5703125" style="745" customWidth="1"/>
    <col min="10250" max="10250" width="6.28515625" style="745" customWidth="1"/>
    <col min="10251" max="10251" width="11.42578125" style="745" customWidth="1"/>
    <col min="10252" max="10252" width="6.85546875" style="745" customWidth="1"/>
    <col min="10253" max="10253" width="12.140625" style="745" customWidth="1"/>
    <col min="10254" max="10254" width="5.7109375" style="745" customWidth="1"/>
    <col min="10255" max="10255" width="11.140625" style="745" customWidth="1"/>
    <col min="10256" max="10256" width="15.42578125" style="745" customWidth="1"/>
    <col min="10257" max="10257" width="14.7109375" style="745" customWidth="1"/>
    <col min="10258" max="10258" width="13.42578125" style="745" customWidth="1"/>
    <col min="10259" max="10259" width="15" style="745" customWidth="1"/>
    <col min="10260" max="10260" width="25.28515625" style="745" customWidth="1"/>
    <col min="10261" max="10261" width="25.7109375" style="745" customWidth="1"/>
    <col min="10262" max="10496" width="9.140625" style="745"/>
    <col min="10497" max="10497" width="5" style="745" customWidth="1"/>
    <col min="10498" max="10498" width="29.85546875" style="745" customWidth="1"/>
    <col min="10499" max="10499" width="6" style="745" customWidth="1"/>
    <col min="10500" max="10500" width="5.7109375" style="745" customWidth="1"/>
    <col min="10501" max="10501" width="5.85546875" style="745" customWidth="1"/>
    <col min="10502" max="10502" width="12.42578125" style="745" customWidth="1"/>
    <col min="10503" max="10503" width="6.140625" style="745" customWidth="1"/>
    <col min="10504" max="10504" width="9.42578125" style="745" customWidth="1"/>
    <col min="10505" max="10505" width="12.5703125" style="745" customWidth="1"/>
    <col min="10506" max="10506" width="6.28515625" style="745" customWidth="1"/>
    <col min="10507" max="10507" width="11.42578125" style="745" customWidth="1"/>
    <col min="10508" max="10508" width="6.85546875" style="745" customWidth="1"/>
    <col min="10509" max="10509" width="12.140625" style="745" customWidth="1"/>
    <col min="10510" max="10510" width="5.7109375" style="745" customWidth="1"/>
    <col min="10511" max="10511" width="11.140625" style="745" customWidth="1"/>
    <col min="10512" max="10512" width="15.42578125" style="745" customWidth="1"/>
    <col min="10513" max="10513" width="14.7109375" style="745" customWidth="1"/>
    <col min="10514" max="10514" width="13.42578125" style="745" customWidth="1"/>
    <col min="10515" max="10515" width="15" style="745" customWidth="1"/>
    <col min="10516" max="10516" width="25.28515625" style="745" customWidth="1"/>
    <col min="10517" max="10517" width="25.7109375" style="745" customWidth="1"/>
    <col min="10518" max="10752" width="9.140625" style="745"/>
    <col min="10753" max="10753" width="5" style="745" customWidth="1"/>
    <col min="10754" max="10754" width="29.85546875" style="745" customWidth="1"/>
    <col min="10755" max="10755" width="6" style="745" customWidth="1"/>
    <col min="10756" max="10756" width="5.7109375" style="745" customWidth="1"/>
    <col min="10757" max="10757" width="5.85546875" style="745" customWidth="1"/>
    <col min="10758" max="10758" width="12.42578125" style="745" customWidth="1"/>
    <col min="10759" max="10759" width="6.140625" style="745" customWidth="1"/>
    <col min="10760" max="10760" width="9.42578125" style="745" customWidth="1"/>
    <col min="10761" max="10761" width="12.5703125" style="745" customWidth="1"/>
    <col min="10762" max="10762" width="6.28515625" style="745" customWidth="1"/>
    <col min="10763" max="10763" width="11.42578125" style="745" customWidth="1"/>
    <col min="10764" max="10764" width="6.85546875" style="745" customWidth="1"/>
    <col min="10765" max="10765" width="12.140625" style="745" customWidth="1"/>
    <col min="10766" max="10766" width="5.7109375" style="745" customWidth="1"/>
    <col min="10767" max="10767" width="11.140625" style="745" customWidth="1"/>
    <col min="10768" max="10768" width="15.42578125" style="745" customWidth="1"/>
    <col min="10769" max="10769" width="14.7109375" style="745" customWidth="1"/>
    <col min="10770" max="10770" width="13.42578125" style="745" customWidth="1"/>
    <col min="10771" max="10771" width="15" style="745" customWidth="1"/>
    <col min="10772" max="10772" width="25.28515625" style="745" customWidth="1"/>
    <col min="10773" max="10773" width="25.7109375" style="745" customWidth="1"/>
    <col min="10774" max="11008" width="9.140625" style="745"/>
    <col min="11009" max="11009" width="5" style="745" customWidth="1"/>
    <col min="11010" max="11010" width="29.85546875" style="745" customWidth="1"/>
    <col min="11011" max="11011" width="6" style="745" customWidth="1"/>
    <col min="11012" max="11012" width="5.7109375" style="745" customWidth="1"/>
    <col min="11013" max="11013" width="5.85546875" style="745" customWidth="1"/>
    <col min="11014" max="11014" width="12.42578125" style="745" customWidth="1"/>
    <col min="11015" max="11015" width="6.140625" style="745" customWidth="1"/>
    <col min="11016" max="11016" width="9.42578125" style="745" customWidth="1"/>
    <col min="11017" max="11017" width="12.5703125" style="745" customWidth="1"/>
    <col min="11018" max="11018" width="6.28515625" style="745" customWidth="1"/>
    <col min="11019" max="11019" width="11.42578125" style="745" customWidth="1"/>
    <col min="11020" max="11020" width="6.85546875" style="745" customWidth="1"/>
    <col min="11021" max="11021" width="12.140625" style="745" customWidth="1"/>
    <col min="11022" max="11022" width="5.7109375" style="745" customWidth="1"/>
    <col min="11023" max="11023" width="11.140625" style="745" customWidth="1"/>
    <col min="11024" max="11024" width="15.42578125" style="745" customWidth="1"/>
    <col min="11025" max="11025" width="14.7109375" style="745" customWidth="1"/>
    <col min="11026" max="11026" width="13.42578125" style="745" customWidth="1"/>
    <col min="11027" max="11027" width="15" style="745" customWidth="1"/>
    <col min="11028" max="11028" width="25.28515625" style="745" customWidth="1"/>
    <col min="11029" max="11029" width="25.7109375" style="745" customWidth="1"/>
    <col min="11030" max="11264" width="9.140625" style="745"/>
    <col min="11265" max="11265" width="5" style="745" customWidth="1"/>
    <col min="11266" max="11266" width="29.85546875" style="745" customWidth="1"/>
    <col min="11267" max="11267" width="6" style="745" customWidth="1"/>
    <col min="11268" max="11268" width="5.7109375" style="745" customWidth="1"/>
    <col min="11269" max="11269" width="5.85546875" style="745" customWidth="1"/>
    <col min="11270" max="11270" width="12.42578125" style="745" customWidth="1"/>
    <col min="11271" max="11271" width="6.140625" style="745" customWidth="1"/>
    <col min="11272" max="11272" width="9.42578125" style="745" customWidth="1"/>
    <col min="11273" max="11273" width="12.5703125" style="745" customWidth="1"/>
    <col min="11274" max="11274" width="6.28515625" style="745" customWidth="1"/>
    <col min="11275" max="11275" width="11.42578125" style="745" customWidth="1"/>
    <col min="11276" max="11276" width="6.85546875" style="745" customWidth="1"/>
    <col min="11277" max="11277" width="12.140625" style="745" customWidth="1"/>
    <col min="11278" max="11278" width="5.7109375" style="745" customWidth="1"/>
    <col min="11279" max="11279" width="11.140625" style="745" customWidth="1"/>
    <col min="11280" max="11280" width="15.42578125" style="745" customWidth="1"/>
    <col min="11281" max="11281" width="14.7109375" style="745" customWidth="1"/>
    <col min="11282" max="11282" width="13.42578125" style="745" customWidth="1"/>
    <col min="11283" max="11283" width="15" style="745" customWidth="1"/>
    <col min="11284" max="11284" width="25.28515625" style="745" customWidth="1"/>
    <col min="11285" max="11285" width="25.7109375" style="745" customWidth="1"/>
    <col min="11286" max="11520" width="9.140625" style="745"/>
    <col min="11521" max="11521" width="5" style="745" customWidth="1"/>
    <col min="11522" max="11522" width="29.85546875" style="745" customWidth="1"/>
    <col min="11523" max="11523" width="6" style="745" customWidth="1"/>
    <col min="11524" max="11524" width="5.7109375" style="745" customWidth="1"/>
    <col min="11525" max="11525" width="5.85546875" style="745" customWidth="1"/>
    <col min="11526" max="11526" width="12.42578125" style="745" customWidth="1"/>
    <col min="11527" max="11527" width="6.140625" style="745" customWidth="1"/>
    <col min="11528" max="11528" width="9.42578125" style="745" customWidth="1"/>
    <col min="11529" max="11529" width="12.5703125" style="745" customWidth="1"/>
    <col min="11530" max="11530" width="6.28515625" style="745" customWidth="1"/>
    <col min="11531" max="11531" width="11.42578125" style="745" customWidth="1"/>
    <col min="11532" max="11532" width="6.85546875" style="745" customWidth="1"/>
    <col min="11533" max="11533" width="12.140625" style="745" customWidth="1"/>
    <col min="11534" max="11534" width="5.7109375" style="745" customWidth="1"/>
    <col min="11535" max="11535" width="11.140625" style="745" customWidth="1"/>
    <col min="11536" max="11536" width="15.42578125" style="745" customWidth="1"/>
    <col min="11537" max="11537" width="14.7109375" style="745" customWidth="1"/>
    <col min="11538" max="11538" width="13.42578125" style="745" customWidth="1"/>
    <col min="11539" max="11539" width="15" style="745" customWidth="1"/>
    <col min="11540" max="11540" width="25.28515625" style="745" customWidth="1"/>
    <col min="11541" max="11541" width="25.7109375" style="745" customWidth="1"/>
    <col min="11542" max="11776" width="9.140625" style="745"/>
    <col min="11777" max="11777" width="5" style="745" customWidth="1"/>
    <col min="11778" max="11778" width="29.85546875" style="745" customWidth="1"/>
    <col min="11779" max="11779" width="6" style="745" customWidth="1"/>
    <col min="11780" max="11780" width="5.7109375" style="745" customWidth="1"/>
    <col min="11781" max="11781" width="5.85546875" style="745" customWidth="1"/>
    <col min="11782" max="11782" width="12.42578125" style="745" customWidth="1"/>
    <col min="11783" max="11783" width="6.140625" style="745" customWidth="1"/>
    <col min="11784" max="11784" width="9.42578125" style="745" customWidth="1"/>
    <col min="11785" max="11785" width="12.5703125" style="745" customWidth="1"/>
    <col min="11786" max="11786" width="6.28515625" style="745" customWidth="1"/>
    <col min="11787" max="11787" width="11.42578125" style="745" customWidth="1"/>
    <col min="11788" max="11788" width="6.85546875" style="745" customWidth="1"/>
    <col min="11789" max="11789" width="12.140625" style="745" customWidth="1"/>
    <col min="11790" max="11790" width="5.7109375" style="745" customWidth="1"/>
    <col min="11791" max="11791" width="11.140625" style="745" customWidth="1"/>
    <col min="11792" max="11792" width="15.42578125" style="745" customWidth="1"/>
    <col min="11793" max="11793" width="14.7109375" style="745" customWidth="1"/>
    <col min="11794" max="11794" width="13.42578125" style="745" customWidth="1"/>
    <col min="11795" max="11795" width="15" style="745" customWidth="1"/>
    <col min="11796" max="11796" width="25.28515625" style="745" customWidth="1"/>
    <col min="11797" max="11797" width="25.7109375" style="745" customWidth="1"/>
    <col min="11798" max="12032" width="9.140625" style="745"/>
    <col min="12033" max="12033" width="5" style="745" customWidth="1"/>
    <col min="12034" max="12034" width="29.85546875" style="745" customWidth="1"/>
    <col min="12035" max="12035" width="6" style="745" customWidth="1"/>
    <col min="12036" max="12036" width="5.7109375" style="745" customWidth="1"/>
    <col min="12037" max="12037" width="5.85546875" style="745" customWidth="1"/>
    <col min="12038" max="12038" width="12.42578125" style="745" customWidth="1"/>
    <col min="12039" max="12039" width="6.140625" style="745" customWidth="1"/>
    <col min="12040" max="12040" width="9.42578125" style="745" customWidth="1"/>
    <col min="12041" max="12041" width="12.5703125" style="745" customWidth="1"/>
    <col min="12042" max="12042" width="6.28515625" style="745" customWidth="1"/>
    <col min="12043" max="12043" width="11.42578125" style="745" customWidth="1"/>
    <col min="12044" max="12044" width="6.85546875" style="745" customWidth="1"/>
    <col min="12045" max="12045" width="12.140625" style="745" customWidth="1"/>
    <col min="12046" max="12046" width="5.7109375" style="745" customWidth="1"/>
    <col min="12047" max="12047" width="11.140625" style="745" customWidth="1"/>
    <col min="12048" max="12048" width="15.42578125" style="745" customWidth="1"/>
    <col min="12049" max="12049" width="14.7109375" style="745" customWidth="1"/>
    <col min="12050" max="12050" width="13.42578125" style="745" customWidth="1"/>
    <col min="12051" max="12051" width="15" style="745" customWidth="1"/>
    <col min="12052" max="12052" width="25.28515625" style="745" customWidth="1"/>
    <col min="12053" max="12053" width="25.7109375" style="745" customWidth="1"/>
    <col min="12054" max="12288" width="9.140625" style="745"/>
    <col min="12289" max="12289" width="5" style="745" customWidth="1"/>
    <col min="12290" max="12290" width="29.85546875" style="745" customWidth="1"/>
    <col min="12291" max="12291" width="6" style="745" customWidth="1"/>
    <col min="12292" max="12292" width="5.7109375" style="745" customWidth="1"/>
    <col min="12293" max="12293" width="5.85546875" style="745" customWidth="1"/>
    <col min="12294" max="12294" width="12.42578125" style="745" customWidth="1"/>
    <col min="12295" max="12295" width="6.140625" style="745" customWidth="1"/>
    <col min="12296" max="12296" width="9.42578125" style="745" customWidth="1"/>
    <col min="12297" max="12297" width="12.5703125" style="745" customWidth="1"/>
    <col min="12298" max="12298" width="6.28515625" style="745" customWidth="1"/>
    <col min="12299" max="12299" width="11.42578125" style="745" customWidth="1"/>
    <col min="12300" max="12300" width="6.85546875" style="745" customWidth="1"/>
    <col min="12301" max="12301" width="12.140625" style="745" customWidth="1"/>
    <col min="12302" max="12302" width="5.7109375" style="745" customWidth="1"/>
    <col min="12303" max="12303" width="11.140625" style="745" customWidth="1"/>
    <col min="12304" max="12304" width="15.42578125" style="745" customWidth="1"/>
    <col min="12305" max="12305" width="14.7109375" style="745" customWidth="1"/>
    <col min="12306" max="12306" width="13.42578125" style="745" customWidth="1"/>
    <col min="12307" max="12307" width="15" style="745" customWidth="1"/>
    <col min="12308" max="12308" width="25.28515625" style="745" customWidth="1"/>
    <col min="12309" max="12309" width="25.7109375" style="745" customWidth="1"/>
    <col min="12310" max="12544" width="9.140625" style="745"/>
    <col min="12545" max="12545" width="5" style="745" customWidth="1"/>
    <col min="12546" max="12546" width="29.85546875" style="745" customWidth="1"/>
    <col min="12547" max="12547" width="6" style="745" customWidth="1"/>
    <col min="12548" max="12548" width="5.7109375" style="745" customWidth="1"/>
    <col min="12549" max="12549" width="5.85546875" style="745" customWidth="1"/>
    <col min="12550" max="12550" width="12.42578125" style="745" customWidth="1"/>
    <col min="12551" max="12551" width="6.140625" style="745" customWidth="1"/>
    <col min="12552" max="12552" width="9.42578125" style="745" customWidth="1"/>
    <col min="12553" max="12553" width="12.5703125" style="745" customWidth="1"/>
    <col min="12554" max="12554" width="6.28515625" style="745" customWidth="1"/>
    <col min="12555" max="12555" width="11.42578125" style="745" customWidth="1"/>
    <col min="12556" max="12556" width="6.85546875" style="745" customWidth="1"/>
    <col min="12557" max="12557" width="12.140625" style="745" customWidth="1"/>
    <col min="12558" max="12558" width="5.7109375" style="745" customWidth="1"/>
    <col min="12559" max="12559" width="11.140625" style="745" customWidth="1"/>
    <col min="12560" max="12560" width="15.42578125" style="745" customWidth="1"/>
    <col min="12561" max="12561" width="14.7109375" style="745" customWidth="1"/>
    <col min="12562" max="12562" width="13.42578125" style="745" customWidth="1"/>
    <col min="12563" max="12563" width="15" style="745" customWidth="1"/>
    <col min="12564" max="12564" width="25.28515625" style="745" customWidth="1"/>
    <col min="12565" max="12565" width="25.7109375" style="745" customWidth="1"/>
    <col min="12566" max="12800" width="9.140625" style="745"/>
    <col min="12801" max="12801" width="5" style="745" customWidth="1"/>
    <col min="12802" max="12802" width="29.85546875" style="745" customWidth="1"/>
    <col min="12803" max="12803" width="6" style="745" customWidth="1"/>
    <col min="12804" max="12804" width="5.7109375" style="745" customWidth="1"/>
    <col min="12805" max="12805" width="5.85546875" style="745" customWidth="1"/>
    <col min="12806" max="12806" width="12.42578125" style="745" customWidth="1"/>
    <col min="12807" max="12807" width="6.140625" style="745" customWidth="1"/>
    <col min="12808" max="12808" width="9.42578125" style="745" customWidth="1"/>
    <col min="12809" max="12809" width="12.5703125" style="745" customWidth="1"/>
    <col min="12810" max="12810" width="6.28515625" style="745" customWidth="1"/>
    <col min="12811" max="12811" width="11.42578125" style="745" customWidth="1"/>
    <col min="12812" max="12812" width="6.85546875" style="745" customWidth="1"/>
    <col min="12813" max="12813" width="12.140625" style="745" customWidth="1"/>
    <col min="12814" max="12814" width="5.7109375" style="745" customWidth="1"/>
    <col min="12815" max="12815" width="11.140625" style="745" customWidth="1"/>
    <col min="12816" max="12816" width="15.42578125" style="745" customWidth="1"/>
    <col min="12817" max="12817" width="14.7109375" style="745" customWidth="1"/>
    <col min="12818" max="12818" width="13.42578125" style="745" customWidth="1"/>
    <col min="12819" max="12819" width="15" style="745" customWidth="1"/>
    <col min="12820" max="12820" width="25.28515625" style="745" customWidth="1"/>
    <col min="12821" max="12821" width="25.7109375" style="745" customWidth="1"/>
    <col min="12822" max="13056" width="9.140625" style="745"/>
    <col min="13057" max="13057" width="5" style="745" customWidth="1"/>
    <col min="13058" max="13058" width="29.85546875" style="745" customWidth="1"/>
    <col min="13059" max="13059" width="6" style="745" customWidth="1"/>
    <col min="13060" max="13060" width="5.7109375" style="745" customWidth="1"/>
    <col min="13061" max="13061" width="5.85546875" style="745" customWidth="1"/>
    <col min="13062" max="13062" width="12.42578125" style="745" customWidth="1"/>
    <col min="13063" max="13063" width="6.140625" style="745" customWidth="1"/>
    <col min="13064" max="13064" width="9.42578125" style="745" customWidth="1"/>
    <col min="13065" max="13065" width="12.5703125" style="745" customWidth="1"/>
    <col min="13066" max="13066" width="6.28515625" style="745" customWidth="1"/>
    <col min="13067" max="13067" width="11.42578125" style="745" customWidth="1"/>
    <col min="13068" max="13068" width="6.85546875" style="745" customWidth="1"/>
    <col min="13069" max="13069" width="12.140625" style="745" customWidth="1"/>
    <col min="13070" max="13070" width="5.7109375" style="745" customWidth="1"/>
    <col min="13071" max="13071" width="11.140625" style="745" customWidth="1"/>
    <col min="13072" max="13072" width="15.42578125" style="745" customWidth="1"/>
    <col min="13073" max="13073" width="14.7109375" style="745" customWidth="1"/>
    <col min="13074" max="13074" width="13.42578125" style="745" customWidth="1"/>
    <col min="13075" max="13075" width="15" style="745" customWidth="1"/>
    <col min="13076" max="13076" width="25.28515625" style="745" customWidth="1"/>
    <col min="13077" max="13077" width="25.7109375" style="745" customWidth="1"/>
    <col min="13078" max="13312" width="9.140625" style="745"/>
    <col min="13313" max="13313" width="5" style="745" customWidth="1"/>
    <col min="13314" max="13314" width="29.85546875" style="745" customWidth="1"/>
    <col min="13315" max="13315" width="6" style="745" customWidth="1"/>
    <col min="13316" max="13316" width="5.7109375" style="745" customWidth="1"/>
    <col min="13317" max="13317" width="5.85546875" style="745" customWidth="1"/>
    <col min="13318" max="13318" width="12.42578125" style="745" customWidth="1"/>
    <col min="13319" max="13319" width="6.140625" style="745" customWidth="1"/>
    <col min="13320" max="13320" width="9.42578125" style="745" customWidth="1"/>
    <col min="13321" max="13321" width="12.5703125" style="745" customWidth="1"/>
    <col min="13322" max="13322" width="6.28515625" style="745" customWidth="1"/>
    <col min="13323" max="13323" width="11.42578125" style="745" customWidth="1"/>
    <col min="13324" max="13324" width="6.85546875" style="745" customWidth="1"/>
    <col min="13325" max="13325" width="12.140625" style="745" customWidth="1"/>
    <col min="13326" max="13326" width="5.7109375" style="745" customWidth="1"/>
    <col min="13327" max="13327" width="11.140625" style="745" customWidth="1"/>
    <col min="13328" max="13328" width="15.42578125" style="745" customWidth="1"/>
    <col min="13329" max="13329" width="14.7109375" style="745" customWidth="1"/>
    <col min="13330" max="13330" width="13.42578125" style="745" customWidth="1"/>
    <col min="13331" max="13331" width="15" style="745" customWidth="1"/>
    <col min="13332" max="13332" width="25.28515625" style="745" customWidth="1"/>
    <col min="13333" max="13333" width="25.7109375" style="745" customWidth="1"/>
    <col min="13334" max="13568" width="9.140625" style="745"/>
    <col min="13569" max="13569" width="5" style="745" customWidth="1"/>
    <col min="13570" max="13570" width="29.85546875" style="745" customWidth="1"/>
    <col min="13571" max="13571" width="6" style="745" customWidth="1"/>
    <col min="13572" max="13572" width="5.7109375" style="745" customWidth="1"/>
    <col min="13573" max="13573" width="5.85546875" style="745" customWidth="1"/>
    <col min="13574" max="13574" width="12.42578125" style="745" customWidth="1"/>
    <col min="13575" max="13575" width="6.140625" style="745" customWidth="1"/>
    <col min="13576" max="13576" width="9.42578125" style="745" customWidth="1"/>
    <col min="13577" max="13577" width="12.5703125" style="745" customWidth="1"/>
    <col min="13578" max="13578" width="6.28515625" style="745" customWidth="1"/>
    <col min="13579" max="13579" width="11.42578125" style="745" customWidth="1"/>
    <col min="13580" max="13580" width="6.85546875" style="745" customWidth="1"/>
    <col min="13581" max="13581" width="12.140625" style="745" customWidth="1"/>
    <col min="13582" max="13582" width="5.7109375" style="745" customWidth="1"/>
    <col min="13583" max="13583" width="11.140625" style="745" customWidth="1"/>
    <col min="13584" max="13584" width="15.42578125" style="745" customWidth="1"/>
    <col min="13585" max="13585" width="14.7109375" style="745" customWidth="1"/>
    <col min="13586" max="13586" width="13.42578125" style="745" customWidth="1"/>
    <col min="13587" max="13587" width="15" style="745" customWidth="1"/>
    <col min="13588" max="13588" width="25.28515625" style="745" customWidth="1"/>
    <col min="13589" max="13589" width="25.7109375" style="745" customWidth="1"/>
    <col min="13590" max="13824" width="9.140625" style="745"/>
    <col min="13825" max="13825" width="5" style="745" customWidth="1"/>
    <col min="13826" max="13826" width="29.85546875" style="745" customWidth="1"/>
    <col min="13827" max="13827" width="6" style="745" customWidth="1"/>
    <col min="13828" max="13828" width="5.7109375" style="745" customWidth="1"/>
    <col min="13829" max="13829" width="5.85546875" style="745" customWidth="1"/>
    <col min="13830" max="13830" width="12.42578125" style="745" customWidth="1"/>
    <col min="13831" max="13831" width="6.140625" style="745" customWidth="1"/>
    <col min="13832" max="13832" width="9.42578125" style="745" customWidth="1"/>
    <col min="13833" max="13833" width="12.5703125" style="745" customWidth="1"/>
    <col min="13834" max="13834" width="6.28515625" style="745" customWidth="1"/>
    <col min="13835" max="13835" width="11.42578125" style="745" customWidth="1"/>
    <col min="13836" max="13836" width="6.85546875" style="745" customWidth="1"/>
    <col min="13837" max="13837" width="12.140625" style="745" customWidth="1"/>
    <col min="13838" max="13838" width="5.7109375" style="745" customWidth="1"/>
    <col min="13839" max="13839" width="11.140625" style="745" customWidth="1"/>
    <col min="13840" max="13840" width="15.42578125" style="745" customWidth="1"/>
    <col min="13841" max="13841" width="14.7109375" style="745" customWidth="1"/>
    <col min="13842" max="13842" width="13.42578125" style="745" customWidth="1"/>
    <col min="13843" max="13843" width="15" style="745" customWidth="1"/>
    <col min="13844" max="13844" width="25.28515625" style="745" customWidth="1"/>
    <col min="13845" max="13845" width="25.7109375" style="745" customWidth="1"/>
    <col min="13846" max="14080" width="9.140625" style="745"/>
    <col min="14081" max="14081" width="5" style="745" customWidth="1"/>
    <col min="14082" max="14082" width="29.85546875" style="745" customWidth="1"/>
    <col min="14083" max="14083" width="6" style="745" customWidth="1"/>
    <col min="14084" max="14084" width="5.7109375" style="745" customWidth="1"/>
    <col min="14085" max="14085" width="5.85546875" style="745" customWidth="1"/>
    <col min="14086" max="14086" width="12.42578125" style="745" customWidth="1"/>
    <col min="14087" max="14087" width="6.140625" style="745" customWidth="1"/>
    <col min="14088" max="14088" width="9.42578125" style="745" customWidth="1"/>
    <col min="14089" max="14089" width="12.5703125" style="745" customWidth="1"/>
    <col min="14090" max="14090" width="6.28515625" style="745" customWidth="1"/>
    <col min="14091" max="14091" width="11.42578125" style="745" customWidth="1"/>
    <col min="14092" max="14092" width="6.85546875" style="745" customWidth="1"/>
    <col min="14093" max="14093" width="12.140625" style="745" customWidth="1"/>
    <col min="14094" max="14094" width="5.7109375" style="745" customWidth="1"/>
    <col min="14095" max="14095" width="11.140625" style="745" customWidth="1"/>
    <col min="14096" max="14096" width="15.42578125" style="745" customWidth="1"/>
    <col min="14097" max="14097" width="14.7109375" style="745" customWidth="1"/>
    <col min="14098" max="14098" width="13.42578125" style="745" customWidth="1"/>
    <col min="14099" max="14099" width="15" style="745" customWidth="1"/>
    <col min="14100" max="14100" width="25.28515625" style="745" customWidth="1"/>
    <col min="14101" max="14101" width="25.7109375" style="745" customWidth="1"/>
    <col min="14102" max="14336" width="9.140625" style="745"/>
    <col min="14337" max="14337" width="5" style="745" customWidth="1"/>
    <col min="14338" max="14338" width="29.85546875" style="745" customWidth="1"/>
    <col min="14339" max="14339" width="6" style="745" customWidth="1"/>
    <col min="14340" max="14340" width="5.7109375" style="745" customWidth="1"/>
    <col min="14341" max="14341" width="5.85546875" style="745" customWidth="1"/>
    <col min="14342" max="14342" width="12.42578125" style="745" customWidth="1"/>
    <col min="14343" max="14343" width="6.140625" style="745" customWidth="1"/>
    <col min="14344" max="14344" width="9.42578125" style="745" customWidth="1"/>
    <col min="14345" max="14345" width="12.5703125" style="745" customWidth="1"/>
    <col min="14346" max="14346" width="6.28515625" style="745" customWidth="1"/>
    <col min="14347" max="14347" width="11.42578125" style="745" customWidth="1"/>
    <col min="14348" max="14348" width="6.85546875" style="745" customWidth="1"/>
    <col min="14349" max="14349" width="12.140625" style="745" customWidth="1"/>
    <col min="14350" max="14350" width="5.7109375" style="745" customWidth="1"/>
    <col min="14351" max="14351" width="11.140625" style="745" customWidth="1"/>
    <col min="14352" max="14352" width="15.42578125" style="745" customWidth="1"/>
    <col min="14353" max="14353" width="14.7109375" style="745" customWidth="1"/>
    <col min="14354" max="14354" width="13.42578125" style="745" customWidth="1"/>
    <col min="14355" max="14355" width="15" style="745" customWidth="1"/>
    <col min="14356" max="14356" width="25.28515625" style="745" customWidth="1"/>
    <col min="14357" max="14357" width="25.7109375" style="745" customWidth="1"/>
    <col min="14358" max="14592" width="9.140625" style="745"/>
    <col min="14593" max="14593" width="5" style="745" customWidth="1"/>
    <col min="14594" max="14594" width="29.85546875" style="745" customWidth="1"/>
    <col min="14595" max="14595" width="6" style="745" customWidth="1"/>
    <col min="14596" max="14596" width="5.7109375" style="745" customWidth="1"/>
    <col min="14597" max="14597" width="5.85546875" style="745" customWidth="1"/>
    <col min="14598" max="14598" width="12.42578125" style="745" customWidth="1"/>
    <col min="14599" max="14599" width="6.140625" style="745" customWidth="1"/>
    <col min="14600" max="14600" width="9.42578125" style="745" customWidth="1"/>
    <col min="14601" max="14601" width="12.5703125" style="745" customWidth="1"/>
    <col min="14602" max="14602" width="6.28515625" style="745" customWidth="1"/>
    <col min="14603" max="14603" width="11.42578125" style="745" customWidth="1"/>
    <col min="14604" max="14604" width="6.85546875" style="745" customWidth="1"/>
    <col min="14605" max="14605" width="12.140625" style="745" customWidth="1"/>
    <col min="14606" max="14606" width="5.7109375" style="745" customWidth="1"/>
    <col min="14607" max="14607" width="11.140625" style="745" customWidth="1"/>
    <col min="14608" max="14608" width="15.42578125" style="745" customWidth="1"/>
    <col min="14609" max="14609" width="14.7109375" style="745" customWidth="1"/>
    <col min="14610" max="14610" width="13.42578125" style="745" customWidth="1"/>
    <col min="14611" max="14611" width="15" style="745" customWidth="1"/>
    <col min="14612" max="14612" width="25.28515625" style="745" customWidth="1"/>
    <col min="14613" max="14613" width="25.7109375" style="745" customWidth="1"/>
    <col min="14614" max="14848" width="9.140625" style="745"/>
    <col min="14849" max="14849" width="5" style="745" customWidth="1"/>
    <col min="14850" max="14850" width="29.85546875" style="745" customWidth="1"/>
    <col min="14851" max="14851" width="6" style="745" customWidth="1"/>
    <col min="14852" max="14852" width="5.7109375" style="745" customWidth="1"/>
    <col min="14853" max="14853" width="5.85546875" style="745" customWidth="1"/>
    <col min="14854" max="14854" width="12.42578125" style="745" customWidth="1"/>
    <col min="14855" max="14855" width="6.140625" style="745" customWidth="1"/>
    <col min="14856" max="14856" width="9.42578125" style="745" customWidth="1"/>
    <col min="14857" max="14857" width="12.5703125" style="745" customWidth="1"/>
    <col min="14858" max="14858" width="6.28515625" style="745" customWidth="1"/>
    <col min="14859" max="14859" width="11.42578125" style="745" customWidth="1"/>
    <col min="14860" max="14860" width="6.85546875" style="745" customWidth="1"/>
    <col min="14861" max="14861" width="12.140625" style="745" customWidth="1"/>
    <col min="14862" max="14862" width="5.7109375" style="745" customWidth="1"/>
    <col min="14863" max="14863" width="11.140625" style="745" customWidth="1"/>
    <col min="14864" max="14864" width="15.42578125" style="745" customWidth="1"/>
    <col min="14865" max="14865" width="14.7109375" style="745" customWidth="1"/>
    <col min="14866" max="14866" width="13.42578125" style="745" customWidth="1"/>
    <col min="14867" max="14867" width="15" style="745" customWidth="1"/>
    <col min="14868" max="14868" width="25.28515625" style="745" customWidth="1"/>
    <col min="14869" max="14869" width="25.7109375" style="745" customWidth="1"/>
    <col min="14870" max="15104" width="9.140625" style="745"/>
    <col min="15105" max="15105" width="5" style="745" customWidth="1"/>
    <col min="15106" max="15106" width="29.85546875" style="745" customWidth="1"/>
    <col min="15107" max="15107" width="6" style="745" customWidth="1"/>
    <col min="15108" max="15108" width="5.7109375" style="745" customWidth="1"/>
    <col min="15109" max="15109" width="5.85546875" style="745" customWidth="1"/>
    <col min="15110" max="15110" width="12.42578125" style="745" customWidth="1"/>
    <col min="15111" max="15111" width="6.140625" style="745" customWidth="1"/>
    <col min="15112" max="15112" width="9.42578125" style="745" customWidth="1"/>
    <col min="15113" max="15113" width="12.5703125" style="745" customWidth="1"/>
    <col min="15114" max="15114" width="6.28515625" style="745" customWidth="1"/>
    <col min="15115" max="15115" width="11.42578125" style="745" customWidth="1"/>
    <col min="15116" max="15116" width="6.85546875" style="745" customWidth="1"/>
    <col min="15117" max="15117" width="12.140625" style="745" customWidth="1"/>
    <col min="15118" max="15118" width="5.7109375" style="745" customWidth="1"/>
    <col min="15119" max="15119" width="11.140625" style="745" customWidth="1"/>
    <col min="15120" max="15120" width="15.42578125" style="745" customWidth="1"/>
    <col min="15121" max="15121" width="14.7109375" style="745" customWidth="1"/>
    <col min="15122" max="15122" width="13.42578125" style="745" customWidth="1"/>
    <col min="15123" max="15123" width="15" style="745" customWidth="1"/>
    <col min="15124" max="15124" width="25.28515625" style="745" customWidth="1"/>
    <col min="15125" max="15125" width="25.7109375" style="745" customWidth="1"/>
    <col min="15126" max="15360" width="9.140625" style="745"/>
    <col min="15361" max="15361" width="5" style="745" customWidth="1"/>
    <col min="15362" max="15362" width="29.85546875" style="745" customWidth="1"/>
    <col min="15363" max="15363" width="6" style="745" customWidth="1"/>
    <col min="15364" max="15364" width="5.7109375" style="745" customWidth="1"/>
    <col min="15365" max="15365" width="5.85546875" style="745" customWidth="1"/>
    <col min="15366" max="15366" width="12.42578125" style="745" customWidth="1"/>
    <col min="15367" max="15367" width="6.140625" style="745" customWidth="1"/>
    <col min="15368" max="15368" width="9.42578125" style="745" customWidth="1"/>
    <col min="15369" max="15369" width="12.5703125" style="745" customWidth="1"/>
    <col min="15370" max="15370" width="6.28515625" style="745" customWidth="1"/>
    <col min="15371" max="15371" width="11.42578125" style="745" customWidth="1"/>
    <col min="15372" max="15372" width="6.85546875" style="745" customWidth="1"/>
    <col min="15373" max="15373" width="12.140625" style="745" customWidth="1"/>
    <col min="15374" max="15374" width="5.7109375" style="745" customWidth="1"/>
    <col min="15375" max="15375" width="11.140625" style="745" customWidth="1"/>
    <col min="15376" max="15376" width="15.42578125" style="745" customWidth="1"/>
    <col min="15377" max="15377" width="14.7109375" style="745" customWidth="1"/>
    <col min="15378" max="15378" width="13.42578125" style="745" customWidth="1"/>
    <col min="15379" max="15379" width="15" style="745" customWidth="1"/>
    <col min="15380" max="15380" width="25.28515625" style="745" customWidth="1"/>
    <col min="15381" max="15381" width="25.7109375" style="745" customWidth="1"/>
    <col min="15382" max="15616" width="9.140625" style="745"/>
    <col min="15617" max="15617" width="5" style="745" customWidth="1"/>
    <col min="15618" max="15618" width="29.85546875" style="745" customWidth="1"/>
    <col min="15619" max="15619" width="6" style="745" customWidth="1"/>
    <col min="15620" max="15620" width="5.7109375" style="745" customWidth="1"/>
    <col min="15621" max="15621" width="5.85546875" style="745" customWidth="1"/>
    <col min="15622" max="15622" width="12.42578125" style="745" customWidth="1"/>
    <col min="15623" max="15623" width="6.140625" style="745" customWidth="1"/>
    <col min="15624" max="15624" width="9.42578125" style="745" customWidth="1"/>
    <col min="15625" max="15625" width="12.5703125" style="745" customWidth="1"/>
    <col min="15626" max="15626" width="6.28515625" style="745" customWidth="1"/>
    <col min="15627" max="15627" width="11.42578125" style="745" customWidth="1"/>
    <col min="15628" max="15628" width="6.85546875" style="745" customWidth="1"/>
    <col min="15629" max="15629" width="12.140625" style="745" customWidth="1"/>
    <col min="15630" max="15630" width="5.7109375" style="745" customWidth="1"/>
    <col min="15631" max="15631" width="11.140625" style="745" customWidth="1"/>
    <col min="15632" max="15632" width="15.42578125" style="745" customWidth="1"/>
    <col min="15633" max="15633" width="14.7109375" style="745" customWidth="1"/>
    <col min="15634" max="15634" width="13.42578125" style="745" customWidth="1"/>
    <col min="15635" max="15635" width="15" style="745" customWidth="1"/>
    <col min="15636" max="15636" width="25.28515625" style="745" customWidth="1"/>
    <col min="15637" max="15637" width="25.7109375" style="745" customWidth="1"/>
    <col min="15638" max="15872" width="9.140625" style="745"/>
    <col min="15873" max="15873" width="5" style="745" customWidth="1"/>
    <col min="15874" max="15874" width="29.85546875" style="745" customWidth="1"/>
    <col min="15875" max="15875" width="6" style="745" customWidth="1"/>
    <col min="15876" max="15876" width="5.7109375" style="745" customWidth="1"/>
    <col min="15877" max="15877" width="5.85546875" style="745" customWidth="1"/>
    <col min="15878" max="15878" width="12.42578125" style="745" customWidth="1"/>
    <col min="15879" max="15879" width="6.140625" style="745" customWidth="1"/>
    <col min="15880" max="15880" width="9.42578125" style="745" customWidth="1"/>
    <col min="15881" max="15881" width="12.5703125" style="745" customWidth="1"/>
    <col min="15882" max="15882" width="6.28515625" style="745" customWidth="1"/>
    <col min="15883" max="15883" width="11.42578125" style="745" customWidth="1"/>
    <col min="15884" max="15884" width="6.85546875" style="745" customWidth="1"/>
    <col min="15885" max="15885" width="12.140625" style="745" customWidth="1"/>
    <col min="15886" max="15886" width="5.7109375" style="745" customWidth="1"/>
    <col min="15887" max="15887" width="11.140625" style="745" customWidth="1"/>
    <col min="15888" max="15888" width="15.42578125" style="745" customWidth="1"/>
    <col min="15889" max="15889" width="14.7109375" style="745" customWidth="1"/>
    <col min="15890" max="15890" width="13.42578125" style="745" customWidth="1"/>
    <col min="15891" max="15891" width="15" style="745" customWidth="1"/>
    <col min="15892" max="15892" width="25.28515625" style="745" customWidth="1"/>
    <col min="15893" max="15893" width="25.7109375" style="745" customWidth="1"/>
    <col min="15894" max="16128" width="9.140625" style="745"/>
    <col min="16129" max="16129" width="5" style="745" customWidth="1"/>
    <col min="16130" max="16130" width="29.85546875" style="745" customWidth="1"/>
    <col min="16131" max="16131" width="6" style="745" customWidth="1"/>
    <col min="16132" max="16132" width="5.7109375" style="745" customWidth="1"/>
    <col min="16133" max="16133" width="5.85546875" style="745" customWidth="1"/>
    <col min="16134" max="16134" width="12.42578125" style="745" customWidth="1"/>
    <col min="16135" max="16135" width="6.140625" style="745" customWidth="1"/>
    <col min="16136" max="16136" width="9.42578125" style="745" customWidth="1"/>
    <col min="16137" max="16137" width="12.5703125" style="745" customWidth="1"/>
    <col min="16138" max="16138" width="6.28515625" style="745" customWidth="1"/>
    <col min="16139" max="16139" width="11.42578125" style="745" customWidth="1"/>
    <col min="16140" max="16140" width="6.85546875" style="745" customWidth="1"/>
    <col min="16141" max="16141" width="12.140625" style="745" customWidth="1"/>
    <col min="16142" max="16142" width="5.7109375" style="745" customWidth="1"/>
    <col min="16143" max="16143" width="11.140625" style="745" customWidth="1"/>
    <col min="16144" max="16144" width="15.42578125" style="745" customWidth="1"/>
    <col min="16145" max="16145" width="14.7109375" style="745" customWidth="1"/>
    <col min="16146" max="16146" width="13.42578125" style="745" customWidth="1"/>
    <col min="16147" max="16147" width="15" style="745" customWidth="1"/>
    <col min="16148" max="16148" width="25.28515625" style="745" customWidth="1"/>
    <col min="16149" max="16149" width="25.7109375" style="745" customWidth="1"/>
    <col min="16150" max="16384" width="9.140625" style="745"/>
  </cols>
  <sheetData>
    <row r="1" spans="1:29" ht="14.25" customHeight="1">
      <c r="B1" s="904"/>
      <c r="C1" s="904"/>
      <c r="D1" s="904"/>
      <c r="E1" s="747"/>
      <c r="F1" s="748"/>
      <c r="G1" s="2263" t="s">
        <v>529</v>
      </c>
      <c r="H1" s="2263"/>
      <c r="I1" s="2263"/>
      <c r="J1" s="2263"/>
      <c r="K1" s="2263"/>
      <c r="L1" s="2263"/>
      <c r="M1" s="2263"/>
      <c r="N1" s="2263"/>
      <c r="O1" s="2263"/>
      <c r="P1" s="2263"/>
      <c r="Q1" s="2263"/>
    </row>
    <row r="2" spans="1:29" ht="25.5" customHeight="1">
      <c r="B2" s="2259" t="s">
        <v>530</v>
      </c>
      <c r="C2" s="2259"/>
      <c r="D2" s="2259"/>
      <c r="E2" s="2259"/>
      <c r="F2" s="748"/>
      <c r="G2" s="2264" t="s">
        <v>562</v>
      </c>
      <c r="H2" s="2264"/>
      <c r="I2" s="2264"/>
      <c r="J2" s="2264"/>
      <c r="K2" s="2264"/>
      <c r="L2" s="2264"/>
      <c r="M2" s="2264"/>
      <c r="N2" s="2264"/>
      <c r="O2" s="2264"/>
      <c r="P2" s="2264"/>
      <c r="Q2" s="2264"/>
    </row>
    <row r="3" spans="1:29" ht="12" customHeight="1">
      <c r="E3" s="747"/>
      <c r="F3" s="748"/>
      <c r="G3" s="2264" t="s">
        <v>531</v>
      </c>
      <c r="H3" s="2264"/>
      <c r="I3" s="2264"/>
      <c r="J3" s="2264"/>
      <c r="K3" s="2264"/>
      <c r="L3" s="2264"/>
      <c r="M3" s="2264"/>
      <c r="N3" s="2264"/>
      <c r="O3" s="2265"/>
      <c r="P3" s="2265"/>
      <c r="Q3" s="750"/>
    </row>
    <row r="4" spans="1:29" ht="13.5" customHeight="1">
      <c r="E4" s="747"/>
      <c r="F4" s="748"/>
      <c r="G4" s="748"/>
      <c r="H4" s="748"/>
      <c r="I4" s="2261" t="s">
        <v>565</v>
      </c>
      <c r="J4" s="2261"/>
      <c r="K4" s="2261"/>
      <c r="L4" s="2261"/>
      <c r="M4" s="2261"/>
      <c r="N4" s="2266"/>
      <c r="O4" s="2266"/>
      <c r="P4" s="2266"/>
      <c r="Q4" s="2266"/>
    </row>
    <row r="5" spans="1:29" ht="13.5" customHeight="1">
      <c r="E5" s="747"/>
      <c r="F5" s="748"/>
      <c r="G5" s="2261" t="s">
        <v>532</v>
      </c>
      <c r="H5" s="2261"/>
      <c r="I5" s="2261"/>
      <c r="J5" s="2261"/>
      <c r="K5" s="2261"/>
      <c r="L5" s="2261"/>
      <c r="M5" s="2261"/>
      <c r="N5" s="2262"/>
      <c r="O5" s="2262"/>
      <c r="P5" s="2262"/>
      <c r="Q5" s="2262"/>
    </row>
    <row r="6" spans="1:29" ht="22.5" customHeight="1">
      <c r="E6" s="747"/>
      <c r="F6" s="2267" t="s">
        <v>566</v>
      </c>
      <c r="G6" s="2267"/>
      <c r="H6" s="2267"/>
      <c r="I6" s="2267"/>
      <c r="J6" s="2267"/>
      <c r="K6" s="2267"/>
      <c r="L6" s="2267"/>
      <c r="M6" s="2267"/>
      <c r="N6" s="2268"/>
      <c r="O6" s="2268"/>
      <c r="P6" s="2268"/>
      <c r="Q6" s="2268"/>
    </row>
    <row r="7" spans="1:29" s="751" customFormat="1" ht="11.25" customHeight="1">
      <c r="B7" s="752"/>
      <c r="C7" s="752"/>
      <c r="D7" s="752"/>
      <c r="E7" s="752"/>
      <c r="F7" s="753"/>
      <c r="G7" s="2269" t="s">
        <v>533</v>
      </c>
      <c r="H7" s="2269"/>
      <c r="I7" s="2269"/>
      <c r="J7" s="2269"/>
      <c r="K7" s="2269"/>
      <c r="L7" s="2269"/>
      <c r="M7" s="2269"/>
      <c r="N7" s="2268"/>
      <c r="O7" s="2268"/>
      <c r="P7" s="2268"/>
      <c r="Q7" s="2268"/>
    </row>
    <row r="8" spans="1:29" s="751" customFormat="1" ht="14.25" customHeight="1">
      <c r="B8" s="752"/>
      <c r="C8" s="752"/>
      <c r="D8" s="752"/>
      <c r="E8" s="752"/>
      <c r="F8" s="752"/>
      <c r="G8" s="897"/>
      <c r="H8" s="897"/>
      <c r="I8" s="897"/>
      <c r="J8" s="897"/>
      <c r="K8" s="897"/>
      <c r="L8" s="897"/>
      <c r="M8" s="897"/>
    </row>
    <row r="9" spans="1:29" ht="12.75" customHeight="1">
      <c r="B9" s="2263"/>
      <c r="C9" s="2263"/>
      <c r="D9" s="2263"/>
      <c r="E9" s="2263"/>
      <c r="F9" s="2263"/>
      <c r="G9" s="2263"/>
      <c r="H9" s="2263"/>
      <c r="I9" s="2263"/>
      <c r="J9" s="2263"/>
      <c r="K9" s="2263"/>
      <c r="L9" s="2263"/>
      <c r="M9" s="2263"/>
      <c r="N9" s="2263"/>
      <c r="O9" s="2263"/>
      <c r="P9" s="2263"/>
      <c r="Q9" s="2263"/>
    </row>
    <row r="10" spans="1:29" ht="15" customHeight="1">
      <c r="A10" s="2263" t="s">
        <v>573</v>
      </c>
      <c r="B10" s="2263"/>
      <c r="C10" s="2263"/>
      <c r="D10" s="2263"/>
      <c r="E10" s="2263"/>
      <c r="F10" s="2263"/>
      <c r="G10" s="2263"/>
      <c r="H10" s="2263"/>
      <c r="I10" s="2263"/>
      <c r="J10" s="2263"/>
      <c r="K10" s="2263"/>
      <c r="L10" s="2263"/>
      <c r="M10" s="2263"/>
      <c r="N10" s="2263"/>
      <c r="O10" s="2263"/>
      <c r="P10" s="2263"/>
      <c r="Q10" s="2263"/>
      <c r="T10" s="755"/>
    </row>
    <row r="11" spans="1:29" ht="12.75" customHeight="1">
      <c r="A11" s="2270"/>
      <c r="B11" s="2271"/>
      <c r="C11" s="2271"/>
      <c r="D11" s="2271"/>
      <c r="E11" s="2271"/>
      <c r="F11" s="2271"/>
      <c r="G11" s="2271"/>
      <c r="H11" s="2271"/>
      <c r="I11" s="2271"/>
      <c r="J11" s="2271"/>
      <c r="K11" s="2271"/>
      <c r="L11" s="2271"/>
      <c r="M11" s="2271"/>
      <c r="N11" s="2271"/>
      <c r="O11" s="2271"/>
      <c r="P11" s="2271"/>
      <c r="Q11" s="2271"/>
    </row>
    <row r="12" spans="1:29">
      <c r="A12" s="2264" t="s">
        <v>561</v>
      </c>
      <c r="B12" s="2264"/>
      <c r="C12" s="2264"/>
      <c r="D12" s="2264"/>
      <c r="E12" s="2264"/>
      <c r="F12" s="2264"/>
      <c r="G12" s="2264"/>
      <c r="H12" s="2264"/>
      <c r="I12" s="2264"/>
      <c r="J12" s="2264"/>
      <c r="K12" s="2264"/>
      <c r="L12" s="2264"/>
      <c r="M12" s="2264"/>
      <c r="N12" s="2264"/>
      <c r="O12" s="2264"/>
      <c r="P12" s="2264"/>
      <c r="Q12" s="2264"/>
      <c r="T12" s="748"/>
      <c r="U12" s="748"/>
      <c r="V12" s="748"/>
      <c r="W12" s="2263"/>
      <c r="X12" s="2263"/>
      <c r="Y12" s="2263"/>
      <c r="Z12" s="2263"/>
      <c r="AA12" s="2263"/>
      <c r="AB12" s="2263"/>
      <c r="AC12" s="2263"/>
    </row>
    <row r="13" spans="1:29" ht="13.5" thickBot="1">
      <c r="B13" s="903"/>
      <c r="C13" s="903"/>
      <c r="D13" s="903"/>
      <c r="E13" s="903"/>
      <c r="F13" s="903"/>
      <c r="G13" s="903"/>
      <c r="H13" s="903"/>
      <c r="I13" s="903"/>
      <c r="J13" s="903"/>
      <c r="K13" s="903"/>
      <c r="L13" s="903"/>
      <c r="M13" s="903"/>
      <c r="N13" s="903"/>
      <c r="O13" s="903"/>
      <c r="P13" s="903"/>
      <c r="Q13" s="745" t="s">
        <v>534</v>
      </c>
      <c r="T13" s="748"/>
      <c r="U13" s="2264"/>
      <c r="V13" s="2264"/>
      <c r="W13" s="2272"/>
      <c r="X13" s="2272"/>
      <c r="Y13" s="2272"/>
      <c r="Z13" s="2272"/>
      <c r="AA13" s="2272"/>
      <c r="AB13" s="2272"/>
      <c r="AC13" s="2272"/>
    </row>
    <row r="14" spans="1:29" s="757" customFormat="1" ht="69.75" customHeight="1" thickBot="1">
      <c r="A14" s="2276" t="s">
        <v>535</v>
      </c>
      <c r="B14" s="2276" t="s">
        <v>536</v>
      </c>
      <c r="C14" s="2276" t="s">
        <v>8</v>
      </c>
      <c r="D14" s="2276" t="s">
        <v>9</v>
      </c>
      <c r="E14" s="2276" t="s">
        <v>10</v>
      </c>
      <c r="F14" s="2276" t="s">
        <v>537</v>
      </c>
      <c r="G14" s="2276" t="s">
        <v>538</v>
      </c>
      <c r="H14" s="2276" t="s">
        <v>539</v>
      </c>
      <c r="I14" s="2276" t="s">
        <v>540</v>
      </c>
      <c r="J14" s="2278" t="s">
        <v>17</v>
      </c>
      <c r="K14" s="2279"/>
      <c r="L14" s="2278" t="s">
        <v>18</v>
      </c>
      <c r="M14" s="2279"/>
      <c r="N14" s="2278" t="s">
        <v>541</v>
      </c>
      <c r="O14" s="2279"/>
      <c r="P14" s="2276" t="s">
        <v>542</v>
      </c>
      <c r="Q14" s="2273" t="s">
        <v>543</v>
      </c>
      <c r="T14" s="748"/>
      <c r="U14" s="748"/>
      <c r="V14" s="748"/>
      <c r="W14" s="2261"/>
      <c r="X14" s="2261"/>
      <c r="Y14" s="2261"/>
      <c r="Z14" s="2261"/>
      <c r="AA14" s="2261"/>
      <c r="AB14" s="2261"/>
      <c r="AC14" s="2261"/>
    </row>
    <row r="15" spans="1:29" s="757" customFormat="1" ht="58.5" customHeight="1" thickBot="1">
      <c r="A15" s="2277"/>
      <c r="B15" s="2277"/>
      <c r="C15" s="2277"/>
      <c r="D15" s="2277"/>
      <c r="E15" s="2277"/>
      <c r="F15" s="2277"/>
      <c r="G15" s="2277"/>
      <c r="H15" s="2277"/>
      <c r="I15" s="2277"/>
      <c r="J15" s="902" t="s">
        <v>21</v>
      </c>
      <c r="K15" s="902" t="s">
        <v>22</v>
      </c>
      <c r="L15" s="902" t="s">
        <v>21</v>
      </c>
      <c r="M15" s="902" t="s">
        <v>22</v>
      </c>
      <c r="N15" s="902" t="s">
        <v>21</v>
      </c>
      <c r="O15" s="902" t="s">
        <v>544</v>
      </c>
      <c r="P15" s="2277"/>
      <c r="Q15" s="2274"/>
      <c r="T15" s="748"/>
      <c r="U15" s="2275"/>
      <c r="V15" s="2275"/>
      <c r="W15" s="2275"/>
      <c r="X15" s="2275"/>
      <c r="Y15" s="2275"/>
      <c r="Z15" s="2275"/>
      <c r="AA15" s="2275"/>
      <c r="AB15" s="2275"/>
      <c r="AC15" s="2275"/>
    </row>
    <row r="16" spans="1:29" ht="35.25" customHeight="1">
      <c r="A16" s="856"/>
      <c r="B16" s="863" t="s">
        <v>545</v>
      </c>
      <c r="C16" s="863"/>
      <c r="D16" s="863"/>
      <c r="E16" s="864"/>
      <c r="F16" s="865"/>
      <c r="G16" s="865"/>
      <c r="H16" s="865"/>
      <c r="I16" s="866"/>
      <c r="J16" s="866"/>
      <c r="K16" s="866"/>
      <c r="L16" s="866"/>
      <c r="M16" s="866"/>
      <c r="N16" s="866"/>
      <c r="O16" s="866"/>
      <c r="P16" s="867"/>
      <c r="Q16" s="868"/>
      <c r="T16" s="2280"/>
      <c r="U16" s="2280"/>
      <c r="V16" s="2280"/>
      <c r="W16" s="2280"/>
      <c r="X16" s="2280"/>
      <c r="Y16" s="2280"/>
      <c r="Z16" s="2280"/>
      <c r="AA16" s="2280"/>
      <c r="AB16" s="2280"/>
      <c r="AC16" s="2280"/>
    </row>
    <row r="17" spans="1:29" ht="12.75" customHeight="1">
      <c r="A17" s="759">
        <v>1</v>
      </c>
      <c r="B17" s="760" t="s">
        <v>546</v>
      </c>
      <c r="C17" s="761" t="s">
        <v>28</v>
      </c>
      <c r="D17" s="761" t="s">
        <v>29</v>
      </c>
      <c r="E17" s="762">
        <v>3</v>
      </c>
      <c r="F17" s="763">
        <v>1</v>
      </c>
      <c r="G17" s="764">
        <v>6.22</v>
      </c>
      <c r="H17" s="765">
        <v>17697</v>
      </c>
      <c r="I17" s="765">
        <f t="shared" ref="I17:I34" si="0">G17*H17</f>
        <v>110075.34</v>
      </c>
      <c r="J17" s="766">
        <v>0</v>
      </c>
      <c r="K17" s="767">
        <f>ROUND(I17*J17,2)+(M17*J17)</f>
        <v>0</v>
      </c>
      <c r="L17" s="766">
        <v>0.1</v>
      </c>
      <c r="M17" s="768">
        <f t="shared" ref="M17:M34" si="1">ROUND(I17*L17*F17,2)</f>
        <v>11007.53</v>
      </c>
      <c r="N17" s="766"/>
      <c r="O17" s="767">
        <f>ROUND(H17*N17,2)*2</f>
        <v>0</v>
      </c>
      <c r="P17" s="765">
        <f t="shared" ref="P17:P32" si="2">ROUND((I17*F17)+M17+K17+O17,2)</f>
        <v>121082.87</v>
      </c>
      <c r="Q17" s="769">
        <f>P17*12</f>
        <v>1452994.44</v>
      </c>
      <c r="S17" s="770"/>
      <c r="T17" s="752"/>
      <c r="U17" s="2281"/>
      <c r="V17" s="2281"/>
      <c r="W17" s="2281"/>
      <c r="X17" s="2281"/>
      <c r="Y17" s="2281"/>
      <c r="Z17" s="2281"/>
      <c r="AA17" s="2281"/>
      <c r="AB17" s="2281"/>
      <c r="AC17" s="2281"/>
    </row>
    <row r="18" spans="1:29" ht="12.75" customHeight="1">
      <c r="A18" s="759">
        <v>2</v>
      </c>
      <c r="B18" s="771" t="s">
        <v>32</v>
      </c>
      <c r="C18" s="772" t="s">
        <v>28</v>
      </c>
      <c r="D18" s="772" t="s">
        <v>29</v>
      </c>
      <c r="E18" s="773" t="s">
        <v>44</v>
      </c>
      <c r="F18" s="774">
        <v>2</v>
      </c>
      <c r="G18" s="11">
        <v>5.77</v>
      </c>
      <c r="H18" s="775">
        <v>17697</v>
      </c>
      <c r="I18" s="775">
        <f t="shared" si="0"/>
        <v>102111.68999999999</v>
      </c>
      <c r="J18" s="776">
        <v>0</v>
      </c>
      <c r="K18" s="777">
        <f>ROUND(I18*J18,2)+(M18*J18)</f>
        <v>0</v>
      </c>
      <c r="L18" s="776">
        <v>0.1</v>
      </c>
      <c r="M18" s="778">
        <f t="shared" si="1"/>
        <v>20422.34</v>
      </c>
      <c r="N18" s="776"/>
      <c r="O18" s="777">
        <f t="shared" ref="O18:O34" si="3">ROUND(H18*N18,2)</f>
        <v>0</v>
      </c>
      <c r="P18" s="775">
        <f t="shared" si="2"/>
        <v>224645.72</v>
      </c>
      <c r="Q18" s="779">
        <f t="shared" ref="Q18:Q34" si="4">P18*12</f>
        <v>2695748.64</v>
      </c>
      <c r="R18" s="780"/>
      <c r="S18" s="770"/>
      <c r="T18" s="752"/>
      <c r="U18" s="897"/>
      <c r="V18" s="897"/>
      <c r="W18" s="897"/>
      <c r="X18" s="897"/>
      <c r="Y18" s="897"/>
      <c r="Z18" s="897"/>
      <c r="AA18" s="897"/>
      <c r="AB18" s="897"/>
      <c r="AC18" s="897"/>
    </row>
    <row r="19" spans="1:29" ht="12.75" customHeight="1">
      <c r="A19" s="759">
        <v>3</v>
      </c>
      <c r="B19" s="771" t="s">
        <v>32</v>
      </c>
      <c r="C19" s="772" t="s">
        <v>28</v>
      </c>
      <c r="D19" s="772" t="s">
        <v>29</v>
      </c>
      <c r="E19" s="773" t="s">
        <v>44</v>
      </c>
      <c r="F19" s="774">
        <v>1</v>
      </c>
      <c r="G19" s="11">
        <v>5.77</v>
      </c>
      <c r="H19" s="775">
        <v>17697</v>
      </c>
      <c r="I19" s="775">
        <f>G19*H19</f>
        <v>102111.68999999999</v>
      </c>
      <c r="J19" s="776">
        <v>0.25</v>
      </c>
      <c r="K19" s="777">
        <f>I19*J19</f>
        <v>25527.922499999997</v>
      </c>
      <c r="L19" s="776">
        <v>0.1</v>
      </c>
      <c r="M19" s="778">
        <f>ROUND(I19*L19*F19,2)</f>
        <v>10211.17</v>
      </c>
      <c r="N19" s="776"/>
      <c r="O19" s="777">
        <f>ROUND(H19*N19,2)</f>
        <v>0</v>
      </c>
      <c r="P19" s="775">
        <f>ROUND((I19*F19)+M19+K19+O19,2)</f>
        <v>137850.78</v>
      </c>
      <c r="Q19" s="779">
        <f>P19*12</f>
        <v>1654209.3599999999</v>
      </c>
      <c r="R19" s="780"/>
      <c r="S19" s="770"/>
      <c r="T19" s="752"/>
      <c r="U19" s="897"/>
      <c r="V19" s="897"/>
      <c r="W19" s="897"/>
      <c r="X19" s="897"/>
      <c r="Y19" s="897"/>
      <c r="Z19" s="897"/>
      <c r="AA19" s="897"/>
      <c r="AB19" s="897"/>
      <c r="AC19" s="897"/>
    </row>
    <row r="20" spans="1:29" ht="12.75" customHeight="1">
      <c r="A20" s="759">
        <v>4</v>
      </c>
      <c r="B20" s="771" t="s">
        <v>42</v>
      </c>
      <c r="C20" s="761" t="s">
        <v>28</v>
      </c>
      <c r="D20" s="761" t="s">
        <v>29</v>
      </c>
      <c r="E20" s="781" t="s">
        <v>44</v>
      </c>
      <c r="F20" s="763">
        <v>1</v>
      </c>
      <c r="G20" s="782">
        <v>5.91</v>
      </c>
      <c r="H20" s="765">
        <v>17697</v>
      </c>
      <c r="I20" s="765">
        <f t="shared" si="0"/>
        <v>104589.27</v>
      </c>
      <c r="J20" s="766">
        <v>0</v>
      </c>
      <c r="K20" s="767">
        <f>ROUND(I20*J20,2)+(M20*J20)</f>
        <v>0</v>
      </c>
      <c r="L20" s="766">
        <v>0.1</v>
      </c>
      <c r="M20" s="768">
        <f t="shared" si="1"/>
        <v>10458.93</v>
      </c>
      <c r="N20" s="783"/>
      <c r="O20" s="767">
        <f t="shared" si="3"/>
        <v>0</v>
      </c>
      <c r="P20" s="765">
        <f>ROUND((I20*F20)+M20+K20+O20,2)</f>
        <v>115048.2</v>
      </c>
      <c r="Q20" s="769">
        <f t="shared" si="4"/>
        <v>1380578.4</v>
      </c>
      <c r="R20" s="780"/>
      <c r="S20" s="770"/>
      <c r="T20" s="784"/>
      <c r="U20" s="770"/>
    </row>
    <row r="21" spans="1:29" ht="12.75" customHeight="1">
      <c r="A21" s="759">
        <v>5</v>
      </c>
      <c r="B21" s="771" t="s">
        <v>46</v>
      </c>
      <c r="C21" s="761" t="s">
        <v>28</v>
      </c>
      <c r="D21" s="761" t="s">
        <v>29</v>
      </c>
      <c r="E21" s="781" t="s">
        <v>44</v>
      </c>
      <c r="F21" s="763">
        <v>1</v>
      </c>
      <c r="G21" s="782">
        <v>5.91</v>
      </c>
      <c r="H21" s="765">
        <v>17697</v>
      </c>
      <c r="I21" s="765">
        <f t="shared" si="0"/>
        <v>104589.27</v>
      </c>
      <c r="J21" s="785">
        <v>0</v>
      </c>
      <c r="K21" s="786">
        <v>0</v>
      </c>
      <c r="L21" s="766">
        <v>0.1</v>
      </c>
      <c r="M21" s="768">
        <f t="shared" si="1"/>
        <v>10458.93</v>
      </c>
      <c r="N21" s="783"/>
      <c r="O21" s="767">
        <f t="shared" si="3"/>
        <v>0</v>
      </c>
      <c r="P21" s="765">
        <f>ROUND((I21*F21)+M21+K21+O21,2)</f>
        <v>115048.2</v>
      </c>
      <c r="Q21" s="769">
        <f t="shared" si="4"/>
        <v>1380578.4</v>
      </c>
      <c r="R21" s="780"/>
      <c r="S21" s="770"/>
      <c r="T21" s="784"/>
      <c r="U21" s="770"/>
    </row>
    <row r="22" spans="1:29" ht="13.5" customHeight="1">
      <c r="A22" s="759">
        <v>6</v>
      </c>
      <c r="B22" s="760" t="s">
        <v>547</v>
      </c>
      <c r="C22" s="761" t="s">
        <v>28</v>
      </c>
      <c r="D22" s="761" t="s">
        <v>35</v>
      </c>
      <c r="E22" s="781" t="s">
        <v>30</v>
      </c>
      <c r="F22" s="763">
        <v>1</v>
      </c>
      <c r="G22" s="782">
        <v>5.61</v>
      </c>
      <c r="H22" s="765">
        <v>17697</v>
      </c>
      <c r="I22" s="765">
        <f t="shared" si="0"/>
        <v>99280.170000000013</v>
      </c>
      <c r="J22" s="766">
        <v>0</v>
      </c>
      <c r="K22" s="767">
        <f>ROUND(I22*J22,2)</f>
        <v>0</v>
      </c>
      <c r="L22" s="766">
        <v>0.1</v>
      </c>
      <c r="M22" s="768">
        <f t="shared" si="1"/>
        <v>9928.02</v>
      </c>
      <c r="N22" s="783"/>
      <c r="O22" s="767">
        <f t="shared" si="3"/>
        <v>0</v>
      </c>
      <c r="P22" s="765">
        <f t="shared" si="2"/>
        <v>109208.19</v>
      </c>
      <c r="Q22" s="769">
        <f t="shared" si="4"/>
        <v>1310498.28</v>
      </c>
      <c r="S22" s="770"/>
      <c r="T22" s="784"/>
      <c r="U22" s="770"/>
    </row>
    <row r="23" spans="1:29" ht="13.5" customHeight="1">
      <c r="A23" s="759">
        <v>7</v>
      </c>
      <c r="B23" s="760" t="s">
        <v>548</v>
      </c>
      <c r="C23" s="761" t="s">
        <v>56</v>
      </c>
      <c r="D23" s="787" t="s">
        <v>56</v>
      </c>
      <c r="E23" s="781" t="s">
        <v>30</v>
      </c>
      <c r="F23" s="763">
        <v>1</v>
      </c>
      <c r="G23" s="782">
        <v>4.2699999999999996</v>
      </c>
      <c r="H23" s="765">
        <v>17697</v>
      </c>
      <c r="I23" s="765">
        <f t="shared" si="0"/>
        <v>75566.189999999988</v>
      </c>
      <c r="J23" s="766">
        <v>0</v>
      </c>
      <c r="K23" s="767">
        <f>ROUND(I23*J23,2)</f>
        <v>0</v>
      </c>
      <c r="L23" s="766">
        <v>0.1</v>
      </c>
      <c r="M23" s="768">
        <f t="shared" si="1"/>
        <v>7556.62</v>
      </c>
      <c r="N23" s="783"/>
      <c r="O23" s="767">
        <f t="shared" si="3"/>
        <v>0</v>
      </c>
      <c r="P23" s="765">
        <f t="shared" si="2"/>
        <v>83122.81</v>
      </c>
      <c r="Q23" s="769">
        <f t="shared" si="4"/>
        <v>997473.72</v>
      </c>
      <c r="S23" s="770"/>
      <c r="T23" s="784"/>
      <c r="U23" s="770"/>
    </row>
    <row r="24" spans="1:29" ht="13.5" customHeight="1">
      <c r="A24" s="759">
        <v>8</v>
      </c>
      <c r="B24" s="760" t="s">
        <v>59</v>
      </c>
      <c r="C24" s="761" t="s">
        <v>61</v>
      </c>
      <c r="D24" s="787" t="s">
        <v>61</v>
      </c>
      <c r="E24" s="781" t="s">
        <v>156</v>
      </c>
      <c r="F24" s="763">
        <v>1</v>
      </c>
      <c r="G24" s="788">
        <v>3.04</v>
      </c>
      <c r="H24" s="765">
        <v>17697</v>
      </c>
      <c r="I24" s="765">
        <f t="shared" si="0"/>
        <v>53798.879999999997</v>
      </c>
      <c r="J24" s="766">
        <v>0</v>
      </c>
      <c r="K24" s="767">
        <f t="shared" ref="K24:K34" si="5">ROUND(I24*J24,2)</f>
        <v>0</v>
      </c>
      <c r="L24" s="766">
        <v>0.1</v>
      </c>
      <c r="M24" s="768">
        <f t="shared" si="1"/>
        <v>5379.89</v>
      </c>
      <c r="N24" s="783"/>
      <c r="O24" s="767">
        <f t="shared" si="3"/>
        <v>0</v>
      </c>
      <c r="P24" s="765">
        <f t="shared" si="2"/>
        <v>59178.77</v>
      </c>
      <c r="Q24" s="769">
        <f t="shared" si="4"/>
        <v>710145.24</v>
      </c>
      <c r="S24" s="770"/>
      <c r="T24" s="784"/>
      <c r="U24" s="770"/>
    </row>
    <row r="25" spans="1:29" ht="13.5" customHeight="1">
      <c r="A25" s="759">
        <v>9</v>
      </c>
      <c r="B25" s="760" t="s">
        <v>549</v>
      </c>
      <c r="C25" s="789" t="s">
        <v>69</v>
      </c>
      <c r="D25" s="789" t="s">
        <v>69</v>
      </c>
      <c r="E25" s="781" t="s">
        <v>30</v>
      </c>
      <c r="F25" s="763">
        <v>1</v>
      </c>
      <c r="G25" s="790">
        <v>3.57</v>
      </c>
      <c r="H25" s="765">
        <v>17697</v>
      </c>
      <c r="I25" s="765">
        <f t="shared" si="0"/>
        <v>63178.289999999994</v>
      </c>
      <c r="J25" s="766">
        <v>0</v>
      </c>
      <c r="K25" s="767">
        <f t="shared" si="5"/>
        <v>0</v>
      </c>
      <c r="L25" s="766">
        <v>0.1</v>
      </c>
      <c r="M25" s="768">
        <f t="shared" si="1"/>
        <v>6317.83</v>
      </c>
      <c r="N25" s="783"/>
      <c r="O25" s="767">
        <f t="shared" si="3"/>
        <v>0</v>
      </c>
      <c r="P25" s="765">
        <f t="shared" si="2"/>
        <v>69496.12</v>
      </c>
      <c r="Q25" s="769">
        <f t="shared" si="4"/>
        <v>833953.44</v>
      </c>
      <c r="S25" s="770"/>
      <c r="T25" s="784"/>
      <c r="U25" s="770"/>
    </row>
    <row r="26" spans="1:29" ht="13.5" customHeight="1">
      <c r="A26" s="759">
        <v>10</v>
      </c>
      <c r="B26" s="760" t="s">
        <v>549</v>
      </c>
      <c r="C26" s="789" t="s">
        <v>69</v>
      </c>
      <c r="D26" s="789" t="s">
        <v>69</v>
      </c>
      <c r="E26" s="781" t="s">
        <v>30</v>
      </c>
      <c r="F26" s="763">
        <v>2</v>
      </c>
      <c r="G26" s="790">
        <v>3.31</v>
      </c>
      <c r="H26" s="765">
        <v>17697</v>
      </c>
      <c r="I26" s="765">
        <f>G26*H26</f>
        <v>58577.07</v>
      </c>
      <c r="J26" s="766">
        <v>0</v>
      </c>
      <c r="K26" s="767">
        <f t="shared" si="5"/>
        <v>0</v>
      </c>
      <c r="L26" s="766">
        <v>0.1</v>
      </c>
      <c r="M26" s="768">
        <f>ROUND(I26*L26*F26,2)</f>
        <v>11715.41</v>
      </c>
      <c r="N26" s="783"/>
      <c r="O26" s="767">
        <f>ROUND(H26*N26,2)</f>
        <v>0</v>
      </c>
      <c r="P26" s="765">
        <f>ROUND((I26*F26)+M26+K26+O26,2)</f>
        <v>128869.55</v>
      </c>
      <c r="Q26" s="769">
        <f>P26*12</f>
        <v>1546434.6</v>
      </c>
      <c r="S26" s="770"/>
      <c r="T26" s="784"/>
      <c r="U26" s="770"/>
    </row>
    <row r="27" spans="1:29" ht="13.5" customHeight="1">
      <c r="A27" s="759">
        <v>11</v>
      </c>
      <c r="B27" s="760" t="s">
        <v>86</v>
      </c>
      <c r="C27" s="787" t="s">
        <v>56</v>
      </c>
      <c r="D27" s="787" t="s">
        <v>56</v>
      </c>
      <c r="E27" s="781" t="s">
        <v>57</v>
      </c>
      <c r="F27" s="763">
        <v>1</v>
      </c>
      <c r="G27" s="788">
        <v>3.5</v>
      </c>
      <c r="H27" s="765">
        <v>17697</v>
      </c>
      <c r="I27" s="765">
        <f t="shared" si="0"/>
        <v>61939.5</v>
      </c>
      <c r="J27" s="766">
        <v>0</v>
      </c>
      <c r="K27" s="767">
        <f t="shared" si="5"/>
        <v>0</v>
      </c>
      <c r="L27" s="766">
        <v>0.1</v>
      </c>
      <c r="M27" s="768">
        <f t="shared" si="1"/>
        <v>6193.95</v>
      </c>
      <c r="N27" s="783"/>
      <c r="O27" s="767">
        <f t="shared" si="3"/>
        <v>0</v>
      </c>
      <c r="P27" s="765">
        <f t="shared" si="2"/>
        <v>68133.45</v>
      </c>
      <c r="Q27" s="769">
        <f t="shared" si="4"/>
        <v>817601.39999999991</v>
      </c>
      <c r="S27" s="770"/>
      <c r="T27" s="784"/>
      <c r="U27" s="770"/>
    </row>
    <row r="28" spans="1:29" ht="13.5" customHeight="1">
      <c r="A28" s="759">
        <v>12</v>
      </c>
      <c r="B28" s="760" t="s">
        <v>86</v>
      </c>
      <c r="C28" s="787" t="s">
        <v>56</v>
      </c>
      <c r="D28" s="787" t="s">
        <v>56</v>
      </c>
      <c r="E28" s="781" t="s">
        <v>30</v>
      </c>
      <c r="F28" s="763">
        <v>1</v>
      </c>
      <c r="G28" s="788">
        <v>4.43</v>
      </c>
      <c r="H28" s="765">
        <v>17697</v>
      </c>
      <c r="I28" s="765">
        <f>G28*H28</f>
        <v>78397.709999999992</v>
      </c>
      <c r="J28" s="766">
        <v>0</v>
      </c>
      <c r="K28" s="767">
        <f t="shared" si="5"/>
        <v>0</v>
      </c>
      <c r="L28" s="766">
        <v>0.1</v>
      </c>
      <c r="M28" s="768">
        <f>ROUND(I28*L28*F28,2)</f>
        <v>7839.77</v>
      </c>
      <c r="N28" s="783"/>
      <c r="O28" s="767">
        <f>ROUND(H28*N28,2)</f>
        <v>0</v>
      </c>
      <c r="P28" s="765">
        <f>ROUND((I28*F28)+M28+K28+O28,2)</f>
        <v>86237.48</v>
      </c>
      <c r="Q28" s="769">
        <f>P28*12</f>
        <v>1034849.76</v>
      </c>
      <c r="S28" s="770"/>
      <c r="T28" s="784"/>
      <c r="U28" s="770"/>
    </row>
    <row r="29" spans="1:29" ht="13.5" customHeight="1">
      <c r="A29" s="759">
        <v>13</v>
      </c>
      <c r="B29" s="760" t="s">
        <v>86</v>
      </c>
      <c r="C29" s="787" t="s">
        <v>56</v>
      </c>
      <c r="D29" s="787" t="s">
        <v>56</v>
      </c>
      <c r="E29" s="781" t="s">
        <v>30</v>
      </c>
      <c r="F29" s="763">
        <v>1</v>
      </c>
      <c r="G29" s="788">
        <v>4.0999999999999996</v>
      </c>
      <c r="H29" s="765">
        <v>17697</v>
      </c>
      <c r="I29" s="765">
        <f>G29*H29</f>
        <v>72557.7</v>
      </c>
      <c r="J29" s="766">
        <v>0</v>
      </c>
      <c r="K29" s="767">
        <f t="shared" si="5"/>
        <v>0</v>
      </c>
      <c r="L29" s="766">
        <v>0.1</v>
      </c>
      <c r="M29" s="768">
        <f>ROUND(I29*L29*F29,2)</f>
        <v>7255.77</v>
      </c>
      <c r="N29" s="783"/>
      <c r="O29" s="767">
        <f>ROUND(H29*N29,2)</f>
        <v>0</v>
      </c>
      <c r="P29" s="765">
        <f>ROUND((I29*F29)+M29+K29+O29,2)</f>
        <v>79813.47</v>
      </c>
      <c r="Q29" s="769">
        <f>P29*12</f>
        <v>957761.64</v>
      </c>
      <c r="S29" s="770"/>
      <c r="T29" s="784"/>
      <c r="U29" s="770"/>
    </row>
    <row r="30" spans="1:29" ht="13.5" customHeight="1">
      <c r="A30" s="759">
        <v>14</v>
      </c>
      <c r="B30" s="760" t="s">
        <v>95</v>
      </c>
      <c r="C30" s="761" t="s">
        <v>56</v>
      </c>
      <c r="D30" s="787" t="s">
        <v>56</v>
      </c>
      <c r="E30" s="781" t="s">
        <v>57</v>
      </c>
      <c r="F30" s="763">
        <v>0.5</v>
      </c>
      <c r="G30" s="788">
        <v>4.1900000000000004</v>
      </c>
      <c r="H30" s="765">
        <v>17697</v>
      </c>
      <c r="I30" s="765">
        <f t="shared" si="0"/>
        <v>74150.430000000008</v>
      </c>
      <c r="J30" s="766">
        <v>0</v>
      </c>
      <c r="K30" s="767">
        <f t="shared" si="5"/>
        <v>0</v>
      </c>
      <c r="L30" s="766">
        <v>0.1</v>
      </c>
      <c r="M30" s="768">
        <f t="shared" si="1"/>
        <v>3707.52</v>
      </c>
      <c r="N30" s="783"/>
      <c r="O30" s="767">
        <f t="shared" si="3"/>
        <v>0</v>
      </c>
      <c r="P30" s="765">
        <f t="shared" si="2"/>
        <v>40782.74</v>
      </c>
      <c r="Q30" s="769">
        <f>P30*12</f>
        <v>489392.88</v>
      </c>
      <c r="S30" s="770"/>
      <c r="T30" s="784"/>
      <c r="U30" s="770"/>
    </row>
    <row r="31" spans="1:29" ht="13.5" customHeight="1">
      <c r="A31" s="759">
        <v>15</v>
      </c>
      <c r="B31" s="760" t="s">
        <v>95</v>
      </c>
      <c r="C31" s="761" t="s">
        <v>56</v>
      </c>
      <c r="D31" s="787" t="s">
        <v>56</v>
      </c>
      <c r="E31" s="781" t="s">
        <v>57</v>
      </c>
      <c r="F31" s="763">
        <v>0.5</v>
      </c>
      <c r="G31" s="788">
        <v>4.43</v>
      </c>
      <c r="H31" s="765">
        <v>17697</v>
      </c>
      <c r="I31" s="765">
        <f t="shared" si="0"/>
        <v>78397.709999999992</v>
      </c>
      <c r="J31" s="766">
        <v>0</v>
      </c>
      <c r="K31" s="767">
        <f t="shared" si="5"/>
        <v>0</v>
      </c>
      <c r="L31" s="766">
        <v>0.1</v>
      </c>
      <c r="M31" s="768">
        <f t="shared" si="1"/>
        <v>3919.89</v>
      </c>
      <c r="N31" s="783"/>
      <c r="O31" s="767">
        <f t="shared" si="3"/>
        <v>0</v>
      </c>
      <c r="P31" s="765">
        <f t="shared" si="2"/>
        <v>43118.75</v>
      </c>
      <c r="Q31" s="769">
        <f>P31*12</f>
        <v>517425</v>
      </c>
      <c r="S31" s="770"/>
      <c r="T31" s="784"/>
      <c r="U31" s="770"/>
    </row>
    <row r="32" spans="1:29" ht="13.5" customHeight="1">
      <c r="A32" s="759">
        <v>16</v>
      </c>
      <c r="B32" s="791" t="s">
        <v>79</v>
      </c>
      <c r="C32" s="761" t="s">
        <v>56</v>
      </c>
      <c r="D32" s="787" t="s">
        <v>56</v>
      </c>
      <c r="E32" s="781" t="s">
        <v>57</v>
      </c>
      <c r="F32" s="782">
        <v>0.5</v>
      </c>
      <c r="G32" s="788">
        <v>4.43</v>
      </c>
      <c r="H32" s="765">
        <v>17697</v>
      </c>
      <c r="I32" s="765">
        <f t="shared" si="0"/>
        <v>78397.709999999992</v>
      </c>
      <c r="J32" s="766">
        <v>0</v>
      </c>
      <c r="K32" s="767">
        <f t="shared" si="5"/>
        <v>0</v>
      </c>
      <c r="L32" s="766">
        <v>0.1</v>
      </c>
      <c r="M32" s="768">
        <f t="shared" si="1"/>
        <v>3919.89</v>
      </c>
      <c r="N32" s="783"/>
      <c r="O32" s="767">
        <f t="shared" si="3"/>
        <v>0</v>
      </c>
      <c r="P32" s="765">
        <f t="shared" si="2"/>
        <v>43118.75</v>
      </c>
      <c r="Q32" s="769">
        <f t="shared" si="4"/>
        <v>517425</v>
      </c>
      <c r="S32" s="770"/>
      <c r="T32" s="784"/>
      <c r="U32" s="770"/>
    </row>
    <row r="33" spans="1:22" ht="13.5" customHeight="1">
      <c r="A33" s="759">
        <v>17</v>
      </c>
      <c r="B33" s="792" t="s">
        <v>71</v>
      </c>
      <c r="C33" s="761" t="s">
        <v>56</v>
      </c>
      <c r="D33" s="787" t="s">
        <v>56</v>
      </c>
      <c r="E33" s="781" t="s">
        <v>57</v>
      </c>
      <c r="F33" s="782">
        <v>0.5</v>
      </c>
      <c r="G33" s="788">
        <v>3.31</v>
      </c>
      <c r="H33" s="765">
        <v>17697</v>
      </c>
      <c r="I33" s="765">
        <f t="shared" si="0"/>
        <v>58577.07</v>
      </c>
      <c r="J33" s="766">
        <v>0</v>
      </c>
      <c r="K33" s="767">
        <f t="shared" si="5"/>
        <v>0</v>
      </c>
      <c r="L33" s="766">
        <v>0.1</v>
      </c>
      <c r="M33" s="768">
        <f t="shared" si="1"/>
        <v>2928.85</v>
      </c>
      <c r="N33" s="783">
        <v>0.2</v>
      </c>
      <c r="O33" s="767">
        <f t="shared" si="3"/>
        <v>3539.4</v>
      </c>
      <c r="P33" s="765">
        <f>ROUND((I33*F33)+M33+K33+O33,2)</f>
        <v>35756.79</v>
      </c>
      <c r="Q33" s="769">
        <f t="shared" si="4"/>
        <v>429081.48</v>
      </c>
      <c r="S33" s="770"/>
      <c r="T33" s="784"/>
      <c r="U33" s="770"/>
    </row>
    <row r="34" spans="1:22" ht="13.5" customHeight="1">
      <c r="A34" s="759">
        <v>17</v>
      </c>
      <c r="B34" s="792" t="s">
        <v>71</v>
      </c>
      <c r="C34" s="761" t="s">
        <v>56</v>
      </c>
      <c r="D34" s="787" t="s">
        <v>56</v>
      </c>
      <c r="E34" s="781" t="s">
        <v>57</v>
      </c>
      <c r="F34" s="782">
        <v>0.5</v>
      </c>
      <c r="G34" s="788">
        <v>4.43</v>
      </c>
      <c r="H34" s="765">
        <v>17697</v>
      </c>
      <c r="I34" s="765">
        <f t="shared" si="0"/>
        <v>78397.709999999992</v>
      </c>
      <c r="J34" s="766">
        <v>0</v>
      </c>
      <c r="K34" s="767">
        <f t="shared" si="5"/>
        <v>0</v>
      </c>
      <c r="L34" s="766">
        <v>0.1</v>
      </c>
      <c r="M34" s="768">
        <f t="shared" si="1"/>
        <v>3919.89</v>
      </c>
      <c r="N34" s="783">
        <v>0.2</v>
      </c>
      <c r="O34" s="767">
        <f t="shared" si="3"/>
        <v>3539.4</v>
      </c>
      <c r="P34" s="765">
        <f>ROUND((I34*F34)+M34+K34+O34,2)</f>
        <v>46658.15</v>
      </c>
      <c r="Q34" s="769">
        <f t="shared" si="4"/>
        <v>559897.80000000005</v>
      </c>
      <c r="S34" s="770"/>
      <c r="T34" s="784"/>
      <c r="U34" s="770"/>
    </row>
    <row r="35" spans="1:22" s="793" customFormat="1" ht="14.25" customHeight="1">
      <c r="A35" s="2293" t="s">
        <v>550</v>
      </c>
      <c r="B35" s="2294"/>
      <c r="C35" s="898"/>
      <c r="D35" s="898"/>
      <c r="E35" s="849"/>
      <c r="F35" s="841">
        <f>SUM(F17:F34)</f>
        <v>17.5</v>
      </c>
      <c r="G35" s="850"/>
      <c r="H35" s="850"/>
      <c r="I35" s="841">
        <f>SUM(I17:I34)</f>
        <v>1454693.4</v>
      </c>
      <c r="J35" s="850"/>
      <c r="K35" s="841">
        <f>SUM(K17:K34)</f>
        <v>25527.922499999997</v>
      </c>
      <c r="L35" s="850"/>
      <c r="M35" s="841">
        <f>SUM(M17:M34)</f>
        <v>143142.20000000004</v>
      </c>
      <c r="N35" s="850"/>
      <c r="O35" s="841">
        <f>SUM(O17:O34)</f>
        <v>7078.8</v>
      </c>
      <c r="P35" s="841">
        <f>ROUND(SUM(P17:P34),2)</f>
        <v>1607170.79</v>
      </c>
      <c r="Q35" s="851">
        <f>SUM(Q17:Q34)</f>
        <v>19286049.48</v>
      </c>
      <c r="S35" s="794"/>
      <c r="T35" s="795"/>
      <c r="U35" s="795"/>
    </row>
    <row r="36" spans="1:22" ht="21.75" customHeight="1">
      <c r="A36" s="856"/>
      <c r="B36" s="869" t="s">
        <v>551</v>
      </c>
      <c r="C36" s="870"/>
      <c r="D36" s="870"/>
      <c r="E36" s="859"/>
      <c r="F36" s="861"/>
      <c r="G36" s="861"/>
      <c r="H36" s="861"/>
      <c r="I36" s="861"/>
      <c r="J36" s="861"/>
      <c r="K36" s="861"/>
      <c r="L36" s="861"/>
      <c r="M36" s="861"/>
      <c r="N36" s="861"/>
      <c r="O36" s="861"/>
      <c r="P36" s="861"/>
      <c r="Q36" s="862"/>
      <c r="R36" s="780"/>
      <c r="S36" s="770"/>
      <c r="U36" s="770"/>
    </row>
    <row r="37" spans="1:22" s="821" customFormat="1" ht="14.25" customHeight="1">
      <c r="A37" s="796"/>
      <c r="B37" s="797" t="s">
        <v>552</v>
      </c>
      <c r="C37" s="156"/>
      <c r="D37" s="156"/>
      <c r="E37" s="55"/>
      <c r="F37" s="798">
        <v>126.88</v>
      </c>
      <c r="G37" s="11"/>
      <c r="H37" s="775">
        <v>17697</v>
      </c>
      <c r="I37" s="775">
        <v>9806330.4600000009</v>
      </c>
      <c r="J37" s="776">
        <v>0.25</v>
      </c>
      <c r="K37" s="799">
        <v>263614.02</v>
      </c>
      <c r="L37" s="776">
        <v>0.1</v>
      </c>
      <c r="M37" s="800">
        <v>1006994.45</v>
      </c>
      <c r="N37" s="776"/>
      <c r="O37" s="799">
        <f>ROUND(H37*N37,2)</f>
        <v>0</v>
      </c>
      <c r="P37" s="775">
        <v>11076938.93</v>
      </c>
      <c r="Q37" s="779">
        <f>P37*12</f>
        <v>132923267.16</v>
      </c>
      <c r="R37" s="821">
        <f>I37*F37</f>
        <v>1244227208.7648001</v>
      </c>
      <c r="S37" s="823"/>
      <c r="T37" s="822"/>
      <c r="U37" s="823"/>
    </row>
    <row r="38" spans="1:22" s="801" customFormat="1" ht="13.5" customHeight="1">
      <c r="A38" s="2285" t="s">
        <v>553</v>
      </c>
      <c r="B38" s="2286"/>
      <c r="C38" s="898"/>
      <c r="D38" s="898"/>
      <c r="E38" s="837"/>
      <c r="F38" s="838">
        <f>SUM(F37:F37)</f>
        <v>126.88</v>
      </c>
      <c r="G38" s="838"/>
      <c r="H38" s="838"/>
      <c r="I38" s="839">
        <f>SUM(I37:I37)</f>
        <v>9806330.4600000009</v>
      </c>
      <c r="J38" s="839"/>
      <c r="K38" s="839">
        <v>263614.02</v>
      </c>
      <c r="L38" s="839"/>
      <c r="M38" s="839">
        <f>SUM(M37:M37)</f>
        <v>1006994.45</v>
      </c>
      <c r="N38" s="840"/>
      <c r="O38" s="839">
        <f>SUM(O37:O37)</f>
        <v>0</v>
      </c>
      <c r="P38" s="841">
        <f>SUM(P37:P37)</f>
        <v>11076938.93</v>
      </c>
      <c r="Q38" s="842">
        <f>SUM(Q37:Q37)</f>
        <v>132923267.16</v>
      </c>
      <c r="S38" s="794"/>
      <c r="T38" s="795"/>
      <c r="U38" s="795"/>
      <c r="V38" s="794"/>
    </row>
    <row r="39" spans="1:22" ht="45.75" customHeight="1">
      <c r="A39" s="856"/>
      <c r="B39" s="857" t="s">
        <v>554</v>
      </c>
      <c r="C39" s="858"/>
      <c r="D39" s="858"/>
      <c r="E39" s="859"/>
      <c r="F39" s="860"/>
      <c r="G39" s="860"/>
      <c r="H39" s="860"/>
      <c r="I39" s="861"/>
      <c r="J39" s="861"/>
      <c r="K39" s="861"/>
      <c r="L39" s="861"/>
      <c r="M39" s="861"/>
      <c r="N39" s="861"/>
      <c r="O39" s="861"/>
      <c r="P39" s="861"/>
      <c r="Q39" s="862"/>
      <c r="R39" s="755"/>
      <c r="S39" s="784"/>
      <c r="T39" s="784"/>
      <c r="U39" s="784"/>
    </row>
    <row r="40" spans="1:22" s="821" customFormat="1" ht="15.75" customHeight="1">
      <c r="A40" s="824">
        <v>1</v>
      </c>
      <c r="B40" s="791" t="s">
        <v>555</v>
      </c>
      <c r="C40" s="825"/>
      <c r="D40" s="825"/>
      <c r="E40" s="826">
        <v>2</v>
      </c>
      <c r="F40" s="827">
        <v>9.3000000000000007</v>
      </c>
      <c r="G40" s="827">
        <v>2.81</v>
      </c>
      <c r="H40" s="828">
        <v>17697</v>
      </c>
      <c r="I40" s="828">
        <v>462475.7</v>
      </c>
      <c r="J40" s="829">
        <v>0</v>
      </c>
      <c r="K40" s="830">
        <f>ROUND(I40*J40,2)</f>
        <v>0</v>
      </c>
      <c r="L40" s="829">
        <v>0.1</v>
      </c>
      <c r="M40" s="831">
        <v>46247.57</v>
      </c>
      <c r="N40" s="829">
        <v>0.3</v>
      </c>
      <c r="O40" s="830">
        <v>49374.63</v>
      </c>
      <c r="P40" s="828">
        <f t="shared" ref="P40:P45" si="6">O40+M40+I40</f>
        <v>558097.9</v>
      </c>
      <c r="Q40" s="832">
        <f t="shared" ref="Q40:Q45" si="7">P40*12</f>
        <v>6697174.8000000007</v>
      </c>
      <c r="S40" s="823"/>
      <c r="T40" s="822"/>
      <c r="U40" s="823"/>
    </row>
    <row r="41" spans="1:22" s="821" customFormat="1" ht="30">
      <c r="A41" s="824">
        <v>2</v>
      </c>
      <c r="B41" s="771" t="s">
        <v>556</v>
      </c>
      <c r="C41" s="825"/>
      <c r="D41" s="825"/>
      <c r="E41" s="826">
        <v>4</v>
      </c>
      <c r="F41" s="827">
        <v>1.5</v>
      </c>
      <c r="G41" s="827">
        <v>2.89</v>
      </c>
      <c r="H41" s="828">
        <v>17697</v>
      </c>
      <c r="I41" s="828">
        <f>G41*H41*1.5</f>
        <v>76716.494999999995</v>
      </c>
      <c r="J41" s="829">
        <v>0</v>
      </c>
      <c r="K41" s="830">
        <f>ROUND(I41*J41,2)</f>
        <v>0</v>
      </c>
      <c r="L41" s="829">
        <v>0.1</v>
      </c>
      <c r="M41" s="831">
        <f>I41*10%</f>
        <v>7671.6494999999995</v>
      </c>
      <c r="N41" s="829"/>
      <c r="O41" s="830">
        <f>ROUND(H41*N41,2)</f>
        <v>0</v>
      </c>
      <c r="P41" s="828">
        <f t="shared" si="6"/>
        <v>84388.144499999995</v>
      </c>
      <c r="Q41" s="832">
        <f t="shared" si="7"/>
        <v>1012657.7339999999</v>
      </c>
      <c r="S41" s="822"/>
      <c r="T41" s="822"/>
      <c r="U41" s="823"/>
    </row>
    <row r="42" spans="1:22" ht="11.25" customHeight="1">
      <c r="A42" s="824">
        <v>3</v>
      </c>
      <c r="B42" s="771" t="s">
        <v>556</v>
      </c>
      <c r="C42" s="825"/>
      <c r="D42" s="825"/>
      <c r="E42" s="826">
        <v>2</v>
      </c>
      <c r="F42" s="827">
        <v>4.5</v>
      </c>
      <c r="G42" s="827">
        <v>2.81</v>
      </c>
      <c r="H42" s="828">
        <v>17697</v>
      </c>
      <c r="I42" s="828">
        <f>G42*H42*F42</f>
        <v>223778.565</v>
      </c>
      <c r="J42" s="829"/>
      <c r="K42" s="830"/>
      <c r="L42" s="829">
        <v>0.1</v>
      </c>
      <c r="M42" s="831">
        <f>I42*10%</f>
        <v>22377.856500000002</v>
      </c>
      <c r="N42" s="829"/>
      <c r="O42" s="830">
        <f>ROUND(H42*N42,2)</f>
        <v>0</v>
      </c>
      <c r="P42" s="828">
        <f t="shared" si="6"/>
        <v>246156.4215</v>
      </c>
      <c r="Q42" s="832">
        <f t="shared" si="7"/>
        <v>2953877.0580000002</v>
      </c>
      <c r="S42" s="784"/>
      <c r="T42" s="784"/>
      <c r="U42" s="770"/>
    </row>
    <row r="43" spans="1:22" s="821" customFormat="1" ht="11.25" customHeight="1">
      <c r="A43" s="824">
        <v>4</v>
      </c>
      <c r="B43" s="771" t="s">
        <v>358</v>
      </c>
      <c r="C43" s="825"/>
      <c r="D43" s="825"/>
      <c r="E43" s="826">
        <v>1</v>
      </c>
      <c r="F43" s="827">
        <v>1</v>
      </c>
      <c r="G43" s="827">
        <v>2.77</v>
      </c>
      <c r="H43" s="828">
        <v>17697</v>
      </c>
      <c r="I43" s="828">
        <f>G43*H43</f>
        <v>49020.69</v>
      </c>
      <c r="J43" s="829"/>
      <c r="K43" s="830"/>
      <c r="L43" s="829">
        <v>0.1</v>
      </c>
      <c r="M43" s="831">
        <f>ROUND(I43*L43*F43,2)</f>
        <v>4902.07</v>
      </c>
      <c r="N43" s="829"/>
      <c r="O43" s="830">
        <f>ROUND(H43*N43,2)</f>
        <v>0</v>
      </c>
      <c r="P43" s="828">
        <f t="shared" si="6"/>
        <v>53922.76</v>
      </c>
      <c r="Q43" s="832">
        <f t="shared" si="7"/>
        <v>647073.12</v>
      </c>
      <c r="S43" s="822"/>
      <c r="T43" s="822"/>
      <c r="U43" s="823"/>
    </row>
    <row r="44" spans="1:22" s="821" customFormat="1" ht="11.25" customHeight="1">
      <c r="A44" s="824">
        <v>5</v>
      </c>
      <c r="B44" s="802" t="s">
        <v>346</v>
      </c>
      <c r="C44" s="825"/>
      <c r="D44" s="825"/>
      <c r="E44" s="826">
        <v>1</v>
      </c>
      <c r="F44" s="827">
        <v>9</v>
      </c>
      <c r="G44" s="833">
        <v>2.77</v>
      </c>
      <c r="H44" s="828">
        <v>17697</v>
      </c>
      <c r="I44" s="828">
        <v>441186.21</v>
      </c>
      <c r="J44" s="829"/>
      <c r="K44" s="830"/>
      <c r="L44" s="829">
        <v>0.1</v>
      </c>
      <c r="M44" s="831">
        <v>44118.62</v>
      </c>
      <c r="N44" s="829">
        <v>0.40939999999999999</v>
      </c>
      <c r="O44" s="830">
        <v>111954.06</v>
      </c>
      <c r="P44" s="828">
        <f t="shared" si="6"/>
        <v>597258.89</v>
      </c>
      <c r="Q44" s="832">
        <f t="shared" si="7"/>
        <v>7167106.6799999997</v>
      </c>
      <c r="S44" s="822"/>
      <c r="T44" s="822"/>
      <c r="U44" s="823"/>
    </row>
    <row r="45" spans="1:22" s="821" customFormat="1" ht="11.25" customHeight="1">
      <c r="A45" s="824">
        <v>6</v>
      </c>
      <c r="B45" s="803" t="s">
        <v>557</v>
      </c>
      <c r="C45" s="825"/>
      <c r="D45" s="825"/>
      <c r="E45" s="834">
        <v>1</v>
      </c>
      <c r="F45" s="835">
        <v>1</v>
      </c>
      <c r="G45" s="833">
        <v>2.77</v>
      </c>
      <c r="H45" s="828">
        <v>17697</v>
      </c>
      <c r="I45" s="828">
        <f>G45*H45</f>
        <v>49020.69</v>
      </c>
      <c r="J45" s="829"/>
      <c r="K45" s="830"/>
      <c r="L45" s="829">
        <v>0.1</v>
      </c>
      <c r="M45" s="831">
        <f>ROUND(I45*L45*F45,2)</f>
        <v>4902.07</v>
      </c>
      <c r="N45" s="829"/>
      <c r="O45" s="830">
        <f>ROUND(H45*N45,2)</f>
        <v>0</v>
      </c>
      <c r="P45" s="828">
        <f t="shared" si="6"/>
        <v>53922.76</v>
      </c>
      <c r="Q45" s="832">
        <f t="shared" si="7"/>
        <v>647073.12</v>
      </c>
      <c r="S45" s="822"/>
      <c r="T45" s="822"/>
      <c r="U45" s="823"/>
    </row>
    <row r="46" spans="1:22" s="801" customFormat="1" ht="20.25" customHeight="1" thickBot="1">
      <c r="A46" s="2287" t="s">
        <v>359</v>
      </c>
      <c r="B46" s="2288"/>
      <c r="C46" s="843"/>
      <c r="D46" s="843"/>
      <c r="E46" s="844"/>
      <c r="F46" s="845">
        <f>SUM(F39:F45)</f>
        <v>26.3</v>
      </c>
      <c r="G46" s="846"/>
      <c r="H46" s="845"/>
      <c r="I46" s="845"/>
      <c r="J46" s="845"/>
      <c r="K46" s="845">
        <f>SUM(K39:K45)</f>
        <v>0</v>
      </c>
      <c r="L46" s="845"/>
      <c r="M46" s="847">
        <f>SUM(M39:M45)</f>
        <v>130219.83600000001</v>
      </c>
      <c r="N46" s="845"/>
      <c r="O46" s="847">
        <f>SUM(O39:O45)</f>
        <v>161328.69</v>
      </c>
      <c r="P46" s="847">
        <f>SUM(P39:P45)</f>
        <v>1593746.8759999999</v>
      </c>
      <c r="Q46" s="848">
        <f>SUM(Q39:Q45)</f>
        <v>19124962.511999998</v>
      </c>
      <c r="S46" s="804"/>
      <c r="T46" s="805"/>
      <c r="U46" s="795"/>
    </row>
    <row r="47" spans="1:22" s="801" customFormat="1" ht="19.5" customHeight="1" thickBot="1">
      <c r="A47" s="2289" t="s">
        <v>558</v>
      </c>
      <c r="B47" s="2290"/>
      <c r="C47" s="899"/>
      <c r="D47" s="899"/>
      <c r="E47" s="853"/>
      <c r="F47" s="854">
        <f>F35+F38+F46</f>
        <v>170.68</v>
      </c>
      <c r="G47" s="855"/>
      <c r="H47" s="855"/>
      <c r="I47" s="855"/>
      <c r="J47" s="855"/>
      <c r="K47" s="853">
        <f>K38+K35</f>
        <v>289141.9425</v>
      </c>
      <c r="L47" s="855"/>
      <c r="M47" s="853">
        <f>M35+M38+M46</f>
        <v>1280356.486</v>
      </c>
      <c r="N47" s="855">
        <f>N35+N38+N46</f>
        <v>0</v>
      </c>
      <c r="O47" s="853">
        <f>O35+O38+O46</f>
        <v>168407.49</v>
      </c>
      <c r="P47" s="853">
        <f>P35+P38+P46-3539.42</f>
        <v>14274317.175999999</v>
      </c>
      <c r="Q47" s="853">
        <f>P47*12</f>
        <v>171291806.11199999</v>
      </c>
      <c r="R47" s="794"/>
      <c r="S47" s="806"/>
      <c r="T47" s="806"/>
      <c r="U47" s="806"/>
    </row>
    <row r="48" spans="1:22">
      <c r="S48" s="2282"/>
      <c r="T48" s="808"/>
      <c r="U48" s="808"/>
    </row>
    <row r="49" spans="1:21" ht="15" customHeight="1">
      <c r="B49" s="904" t="s">
        <v>53</v>
      </c>
      <c r="C49" s="904"/>
      <c r="D49" s="904"/>
      <c r="E49" s="900"/>
      <c r="F49" s="900"/>
      <c r="G49" s="900"/>
      <c r="H49" s="810"/>
      <c r="I49" s="2291"/>
      <c r="J49" s="2291"/>
      <c r="K49" s="2291"/>
      <c r="L49" s="2291"/>
      <c r="M49" s="2291"/>
      <c r="N49" s="2291"/>
      <c r="O49" s="2291"/>
      <c r="P49" s="811"/>
      <c r="S49" s="2282"/>
      <c r="T49" s="812"/>
      <c r="U49" s="812"/>
    </row>
    <row r="50" spans="1:21">
      <c r="F50" s="901" t="s">
        <v>559</v>
      </c>
      <c r="I50" s="2292" t="s">
        <v>560</v>
      </c>
      <c r="J50" s="2292"/>
      <c r="K50" s="2292"/>
      <c r="L50" s="2292"/>
      <c r="M50" s="2292"/>
      <c r="N50" s="2292"/>
      <c r="O50" s="2292"/>
      <c r="P50" s="811"/>
      <c r="S50" s="814"/>
      <c r="T50" s="815"/>
      <c r="U50" s="815"/>
    </row>
    <row r="51" spans="1:21">
      <c r="N51" s="816"/>
      <c r="P51" s="811"/>
      <c r="Q51" s="780"/>
      <c r="S51" s="784"/>
      <c r="T51" s="784"/>
      <c r="U51" s="784"/>
    </row>
    <row r="52" spans="1:21">
      <c r="A52" s="784"/>
      <c r="P52" s="811"/>
      <c r="S52" s="2282"/>
      <c r="T52" s="808"/>
      <c r="U52" s="808"/>
    </row>
    <row r="53" spans="1:21">
      <c r="A53" s="784"/>
      <c r="N53" s="816"/>
      <c r="S53" s="2282"/>
      <c r="T53" s="812"/>
      <c r="U53" s="812"/>
    </row>
    <row r="54" spans="1:21" s="818" customFormat="1" ht="41.25" customHeight="1">
      <c r="A54" s="817"/>
      <c r="B54" s="2283"/>
      <c r="C54" s="2283"/>
      <c r="D54" s="2283"/>
      <c r="E54" s="2284"/>
      <c r="F54" s="2284"/>
      <c r="G54" s="2284"/>
      <c r="H54" s="2284"/>
      <c r="I54" s="2284"/>
      <c r="J54" s="2284"/>
      <c r="K54" s="2284"/>
      <c r="L54" s="2284"/>
      <c r="M54" s="2284"/>
      <c r="N54" s="2284"/>
      <c r="O54" s="2284"/>
      <c r="P54" s="2284"/>
      <c r="Q54" s="2284"/>
      <c r="S54" s="817"/>
      <c r="T54" s="817"/>
      <c r="U54" s="817"/>
    </row>
    <row r="55" spans="1:21">
      <c r="A55" s="784"/>
      <c r="S55" s="2282"/>
      <c r="T55" s="808"/>
      <c r="U55" s="808"/>
    </row>
    <row r="56" spans="1:21" s="818" customFormat="1">
      <c r="A56" s="817"/>
      <c r="B56" s="2283"/>
      <c r="C56" s="2283"/>
      <c r="D56" s="2283"/>
      <c r="E56" s="2284"/>
      <c r="F56" s="2284"/>
      <c r="G56" s="2284"/>
      <c r="H56" s="2284"/>
      <c r="I56" s="2284"/>
      <c r="J56" s="2284"/>
      <c r="K56" s="2284"/>
      <c r="L56" s="2284"/>
      <c r="M56" s="2284"/>
      <c r="N56" s="819"/>
      <c r="O56" s="819"/>
      <c r="P56" s="819"/>
      <c r="S56" s="2282"/>
      <c r="T56" s="820"/>
      <c r="U56" s="820"/>
    </row>
    <row r="57" spans="1:21">
      <c r="A57" s="784"/>
    </row>
    <row r="58" spans="1:21">
      <c r="M58" s="811"/>
    </row>
  </sheetData>
  <mergeCells count="44">
    <mergeCell ref="U17:AC17"/>
    <mergeCell ref="S52:S53"/>
    <mergeCell ref="B54:Q54"/>
    <mergeCell ref="S55:S56"/>
    <mergeCell ref="B56:M56"/>
    <mergeCell ref="A38:B38"/>
    <mergeCell ref="A46:B46"/>
    <mergeCell ref="A47:B47"/>
    <mergeCell ref="S48:S49"/>
    <mergeCell ref="I49:O49"/>
    <mergeCell ref="I50:O50"/>
    <mergeCell ref="A35:B35"/>
    <mergeCell ref="F14:F15"/>
    <mergeCell ref="G14:G15"/>
    <mergeCell ref="T16:AC16"/>
    <mergeCell ref="N14:O14"/>
    <mergeCell ref="P14:P15"/>
    <mergeCell ref="W12:AC12"/>
    <mergeCell ref="U13:V13"/>
    <mergeCell ref="W13:AC13"/>
    <mergeCell ref="A12:Q12"/>
    <mergeCell ref="Q14:Q15"/>
    <mergeCell ref="W14:AC14"/>
    <mergeCell ref="U15:AC15"/>
    <mergeCell ref="H14:H15"/>
    <mergeCell ref="I14:I15"/>
    <mergeCell ref="J14:K14"/>
    <mergeCell ref="L14:M14"/>
    <mergeCell ref="A14:A15"/>
    <mergeCell ref="B14:B15"/>
    <mergeCell ref="C14:C15"/>
    <mergeCell ref="D14:D15"/>
    <mergeCell ref="E14:E15"/>
    <mergeCell ref="F6:Q6"/>
    <mergeCell ref="G7:Q7"/>
    <mergeCell ref="B9:Q9"/>
    <mergeCell ref="A10:Q10"/>
    <mergeCell ref="A11:Q11"/>
    <mergeCell ref="G5:Q5"/>
    <mergeCell ref="G1:Q1"/>
    <mergeCell ref="B2:E2"/>
    <mergeCell ref="G2:Q2"/>
    <mergeCell ref="G3:P3"/>
    <mergeCell ref="I4:Q4"/>
  </mergeCells>
  <pageMargins left="0.98425196850393704" right="0.19685039370078741" top="0.27559055118110237" bottom="0.23622047244094491" header="0.23622047244094491" footer="0.23622047244094491"/>
  <pageSetup paperSize="9" scale="65" orientation="landscape" r:id="rId1"/>
  <headerFooter alignWithMargins="0"/>
  <colBreaks count="1" manualBreakCount="1">
    <brk id="17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14">
    <tabColor rgb="FF7030A0"/>
  </sheetPr>
  <dimension ref="A1:AR120"/>
  <sheetViews>
    <sheetView topLeftCell="A83" zoomScale="70" zoomScaleNormal="70" zoomScaleSheetLayoutView="40" workbookViewId="0">
      <pane xSplit="2" topLeftCell="C1" activePane="topRight" state="frozen"/>
      <selection pane="topRight" activeCell="W109" sqref="W109"/>
    </sheetView>
  </sheetViews>
  <sheetFormatPr defaultRowHeight="12.75"/>
  <cols>
    <col min="1" max="1" width="23.140625" style="1" customWidth="1"/>
    <col min="2" max="2" width="17.28515625" style="1766" customWidth="1"/>
    <col min="3" max="3" width="12.85546875" style="1" customWidth="1"/>
    <col min="4" max="4" width="14.140625" style="1" customWidth="1"/>
    <col min="5" max="5" width="13.28515625" style="1" customWidth="1"/>
    <col min="6" max="6" width="7.42578125" style="1" customWidth="1"/>
    <col min="7" max="7" width="4.7109375" style="1" customWidth="1"/>
    <col min="8" max="8" width="8.5703125" style="1" customWidth="1"/>
    <col min="9" max="9" width="5.5703125" style="1" customWidth="1"/>
    <col min="10" max="10" width="11.5703125" style="1" customWidth="1"/>
    <col min="11" max="11" width="12.28515625" style="1" customWidth="1"/>
    <col min="12" max="12" width="10.85546875" style="1" customWidth="1"/>
    <col min="13" max="13" width="13" style="1766" customWidth="1"/>
    <col min="14" max="14" width="8.5703125" style="1" customWidth="1"/>
    <col min="15" max="15" width="16.28515625" style="1" customWidth="1"/>
    <col min="16" max="16" width="14.28515625" style="1" customWidth="1"/>
    <col min="17" max="18" width="11.42578125" style="1" customWidth="1"/>
    <col min="19" max="19" width="9" style="1" customWidth="1"/>
    <col min="20" max="20" width="15.140625" style="1" customWidth="1"/>
    <col min="21" max="21" width="8.5703125" style="1" customWidth="1"/>
    <col min="22" max="22" width="0.140625" style="1" customWidth="1"/>
    <col min="23" max="23" width="15.28515625" style="1" customWidth="1"/>
    <col min="24" max="25" width="18.28515625" style="1" hidden="1" customWidth="1"/>
    <col min="26" max="26" width="13" style="24" hidden="1" customWidth="1"/>
    <col min="27" max="27" width="16" style="24" hidden="1" customWidth="1"/>
    <col min="28" max="28" width="13" style="24" hidden="1" customWidth="1"/>
    <col min="29" max="29" width="12" style="24" hidden="1" customWidth="1"/>
    <col min="30" max="32" width="0" style="24" hidden="1" customWidth="1"/>
    <col min="33" max="33" width="11.28515625" style="24" hidden="1" customWidth="1"/>
    <col min="34" max="34" width="10.7109375" style="24" hidden="1" customWidth="1"/>
    <col min="35" max="35" width="0" style="24" hidden="1" customWidth="1"/>
    <col min="36" max="36" width="11.42578125" style="23" bestFit="1" customWidth="1"/>
    <col min="37" max="37" width="12.140625" style="23" bestFit="1" customWidth="1"/>
    <col min="38" max="39" width="10.28515625" style="23" bestFit="1" customWidth="1"/>
    <col min="40" max="42" width="9.140625" style="23"/>
    <col min="43" max="43" width="9.140625" style="24"/>
    <col min="44" max="256" width="9.140625" style="1"/>
    <col min="257" max="257" width="6.42578125" style="1" customWidth="1"/>
    <col min="258" max="258" width="20.7109375" style="1" customWidth="1"/>
    <col min="259" max="259" width="24.7109375" style="1" customWidth="1"/>
    <col min="260" max="260" width="11.140625" style="1" customWidth="1"/>
    <col min="261" max="261" width="12.28515625" style="1" customWidth="1"/>
    <col min="262" max="262" width="11.140625" style="1" customWidth="1"/>
    <col min="263" max="263" width="10.42578125" style="1" customWidth="1"/>
    <col min="264" max="264" width="4.7109375" style="1" customWidth="1"/>
    <col min="265" max="265" width="8.5703125" style="1" customWidth="1"/>
    <col min="266" max="266" width="5.5703125" style="1" customWidth="1"/>
    <col min="267" max="268" width="11.5703125" style="1" customWidth="1"/>
    <col min="269" max="269" width="10.85546875" style="1" customWidth="1"/>
    <col min="270" max="270" width="7.7109375" style="1" customWidth="1"/>
    <col min="271" max="271" width="8" style="1" customWidth="1"/>
    <col min="272" max="272" width="16.28515625" style="1" customWidth="1"/>
    <col min="273" max="273" width="10.5703125" style="1" customWidth="1"/>
    <col min="274" max="274" width="14.140625" style="1" customWidth="1"/>
    <col min="275" max="275" width="10.140625" style="1" customWidth="1"/>
    <col min="276" max="276" width="15.140625" style="1" customWidth="1"/>
    <col min="277" max="277" width="8.5703125" style="1" customWidth="1"/>
    <col min="278" max="278" width="14.28515625" style="1" customWidth="1"/>
    <col min="279" max="279" width="18.28515625" style="1" customWidth="1"/>
    <col min="280" max="280" width="13" style="1" bestFit="1" customWidth="1"/>
    <col min="281" max="281" width="11.7109375" style="1" bestFit="1" customWidth="1"/>
    <col min="282" max="288" width="9.140625" style="1"/>
    <col min="289" max="289" width="11.28515625" style="1" bestFit="1" customWidth="1"/>
    <col min="290" max="290" width="10.7109375" style="1" bestFit="1" customWidth="1"/>
    <col min="291" max="512" width="9.140625" style="1"/>
    <col min="513" max="513" width="6.42578125" style="1" customWidth="1"/>
    <col min="514" max="514" width="20.7109375" style="1" customWidth="1"/>
    <col min="515" max="515" width="24.7109375" style="1" customWidth="1"/>
    <col min="516" max="516" width="11.140625" style="1" customWidth="1"/>
    <col min="517" max="517" width="12.28515625" style="1" customWidth="1"/>
    <col min="518" max="518" width="11.140625" style="1" customWidth="1"/>
    <col min="519" max="519" width="10.42578125" style="1" customWidth="1"/>
    <col min="520" max="520" width="4.7109375" style="1" customWidth="1"/>
    <col min="521" max="521" width="8.5703125" style="1" customWidth="1"/>
    <col min="522" max="522" width="5.5703125" style="1" customWidth="1"/>
    <col min="523" max="524" width="11.5703125" style="1" customWidth="1"/>
    <col min="525" max="525" width="10.85546875" style="1" customWidth="1"/>
    <col min="526" max="526" width="7.7109375" style="1" customWidth="1"/>
    <col min="527" max="527" width="8" style="1" customWidth="1"/>
    <col min="528" max="528" width="16.28515625" style="1" customWidth="1"/>
    <col min="529" max="529" width="10.5703125" style="1" customWidth="1"/>
    <col min="530" max="530" width="14.140625" style="1" customWidth="1"/>
    <col min="531" max="531" width="10.140625" style="1" customWidth="1"/>
    <col min="532" max="532" width="15.140625" style="1" customWidth="1"/>
    <col min="533" max="533" width="8.5703125" style="1" customWidth="1"/>
    <col min="534" max="534" width="14.28515625" style="1" customWidth="1"/>
    <col min="535" max="535" width="18.28515625" style="1" customWidth="1"/>
    <col min="536" max="536" width="13" style="1" bestFit="1" customWidth="1"/>
    <col min="537" max="537" width="11.7109375" style="1" bestFit="1" customWidth="1"/>
    <col min="538" max="544" width="9.140625" style="1"/>
    <col min="545" max="545" width="11.28515625" style="1" bestFit="1" customWidth="1"/>
    <col min="546" max="546" width="10.7109375" style="1" bestFit="1" customWidth="1"/>
    <col min="547" max="768" width="9.140625" style="1"/>
    <col min="769" max="769" width="6.42578125" style="1" customWidth="1"/>
    <col min="770" max="770" width="20.7109375" style="1" customWidth="1"/>
    <col min="771" max="771" width="24.7109375" style="1" customWidth="1"/>
    <col min="772" max="772" width="11.140625" style="1" customWidth="1"/>
    <col min="773" max="773" width="12.28515625" style="1" customWidth="1"/>
    <col min="774" max="774" width="11.140625" style="1" customWidth="1"/>
    <col min="775" max="775" width="10.42578125" style="1" customWidth="1"/>
    <col min="776" max="776" width="4.7109375" style="1" customWidth="1"/>
    <col min="777" max="777" width="8.5703125" style="1" customWidth="1"/>
    <col min="778" max="778" width="5.5703125" style="1" customWidth="1"/>
    <col min="779" max="780" width="11.5703125" style="1" customWidth="1"/>
    <col min="781" max="781" width="10.85546875" style="1" customWidth="1"/>
    <col min="782" max="782" width="7.7109375" style="1" customWidth="1"/>
    <col min="783" max="783" width="8" style="1" customWidth="1"/>
    <col min="784" max="784" width="16.28515625" style="1" customWidth="1"/>
    <col min="785" max="785" width="10.5703125" style="1" customWidth="1"/>
    <col min="786" max="786" width="14.140625" style="1" customWidth="1"/>
    <col min="787" max="787" width="10.140625" style="1" customWidth="1"/>
    <col min="788" max="788" width="15.140625" style="1" customWidth="1"/>
    <col min="789" max="789" width="8.5703125" style="1" customWidth="1"/>
    <col min="790" max="790" width="14.28515625" style="1" customWidth="1"/>
    <col min="791" max="791" width="18.28515625" style="1" customWidth="1"/>
    <col min="792" max="792" width="13" style="1" bestFit="1" customWidth="1"/>
    <col min="793" max="793" width="11.7109375" style="1" bestFit="1" customWidth="1"/>
    <col min="794" max="800" width="9.140625" style="1"/>
    <col min="801" max="801" width="11.28515625" style="1" bestFit="1" customWidth="1"/>
    <col min="802" max="802" width="10.7109375" style="1" bestFit="1" customWidth="1"/>
    <col min="803" max="1024" width="9.140625" style="1"/>
    <col min="1025" max="1025" width="6.42578125" style="1" customWidth="1"/>
    <col min="1026" max="1026" width="20.7109375" style="1" customWidth="1"/>
    <col min="1027" max="1027" width="24.7109375" style="1" customWidth="1"/>
    <col min="1028" max="1028" width="11.140625" style="1" customWidth="1"/>
    <col min="1029" max="1029" width="12.28515625" style="1" customWidth="1"/>
    <col min="1030" max="1030" width="11.140625" style="1" customWidth="1"/>
    <col min="1031" max="1031" width="10.42578125" style="1" customWidth="1"/>
    <col min="1032" max="1032" width="4.7109375" style="1" customWidth="1"/>
    <col min="1033" max="1033" width="8.5703125" style="1" customWidth="1"/>
    <col min="1034" max="1034" width="5.5703125" style="1" customWidth="1"/>
    <col min="1035" max="1036" width="11.5703125" style="1" customWidth="1"/>
    <col min="1037" max="1037" width="10.85546875" style="1" customWidth="1"/>
    <col min="1038" max="1038" width="7.7109375" style="1" customWidth="1"/>
    <col min="1039" max="1039" width="8" style="1" customWidth="1"/>
    <col min="1040" max="1040" width="16.28515625" style="1" customWidth="1"/>
    <col min="1041" max="1041" width="10.5703125" style="1" customWidth="1"/>
    <col min="1042" max="1042" width="14.140625" style="1" customWidth="1"/>
    <col min="1043" max="1043" width="10.140625" style="1" customWidth="1"/>
    <col min="1044" max="1044" width="15.140625" style="1" customWidth="1"/>
    <col min="1045" max="1045" width="8.5703125" style="1" customWidth="1"/>
    <col min="1046" max="1046" width="14.28515625" style="1" customWidth="1"/>
    <col min="1047" max="1047" width="18.28515625" style="1" customWidth="1"/>
    <col min="1048" max="1048" width="13" style="1" bestFit="1" customWidth="1"/>
    <col min="1049" max="1049" width="11.7109375" style="1" bestFit="1" customWidth="1"/>
    <col min="1050" max="1056" width="9.140625" style="1"/>
    <col min="1057" max="1057" width="11.28515625" style="1" bestFit="1" customWidth="1"/>
    <col min="1058" max="1058" width="10.7109375" style="1" bestFit="1" customWidth="1"/>
    <col min="1059" max="1280" width="9.140625" style="1"/>
    <col min="1281" max="1281" width="6.42578125" style="1" customWidth="1"/>
    <col min="1282" max="1282" width="20.7109375" style="1" customWidth="1"/>
    <col min="1283" max="1283" width="24.7109375" style="1" customWidth="1"/>
    <col min="1284" max="1284" width="11.140625" style="1" customWidth="1"/>
    <col min="1285" max="1285" width="12.28515625" style="1" customWidth="1"/>
    <col min="1286" max="1286" width="11.140625" style="1" customWidth="1"/>
    <col min="1287" max="1287" width="10.42578125" style="1" customWidth="1"/>
    <col min="1288" max="1288" width="4.7109375" style="1" customWidth="1"/>
    <col min="1289" max="1289" width="8.5703125" style="1" customWidth="1"/>
    <col min="1290" max="1290" width="5.5703125" style="1" customWidth="1"/>
    <col min="1291" max="1292" width="11.5703125" style="1" customWidth="1"/>
    <col min="1293" max="1293" width="10.85546875" style="1" customWidth="1"/>
    <col min="1294" max="1294" width="7.7109375" style="1" customWidth="1"/>
    <col min="1295" max="1295" width="8" style="1" customWidth="1"/>
    <col min="1296" max="1296" width="16.28515625" style="1" customWidth="1"/>
    <col min="1297" max="1297" width="10.5703125" style="1" customWidth="1"/>
    <col min="1298" max="1298" width="14.140625" style="1" customWidth="1"/>
    <col min="1299" max="1299" width="10.140625" style="1" customWidth="1"/>
    <col min="1300" max="1300" width="15.140625" style="1" customWidth="1"/>
    <col min="1301" max="1301" width="8.5703125" style="1" customWidth="1"/>
    <col min="1302" max="1302" width="14.28515625" style="1" customWidth="1"/>
    <col min="1303" max="1303" width="18.28515625" style="1" customWidth="1"/>
    <col min="1304" max="1304" width="13" style="1" bestFit="1" customWidth="1"/>
    <col min="1305" max="1305" width="11.7109375" style="1" bestFit="1" customWidth="1"/>
    <col min="1306" max="1312" width="9.140625" style="1"/>
    <col min="1313" max="1313" width="11.28515625" style="1" bestFit="1" customWidth="1"/>
    <col min="1314" max="1314" width="10.7109375" style="1" bestFit="1" customWidth="1"/>
    <col min="1315" max="1536" width="9.140625" style="1"/>
    <col min="1537" max="1537" width="6.42578125" style="1" customWidth="1"/>
    <col min="1538" max="1538" width="20.7109375" style="1" customWidth="1"/>
    <col min="1539" max="1539" width="24.7109375" style="1" customWidth="1"/>
    <col min="1540" max="1540" width="11.140625" style="1" customWidth="1"/>
    <col min="1541" max="1541" width="12.28515625" style="1" customWidth="1"/>
    <col min="1542" max="1542" width="11.140625" style="1" customWidth="1"/>
    <col min="1543" max="1543" width="10.42578125" style="1" customWidth="1"/>
    <col min="1544" max="1544" width="4.7109375" style="1" customWidth="1"/>
    <col min="1545" max="1545" width="8.5703125" style="1" customWidth="1"/>
    <col min="1546" max="1546" width="5.5703125" style="1" customWidth="1"/>
    <col min="1547" max="1548" width="11.5703125" style="1" customWidth="1"/>
    <col min="1549" max="1549" width="10.85546875" style="1" customWidth="1"/>
    <col min="1550" max="1550" width="7.7109375" style="1" customWidth="1"/>
    <col min="1551" max="1551" width="8" style="1" customWidth="1"/>
    <col min="1552" max="1552" width="16.28515625" style="1" customWidth="1"/>
    <col min="1553" max="1553" width="10.5703125" style="1" customWidth="1"/>
    <col min="1554" max="1554" width="14.140625" style="1" customWidth="1"/>
    <col min="1555" max="1555" width="10.140625" style="1" customWidth="1"/>
    <col min="1556" max="1556" width="15.140625" style="1" customWidth="1"/>
    <col min="1557" max="1557" width="8.5703125" style="1" customWidth="1"/>
    <col min="1558" max="1558" width="14.28515625" style="1" customWidth="1"/>
    <col min="1559" max="1559" width="18.28515625" style="1" customWidth="1"/>
    <col min="1560" max="1560" width="13" style="1" bestFit="1" customWidth="1"/>
    <col min="1561" max="1561" width="11.7109375" style="1" bestFit="1" customWidth="1"/>
    <col min="1562" max="1568" width="9.140625" style="1"/>
    <col min="1569" max="1569" width="11.28515625" style="1" bestFit="1" customWidth="1"/>
    <col min="1570" max="1570" width="10.7109375" style="1" bestFit="1" customWidth="1"/>
    <col min="1571" max="1792" width="9.140625" style="1"/>
    <col min="1793" max="1793" width="6.42578125" style="1" customWidth="1"/>
    <col min="1794" max="1794" width="20.7109375" style="1" customWidth="1"/>
    <col min="1795" max="1795" width="24.7109375" style="1" customWidth="1"/>
    <col min="1796" max="1796" width="11.140625" style="1" customWidth="1"/>
    <col min="1797" max="1797" width="12.28515625" style="1" customWidth="1"/>
    <col min="1798" max="1798" width="11.140625" style="1" customWidth="1"/>
    <col min="1799" max="1799" width="10.42578125" style="1" customWidth="1"/>
    <col min="1800" max="1800" width="4.7109375" style="1" customWidth="1"/>
    <col min="1801" max="1801" width="8.5703125" style="1" customWidth="1"/>
    <col min="1802" max="1802" width="5.5703125" style="1" customWidth="1"/>
    <col min="1803" max="1804" width="11.5703125" style="1" customWidth="1"/>
    <col min="1805" max="1805" width="10.85546875" style="1" customWidth="1"/>
    <col min="1806" max="1806" width="7.7109375" style="1" customWidth="1"/>
    <col min="1807" max="1807" width="8" style="1" customWidth="1"/>
    <col min="1808" max="1808" width="16.28515625" style="1" customWidth="1"/>
    <col min="1809" max="1809" width="10.5703125" style="1" customWidth="1"/>
    <col min="1810" max="1810" width="14.140625" style="1" customWidth="1"/>
    <col min="1811" max="1811" width="10.140625" style="1" customWidth="1"/>
    <col min="1812" max="1812" width="15.140625" style="1" customWidth="1"/>
    <col min="1813" max="1813" width="8.5703125" style="1" customWidth="1"/>
    <col min="1814" max="1814" width="14.28515625" style="1" customWidth="1"/>
    <col min="1815" max="1815" width="18.28515625" style="1" customWidth="1"/>
    <col min="1816" max="1816" width="13" style="1" bestFit="1" customWidth="1"/>
    <col min="1817" max="1817" width="11.7109375" style="1" bestFit="1" customWidth="1"/>
    <col min="1818" max="1824" width="9.140625" style="1"/>
    <col min="1825" max="1825" width="11.28515625" style="1" bestFit="1" customWidth="1"/>
    <col min="1826" max="1826" width="10.7109375" style="1" bestFit="1" customWidth="1"/>
    <col min="1827" max="2048" width="9.140625" style="1"/>
    <col min="2049" max="2049" width="6.42578125" style="1" customWidth="1"/>
    <col min="2050" max="2050" width="20.7109375" style="1" customWidth="1"/>
    <col min="2051" max="2051" width="24.7109375" style="1" customWidth="1"/>
    <col min="2052" max="2052" width="11.140625" style="1" customWidth="1"/>
    <col min="2053" max="2053" width="12.28515625" style="1" customWidth="1"/>
    <col min="2054" max="2054" width="11.140625" style="1" customWidth="1"/>
    <col min="2055" max="2055" width="10.42578125" style="1" customWidth="1"/>
    <col min="2056" max="2056" width="4.7109375" style="1" customWidth="1"/>
    <col min="2057" max="2057" width="8.5703125" style="1" customWidth="1"/>
    <col min="2058" max="2058" width="5.5703125" style="1" customWidth="1"/>
    <col min="2059" max="2060" width="11.5703125" style="1" customWidth="1"/>
    <col min="2061" max="2061" width="10.85546875" style="1" customWidth="1"/>
    <col min="2062" max="2062" width="7.7109375" style="1" customWidth="1"/>
    <col min="2063" max="2063" width="8" style="1" customWidth="1"/>
    <col min="2064" max="2064" width="16.28515625" style="1" customWidth="1"/>
    <col min="2065" max="2065" width="10.5703125" style="1" customWidth="1"/>
    <col min="2066" max="2066" width="14.140625" style="1" customWidth="1"/>
    <col min="2067" max="2067" width="10.140625" style="1" customWidth="1"/>
    <col min="2068" max="2068" width="15.140625" style="1" customWidth="1"/>
    <col min="2069" max="2069" width="8.5703125" style="1" customWidth="1"/>
    <col min="2070" max="2070" width="14.28515625" style="1" customWidth="1"/>
    <col min="2071" max="2071" width="18.28515625" style="1" customWidth="1"/>
    <col min="2072" max="2072" width="13" style="1" bestFit="1" customWidth="1"/>
    <col min="2073" max="2073" width="11.7109375" style="1" bestFit="1" customWidth="1"/>
    <col min="2074" max="2080" width="9.140625" style="1"/>
    <col min="2081" max="2081" width="11.28515625" style="1" bestFit="1" customWidth="1"/>
    <col min="2082" max="2082" width="10.7109375" style="1" bestFit="1" customWidth="1"/>
    <col min="2083" max="2304" width="9.140625" style="1"/>
    <col min="2305" max="2305" width="6.42578125" style="1" customWidth="1"/>
    <col min="2306" max="2306" width="20.7109375" style="1" customWidth="1"/>
    <col min="2307" max="2307" width="24.7109375" style="1" customWidth="1"/>
    <col min="2308" max="2308" width="11.140625" style="1" customWidth="1"/>
    <col min="2309" max="2309" width="12.28515625" style="1" customWidth="1"/>
    <col min="2310" max="2310" width="11.140625" style="1" customWidth="1"/>
    <col min="2311" max="2311" width="10.42578125" style="1" customWidth="1"/>
    <col min="2312" max="2312" width="4.7109375" style="1" customWidth="1"/>
    <col min="2313" max="2313" width="8.5703125" style="1" customWidth="1"/>
    <col min="2314" max="2314" width="5.5703125" style="1" customWidth="1"/>
    <col min="2315" max="2316" width="11.5703125" style="1" customWidth="1"/>
    <col min="2317" max="2317" width="10.85546875" style="1" customWidth="1"/>
    <col min="2318" max="2318" width="7.7109375" style="1" customWidth="1"/>
    <col min="2319" max="2319" width="8" style="1" customWidth="1"/>
    <col min="2320" max="2320" width="16.28515625" style="1" customWidth="1"/>
    <col min="2321" max="2321" width="10.5703125" style="1" customWidth="1"/>
    <col min="2322" max="2322" width="14.140625" style="1" customWidth="1"/>
    <col min="2323" max="2323" width="10.140625" style="1" customWidth="1"/>
    <col min="2324" max="2324" width="15.140625" style="1" customWidth="1"/>
    <col min="2325" max="2325" width="8.5703125" style="1" customWidth="1"/>
    <col min="2326" max="2326" width="14.28515625" style="1" customWidth="1"/>
    <col min="2327" max="2327" width="18.28515625" style="1" customWidth="1"/>
    <col min="2328" max="2328" width="13" style="1" bestFit="1" customWidth="1"/>
    <col min="2329" max="2329" width="11.7109375" style="1" bestFit="1" customWidth="1"/>
    <col min="2330" max="2336" width="9.140625" style="1"/>
    <col min="2337" max="2337" width="11.28515625" style="1" bestFit="1" customWidth="1"/>
    <col min="2338" max="2338" width="10.7109375" style="1" bestFit="1" customWidth="1"/>
    <col min="2339" max="2560" width="9.140625" style="1"/>
    <col min="2561" max="2561" width="6.42578125" style="1" customWidth="1"/>
    <col min="2562" max="2562" width="20.7109375" style="1" customWidth="1"/>
    <col min="2563" max="2563" width="24.7109375" style="1" customWidth="1"/>
    <col min="2564" max="2564" width="11.140625" style="1" customWidth="1"/>
    <col min="2565" max="2565" width="12.28515625" style="1" customWidth="1"/>
    <col min="2566" max="2566" width="11.140625" style="1" customWidth="1"/>
    <col min="2567" max="2567" width="10.42578125" style="1" customWidth="1"/>
    <col min="2568" max="2568" width="4.7109375" style="1" customWidth="1"/>
    <col min="2569" max="2569" width="8.5703125" style="1" customWidth="1"/>
    <col min="2570" max="2570" width="5.5703125" style="1" customWidth="1"/>
    <col min="2571" max="2572" width="11.5703125" style="1" customWidth="1"/>
    <col min="2573" max="2573" width="10.85546875" style="1" customWidth="1"/>
    <col min="2574" max="2574" width="7.7109375" style="1" customWidth="1"/>
    <col min="2575" max="2575" width="8" style="1" customWidth="1"/>
    <col min="2576" max="2576" width="16.28515625" style="1" customWidth="1"/>
    <col min="2577" max="2577" width="10.5703125" style="1" customWidth="1"/>
    <col min="2578" max="2578" width="14.140625" style="1" customWidth="1"/>
    <col min="2579" max="2579" width="10.140625" style="1" customWidth="1"/>
    <col min="2580" max="2580" width="15.140625" style="1" customWidth="1"/>
    <col min="2581" max="2581" width="8.5703125" style="1" customWidth="1"/>
    <col min="2582" max="2582" width="14.28515625" style="1" customWidth="1"/>
    <col min="2583" max="2583" width="18.28515625" style="1" customWidth="1"/>
    <col min="2584" max="2584" width="13" style="1" bestFit="1" customWidth="1"/>
    <col min="2585" max="2585" width="11.7109375" style="1" bestFit="1" customWidth="1"/>
    <col min="2586" max="2592" width="9.140625" style="1"/>
    <col min="2593" max="2593" width="11.28515625" style="1" bestFit="1" customWidth="1"/>
    <col min="2594" max="2594" width="10.7109375" style="1" bestFit="1" customWidth="1"/>
    <col min="2595" max="2816" width="9.140625" style="1"/>
    <col min="2817" max="2817" width="6.42578125" style="1" customWidth="1"/>
    <col min="2818" max="2818" width="20.7109375" style="1" customWidth="1"/>
    <col min="2819" max="2819" width="24.7109375" style="1" customWidth="1"/>
    <col min="2820" max="2820" width="11.140625" style="1" customWidth="1"/>
    <col min="2821" max="2821" width="12.28515625" style="1" customWidth="1"/>
    <col min="2822" max="2822" width="11.140625" style="1" customWidth="1"/>
    <col min="2823" max="2823" width="10.42578125" style="1" customWidth="1"/>
    <col min="2824" max="2824" width="4.7109375" style="1" customWidth="1"/>
    <col min="2825" max="2825" width="8.5703125" style="1" customWidth="1"/>
    <col min="2826" max="2826" width="5.5703125" style="1" customWidth="1"/>
    <col min="2827" max="2828" width="11.5703125" style="1" customWidth="1"/>
    <col min="2829" max="2829" width="10.85546875" style="1" customWidth="1"/>
    <col min="2830" max="2830" width="7.7109375" style="1" customWidth="1"/>
    <col min="2831" max="2831" width="8" style="1" customWidth="1"/>
    <col min="2832" max="2832" width="16.28515625" style="1" customWidth="1"/>
    <col min="2833" max="2833" width="10.5703125" style="1" customWidth="1"/>
    <col min="2834" max="2834" width="14.140625" style="1" customWidth="1"/>
    <col min="2835" max="2835" width="10.140625" style="1" customWidth="1"/>
    <col min="2836" max="2836" width="15.140625" style="1" customWidth="1"/>
    <col min="2837" max="2837" width="8.5703125" style="1" customWidth="1"/>
    <col min="2838" max="2838" width="14.28515625" style="1" customWidth="1"/>
    <col min="2839" max="2839" width="18.28515625" style="1" customWidth="1"/>
    <col min="2840" max="2840" width="13" style="1" bestFit="1" customWidth="1"/>
    <col min="2841" max="2841" width="11.7109375" style="1" bestFit="1" customWidth="1"/>
    <col min="2842" max="2848" width="9.140625" style="1"/>
    <col min="2849" max="2849" width="11.28515625" style="1" bestFit="1" customWidth="1"/>
    <col min="2850" max="2850" width="10.7109375" style="1" bestFit="1" customWidth="1"/>
    <col min="2851" max="3072" width="9.140625" style="1"/>
    <col min="3073" max="3073" width="6.42578125" style="1" customWidth="1"/>
    <col min="3074" max="3074" width="20.7109375" style="1" customWidth="1"/>
    <col min="3075" max="3075" width="24.7109375" style="1" customWidth="1"/>
    <col min="3076" max="3076" width="11.140625" style="1" customWidth="1"/>
    <col min="3077" max="3077" width="12.28515625" style="1" customWidth="1"/>
    <col min="3078" max="3078" width="11.140625" style="1" customWidth="1"/>
    <col min="3079" max="3079" width="10.42578125" style="1" customWidth="1"/>
    <col min="3080" max="3080" width="4.7109375" style="1" customWidth="1"/>
    <col min="3081" max="3081" width="8.5703125" style="1" customWidth="1"/>
    <col min="3082" max="3082" width="5.5703125" style="1" customWidth="1"/>
    <col min="3083" max="3084" width="11.5703125" style="1" customWidth="1"/>
    <col min="3085" max="3085" width="10.85546875" style="1" customWidth="1"/>
    <col min="3086" max="3086" width="7.7109375" style="1" customWidth="1"/>
    <col min="3087" max="3087" width="8" style="1" customWidth="1"/>
    <col min="3088" max="3088" width="16.28515625" style="1" customWidth="1"/>
    <col min="3089" max="3089" width="10.5703125" style="1" customWidth="1"/>
    <col min="3090" max="3090" width="14.140625" style="1" customWidth="1"/>
    <col min="3091" max="3091" width="10.140625" style="1" customWidth="1"/>
    <col min="3092" max="3092" width="15.140625" style="1" customWidth="1"/>
    <col min="3093" max="3093" width="8.5703125" style="1" customWidth="1"/>
    <col min="3094" max="3094" width="14.28515625" style="1" customWidth="1"/>
    <col min="3095" max="3095" width="18.28515625" style="1" customWidth="1"/>
    <col min="3096" max="3096" width="13" style="1" bestFit="1" customWidth="1"/>
    <col min="3097" max="3097" width="11.7109375" style="1" bestFit="1" customWidth="1"/>
    <col min="3098" max="3104" width="9.140625" style="1"/>
    <col min="3105" max="3105" width="11.28515625" style="1" bestFit="1" customWidth="1"/>
    <col min="3106" max="3106" width="10.7109375" style="1" bestFit="1" customWidth="1"/>
    <col min="3107" max="3328" width="9.140625" style="1"/>
    <col min="3329" max="3329" width="6.42578125" style="1" customWidth="1"/>
    <col min="3330" max="3330" width="20.7109375" style="1" customWidth="1"/>
    <col min="3331" max="3331" width="24.7109375" style="1" customWidth="1"/>
    <col min="3332" max="3332" width="11.140625" style="1" customWidth="1"/>
    <col min="3333" max="3333" width="12.28515625" style="1" customWidth="1"/>
    <col min="3334" max="3334" width="11.140625" style="1" customWidth="1"/>
    <col min="3335" max="3335" width="10.42578125" style="1" customWidth="1"/>
    <col min="3336" max="3336" width="4.7109375" style="1" customWidth="1"/>
    <col min="3337" max="3337" width="8.5703125" style="1" customWidth="1"/>
    <col min="3338" max="3338" width="5.5703125" style="1" customWidth="1"/>
    <col min="3339" max="3340" width="11.5703125" style="1" customWidth="1"/>
    <col min="3341" max="3341" width="10.85546875" style="1" customWidth="1"/>
    <col min="3342" max="3342" width="7.7109375" style="1" customWidth="1"/>
    <col min="3343" max="3343" width="8" style="1" customWidth="1"/>
    <col min="3344" max="3344" width="16.28515625" style="1" customWidth="1"/>
    <col min="3345" max="3345" width="10.5703125" style="1" customWidth="1"/>
    <col min="3346" max="3346" width="14.140625" style="1" customWidth="1"/>
    <col min="3347" max="3347" width="10.140625" style="1" customWidth="1"/>
    <col min="3348" max="3348" width="15.140625" style="1" customWidth="1"/>
    <col min="3349" max="3349" width="8.5703125" style="1" customWidth="1"/>
    <col min="3350" max="3350" width="14.28515625" style="1" customWidth="1"/>
    <col min="3351" max="3351" width="18.28515625" style="1" customWidth="1"/>
    <col min="3352" max="3352" width="13" style="1" bestFit="1" customWidth="1"/>
    <col min="3353" max="3353" width="11.7109375" style="1" bestFit="1" customWidth="1"/>
    <col min="3354" max="3360" width="9.140625" style="1"/>
    <col min="3361" max="3361" width="11.28515625" style="1" bestFit="1" customWidth="1"/>
    <col min="3362" max="3362" width="10.7109375" style="1" bestFit="1" customWidth="1"/>
    <col min="3363" max="3584" width="9.140625" style="1"/>
    <col min="3585" max="3585" width="6.42578125" style="1" customWidth="1"/>
    <col min="3586" max="3586" width="20.7109375" style="1" customWidth="1"/>
    <col min="3587" max="3587" width="24.7109375" style="1" customWidth="1"/>
    <col min="3588" max="3588" width="11.140625" style="1" customWidth="1"/>
    <col min="3589" max="3589" width="12.28515625" style="1" customWidth="1"/>
    <col min="3590" max="3590" width="11.140625" style="1" customWidth="1"/>
    <col min="3591" max="3591" width="10.42578125" style="1" customWidth="1"/>
    <col min="3592" max="3592" width="4.7109375" style="1" customWidth="1"/>
    <col min="3593" max="3593" width="8.5703125" style="1" customWidth="1"/>
    <col min="3594" max="3594" width="5.5703125" style="1" customWidth="1"/>
    <col min="3595" max="3596" width="11.5703125" style="1" customWidth="1"/>
    <col min="3597" max="3597" width="10.85546875" style="1" customWidth="1"/>
    <col min="3598" max="3598" width="7.7109375" style="1" customWidth="1"/>
    <col min="3599" max="3599" width="8" style="1" customWidth="1"/>
    <col min="3600" max="3600" width="16.28515625" style="1" customWidth="1"/>
    <col min="3601" max="3601" width="10.5703125" style="1" customWidth="1"/>
    <col min="3602" max="3602" width="14.140625" style="1" customWidth="1"/>
    <col min="3603" max="3603" width="10.140625" style="1" customWidth="1"/>
    <col min="3604" max="3604" width="15.140625" style="1" customWidth="1"/>
    <col min="3605" max="3605" width="8.5703125" style="1" customWidth="1"/>
    <col min="3606" max="3606" width="14.28515625" style="1" customWidth="1"/>
    <col min="3607" max="3607" width="18.28515625" style="1" customWidth="1"/>
    <col min="3608" max="3608" width="13" style="1" bestFit="1" customWidth="1"/>
    <col min="3609" max="3609" width="11.7109375" style="1" bestFit="1" customWidth="1"/>
    <col min="3610" max="3616" width="9.140625" style="1"/>
    <col min="3617" max="3617" width="11.28515625" style="1" bestFit="1" customWidth="1"/>
    <col min="3618" max="3618" width="10.7109375" style="1" bestFit="1" customWidth="1"/>
    <col min="3619" max="3840" width="9.140625" style="1"/>
    <col min="3841" max="3841" width="6.42578125" style="1" customWidth="1"/>
    <col min="3842" max="3842" width="20.7109375" style="1" customWidth="1"/>
    <col min="3843" max="3843" width="24.7109375" style="1" customWidth="1"/>
    <col min="3844" max="3844" width="11.140625" style="1" customWidth="1"/>
    <col min="3845" max="3845" width="12.28515625" style="1" customWidth="1"/>
    <col min="3846" max="3846" width="11.140625" style="1" customWidth="1"/>
    <col min="3847" max="3847" width="10.42578125" style="1" customWidth="1"/>
    <col min="3848" max="3848" width="4.7109375" style="1" customWidth="1"/>
    <col min="3849" max="3849" width="8.5703125" style="1" customWidth="1"/>
    <col min="3850" max="3850" width="5.5703125" style="1" customWidth="1"/>
    <col min="3851" max="3852" width="11.5703125" style="1" customWidth="1"/>
    <col min="3853" max="3853" width="10.85546875" style="1" customWidth="1"/>
    <col min="3854" max="3854" width="7.7109375" style="1" customWidth="1"/>
    <col min="3855" max="3855" width="8" style="1" customWidth="1"/>
    <col min="3856" max="3856" width="16.28515625" style="1" customWidth="1"/>
    <col min="3857" max="3857" width="10.5703125" style="1" customWidth="1"/>
    <col min="3858" max="3858" width="14.140625" style="1" customWidth="1"/>
    <col min="3859" max="3859" width="10.140625" style="1" customWidth="1"/>
    <col min="3860" max="3860" width="15.140625" style="1" customWidth="1"/>
    <col min="3861" max="3861" width="8.5703125" style="1" customWidth="1"/>
    <col min="3862" max="3862" width="14.28515625" style="1" customWidth="1"/>
    <col min="3863" max="3863" width="18.28515625" style="1" customWidth="1"/>
    <col min="3864" max="3864" width="13" style="1" bestFit="1" customWidth="1"/>
    <col min="3865" max="3865" width="11.7109375" style="1" bestFit="1" customWidth="1"/>
    <col min="3866" max="3872" width="9.140625" style="1"/>
    <col min="3873" max="3873" width="11.28515625" style="1" bestFit="1" customWidth="1"/>
    <col min="3874" max="3874" width="10.7109375" style="1" bestFit="1" customWidth="1"/>
    <col min="3875" max="4096" width="9.140625" style="1"/>
    <col min="4097" max="4097" width="6.42578125" style="1" customWidth="1"/>
    <col min="4098" max="4098" width="20.7109375" style="1" customWidth="1"/>
    <col min="4099" max="4099" width="24.7109375" style="1" customWidth="1"/>
    <col min="4100" max="4100" width="11.140625" style="1" customWidth="1"/>
    <col min="4101" max="4101" width="12.28515625" style="1" customWidth="1"/>
    <col min="4102" max="4102" width="11.140625" style="1" customWidth="1"/>
    <col min="4103" max="4103" width="10.42578125" style="1" customWidth="1"/>
    <col min="4104" max="4104" width="4.7109375" style="1" customWidth="1"/>
    <col min="4105" max="4105" width="8.5703125" style="1" customWidth="1"/>
    <col min="4106" max="4106" width="5.5703125" style="1" customWidth="1"/>
    <col min="4107" max="4108" width="11.5703125" style="1" customWidth="1"/>
    <col min="4109" max="4109" width="10.85546875" style="1" customWidth="1"/>
    <col min="4110" max="4110" width="7.7109375" style="1" customWidth="1"/>
    <col min="4111" max="4111" width="8" style="1" customWidth="1"/>
    <col min="4112" max="4112" width="16.28515625" style="1" customWidth="1"/>
    <col min="4113" max="4113" width="10.5703125" style="1" customWidth="1"/>
    <col min="4114" max="4114" width="14.140625" style="1" customWidth="1"/>
    <col min="4115" max="4115" width="10.140625" style="1" customWidth="1"/>
    <col min="4116" max="4116" width="15.140625" style="1" customWidth="1"/>
    <col min="4117" max="4117" width="8.5703125" style="1" customWidth="1"/>
    <col min="4118" max="4118" width="14.28515625" style="1" customWidth="1"/>
    <col min="4119" max="4119" width="18.28515625" style="1" customWidth="1"/>
    <col min="4120" max="4120" width="13" style="1" bestFit="1" customWidth="1"/>
    <col min="4121" max="4121" width="11.7109375" style="1" bestFit="1" customWidth="1"/>
    <col min="4122" max="4128" width="9.140625" style="1"/>
    <col min="4129" max="4129" width="11.28515625" style="1" bestFit="1" customWidth="1"/>
    <col min="4130" max="4130" width="10.7109375" style="1" bestFit="1" customWidth="1"/>
    <col min="4131" max="4352" width="9.140625" style="1"/>
    <col min="4353" max="4353" width="6.42578125" style="1" customWidth="1"/>
    <col min="4354" max="4354" width="20.7109375" style="1" customWidth="1"/>
    <col min="4355" max="4355" width="24.7109375" style="1" customWidth="1"/>
    <col min="4356" max="4356" width="11.140625" style="1" customWidth="1"/>
    <col min="4357" max="4357" width="12.28515625" style="1" customWidth="1"/>
    <col min="4358" max="4358" width="11.140625" style="1" customWidth="1"/>
    <col min="4359" max="4359" width="10.42578125" style="1" customWidth="1"/>
    <col min="4360" max="4360" width="4.7109375" style="1" customWidth="1"/>
    <col min="4361" max="4361" width="8.5703125" style="1" customWidth="1"/>
    <col min="4362" max="4362" width="5.5703125" style="1" customWidth="1"/>
    <col min="4363" max="4364" width="11.5703125" style="1" customWidth="1"/>
    <col min="4365" max="4365" width="10.85546875" style="1" customWidth="1"/>
    <col min="4366" max="4366" width="7.7109375" style="1" customWidth="1"/>
    <col min="4367" max="4367" width="8" style="1" customWidth="1"/>
    <col min="4368" max="4368" width="16.28515625" style="1" customWidth="1"/>
    <col min="4369" max="4369" width="10.5703125" style="1" customWidth="1"/>
    <col min="4370" max="4370" width="14.140625" style="1" customWidth="1"/>
    <col min="4371" max="4371" width="10.140625" style="1" customWidth="1"/>
    <col min="4372" max="4372" width="15.140625" style="1" customWidth="1"/>
    <col min="4373" max="4373" width="8.5703125" style="1" customWidth="1"/>
    <col min="4374" max="4374" width="14.28515625" style="1" customWidth="1"/>
    <col min="4375" max="4375" width="18.28515625" style="1" customWidth="1"/>
    <col min="4376" max="4376" width="13" style="1" bestFit="1" customWidth="1"/>
    <col min="4377" max="4377" width="11.7109375" style="1" bestFit="1" customWidth="1"/>
    <col min="4378" max="4384" width="9.140625" style="1"/>
    <col min="4385" max="4385" width="11.28515625" style="1" bestFit="1" customWidth="1"/>
    <col min="4386" max="4386" width="10.7109375" style="1" bestFit="1" customWidth="1"/>
    <col min="4387" max="4608" width="9.140625" style="1"/>
    <col min="4609" max="4609" width="6.42578125" style="1" customWidth="1"/>
    <col min="4610" max="4610" width="20.7109375" style="1" customWidth="1"/>
    <col min="4611" max="4611" width="24.7109375" style="1" customWidth="1"/>
    <col min="4612" max="4612" width="11.140625" style="1" customWidth="1"/>
    <col min="4613" max="4613" width="12.28515625" style="1" customWidth="1"/>
    <col min="4614" max="4614" width="11.140625" style="1" customWidth="1"/>
    <col min="4615" max="4615" width="10.42578125" style="1" customWidth="1"/>
    <col min="4616" max="4616" width="4.7109375" style="1" customWidth="1"/>
    <col min="4617" max="4617" width="8.5703125" style="1" customWidth="1"/>
    <col min="4618" max="4618" width="5.5703125" style="1" customWidth="1"/>
    <col min="4619" max="4620" width="11.5703125" style="1" customWidth="1"/>
    <col min="4621" max="4621" width="10.85546875" style="1" customWidth="1"/>
    <col min="4622" max="4622" width="7.7109375" style="1" customWidth="1"/>
    <col min="4623" max="4623" width="8" style="1" customWidth="1"/>
    <col min="4624" max="4624" width="16.28515625" style="1" customWidth="1"/>
    <col min="4625" max="4625" width="10.5703125" style="1" customWidth="1"/>
    <col min="4626" max="4626" width="14.140625" style="1" customWidth="1"/>
    <col min="4627" max="4627" width="10.140625" style="1" customWidth="1"/>
    <col min="4628" max="4628" width="15.140625" style="1" customWidth="1"/>
    <col min="4629" max="4629" width="8.5703125" style="1" customWidth="1"/>
    <col min="4630" max="4630" width="14.28515625" style="1" customWidth="1"/>
    <col min="4631" max="4631" width="18.28515625" style="1" customWidth="1"/>
    <col min="4632" max="4632" width="13" style="1" bestFit="1" customWidth="1"/>
    <col min="4633" max="4633" width="11.7109375" style="1" bestFit="1" customWidth="1"/>
    <col min="4634" max="4640" width="9.140625" style="1"/>
    <col min="4641" max="4641" width="11.28515625" style="1" bestFit="1" customWidth="1"/>
    <col min="4642" max="4642" width="10.7109375" style="1" bestFit="1" customWidth="1"/>
    <col min="4643" max="4864" width="9.140625" style="1"/>
    <col min="4865" max="4865" width="6.42578125" style="1" customWidth="1"/>
    <col min="4866" max="4866" width="20.7109375" style="1" customWidth="1"/>
    <col min="4867" max="4867" width="24.7109375" style="1" customWidth="1"/>
    <col min="4868" max="4868" width="11.140625" style="1" customWidth="1"/>
    <col min="4869" max="4869" width="12.28515625" style="1" customWidth="1"/>
    <col min="4870" max="4870" width="11.140625" style="1" customWidth="1"/>
    <col min="4871" max="4871" width="10.42578125" style="1" customWidth="1"/>
    <col min="4872" max="4872" width="4.7109375" style="1" customWidth="1"/>
    <col min="4873" max="4873" width="8.5703125" style="1" customWidth="1"/>
    <col min="4874" max="4874" width="5.5703125" style="1" customWidth="1"/>
    <col min="4875" max="4876" width="11.5703125" style="1" customWidth="1"/>
    <col min="4877" max="4877" width="10.85546875" style="1" customWidth="1"/>
    <col min="4878" max="4878" width="7.7109375" style="1" customWidth="1"/>
    <col min="4879" max="4879" width="8" style="1" customWidth="1"/>
    <col min="4880" max="4880" width="16.28515625" style="1" customWidth="1"/>
    <col min="4881" max="4881" width="10.5703125" style="1" customWidth="1"/>
    <col min="4882" max="4882" width="14.140625" style="1" customWidth="1"/>
    <col min="4883" max="4883" width="10.140625" style="1" customWidth="1"/>
    <col min="4884" max="4884" width="15.140625" style="1" customWidth="1"/>
    <col min="4885" max="4885" width="8.5703125" style="1" customWidth="1"/>
    <col min="4886" max="4886" width="14.28515625" style="1" customWidth="1"/>
    <col min="4887" max="4887" width="18.28515625" style="1" customWidth="1"/>
    <col min="4888" max="4888" width="13" style="1" bestFit="1" customWidth="1"/>
    <col min="4889" max="4889" width="11.7109375" style="1" bestFit="1" customWidth="1"/>
    <col min="4890" max="4896" width="9.140625" style="1"/>
    <col min="4897" max="4897" width="11.28515625" style="1" bestFit="1" customWidth="1"/>
    <col min="4898" max="4898" width="10.7109375" style="1" bestFit="1" customWidth="1"/>
    <col min="4899" max="5120" width="9.140625" style="1"/>
    <col min="5121" max="5121" width="6.42578125" style="1" customWidth="1"/>
    <col min="5122" max="5122" width="20.7109375" style="1" customWidth="1"/>
    <col min="5123" max="5123" width="24.7109375" style="1" customWidth="1"/>
    <col min="5124" max="5124" width="11.140625" style="1" customWidth="1"/>
    <col min="5125" max="5125" width="12.28515625" style="1" customWidth="1"/>
    <col min="5126" max="5126" width="11.140625" style="1" customWidth="1"/>
    <col min="5127" max="5127" width="10.42578125" style="1" customWidth="1"/>
    <col min="5128" max="5128" width="4.7109375" style="1" customWidth="1"/>
    <col min="5129" max="5129" width="8.5703125" style="1" customWidth="1"/>
    <col min="5130" max="5130" width="5.5703125" style="1" customWidth="1"/>
    <col min="5131" max="5132" width="11.5703125" style="1" customWidth="1"/>
    <col min="5133" max="5133" width="10.85546875" style="1" customWidth="1"/>
    <col min="5134" max="5134" width="7.7109375" style="1" customWidth="1"/>
    <col min="5135" max="5135" width="8" style="1" customWidth="1"/>
    <col min="5136" max="5136" width="16.28515625" style="1" customWidth="1"/>
    <col min="5137" max="5137" width="10.5703125" style="1" customWidth="1"/>
    <col min="5138" max="5138" width="14.140625" style="1" customWidth="1"/>
    <col min="5139" max="5139" width="10.140625" style="1" customWidth="1"/>
    <col min="5140" max="5140" width="15.140625" style="1" customWidth="1"/>
    <col min="5141" max="5141" width="8.5703125" style="1" customWidth="1"/>
    <col min="5142" max="5142" width="14.28515625" style="1" customWidth="1"/>
    <col min="5143" max="5143" width="18.28515625" style="1" customWidth="1"/>
    <col min="5144" max="5144" width="13" style="1" bestFit="1" customWidth="1"/>
    <col min="5145" max="5145" width="11.7109375" style="1" bestFit="1" customWidth="1"/>
    <col min="5146" max="5152" width="9.140625" style="1"/>
    <col min="5153" max="5153" width="11.28515625" style="1" bestFit="1" customWidth="1"/>
    <col min="5154" max="5154" width="10.7109375" style="1" bestFit="1" customWidth="1"/>
    <col min="5155" max="5376" width="9.140625" style="1"/>
    <col min="5377" max="5377" width="6.42578125" style="1" customWidth="1"/>
    <col min="5378" max="5378" width="20.7109375" style="1" customWidth="1"/>
    <col min="5379" max="5379" width="24.7109375" style="1" customWidth="1"/>
    <col min="5380" max="5380" width="11.140625" style="1" customWidth="1"/>
    <col min="5381" max="5381" width="12.28515625" style="1" customWidth="1"/>
    <col min="5382" max="5382" width="11.140625" style="1" customWidth="1"/>
    <col min="5383" max="5383" width="10.42578125" style="1" customWidth="1"/>
    <col min="5384" max="5384" width="4.7109375" style="1" customWidth="1"/>
    <col min="5385" max="5385" width="8.5703125" style="1" customWidth="1"/>
    <col min="5386" max="5386" width="5.5703125" style="1" customWidth="1"/>
    <col min="5387" max="5388" width="11.5703125" style="1" customWidth="1"/>
    <col min="5389" max="5389" width="10.85546875" style="1" customWidth="1"/>
    <col min="5390" max="5390" width="7.7109375" style="1" customWidth="1"/>
    <col min="5391" max="5391" width="8" style="1" customWidth="1"/>
    <col min="5392" max="5392" width="16.28515625" style="1" customWidth="1"/>
    <col min="5393" max="5393" width="10.5703125" style="1" customWidth="1"/>
    <col min="5394" max="5394" width="14.140625" style="1" customWidth="1"/>
    <col min="5395" max="5395" width="10.140625" style="1" customWidth="1"/>
    <col min="5396" max="5396" width="15.140625" style="1" customWidth="1"/>
    <col min="5397" max="5397" width="8.5703125" style="1" customWidth="1"/>
    <col min="5398" max="5398" width="14.28515625" style="1" customWidth="1"/>
    <col min="5399" max="5399" width="18.28515625" style="1" customWidth="1"/>
    <col min="5400" max="5400" width="13" style="1" bestFit="1" customWidth="1"/>
    <col min="5401" max="5401" width="11.7109375" style="1" bestFit="1" customWidth="1"/>
    <col min="5402" max="5408" width="9.140625" style="1"/>
    <col min="5409" max="5409" width="11.28515625" style="1" bestFit="1" customWidth="1"/>
    <col min="5410" max="5410" width="10.7109375" style="1" bestFit="1" customWidth="1"/>
    <col min="5411" max="5632" width="9.140625" style="1"/>
    <col min="5633" max="5633" width="6.42578125" style="1" customWidth="1"/>
    <col min="5634" max="5634" width="20.7109375" style="1" customWidth="1"/>
    <col min="5635" max="5635" width="24.7109375" style="1" customWidth="1"/>
    <col min="5636" max="5636" width="11.140625" style="1" customWidth="1"/>
    <col min="5637" max="5637" width="12.28515625" style="1" customWidth="1"/>
    <col min="5638" max="5638" width="11.140625" style="1" customWidth="1"/>
    <col min="5639" max="5639" width="10.42578125" style="1" customWidth="1"/>
    <col min="5640" max="5640" width="4.7109375" style="1" customWidth="1"/>
    <col min="5641" max="5641" width="8.5703125" style="1" customWidth="1"/>
    <col min="5642" max="5642" width="5.5703125" style="1" customWidth="1"/>
    <col min="5643" max="5644" width="11.5703125" style="1" customWidth="1"/>
    <col min="5645" max="5645" width="10.85546875" style="1" customWidth="1"/>
    <col min="5646" max="5646" width="7.7109375" style="1" customWidth="1"/>
    <col min="5647" max="5647" width="8" style="1" customWidth="1"/>
    <col min="5648" max="5648" width="16.28515625" style="1" customWidth="1"/>
    <col min="5649" max="5649" width="10.5703125" style="1" customWidth="1"/>
    <col min="5650" max="5650" width="14.140625" style="1" customWidth="1"/>
    <col min="5651" max="5651" width="10.140625" style="1" customWidth="1"/>
    <col min="5652" max="5652" width="15.140625" style="1" customWidth="1"/>
    <col min="5653" max="5653" width="8.5703125" style="1" customWidth="1"/>
    <col min="5654" max="5654" width="14.28515625" style="1" customWidth="1"/>
    <col min="5655" max="5655" width="18.28515625" style="1" customWidth="1"/>
    <col min="5656" max="5656" width="13" style="1" bestFit="1" customWidth="1"/>
    <col min="5657" max="5657" width="11.7109375" style="1" bestFit="1" customWidth="1"/>
    <col min="5658" max="5664" width="9.140625" style="1"/>
    <col min="5665" max="5665" width="11.28515625" style="1" bestFit="1" customWidth="1"/>
    <col min="5666" max="5666" width="10.7109375" style="1" bestFit="1" customWidth="1"/>
    <col min="5667" max="5888" width="9.140625" style="1"/>
    <col min="5889" max="5889" width="6.42578125" style="1" customWidth="1"/>
    <col min="5890" max="5890" width="20.7109375" style="1" customWidth="1"/>
    <col min="5891" max="5891" width="24.7109375" style="1" customWidth="1"/>
    <col min="5892" max="5892" width="11.140625" style="1" customWidth="1"/>
    <col min="5893" max="5893" width="12.28515625" style="1" customWidth="1"/>
    <col min="5894" max="5894" width="11.140625" style="1" customWidth="1"/>
    <col min="5895" max="5895" width="10.42578125" style="1" customWidth="1"/>
    <col min="5896" max="5896" width="4.7109375" style="1" customWidth="1"/>
    <col min="5897" max="5897" width="8.5703125" style="1" customWidth="1"/>
    <col min="5898" max="5898" width="5.5703125" style="1" customWidth="1"/>
    <col min="5899" max="5900" width="11.5703125" style="1" customWidth="1"/>
    <col min="5901" max="5901" width="10.85546875" style="1" customWidth="1"/>
    <col min="5902" max="5902" width="7.7109375" style="1" customWidth="1"/>
    <col min="5903" max="5903" width="8" style="1" customWidth="1"/>
    <col min="5904" max="5904" width="16.28515625" style="1" customWidth="1"/>
    <col min="5905" max="5905" width="10.5703125" style="1" customWidth="1"/>
    <col min="5906" max="5906" width="14.140625" style="1" customWidth="1"/>
    <col min="5907" max="5907" width="10.140625" style="1" customWidth="1"/>
    <col min="5908" max="5908" width="15.140625" style="1" customWidth="1"/>
    <col min="5909" max="5909" width="8.5703125" style="1" customWidth="1"/>
    <col min="5910" max="5910" width="14.28515625" style="1" customWidth="1"/>
    <col min="5911" max="5911" width="18.28515625" style="1" customWidth="1"/>
    <col min="5912" max="5912" width="13" style="1" bestFit="1" customWidth="1"/>
    <col min="5913" max="5913" width="11.7109375" style="1" bestFit="1" customWidth="1"/>
    <col min="5914" max="5920" width="9.140625" style="1"/>
    <col min="5921" max="5921" width="11.28515625" style="1" bestFit="1" customWidth="1"/>
    <col min="5922" max="5922" width="10.7109375" style="1" bestFit="1" customWidth="1"/>
    <col min="5923" max="6144" width="9.140625" style="1"/>
    <col min="6145" max="6145" width="6.42578125" style="1" customWidth="1"/>
    <col min="6146" max="6146" width="20.7109375" style="1" customWidth="1"/>
    <col min="6147" max="6147" width="24.7109375" style="1" customWidth="1"/>
    <col min="6148" max="6148" width="11.140625" style="1" customWidth="1"/>
    <col min="6149" max="6149" width="12.28515625" style="1" customWidth="1"/>
    <col min="6150" max="6150" width="11.140625" style="1" customWidth="1"/>
    <col min="6151" max="6151" width="10.42578125" style="1" customWidth="1"/>
    <col min="6152" max="6152" width="4.7109375" style="1" customWidth="1"/>
    <col min="6153" max="6153" width="8.5703125" style="1" customWidth="1"/>
    <col min="6154" max="6154" width="5.5703125" style="1" customWidth="1"/>
    <col min="6155" max="6156" width="11.5703125" style="1" customWidth="1"/>
    <col min="6157" max="6157" width="10.85546875" style="1" customWidth="1"/>
    <col min="6158" max="6158" width="7.7109375" style="1" customWidth="1"/>
    <col min="6159" max="6159" width="8" style="1" customWidth="1"/>
    <col min="6160" max="6160" width="16.28515625" style="1" customWidth="1"/>
    <col min="6161" max="6161" width="10.5703125" style="1" customWidth="1"/>
    <col min="6162" max="6162" width="14.140625" style="1" customWidth="1"/>
    <col min="6163" max="6163" width="10.140625" style="1" customWidth="1"/>
    <col min="6164" max="6164" width="15.140625" style="1" customWidth="1"/>
    <col min="6165" max="6165" width="8.5703125" style="1" customWidth="1"/>
    <col min="6166" max="6166" width="14.28515625" style="1" customWidth="1"/>
    <col min="6167" max="6167" width="18.28515625" style="1" customWidth="1"/>
    <col min="6168" max="6168" width="13" style="1" bestFit="1" customWidth="1"/>
    <col min="6169" max="6169" width="11.7109375" style="1" bestFit="1" customWidth="1"/>
    <col min="6170" max="6176" width="9.140625" style="1"/>
    <col min="6177" max="6177" width="11.28515625" style="1" bestFit="1" customWidth="1"/>
    <col min="6178" max="6178" width="10.7109375" style="1" bestFit="1" customWidth="1"/>
    <col min="6179" max="6400" width="9.140625" style="1"/>
    <col min="6401" max="6401" width="6.42578125" style="1" customWidth="1"/>
    <col min="6402" max="6402" width="20.7109375" style="1" customWidth="1"/>
    <col min="6403" max="6403" width="24.7109375" style="1" customWidth="1"/>
    <col min="6404" max="6404" width="11.140625" style="1" customWidth="1"/>
    <col min="6405" max="6405" width="12.28515625" style="1" customWidth="1"/>
    <col min="6406" max="6406" width="11.140625" style="1" customWidth="1"/>
    <col min="6407" max="6407" width="10.42578125" style="1" customWidth="1"/>
    <col min="6408" max="6408" width="4.7109375" style="1" customWidth="1"/>
    <col min="6409" max="6409" width="8.5703125" style="1" customWidth="1"/>
    <col min="6410" max="6410" width="5.5703125" style="1" customWidth="1"/>
    <col min="6411" max="6412" width="11.5703125" style="1" customWidth="1"/>
    <col min="6413" max="6413" width="10.85546875" style="1" customWidth="1"/>
    <col min="6414" max="6414" width="7.7109375" style="1" customWidth="1"/>
    <col min="6415" max="6415" width="8" style="1" customWidth="1"/>
    <col min="6416" max="6416" width="16.28515625" style="1" customWidth="1"/>
    <col min="6417" max="6417" width="10.5703125" style="1" customWidth="1"/>
    <col min="6418" max="6418" width="14.140625" style="1" customWidth="1"/>
    <col min="6419" max="6419" width="10.140625" style="1" customWidth="1"/>
    <col min="6420" max="6420" width="15.140625" style="1" customWidth="1"/>
    <col min="6421" max="6421" width="8.5703125" style="1" customWidth="1"/>
    <col min="6422" max="6422" width="14.28515625" style="1" customWidth="1"/>
    <col min="6423" max="6423" width="18.28515625" style="1" customWidth="1"/>
    <col min="6424" max="6424" width="13" style="1" bestFit="1" customWidth="1"/>
    <col min="6425" max="6425" width="11.7109375" style="1" bestFit="1" customWidth="1"/>
    <col min="6426" max="6432" width="9.140625" style="1"/>
    <col min="6433" max="6433" width="11.28515625" style="1" bestFit="1" customWidth="1"/>
    <col min="6434" max="6434" width="10.7109375" style="1" bestFit="1" customWidth="1"/>
    <col min="6435" max="6656" width="9.140625" style="1"/>
    <col min="6657" max="6657" width="6.42578125" style="1" customWidth="1"/>
    <col min="6658" max="6658" width="20.7109375" style="1" customWidth="1"/>
    <col min="6659" max="6659" width="24.7109375" style="1" customWidth="1"/>
    <col min="6660" max="6660" width="11.140625" style="1" customWidth="1"/>
    <col min="6661" max="6661" width="12.28515625" style="1" customWidth="1"/>
    <col min="6662" max="6662" width="11.140625" style="1" customWidth="1"/>
    <col min="6663" max="6663" width="10.42578125" style="1" customWidth="1"/>
    <col min="6664" max="6664" width="4.7109375" style="1" customWidth="1"/>
    <col min="6665" max="6665" width="8.5703125" style="1" customWidth="1"/>
    <col min="6666" max="6666" width="5.5703125" style="1" customWidth="1"/>
    <col min="6667" max="6668" width="11.5703125" style="1" customWidth="1"/>
    <col min="6669" max="6669" width="10.85546875" style="1" customWidth="1"/>
    <col min="6670" max="6670" width="7.7109375" style="1" customWidth="1"/>
    <col min="6671" max="6671" width="8" style="1" customWidth="1"/>
    <col min="6672" max="6672" width="16.28515625" style="1" customWidth="1"/>
    <col min="6673" max="6673" width="10.5703125" style="1" customWidth="1"/>
    <col min="6674" max="6674" width="14.140625" style="1" customWidth="1"/>
    <col min="6675" max="6675" width="10.140625" style="1" customWidth="1"/>
    <col min="6676" max="6676" width="15.140625" style="1" customWidth="1"/>
    <col min="6677" max="6677" width="8.5703125" style="1" customWidth="1"/>
    <col min="6678" max="6678" width="14.28515625" style="1" customWidth="1"/>
    <col min="6679" max="6679" width="18.28515625" style="1" customWidth="1"/>
    <col min="6680" max="6680" width="13" style="1" bestFit="1" customWidth="1"/>
    <col min="6681" max="6681" width="11.7109375" style="1" bestFit="1" customWidth="1"/>
    <col min="6682" max="6688" width="9.140625" style="1"/>
    <col min="6689" max="6689" width="11.28515625" style="1" bestFit="1" customWidth="1"/>
    <col min="6690" max="6690" width="10.7109375" style="1" bestFit="1" customWidth="1"/>
    <col min="6691" max="6912" width="9.140625" style="1"/>
    <col min="6913" max="6913" width="6.42578125" style="1" customWidth="1"/>
    <col min="6914" max="6914" width="20.7109375" style="1" customWidth="1"/>
    <col min="6915" max="6915" width="24.7109375" style="1" customWidth="1"/>
    <col min="6916" max="6916" width="11.140625" style="1" customWidth="1"/>
    <col min="6917" max="6917" width="12.28515625" style="1" customWidth="1"/>
    <col min="6918" max="6918" width="11.140625" style="1" customWidth="1"/>
    <col min="6919" max="6919" width="10.42578125" style="1" customWidth="1"/>
    <col min="6920" max="6920" width="4.7109375" style="1" customWidth="1"/>
    <col min="6921" max="6921" width="8.5703125" style="1" customWidth="1"/>
    <col min="6922" max="6922" width="5.5703125" style="1" customWidth="1"/>
    <col min="6923" max="6924" width="11.5703125" style="1" customWidth="1"/>
    <col min="6925" max="6925" width="10.85546875" style="1" customWidth="1"/>
    <col min="6926" max="6926" width="7.7109375" style="1" customWidth="1"/>
    <col min="6927" max="6927" width="8" style="1" customWidth="1"/>
    <col min="6928" max="6928" width="16.28515625" style="1" customWidth="1"/>
    <col min="6929" max="6929" width="10.5703125" style="1" customWidth="1"/>
    <col min="6930" max="6930" width="14.140625" style="1" customWidth="1"/>
    <col min="6931" max="6931" width="10.140625" style="1" customWidth="1"/>
    <col min="6932" max="6932" width="15.140625" style="1" customWidth="1"/>
    <col min="6933" max="6933" width="8.5703125" style="1" customWidth="1"/>
    <col min="6934" max="6934" width="14.28515625" style="1" customWidth="1"/>
    <col min="6935" max="6935" width="18.28515625" style="1" customWidth="1"/>
    <col min="6936" max="6936" width="13" style="1" bestFit="1" customWidth="1"/>
    <col min="6937" max="6937" width="11.7109375" style="1" bestFit="1" customWidth="1"/>
    <col min="6938" max="6944" width="9.140625" style="1"/>
    <col min="6945" max="6945" width="11.28515625" style="1" bestFit="1" customWidth="1"/>
    <col min="6946" max="6946" width="10.7109375" style="1" bestFit="1" customWidth="1"/>
    <col min="6947" max="7168" width="9.140625" style="1"/>
    <col min="7169" max="7169" width="6.42578125" style="1" customWidth="1"/>
    <col min="7170" max="7170" width="20.7109375" style="1" customWidth="1"/>
    <col min="7171" max="7171" width="24.7109375" style="1" customWidth="1"/>
    <col min="7172" max="7172" width="11.140625" style="1" customWidth="1"/>
    <col min="7173" max="7173" width="12.28515625" style="1" customWidth="1"/>
    <col min="7174" max="7174" width="11.140625" style="1" customWidth="1"/>
    <col min="7175" max="7175" width="10.42578125" style="1" customWidth="1"/>
    <col min="7176" max="7176" width="4.7109375" style="1" customWidth="1"/>
    <col min="7177" max="7177" width="8.5703125" style="1" customWidth="1"/>
    <col min="7178" max="7178" width="5.5703125" style="1" customWidth="1"/>
    <col min="7179" max="7180" width="11.5703125" style="1" customWidth="1"/>
    <col min="7181" max="7181" width="10.85546875" style="1" customWidth="1"/>
    <col min="7182" max="7182" width="7.7109375" style="1" customWidth="1"/>
    <col min="7183" max="7183" width="8" style="1" customWidth="1"/>
    <col min="7184" max="7184" width="16.28515625" style="1" customWidth="1"/>
    <col min="7185" max="7185" width="10.5703125" style="1" customWidth="1"/>
    <col min="7186" max="7186" width="14.140625" style="1" customWidth="1"/>
    <col min="7187" max="7187" width="10.140625" style="1" customWidth="1"/>
    <col min="7188" max="7188" width="15.140625" style="1" customWidth="1"/>
    <col min="7189" max="7189" width="8.5703125" style="1" customWidth="1"/>
    <col min="7190" max="7190" width="14.28515625" style="1" customWidth="1"/>
    <col min="7191" max="7191" width="18.28515625" style="1" customWidth="1"/>
    <col min="7192" max="7192" width="13" style="1" bestFit="1" customWidth="1"/>
    <col min="7193" max="7193" width="11.7109375" style="1" bestFit="1" customWidth="1"/>
    <col min="7194" max="7200" width="9.140625" style="1"/>
    <col min="7201" max="7201" width="11.28515625" style="1" bestFit="1" customWidth="1"/>
    <col min="7202" max="7202" width="10.7109375" style="1" bestFit="1" customWidth="1"/>
    <col min="7203" max="7424" width="9.140625" style="1"/>
    <col min="7425" max="7425" width="6.42578125" style="1" customWidth="1"/>
    <col min="7426" max="7426" width="20.7109375" style="1" customWidth="1"/>
    <col min="7427" max="7427" width="24.7109375" style="1" customWidth="1"/>
    <col min="7428" max="7428" width="11.140625" style="1" customWidth="1"/>
    <col min="7429" max="7429" width="12.28515625" style="1" customWidth="1"/>
    <col min="7430" max="7430" width="11.140625" style="1" customWidth="1"/>
    <col min="7431" max="7431" width="10.42578125" style="1" customWidth="1"/>
    <col min="7432" max="7432" width="4.7109375" style="1" customWidth="1"/>
    <col min="7433" max="7433" width="8.5703125" style="1" customWidth="1"/>
    <col min="7434" max="7434" width="5.5703125" style="1" customWidth="1"/>
    <col min="7435" max="7436" width="11.5703125" style="1" customWidth="1"/>
    <col min="7437" max="7437" width="10.85546875" style="1" customWidth="1"/>
    <col min="7438" max="7438" width="7.7109375" style="1" customWidth="1"/>
    <col min="7439" max="7439" width="8" style="1" customWidth="1"/>
    <col min="7440" max="7440" width="16.28515625" style="1" customWidth="1"/>
    <col min="7441" max="7441" width="10.5703125" style="1" customWidth="1"/>
    <col min="7442" max="7442" width="14.140625" style="1" customWidth="1"/>
    <col min="7443" max="7443" width="10.140625" style="1" customWidth="1"/>
    <col min="7444" max="7444" width="15.140625" style="1" customWidth="1"/>
    <col min="7445" max="7445" width="8.5703125" style="1" customWidth="1"/>
    <col min="7446" max="7446" width="14.28515625" style="1" customWidth="1"/>
    <col min="7447" max="7447" width="18.28515625" style="1" customWidth="1"/>
    <col min="7448" max="7448" width="13" style="1" bestFit="1" customWidth="1"/>
    <col min="7449" max="7449" width="11.7109375" style="1" bestFit="1" customWidth="1"/>
    <col min="7450" max="7456" width="9.140625" style="1"/>
    <col min="7457" max="7457" width="11.28515625" style="1" bestFit="1" customWidth="1"/>
    <col min="7458" max="7458" width="10.7109375" style="1" bestFit="1" customWidth="1"/>
    <col min="7459" max="7680" width="9.140625" style="1"/>
    <col min="7681" max="7681" width="6.42578125" style="1" customWidth="1"/>
    <col min="7682" max="7682" width="20.7109375" style="1" customWidth="1"/>
    <col min="7683" max="7683" width="24.7109375" style="1" customWidth="1"/>
    <col min="7684" max="7684" width="11.140625" style="1" customWidth="1"/>
    <col min="7685" max="7685" width="12.28515625" style="1" customWidth="1"/>
    <col min="7686" max="7686" width="11.140625" style="1" customWidth="1"/>
    <col min="7687" max="7687" width="10.42578125" style="1" customWidth="1"/>
    <col min="7688" max="7688" width="4.7109375" style="1" customWidth="1"/>
    <col min="7689" max="7689" width="8.5703125" style="1" customWidth="1"/>
    <col min="7690" max="7690" width="5.5703125" style="1" customWidth="1"/>
    <col min="7691" max="7692" width="11.5703125" style="1" customWidth="1"/>
    <col min="7693" max="7693" width="10.85546875" style="1" customWidth="1"/>
    <col min="7694" max="7694" width="7.7109375" style="1" customWidth="1"/>
    <col min="7695" max="7695" width="8" style="1" customWidth="1"/>
    <col min="7696" max="7696" width="16.28515625" style="1" customWidth="1"/>
    <col min="7697" max="7697" width="10.5703125" style="1" customWidth="1"/>
    <col min="7698" max="7698" width="14.140625" style="1" customWidth="1"/>
    <col min="7699" max="7699" width="10.140625" style="1" customWidth="1"/>
    <col min="7700" max="7700" width="15.140625" style="1" customWidth="1"/>
    <col min="7701" max="7701" width="8.5703125" style="1" customWidth="1"/>
    <col min="7702" max="7702" width="14.28515625" style="1" customWidth="1"/>
    <col min="7703" max="7703" width="18.28515625" style="1" customWidth="1"/>
    <col min="7704" max="7704" width="13" style="1" bestFit="1" customWidth="1"/>
    <col min="7705" max="7705" width="11.7109375" style="1" bestFit="1" customWidth="1"/>
    <col min="7706" max="7712" width="9.140625" style="1"/>
    <col min="7713" max="7713" width="11.28515625" style="1" bestFit="1" customWidth="1"/>
    <col min="7714" max="7714" width="10.7109375" style="1" bestFit="1" customWidth="1"/>
    <col min="7715" max="7936" width="9.140625" style="1"/>
    <col min="7937" max="7937" width="6.42578125" style="1" customWidth="1"/>
    <col min="7938" max="7938" width="20.7109375" style="1" customWidth="1"/>
    <col min="7939" max="7939" width="24.7109375" style="1" customWidth="1"/>
    <col min="7940" max="7940" width="11.140625" style="1" customWidth="1"/>
    <col min="7941" max="7941" width="12.28515625" style="1" customWidth="1"/>
    <col min="7942" max="7942" width="11.140625" style="1" customWidth="1"/>
    <col min="7943" max="7943" width="10.42578125" style="1" customWidth="1"/>
    <col min="7944" max="7944" width="4.7109375" style="1" customWidth="1"/>
    <col min="7945" max="7945" width="8.5703125" style="1" customWidth="1"/>
    <col min="7946" max="7946" width="5.5703125" style="1" customWidth="1"/>
    <col min="7947" max="7948" width="11.5703125" style="1" customWidth="1"/>
    <col min="7949" max="7949" width="10.85546875" style="1" customWidth="1"/>
    <col min="7950" max="7950" width="7.7109375" style="1" customWidth="1"/>
    <col min="7951" max="7951" width="8" style="1" customWidth="1"/>
    <col min="7952" max="7952" width="16.28515625" style="1" customWidth="1"/>
    <col min="7953" max="7953" width="10.5703125" style="1" customWidth="1"/>
    <col min="7954" max="7954" width="14.140625" style="1" customWidth="1"/>
    <col min="7955" max="7955" width="10.140625" style="1" customWidth="1"/>
    <col min="7956" max="7956" width="15.140625" style="1" customWidth="1"/>
    <col min="7957" max="7957" width="8.5703125" style="1" customWidth="1"/>
    <col min="7958" max="7958" width="14.28515625" style="1" customWidth="1"/>
    <col min="7959" max="7959" width="18.28515625" style="1" customWidth="1"/>
    <col min="7960" max="7960" width="13" style="1" bestFit="1" customWidth="1"/>
    <col min="7961" max="7961" width="11.7109375" style="1" bestFit="1" customWidth="1"/>
    <col min="7962" max="7968" width="9.140625" style="1"/>
    <col min="7969" max="7969" width="11.28515625" style="1" bestFit="1" customWidth="1"/>
    <col min="7970" max="7970" width="10.7109375" style="1" bestFit="1" customWidth="1"/>
    <col min="7971" max="8192" width="9.140625" style="1"/>
    <col min="8193" max="8193" width="6.42578125" style="1" customWidth="1"/>
    <col min="8194" max="8194" width="20.7109375" style="1" customWidth="1"/>
    <col min="8195" max="8195" width="24.7109375" style="1" customWidth="1"/>
    <col min="8196" max="8196" width="11.140625" style="1" customWidth="1"/>
    <col min="8197" max="8197" width="12.28515625" style="1" customWidth="1"/>
    <col min="8198" max="8198" width="11.140625" style="1" customWidth="1"/>
    <col min="8199" max="8199" width="10.42578125" style="1" customWidth="1"/>
    <col min="8200" max="8200" width="4.7109375" style="1" customWidth="1"/>
    <col min="8201" max="8201" width="8.5703125" style="1" customWidth="1"/>
    <col min="8202" max="8202" width="5.5703125" style="1" customWidth="1"/>
    <col min="8203" max="8204" width="11.5703125" style="1" customWidth="1"/>
    <col min="8205" max="8205" width="10.85546875" style="1" customWidth="1"/>
    <col min="8206" max="8206" width="7.7109375" style="1" customWidth="1"/>
    <col min="8207" max="8207" width="8" style="1" customWidth="1"/>
    <col min="8208" max="8208" width="16.28515625" style="1" customWidth="1"/>
    <col min="8209" max="8209" width="10.5703125" style="1" customWidth="1"/>
    <col min="8210" max="8210" width="14.140625" style="1" customWidth="1"/>
    <col min="8211" max="8211" width="10.140625" style="1" customWidth="1"/>
    <col min="8212" max="8212" width="15.140625" style="1" customWidth="1"/>
    <col min="8213" max="8213" width="8.5703125" style="1" customWidth="1"/>
    <col min="8214" max="8214" width="14.28515625" style="1" customWidth="1"/>
    <col min="8215" max="8215" width="18.28515625" style="1" customWidth="1"/>
    <col min="8216" max="8216" width="13" style="1" bestFit="1" customWidth="1"/>
    <col min="8217" max="8217" width="11.7109375" style="1" bestFit="1" customWidth="1"/>
    <col min="8218" max="8224" width="9.140625" style="1"/>
    <col min="8225" max="8225" width="11.28515625" style="1" bestFit="1" customWidth="1"/>
    <col min="8226" max="8226" width="10.7109375" style="1" bestFit="1" customWidth="1"/>
    <col min="8227" max="8448" width="9.140625" style="1"/>
    <col min="8449" max="8449" width="6.42578125" style="1" customWidth="1"/>
    <col min="8450" max="8450" width="20.7109375" style="1" customWidth="1"/>
    <col min="8451" max="8451" width="24.7109375" style="1" customWidth="1"/>
    <col min="8452" max="8452" width="11.140625" style="1" customWidth="1"/>
    <col min="8453" max="8453" width="12.28515625" style="1" customWidth="1"/>
    <col min="8454" max="8454" width="11.140625" style="1" customWidth="1"/>
    <col min="8455" max="8455" width="10.42578125" style="1" customWidth="1"/>
    <col min="8456" max="8456" width="4.7109375" style="1" customWidth="1"/>
    <col min="8457" max="8457" width="8.5703125" style="1" customWidth="1"/>
    <col min="8458" max="8458" width="5.5703125" style="1" customWidth="1"/>
    <col min="8459" max="8460" width="11.5703125" style="1" customWidth="1"/>
    <col min="8461" max="8461" width="10.85546875" style="1" customWidth="1"/>
    <col min="8462" max="8462" width="7.7109375" style="1" customWidth="1"/>
    <col min="8463" max="8463" width="8" style="1" customWidth="1"/>
    <col min="8464" max="8464" width="16.28515625" style="1" customWidth="1"/>
    <col min="8465" max="8465" width="10.5703125" style="1" customWidth="1"/>
    <col min="8466" max="8466" width="14.140625" style="1" customWidth="1"/>
    <col min="8467" max="8467" width="10.140625" style="1" customWidth="1"/>
    <col min="8468" max="8468" width="15.140625" style="1" customWidth="1"/>
    <col min="8469" max="8469" width="8.5703125" style="1" customWidth="1"/>
    <col min="8470" max="8470" width="14.28515625" style="1" customWidth="1"/>
    <col min="8471" max="8471" width="18.28515625" style="1" customWidth="1"/>
    <col min="8472" max="8472" width="13" style="1" bestFit="1" customWidth="1"/>
    <col min="8473" max="8473" width="11.7109375" style="1" bestFit="1" customWidth="1"/>
    <col min="8474" max="8480" width="9.140625" style="1"/>
    <col min="8481" max="8481" width="11.28515625" style="1" bestFit="1" customWidth="1"/>
    <col min="8482" max="8482" width="10.7109375" style="1" bestFit="1" customWidth="1"/>
    <col min="8483" max="8704" width="9.140625" style="1"/>
    <col min="8705" max="8705" width="6.42578125" style="1" customWidth="1"/>
    <col min="8706" max="8706" width="20.7109375" style="1" customWidth="1"/>
    <col min="8707" max="8707" width="24.7109375" style="1" customWidth="1"/>
    <col min="8708" max="8708" width="11.140625" style="1" customWidth="1"/>
    <col min="8709" max="8709" width="12.28515625" style="1" customWidth="1"/>
    <col min="8710" max="8710" width="11.140625" style="1" customWidth="1"/>
    <col min="8711" max="8711" width="10.42578125" style="1" customWidth="1"/>
    <col min="8712" max="8712" width="4.7109375" style="1" customWidth="1"/>
    <col min="8713" max="8713" width="8.5703125" style="1" customWidth="1"/>
    <col min="8714" max="8714" width="5.5703125" style="1" customWidth="1"/>
    <col min="8715" max="8716" width="11.5703125" style="1" customWidth="1"/>
    <col min="8717" max="8717" width="10.85546875" style="1" customWidth="1"/>
    <col min="8718" max="8718" width="7.7109375" style="1" customWidth="1"/>
    <col min="8719" max="8719" width="8" style="1" customWidth="1"/>
    <col min="8720" max="8720" width="16.28515625" style="1" customWidth="1"/>
    <col min="8721" max="8721" width="10.5703125" style="1" customWidth="1"/>
    <col min="8722" max="8722" width="14.140625" style="1" customWidth="1"/>
    <col min="8723" max="8723" width="10.140625" style="1" customWidth="1"/>
    <col min="8724" max="8724" width="15.140625" style="1" customWidth="1"/>
    <col min="8725" max="8725" width="8.5703125" style="1" customWidth="1"/>
    <col min="8726" max="8726" width="14.28515625" style="1" customWidth="1"/>
    <col min="8727" max="8727" width="18.28515625" style="1" customWidth="1"/>
    <col min="8728" max="8728" width="13" style="1" bestFit="1" customWidth="1"/>
    <col min="8729" max="8729" width="11.7109375" style="1" bestFit="1" customWidth="1"/>
    <col min="8730" max="8736" width="9.140625" style="1"/>
    <col min="8737" max="8737" width="11.28515625" style="1" bestFit="1" customWidth="1"/>
    <col min="8738" max="8738" width="10.7109375" style="1" bestFit="1" customWidth="1"/>
    <col min="8739" max="8960" width="9.140625" style="1"/>
    <col min="8961" max="8961" width="6.42578125" style="1" customWidth="1"/>
    <col min="8962" max="8962" width="20.7109375" style="1" customWidth="1"/>
    <col min="8963" max="8963" width="24.7109375" style="1" customWidth="1"/>
    <col min="8964" max="8964" width="11.140625" style="1" customWidth="1"/>
    <col min="8965" max="8965" width="12.28515625" style="1" customWidth="1"/>
    <col min="8966" max="8966" width="11.140625" style="1" customWidth="1"/>
    <col min="8967" max="8967" width="10.42578125" style="1" customWidth="1"/>
    <col min="8968" max="8968" width="4.7109375" style="1" customWidth="1"/>
    <col min="8969" max="8969" width="8.5703125" style="1" customWidth="1"/>
    <col min="8970" max="8970" width="5.5703125" style="1" customWidth="1"/>
    <col min="8971" max="8972" width="11.5703125" style="1" customWidth="1"/>
    <col min="8973" max="8973" width="10.85546875" style="1" customWidth="1"/>
    <col min="8974" max="8974" width="7.7109375" style="1" customWidth="1"/>
    <col min="8975" max="8975" width="8" style="1" customWidth="1"/>
    <col min="8976" max="8976" width="16.28515625" style="1" customWidth="1"/>
    <col min="8977" max="8977" width="10.5703125" style="1" customWidth="1"/>
    <col min="8978" max="8978" width="14.140625" style="1" customWidth="1"/>
    <col min="8979" max="8979" width="10.140625" style="1" customWidth="1"/>
    <col min="8980" max="8980" width="15.140625" style="1" customWidth="1"/>
    <col min="8981" max="8981" width="8.5703125" style="1" customWidth="1"/>
    <col min="8982" max="8982" width="14.28515625" style="1" customWidth="1"/>
    <col min="8983" max="8983" width="18.28515625" style="1" customWidth="1"/>
    <col min="8984" max="8984" width="13" style="1" bestFit="1" customWidth="1"/>
    <col min="8985" max="8985" width="11.7109375" style="1" bestFit="1" customWidth="1"/>
    <col min="8986" max="8992" width="9.140625" style="1"/>
    <col min="8993" max="8993" width="11.28515625" style="1" bestFit="1" customWidth="1"/>
    <col min="8994" max="8994" width="10.7109375" style="1" bestFit="1" customWidth="1"/>
    <col min="8995" max="9216" width="9.140625" style="1"/>
    <col min="9217" max="9217" width="6.42578125" style="1" customWidth="1"/>
    <col min="9218" max="9218" width="20.7109375" style="1" customWidth="1"/>
    <col min="9219" max="9219" width="24.7109375" style="1" customWidth="1"/>
    <col min="9220" max="9220" width="11.140625" style="1" customWidth="1"/>
    <col min="9221" max="9221" width="12.28515625" style="1" customWidth="1"/>
    <col min="9222" max="9222" width="11.140625" style="1" customWidth="1"/>
    <col min="9223" max="9223" width="10.42578125" style="1" customWidth="1"/>
    <col min="9224" max="9224" width="4.7109375" style="1" customWidth="1"/>
    <col min="9225" max="9225" width="8.5703125" style="1" customWidth="1"/>
    <col min="9226" max="9226" width="5.5703125" style="1" customWidth="1"/>
    <col min="9227" max="9228" width="11.5703125" style="1" customWidth="1"/>
    <col min="9229" max="9229" width="10.85546875" style="1" customWidth="1"/>
    <col min="9230" max="9230" width="7.7109375" style="1" customWidth="1"/>
    <col min="9231" max="9231" width="8" style="1" customWidth="1"/>
    <col min="9232" max="9232" width="16.28515625" style="1" customWidth="1"/>
    <col min="9233" max="9233" width="10.5703125" style="1" customWidth="1"/>
    <col min="9234" max="9234" width="14.140625" style="1" customWidth="1"/>
    <col min="9235" max="9235" width="10.140625" style="1" customWidth="1"/>
    <col min="9236" max="9236" width="15.140625" style="1" customWidth="1"/>
    <col min="9237" max="9237" width="8.5703125" style="1" customWidth="1"/>
    <col min="9238" max="9238" width="14.28515625" style="1" customWidth="1"/>
    <col min="9239" max="9239" width="18.28515625" style="1" customWidth="1"/>
    <col min="9240" max="9240" width="13" style="1" bestFit="1" customWidth="1"/>
    <col min="9241" max="9241" width="11.7109375" style="1" bestFit="1" customWidth="1"/>
    <col min="9242" max="9248" width="9.140625" style="1"/>
    <col min="9249" max="9249" width="11.28515625" style="1" bestFit="1" customWidth="1"/>
    <col min="9250" max="9250" width="10.7109375" style="1" bestFit="1" customWidth="1"/>
    <col min="9251" max="9472" width="9.140625" style="1"/>
    <col min="9473" max="9473" width="6.42578125" style="1" customWidth="1"/>
    <col min="9474" max="9474" width="20.7109375" style="1" customWidth="1"/>
    <col min="9475" max="9475" width="24.7109375" style="1" customWidth="1"/>
    <col min="9476" max="9476" width="11.140625" style="1" customWidth="1"/>
    <col min="9477" max="9477" width="12.28515625" style="1" customWidth="1"/>
    <col min="9478" max="9478" width="11.140625" style="1" customWidth="1"/>
    <col min="9479" max="9479" width="10.42578125" style="1" customWidth="1"/>
    <col min="9480" max="9480" width="4.7109375" style="1" customWidth="1"/>
    <col min="9481" max="9481" width="8.5703125" style="1" customWidth="1"/>
    <col min="9482" max="9482" width="5.5703125" style="1" customWidth="1"/>
    <col min="9483" max="9484" width="11.5703125" style="1" customWidth="1"/>
    <col min="9485" max="9485" width="10.85546875" style="1" customWidth="1"/>
    <col min="9486" max="9486" width="7.7109375" style="1" customWidth="1"/>
    <col min="9487" max="9487" width="8" style="1" customWidth="1"/>
    <col min="9488" max="9488" width="16.28515625" style="1" customWidth="1"/>
    <col min="9489" max="9489" width="10.5703125" style="1" customWidth="1"/>
    <col min="9490" max="9490" width="14.140625" style="1" customWidth="1"/>
    <col min="9491" max="9491" width="10.140625" style="1" customWidth="1"/>
    <col min="9492" max="9492" width="15.140625" style="1" customWidth="1"/>
    <col min="9493" max="9493" width="8.5703125" style="1" customWidth="1"/>
    <col min="9494" max="9494" width="14.28515625" style="1" customWidth="1"/>
    <col min="9495" max="9495" width="18.28515625" style="1" customWidth="1"/>
    <col min="9496" max="9496" width="13" style="1" bestFit="1" customWidth="1"/>
    <col min="9497" max="9497" width="11.7109375" style="1" bestFit="1" customWidth="1"/>
    <col min="9498" max="9504" width="9.140625" style="1"/>
    <col min="9505" max="9505" width="11.28515625" style="1" bestFit="1" customWidth="1"/>
    <col min="9506" max="9506" width="10.7109375" style="1" bestFit="1" customWidth="1"/>
    <col min="9507" max="9728" width="9.140625" style="1"/>
    <col min="9729" max="9729" width="6.42578125" style="1" customWidth="1"/>
    <col min="9730" max="9730" width="20.7109375" style="1" customWidth="1"/>
    <col min="9731" max="9731" width="24.7109375" style="1" customWidth="1"/>
    <col min="9732" max="9732" width="11.140625" style="1" customWidth="1"/>
    <col min="9733" max="9733" width="12.28515625" style="1" customWidth="1"/>
    <col min="9734" max="9734" width="11.140625" style="1" customWidth="1"/>
    <col min="9735" max="9735" width="10.42578125" style="1" customWidth="1"/>
    <col min="9736" max="9736" width="4.7109375" style="1" customWidth="1"/>
    <col min="9737" max="9737" width="8.5703125" style="1" customWidth="1"/>
    <col min="9738" max="9738" width="5.5703125" style="1" customWidth="1"/>
    <col min="9739" max="9740" width="11.5703125" style="1" customWidth="1"/>
    <col min="9741" max="9741" width="10.85546875" style="1" customWidth="1"/>
    <col min="9742" max="9742" width="7.7109375" style="1" customWidth="1"/>
    <col min="9743" max="9743" width="8" style="1" customWidth="1"/>
    <col min="9744" max="9744" width="16.28515625" style="1" customWidth="1"/>
    <col min="9745" max="9745" width="10.5703125" style="1" customWidth="1"/>
    <col min="9746" max="9746" width="14.140625" style="1" customWidth="1"/>
    <col min="9747" max="9747" width="10.140625" style="1" customWidth="1"/>
    <col min="9748" max="9748" width="15.140625" style="1" customWidth="1"/>
    <col min="9749" max="9749" width="8.5703125" style="1" customWidth="1"/>
    <col min="9750" max="9750" width="14.28515625" style="1" customWidth="1"/>
    <col min="9751" max="9751" width="18.28515625" style="1" customWidth="1"/>
    <col min="9752" max="9752" width="13" style="1" bestFit="1" customWidth="1"/>
    <col min="9753" max="9753" width="11.7109375" style="1" bestFit="1" customWidth="1"/>
    <col min="9754" max="9760" width="9.140625" style="1"/>
    <col min="9761" max="9761" width="11.28515625" style="1" bestFit="1" customWidth="1"/>
    <col min="9762" max="9762" width="10.7109375" style="1" bestFit="1" customWidth="1"/>
    <col min="9763" max="9984" width="9.140625" style="1"/>
    <col min="9985" max="9985" width="6.42578125" style="1" customWidth="1"/>
    <col min="9986" max="9986" width="20.7109375" style="1" customWidth="1"/>
    <col min="9987" max="9987" width="24.7109375" style="1" customWidth="1"/>
    <col min="9988" max="9988" width="11.140625" style="1" customWidth="1"/>
    <col min="9989" max="9989" width="12.28515625" style="1" customWidth="1"/>
    <col min="9990" max="9990" width="11.140625" style="1" customWidth="1"/>
    <col min="9991" max="9991" width="10.42578125" style="1" customWidth="1"/>
    <col min="9992" max="9992" width="4.7109375" style="1" customWidth="1"/>
    <col min="9993" max="9993" width="8.5703125" style="1" customWidth="1"/>
    <col min="9994" max="9994" width="5.5703125" style="1" customWidth="1"/>
    <col min="9995" max="9996" width="11.5703125" style="1" customWidth="1"/>
    <col min="9997" max="9997" width="10.85546875" style="1" customWidth="1"/>
    <col min="9998" max="9998" width="7.7109375" style="1" customWidth="1"/>
    <col min="9999" max="9999" width="8" style="1" customWidth="1"/>
    <col min="10000" max="10000" width="16.28515625" style="1" customWidth="1"/>
    <col min="10001" max="10001" width="10.5703125" style="1" customWidth="1"/>
    <col min="10002" max="10002" width="14.140625" style="1" customWidth="1"/>
    <col min="10003" max="10003" width="10.140625" style="1" customWidth="1"/>
    <col min="10004" max="10004" width="15.140625" style="1" customWidth="1"/>
    <col min="10005" max="10005" width="8.5703125" style="1" customWidth="1"/>
    <col min="10006" max="10006" width="14.28515625" style="1" customWidth="1"/>
    <col min="10007" max="10007" width="18.28515625" style="1" customWidth="1"/>
    <col min="10008" max="10008" width="13" style="1" bestFit="1" customWidth="1"/>
    <col min="10009" max="10009" width="11.7109375" style="1" bestFit="1" customWidth="1"/>
    <col min="10010" max="10016" width="9.140625" style="1"/>
    <col min="10017" max="10017" width="11.28515625" style="1" bestFit="1" customWidth="1"/>
    <col min="10018" max="10018" width="10.7109375" style="1" bestFit="1" customWidth="1"/>
    <col min="10019" max="10240" width="9.140625" style="1"/>
    <col min="10241" max="10241" width="6.42578125" style="1" customWidth="1"/>
    <col min="10242" max="10242" width="20.7109375" style="1" customWidth="1"/>
    <col min="10243" max="10243" width="24.7109375" style="1" customWidth="1"/>
    <col min="10244" max="10244" width="11.140625" style="1" customWidth="1"/>
    <col min="10245" max="10245" width="12.28515625" style="1" customWidth="1"/>
    <col min="10246" max="10246" width="11.140625" style="1" customWidth="1"/>
    <col min="10247" max="10247" width="10.42578125" style="1" customWidth="1"/>
    <col min="10248" max="10248" width="4.7109375" style="1" customWidth="1"/>
    <col min="10249" max="10249" width="8.5703125" style="1" customWidth="1"/>
    <col min="10250" max="10250" width="5.5703125" style="1" customWidth="1"/>
    <col min="10251" max="10252" width="11.5703125" style="1" customWidth="1"/>
    <col min="10253" max="10253" width="10.85546875" style="1" customWidth="1"/>
    <col min="10254" max="10254" width="7.7109375" style="1" customWidth="1"/>
    <col min="10255" max="10255" width="8" style="1" customWidth="1"/>
    <col min="10256" max="10256" width="16.28515625" style="1" customWidth="1"/>
    <col min="10257" max="10257" width="10.5703125" style="1" customWidth="1"/>
    <col min="10258" max="10258" width="14.140625" style="1" customWidth="1"/>
    <col min="10259" max="10259" width="10.140625" style="1" customWidth="1"/>
    <col min="10260" max="10260" width="15.140625" style="1" customWidth="1"/>
    <col min="10261" max="10261" width="8.5703125" style="1" customWidth="1"/>
    <col min="10262" max="10262" width="14.28515625" style="1" customWidth="1"/>
    <col min="10263" max="10263" width="18.28515625" style="1" customWidth="1"/>
    <col min="10264" max="10264" width="13" style="1" bestFit="1" customWidth="1"/>
    <col min="10265" max="10265" width="11.7109375" style="1" bestFit="1" customWidth="1"/>
    <col min="10266" max="10272" width="9.140625" style="1"/>
    <col min="10273" max="10273" width="11.28515625" style="1" bestFit="1" customWidth="1"/>
    <col min="10274" max="10274" width="10.7109375" style="1" bestFit="1" customWidth="1"/>
    <col min="10275" max="10496" width="9.140625" style="1"/>
    <col min="10497" max="10497" width="6.42578125" style="1" customWidth="1"/>
    <col min="10498" max="10498" width="20.7109375" style="1" customWidth="1"/>
    <col min="10499" max="10499" width="24.7109375" style="1" customWidth="1"/>
    <col min="10500" max="10500" width="11.140625" style="1" customWidth="1"/>
    <col min="10501" max="10501" width="12.28515625" style="1" customWidth="1"/>
    <col min="10502" max="10502" width="11.140625" style="1" customWidth="1"/>
    <col min="10503" max="10503" width="10.42578125" style="1" customWidth="1"/>
    <col min="10504" max="10504" width="4.7109375" style="1" customWidth="1"/>
    <col min="10505" max="10505" width="8.5703125" style="1" customWidth="1"/>
    <col min="10506" max="10506" width="5.5703125" style="1" customWidth="1"/>
    <col min="10507" max="10508" width="11.5703125" style="1" customWidth="1"/>
    <col min="10509" max="10509" width="10.85546875" style="1" customWidth="1"/>
    <col min="10510" max="10510" width="7.7109375" style="1" customWidth="1"/>
    <col min="10511" max="10511" width="8" style="1" customWidth="1"/>
    <col min="10512" max="10512" width="16.28515625" style="1" customWidth="1"/>
    <col min="10513" max="10513" width="10.5703125" style="1" customWidth="1"/>
    <col min="10514" max="10514" width="14.140625" style="1" customWidth="1"/>
    <col min="10515" max="10515" width="10.140625" style="1" customWidth="1"/>
    <col min="10516" max="10516" width="15.140625" style="1" customWidth="1"/>
    <col min="10517" max="10517" width="8.5703125" style="1" customWidth="1"/>
    <col min="10518" max="10518" width="14.28515625" style="1" customWidth="1"/>
    <col min="10519" max="10519" width="18.28515625" style="1" customWidth="1"/>
    <col min="10520" max="10520" width="13" style="1" bestFit="1" customWidth="1"/>
    <col min="10521" max="10521" width="11.7109375" style="1" bestFit="1" customWidth="1"/>
    <col min="10522" max="10528" width="9.140625" style="1"/>
    <col min="10529" max="10529" width="11.28515625" style="1" bestFit="1" customWidth="1"/>
    <col min="10530" max="10530" width="10.7109375" style="1" bestFit="1" customWidth="1"/>
    <col min="10531" max="10752" width="9.140625" style="1"/>
    <col min="10753" max="10753" width="6.42578125" style="1" customWidth="1"/>
    <col min="10754" max="10754" width="20.7109375" style="1" customWidth="1"/>
    <col min="10755" max="10755" width="24.7109375" style="1" customWidth="1"/>
    <col min="10756" max="10756" width="11.140625" style="1" customWidth="1"/>
    <col min="10757" max="10757" width="12.28515625" style="1" customWidth="1"/>
    <col min="10758" max="10758" width="11.140625" style="1" customWidth="1"/>
    <col min="10759" max="10759" width="10.42578125" style="1" customWidth="1"/>
    <col min="10760" max="10760" width="4.7109375" style="1" customWidth="1"/>
    <col min="10761" max="10761" width="8.5703125" style="1" customWidth="1"/>
    <col min="10762" max="10762" width="5.5703125" style="1" customWidth="1"/>
    <col min="10763" max="10764" width="11.5703125" style="1" customWidth="1"/>
    <col min="10765" max="10765" width="10.85546875" style="1" customWidth="1"/>
    <col min="10766" max="10766" width="7.7109375" style="1" customWidth="1"/>
    <col min="10767" max="10767" width="8" style="1" customWidth="1"/>
    <col min="10768" max="10768" width="16.28515625" style="1" customWidth="1"/>
    <col min="10769" max="10769" width="10.5703125" style="1" customWidth="1"/>
    <col min="10770" max="10770" width="14.140625" style="1" customWidth="1"/>
    <col min="10771" max="10771" width="10.140625" style="1" customWidth="1"/>
    <col min="10772" max="10772" width="15.140625" style="1" customWidth="1"/>
    <col min="10773" max="10773" width="8.5703125" style="1" customWidth="1"/>
    <col min="10774" max="10774" width="14.28515625" style="1" customWidth="1"/>
    <col min="10775" max="10775" width="18.28515625" style="1" customWidth="1"/>
    <col min="10776" max="10776" width="13" style="1" bestFit="1" customWidth="1"/>
    <col min="10777" max="10777" width="11.7109375" style="1" bestFit="1" customWidth="1"/>
    <col min="10778" max="10784" width="9.140625" style="1"/>
    <col min="10785" max="10785" width="11.28515625" style="1" bestFit="1" customWidth="1"/>
    <col min="10786" max="10786" width="10.7109375" style="1" bestFit="1" customWidth="1"/>
    <col min="10787" max="11008" width="9.140625" style="1"/>
    <col min="11009" max="11009" width="6.42578125" style="1" customWidth="1"/>
    <col min="11010" max="11010" width="20.7109375" style="1" customWidth="1"/>
    <col min="11011" max="11011" width="24.7109375" style="1" customWidth="1"/>
    <col min="11012" max="11012" width="11.140625" style="1" customWidth="1"/>
    <col min="11013" max="11013" width="12.28515625" style="1" customWidth="1"/>
    <col min="11014" max="11014" width="11.140625" style="1" customWidth="1"/>
    <col min="11015" max="11015" width="10.42578125" style="1" customWidth="1"/>
    <col min="11016" max="11016" width="4.7109375" style="1" customWidth="1"/>
    <col min="11017" max="11017" width="8.5703125" style="1" customWidth="1"/>
    <col min="11018" max="11018" width="5.5703125" style="1" customWidth="1"/>
    <col min="11019" max="11020" width="11.5703125" style="1" customWidth="1"/>
    <col min="11021" max="11021" width="10.85546875" style="1" customWidth="1"/>
    <col min="11022" max="11022" width="7.7109375" style="1" customWidth="1"/>
    <col min="11023" max="11023" width="8" style="1" customWidth="1"/>
    <col min="11024" max="11024" width="16.28515625" style="1" customWidth="1"/>
    <col min="11025" max="11025" width="10.5703125" style="1" customWidth="1"/>
    <col min="11026" max="11026" width="14.140625" style="1" customWidth="1"/>
    <col min="11027" max="11027" width="10.140625" style="1" customWidth="1"/>
    <col min="11028" max="11028" width="15.140625" style="1" customWidth="1"/>
    <col min="11029" max="11029" width="8.5703125" style="1" customWidth="1"/>
    <col min="11030" max="11030" width="14.28515625" style="1" customWidth="1"/>
    <col min="11031" max="11031" width="18.28515625" style="1" customWidth="1"/>
    <col min="11032" max="11032" width="13" style="1" bestFit="1" customWidth="1"/>
    <col min="11033" max="11033" width="11.7109375" style="1" bestFit="1" customWidth="1"/>
    <col min="11034" max="11040" width="9.140625" style="1"/>
    <col min="11041" max="11041" width="11.28515625" style="1" bestFit="1" customWidth="1"/>
    <col min="11042" max="11042" width="10.7109375" style="1" bestFit="1" customWidth="1"/>
    <col min="11043" max="11264" width="9.140625" style="1"/>
    <col min="11265" max="11265" width="6.42578125" style="1" customWidth="1"/>
    <col min="11266" max="11266" width="20.7109375" style="1" customWidth="1"/>
    <col min="11267" max="11267" width="24.7109375" style="1" customWidth="1"/>
    <col min="11268" max="11268" width="11.140625" style="1" customWidth="1"/>
    <col min="11269" max="11269" width="12.28515625" style="1" customWidth="1"/>
    <col min="11270" max="11270" width="11.140625" style="1" customWidth="1"/>
    <col min="11271" max="11271" width="10.42578125" style="1" customWidth="1"/>
    <col min="11272" max="11272" width="4.7109375" style="1" customWidth="1"/>
    <col min="11273" max="11273" width="8.5703125" style="1" customWidth="1"/>
    <col min="11274" max="11274" width="5.5703125" style="1" customWidth="1"/>
    <col min="11275" max="11276" width="11.5703125" style="1" customWidth="1"/>
    <col min="11277" max="11277" width="10.85546875" style="1" customWidth="1"/>
    <col min="11278" max="11278" width="7.7109375" style="1" customWidth="1"/>
    <col min="11279" max="11279" width="8" style="1" customWidth="1"/>
    <col min="11280" max="11280" width="16.28515625" style="1" customWidth="1"/>
    <col min="11281" max="11281" width="10.5703125" style="1" customWidth="1"/>
    <col min="11282" max="11282" width="14.140625" style="1" customWidth="1"/>
    <col min="11283" max="11283" width="10.140625" style="1" customWidth="1"/>
    <col min="11284" max="11284" width="15.140625" style="1" customWidth="1"/>
    <col min="11285" max="11285" width="8.5703125" style="1" customWidth="1"/>
    <col min="11286" max="11286" width="14.28515625" style="1" customWidth="1"/>
    <col min="11287" max="11287" width="18.28515625" style="1" customWidth="1"/>
    <col min="11288" max="11288" width="13" style="1" bestFit="1" customWidth="1"/>
    <col min="11289" max="11289" width="11.7109375" style="1" bestFit="1" customWidth="1"/>
    <col min="11290" max="11296" width="9.140625" style="1"/>
    <col min="11297" max="11297" width="11.28515625" style="1" bestFit="1" customWidth="1"/>
    <col min="11298" max="11298" width="10.7109375" style="1" bestFit="1" customWidth="1"/>
    <col min="11299" max="11520" width="9.140625" style="1"/>
    <col min="11521" max="11521" width="6.42578125" style="1" customWidth="1"/>
    <col min="11522" max="11522" width="20.7109375" style="1" customWidth="1"/>
    <col min="11523" max="11523" width="24.7109375" style="1" customWidth="1"/>
    <col min="11524" max="11524" width="11.140625" style="1" customWidth="1"/>
    <col min="11525" max="11525" width="12.28515625" style="1" customWidth="1"/>
    <col min="11526" max="11526" width="11.140625" style="1" customWidth="1"/>
    <col min="11527" max="11527" width="10.42578125" style="1" customWidth="1"/>
    <col min="11528" max="11528" width="4.7109375" style="1" customWidth="1"/>
    <col min="11529" max="11529" width="8.5703125" style="1" customWidth="1"/>
    <col min="11530" max="11530" width="5.5703125" style="1" customWidth="1"/>
    <col min="11531" max="11532" width="11.5703125" style="1" customWidth="1"/>
    <col min="11533" max="11533" width="10.85546875" style="1" customWidth="1"/>
    <col min="11534" max="11534" width="7.7109375" style="1" customWidth="1"/>
    <col min="11535" max="11535" width="8" style="1" customWidth="1"/>
    <col min="11536" max="11536" width="16.28515625" style="1" customWidth="1"/>
    <col min="11537" max="11537" width="10.5703125" style="1" customWidth="1"/>
    <col min="11538" max="11538" width="14.140625" style="1" customWidth="1"/>
    <col min="11539" max="11539" width="10.140625" style="1" customWidth="1"/>
    <col min="11540" max="11540" width="15.140625" style="1" customWidth="1"/>
    <col min="11541" max="11541" width="8.5703125" style="1" customWidth="1"/>
    <col min="11542" max="11542" width="14.28515625" style="1" customWidth="1"/>
    <col min="11543" max="11543" width="18.28515625" style="1" customWidth="1"/>
    <col min="11544" max="11544" width="13" style="1" bestFit="1" customWidth="1"/>
    <col min="11545" max="11545" width="11.7109375" style="1" bestFit="1" customWidth="1"/>
    <col min="11546" max="11552" width="9.140625" style="1"/>
    <col min="11553" max="11553" width="11.28515625" style="1" bestFit="1" customWidth="1"/>
    <col min="11554" max="11554" width="10.7109375" style="1" bestFit="1" customWidth="1"/>
    <col min="11555" max="11776" width="9.140625" style="1"/>
    <col min="11777" max="11777" width="6.42578125" style="1" customWidth="1"/>
    <col min="11778" max="11778" width="20.7109375" style="1" customWidth="1"/>
    <col min="11779" max="11779" width="24.7109375" style="1" customWidth="1"/>
    <col min="11780" max="11780" width="11.140625" style="1" customWidth="1"/>
    <col min="11781" max="11781" width="12.28515625" style="1" customWidth="1"/>
    <col min="11782" max="11782" width="11.140625" style="1" customWidth="1"/>
    <col min="11783" max="11783" width="10.42578125" style="1" customWidth="1"/>
    <col min="11784" max="11784" width="4.7109375" style="1" customWidth="1"/>
    <col min="11785" max="11785" width="8.5703125" style="1" customWidth="1"/>
    <col min="11786" max="11786" width="5.5703125" style="1" customWidth="1"/>
    <col min="11787" max="11788" width="11.5703125" style="1" customWidth="1"/>
    <col min="11789" max="11789" width="10.85546875" style="1" customWidth="1"/>
    <col min="11790" max="11790" width="7.7109375" style="1" customWidth="1"/>
    <col min="11791" max="11791" width="8" style="1" customWidth="1"/>
    <col min="11792" max="11792" width="16.28515625" style="1" customWidth="1"/>
    <col min="11793" max="11793" width="10.5703125" style="1" customWidth="1"/>
    <col min="11794" max="11794" width="14.140625" style="1" customWidth="1"/>
    <col min="11795" max="11795" width="10.140625" style="1" customWidth="1"/>
    <col min="11796" max="11796" width="15.140625" style="1" customWidth="1"/>
    <col min="11797" max="11797" width="8.5703125" style="1" customWidth="1"/>
    <col min="11798" max="11798" width="14.28515625" style="1" customWidth="1"/>
    <col min="11799" max="11799" width="18.28515625" style="1" customWidth="1"/>
    <col min="11800" max="11800" width="13" style="1" bestFit="1" customWidth="1"/>
    <col min="11801" max="11801" width="11.7109375" style="1" bestFit="1" customWidth="1"/>
    <col min="11802" max="11808" width="9.140625" style="1"/>
    <col min="11809" max="11809" width="11.28515625" style="1" bestFit="1" customWidth="1"/>
    <col min="11810" max="11810" width="10.7109375" style="1" bestFit="1" customWidth="1"/>
    <col min="11811" max="12032" width="9.140625" style="1"/>
    <col min="12033" max="12033" width="6.42578125" style="1" customWidth="1"/>
    <col min="12034" max="12034" width="20.7109375" style="1" customWidth="1"/>
    <col min="12035" max="12035" width="24.7109375" style="1" customWidth="1"/>
    <col min="12036" max="12036" width="11.140625" style="1" customWidth="1"/>
    <col min="12037" max="12037" width="12.28515625" style="1" customWidth="1"/>
    <col min="12038" max="12038" width="11.140625" style="1" customWidth="1"/>
    <col min="12039" max="12039" width="10.42578125" style="1" customWidth="1"/>
    <col min="12040" max="12040" width="4.7109375" style="1" customWidth="1"/>
    <col min="12041" max="12041" width="8.5703125" style="1" customWidth="1"/>
    <col min="12042" max="12042" width="5.5703125" style="1" customWidth="1"/>
    <col min="12043" max="12044" width="11.5703125" style="1" customWidth="1"/>
    <col min="12045" max="12045" width="10.85546875" style="1" customWidth="1"/>
    <col min="12046" max="12046" width="7.7109375" style="1" customWidth="1"/>
    <col min="12047" max="12047" width="8" style="1" customWidth="1"/>
    <col min="12048" max="12048" width="16.28515625" style="1" customWidth="1"/>
    <col min="12049" max="12049" width="10.5703125" style="1" customWidth="1"/>
    <col min="12050" max="12050" width="14.140625" style="1" customWidth="1"/>
    <col min="12051" max="12051" width="10.140625" style="1" customWidth="1"/>
    <col min="12052" max="12052" width="15.140625" style="1" customWidth="1"/>
    <col min="12053" max="12053" width="8.5703125" style="1" customWidth="1"/>
    <col min="12054" max="12054" width="14.28515625" style="1" customWidth="1"/>
    <col min="12055" max="12055" width="18.28515625" style="1" customWidth="1"/>
    <col min="12056" max="12056" width="13" style="1" bestFit="1" customWidth="1"/>
    <col min="12057" max="12057" width="11.7109375" style="1" bestFit="1" customWidth="1"/>
    <col min="12058" max="12064" width="9.140625" style="1"/>
    <col min="12065" max="12065" width="11.28515625" style="1" bestFit="1" customWidth="1"/>
    <col min="12066" max="12066" width="10.7109375" style="1" bestFit="1" customWidth="1"/>
    <col min="12067" max="12288" width="9.140625" style="1"/>
    <col min="12289" max="12289" width="6.42578125" style="1" customWidth="1"/>
    <col min="12290" max="12290" width="20.7109375" style="1" customWidth="1"/>
    <col min="12291" max="12291" width="24.7109375" style="1" customWidth="1"/>
    <col min="12292" max="12292" width="11.140625" style="1" customWidth="1"/>
    <col min="12293" max="12293" width="12.28515625" style="1" customWidth="1"/>
    <col min="12294" max="12294" width="11.140625" style="1" customWidth="1"/>
    <col min="12295" max="12295" width="10.42578125" style="1" customWidth="1"/>
    <col min="12296" max="12296" width="4.7109375" style="1" customWidth="1"/>
    <col min="12297" max="12297" width="8.5703125" style="1" customWidth="1"/>
    <col min="12298" max="12298" width="5.5703125" style="1" customWidth="1"/>
    <col min="12299" max="12300" width="11.5703125" style="1" customWidth="1"/>
    <col min="12301" max="12301" width="10.85546875" style="1" customWidth="1"/>
    <col min="12302" max="12302" width="7.7109375" style="1" customWidth="1"/>
    <col min="12303" max="12303" width="8" style="1" customWidth="1"/>
    <col min="12304" max="12304" width="16.28515625" style="1" customWidth="1"/>
    <col min="12305" max="12305" width="10.5703125" style="1" customWidth="1"/>
    <col min="12306" max="12306" width="14.140625" style="1" customWidth="1"/>
    <col min="12307" max="12307" width="10.140625" style="1" customWidth="1"/>
    <col min="12308" max="12308" width="15.140625" style="1" customWidth="1"/>
    <col min="12309" max="12309" width="8.5703125" style="1" customWidth="1"/>
    <col min="12310" max="12310" width="14.28515625" style="1" customWidth="1"/>
    <col min="12311" max="12311" width="18.28515625" style="1" customWidth="1"/>
    <col min="12312" max="12312" width="13" style="1" bestFit="1" customWidth="1"/>
    <col min="12313" max="12313" width="11.7109375" style="1" bestFit="1" customWidth="1"/>
    <col min="12314" max="12320" width="9.140625" style="1"/>
    <col min="12321" max="12321" width="11.28515625" style="1" bestFit="1" customWidth="1"/>
    <col min="12322" max="12322" width="10.7109375" style="1" bestFit="1" customWidth="1"/>
    <col min="12323" max="12544" width="9.140625" style="1"/>
    <col min="12545" max="12545" width="6.42578125" style="1" customWidth="1"/>
    <col min="12546" max="12546" width="20.7109375" style="1" customWidth="1"/>
    <col min="12547" max="12547" width="24.7109375" style="1" customWidth="1"/>
    <col min="12548" max="12548" width="11.140625" style="1" customWidth="1"/>
    <col min="12549" max="12549" width="12.28515625" style="1" customWidth="1"/>
    <col min="12550" max="12550" width="11.140625" style="1" customWidth="1"/>
    <col min="12551" max="12551" width="10.42578125" style="1" customWidth="1"/>
    <col min="12552" max="12552" width="4.7109375" style="1" customWidth="1"/>
    <col min="12553" max="12553" width="8.5703125" style="1" customWidth="1"/>
    <col min="12554" max="12554" width="5.5703125" style="1" customWidth="1"/>
    <col min="12555" max="12556" width="11.5703125" style="1" customWidth="1"/>
    <col min="12557" max="12557" width="10.85546875" style="1" customWidth="1"/>
    <col min="12558" max="12558" width="7.7109375" style="1" customWidth="1"/>
    <col min="12559" max="12559" width="8" style="1" customWidth="1"/>
    <col min="12560" max="12560" width="16.28515625" style="1" customWidth="1"/>
    <col min="12561" max="12561" width="10.5703125" style="1" customWidth="1"/>
    <col min="12562" max="12562" width="14.140625" style="1" customWidth="1"/>
    <col min="12563" max="12563" width="10.140625" style="1" customWidth="1"/>
    <col min="12564" max="12564" width="15.140625" style="1" customWidth="1"/>
    <col min="12565" max="12565" width="8.5703125" style="1" customWidth="1"/>
    <col min="12566" max="12566" width="14.28515625" style="1" customWidth="1"/>
    <col min="12567" max="12567" width="18.28515625" style="1" customWidth="1"/>
    <col min="12568" max="12568" width="13" style="1" bestFit="1" customWidth="1"/>
    <col min="12569" max="12569" width="11.7109375" style="1" bestFit="1" customWidth="1"/>
    <col min="12570" max="12576" width="9.140625" style="1"/>
    <col min="12577" max="12577" width="11.28515625" style="1" bestFit="1" customWidth="1"/>
    <col min="12578" max="12578" width="10.7109375" style="1" bestFit="1" customWidth="1"/>
    <col min="12579" max="12800" width="9.140625" style="1"/>
    <col min="12801" max="12801" width="6.42578125" style="1" customWidth="1"/>
    <col min="12802" max="12802" width="20.7109375" style="1" customWidth="1"/>
    <col min="12803" max="12803" width="24.7109375" style="1" customWidth="1"/>
    <col min="12804" max="12804" width="11.140625" style="1" customWidth="1"/>
    <col min="12805" max="12805" width="12.28515625" style="1" customWidth="1"/>
    <col min="12806" max="12806" width="11.140625" style="1" customWidth="1"/>
    <col min="12807" max="12807" width="10.42578125" style="1" customWidth="1"/>
    <col min="12808" max="12808" width="4.7109375" style="1" customWidth="1"/>
    <col min="12809" max="12809" width="8.5703125" style="1" customWidth="1"/>
    <col min="12810" max="12810" width="5.5703125" style="1" customWidth="1"/>
    <col min="12811" max="12812" width="11.5703125" style="1" customWidth="1"/>
    <col min="12813" max="12813" width="10.85546875" style="1" customWidth="1"/>
    <col min="12814" max="12814" width="7.7109375" style="1" customWidth="1"/>
    <col min="12815" max="12815" width="8" style="1" customWidth="1"/>
    <col min="12816" max="12816" width="16.28515625" style="1" customWidth="1"/>
    <col min="12817" max="12817" width="10.5703125" style="1" customWidth="1"/>
    <col min="12818" max="12818" width="14.140625" style="1" customWidth="1"/>
    <col min="12819" max="12819" width="10.140625" style="1" customWidth="1"/>
    <col min="12820" max="12820" width="15.140625" style="1" customWidth="1"/>
    <col min="12821" max="12821" width="8.5703125" style="1" customWidth="1"/>
    <col min="12822" max="12822" width="14.28515625" style="1" customWidth="1"/>
    <col min="12823" max="12823" width="18.28515625" style="1" customWidth="1"/>
    <col min="12824" max="12824" width="13" style="1" bestFit="1" customWidth="1"/>
    <col min="12825" max="12825" width="11.7109375" style="1" bestFit="1" customWidth="1"/>
    <col min="12826" max="12832" width="9.140625" style="1"/>
    <col min="12833" max="12833" width="11.28515625" style="1" bestFit="1" customWidth="1"/>
    <col min="12834" max="12834" width="10.7109375" style="1" bestFit="1" customWidth="1"/>
    <col min="12835" max="13056" width="9.140625" style="1"/>
    <col min="13057" max="13057" width="6.42578125" style="1" customWidth="1"/>
    <col min="13058" max="13058" width="20.7109375" style="1" customWidth="1"/>
    <col min="13059" max="13059" width="24.7109375" style="1" customWidth="1"/>
    <col min="13060" max="13060" width="11.140625" style="1" customWidth="1"/>
    <col min="13061" max="13061" width="12.28515625" style="1" customWidth="1"/>
    <col min="13062" max="13062" width="11.140625" style="1" customWidth="1"/>
    <col min="13063" max="13063" width="10.42578125" style="1" customWidth="1"/>
    <col min="13064" max="13064" width="4.7109375" style="1" customWidth="1"/>
    <col min="13065" max="13065" width="8.5703125" style="1" customWidth="1"/>
    <col min="13066" max="13066" width="5.5703125" style="1" customWidth="1"/>
    <col min="13067" max="13068" width="11.5703125" style="1" customWidth="1"/>
    <col min="13069" max="13069" width="10.85546875" style="1" customWidth="1"/>
    <col min="13070" max="13070" width="7.7109375" style="1" customWidth="1"/>
    <col min="13071" max="13071" width="8" style="1" customWidth="1"/>
    <col min="13072" max="13072" width="16.28515625" style="1" customWidth="1"/>
    <col min="13073" max="13073" width="10.5703125" style="1" customWidth="1"/>
    <col min="13074" max="13074" width="14.140625" style="1" customWidth="1"/>
    <col min="13075" max="13075" width="10.140625" style="1" customWidth="1"/>
    <col min="13076" max="13076" width="15.140625" style="1" customWidth="1"/>
    <col min="13077" max="13077" width="8.5703125" style="1" customWidth="1"/>
    <col min="13078" max="13078" width="14.28515625" style="1" customWidth="1"/>
    <col min="13079" max="13079" width="18.28515625" style="1" customWidth="1"/>
    <col min="13080" max="13080" width="13" style="1" bestFit="1" customWidth="1"/>
    <col min="13081" max="13081" width="11.7109375" style="1" bestFit="1" customWidth="1"/>
    <col min="13082" max="13088" width="9.140625" style="1"/>
    <col min="13089" max="13089" width="11.28515625" style="1" bestFit="1" customWidth="1"/>
    <col min="13090" max="13090" width="10.7109375" style="1" bestFit="1" customWidth="1"/>
    <col min="13091" max="13312" width="9.140625" style="1"/>
    <col min="13313" max="13313" width="6.42578125" style="1" customWidth="1"/>
    <col min="13314" max="13314" width="20.7109375" style="1" customWidth="1"/>
    <col min="13315" max="13315" width="24.7109375" style="1" customWidth="1"/>
    <col min="13316" max="13316" width="11.140625" style="1" customWidth="1"/>
    <col min="13317" max="13317" width="12.28515625" style="1" customWidth="1"/>
    <col min="13318" max="13318" width="11.140625" style="1" customWidth="1"/>
    <col min="13319" max="13319" width="10.42578125" style="1" customWidth="1"/>
    <col min="13320" max="13320" width="4.7109375" style="1" customWidth="1"/>
    <col min="13321" max="13321" width="8.5703125" style="1" customWidth="1"/>
    <col min="13322" max="13322" width="5.5703125" style="1" customWidth="1"/>
    <col min="13323" max="13324" width="11.5703125" style="1" customWidth="1"/>
    <col min="13325" max="13325" width="10.85546875" style="1" customWidth="1"/>
    <col min="13326" max="13326" width="7.7109375" style="1" customWidth="1"/>
    <col min="13327" max="13327" width="8" style="1" customWidth="1"/>
    <col min="13328" max="13328" width="16.28515625" style="1" customWidth="1"/>
    <col min="13329" max="13329" width="10.5703125" style="1" customWidth="1"/>
    <col min="13330" max="13330" width="14.140625" style="1" customWidth="1"/>
    <col min="13331" max="13331" width="10.140625" style="1" customWidth="1"/>
    <col min="13332" max="13332" width="15.140625" style="1" customWidth="1"/>
    <col min="13333" max="13333" width="8.5703125" style="1" customWidth="1"/>
    <col min="13334" max="13334" width="14.28515625" style="1" customWidth="1"/>
    <col min="13335" max="13335" width="18.28515625" style="1" customWidth="1"/>
    <col min="13336" max="13336" width="13" style="1" bestFit="1" customWidth="1"/>
    <col min="13337" max="13337" width="11.7109375" style="1" bestFit="1" customWidth="1"/>
    <col min="13338" max="13344" width="9.140625" style="1"/>
    <col min="13345" max="13345" width="11.28515625" style="1" bestFit="1" customWidth="1"/>
    <col min="13346" max="13346" width="10.7109375" style="1" bestFit="1" customWidth="1"/>
    <col min="13347" max="13568" width="9.140625" style="1"/>
    <col min="13569" max="13569" width="6.42578125" style="1" customWidth="1"/>
    <col min="13570" max="13570" width="20.7109375" style="1" customWidth="1"/>
    <col min="13571" max="13571" width="24.7109375" style="1" customWidth="1"/>
    <col min="13572" max="13572" width="11.140625" style="1" customWidth="1"/>
    <col min="13573" max="13573" width="12.28515625" style="1" customWidth="1"/>
    <col min="13574" max="13574" width="11.140625" style="1" customWidth="1"/>
    <col min="13575" max="13575" width="10.42578125" style="1" customWidth="1"/>
    <col min="13576" max="13576" width="4.7109375" style="1" customWidth="1"/>
    <col min="13577" max="13577" width="8.5703125" style="1" customWidth="1"/>
    <col min="13578" max="13578" width="5.5703125" style="1" customWidth="1"/>
    <col min="13579" max="13580" width="11.5703125" style="1" customWidth="1"/>
    <col min="13581" max="13581" width="10.85546875" style="1" customWidth="1"/>
    <col min="13582" max="13582" width="7.7109375" style="1" customWidth="1"/>
    <col min="13583" max="13583" width="8" style="1" customWidth="1"/>
    <col min="13584" max="13584" width="16.28515625" style="1" customWidth="1"/>
    <col min="13585" max="13585" width="10.5703125" style="1" customWidth="1"/>
    <col min="13586" max="13586" width="14.140625" style="1" customWidth="1"/>
    <col min="13587" max="13587" width="10.140625" style="1" customWidth="1"/>
    <col min="13588" max="13588" width="15.140625" style="1" customWidth="1"/>
    <col min="13589" max="13589" width="8.5703125" style="1" customWidth="1"/>
    <col min="13590" max="13590" width="14.28515625" style="1" customWidth="1"/>
    <col min="13591" max="13591" width="18.28515625" style="1" customWidth="1"/>
    <col min="13592" max="13592" width="13" style="1" bestFit="1" customWidth="1"/>
    <col min="13593" max="13593" width="11.7109375" style="1" bestFit="1" customWidth="1"/>
    <col min="13594" max="13600" width="9.140625" style="1"/>
    <col min="13601" max="13601" width="11.28515625" style="1" bestFit="1" customWidth="1"/>
    <col min="13602" max="13602" width="10.7109375" style="1" bestFit="1" customWidth="1"/>
    <col min="13603" max="13824" width="9.140625" style="1"/>
    <col min="13825" max="13825" width="6.42578125" style="1" customWidth="1"/>
    <col min="13826" max="13826" width="20.7109375" style="1" customWidth="1"/>
    <col min="13827" max="13827" width="24.7109375" style="1" customWidth="1"/>
    <col min="13828" max="13828" width="11.140625" style="1" customWidth="1"/>
    <col min="13829" max="13829" width="12.28515625" style="1" customWidth="1"/>
    <col min="13830" max="13830" width="11.140625" style="1" customWidth="1"/>
    <col min="13831" max="13831" width="10.42578125" style="1" customWidth="1"/>
    <col min="13832" max="13832" width="4.7109375" style="1" customWidth="1"/>
    <col min="13833" max="13833" width="8.5703125" style="1" customWidth="1"/>
    <col min="13834" max="13834" width="5.5703125" style="1" customWidth="1"/>
    <col min="13835" max="13836" width="11.5703125" style="1" customWidth="1"/>
    <col min="13837" max="13837" width="10.85546875" style="1" customWidth="1"/>
    <col min="13838" max="13838" width="7.7109375" style="1" customWidth="1"/>
    <col min="13839" max="13839" width="8" style="1" customWidth="1"/>
    <col min="13840" max="13840" width="16.28515625" style="1" customWidth="1"/>
    <col min="13841" max="13841" width="10.5703125" style="1" customWidth="1"/>
    <col min="13842" max="13842" width="14.140625" style="1" customWidth="1"/>
    <col min="13843" max="13843" width="10.140625" style="1" customWidth="1"/>
    <col min="13844" max="13844" width="15.140625" style="1" customWidth="1"/>
    <col min="13845" max="13845" width="8.5703125" style="1" customWidth="1"/>
    <col min="13846" max="13846" width="14.28515625" style="1" customWidth="1"/>
    <col min="13847" max="13847" width="18.28515625" style="1" customWidth="1"/>
    <col min="13848" max="13848" width="13" style="1" bestFit="1" customWidth="1"/>
    <col min="13849" max="13849" width="11.7109375" style="1" bestFit="1" customWidth="1"/>
    <col min="13850" max="13856" width="9.140625" style="1"/>
    <col min="13857" max="13857" width="11.28515625" style="1" bestFit="1" customWidth="1"/>
    <col min="13858" max="13858" width="10.7109375" style="1" bestFit="1" customWidth="1"/>
    <col min="13859" max="14080" width="9.140625" style="1"/>
    <col min="14081" max="14081" width="6.42578125" style="1" customWidth="1"/>
    <col min="14082" max="14082" width="20.7109375" style="1" customWidth="1"/>
    <col min="14083" max="14083" width="24.7109375" style="1" customWidth="1"/>
    <col min="14084" max="14084" width="11.140625" style="1" customWidth="1"/>
    <col min="14085" max="14085" width="12.28515625" style="1" customWidth="1"/>
    <col min="14086" max="14086" width="11.140625" style="1" customWidth="1"/>
    <col min="14087" max="14087" width="10.42578125" style="1" customWidth="1"/>
    <col min="14088" max="14088" width="4.7109375" style="1" customWidth="1"/>
    <col min="14089" max="14089" width="8.5703125" style="1" customWidth="1"/>
    <col min="14090" max="14090" width="5.5703125" style="1" customWidth="1"/>
    <col min="14091" max="14092" width="11.5703125" style="1" customWidth="1"/>
    <col min="14093" max="14093" width="10.85546875" style="1" customWidth="1"/>
    <col min="14094" max="14094" width="7.7109375" style="1" customWidth="1"/>
    <col min="14095" max="14095" width="8" style="1" customWidth="1"/>
    <col min="14096" max="14096" width="16.28515625" style="1" customWidth="1"/>
    <col min="14097" max="14097" width="10.5703125" style="1" customWidth="1"/>
    <col min="14098" max="14098" width="14.140625" style="1" customWidth="1"/>
    <col min="14099" max="14099" width="10.140625" style="1" customWidth="1"/>
    <col min="14100" max="14100" width="15.140625" style="1" customWidth="1"/>
    <col min="14101" max="14101" width="8.5703125" style="1" customWidth="1"/>
    <col min="14102" max="14102" width="14.28515625" style="1" customWidth="1"/>
    <col min="14103" max="14103" width="18.28515625" style="1" customWidth="1"/>
    <col min="14104" max="14104" width="13" style="1" bestFit="1" customWidth="1"/>
    <col min="14105" max="14105" width="11.7109375" style="1" bestFit="1" customWidth="1"/>
    <col min="14106" max="14112" width="9.140625" style="1"/>
    <col min="14113" max="14113" width="11.28515625" style="1" bestFit="1" customWidth="1"/>
    <col min="14114" max="14114" width="10.7109375" style="1" bestFit="1" customWidth="1"/>
    <col min="14115" max="14336" width="9.140625" style="1"/>
    <col min="14337" max="14337" width="6.42578125" style="1" customWidth="1"/>
    <col min="14338" max="14338" width="20.7109375" style="1" customWidth="1"/>
    <col min="14339" max="14339" width="24.7109375" style="1" customWidth="1"/>
    <col min="14340" max="14340" width="11.140625" style="1" customWidth="1"/>
    <col min="14341" max="14341" width="12.28515625" style="1" customWidth="1"/>
    <col min="14342" max="14342" width="11.140625" style="1" customWidth="1"/>
    <col min="14343" max="14343" width="10.42578125" style="1" customWidth="1"/>
    <col min="14344" max="14344" width="4.7109375" style="1" customWidth="1"/>
    <col min="14345" max="14345" width="8.5703125" style="1" customWidth="1"/>
    <col min="14346" max="14346" width="5.5703125" style="1" customWidth="1"/>
    <col min="14347" max="14348" width="11.5703125" style="1" customWidth="1"/>
    <col min="14349" max="14349" width="10.85546875" style="1" customWidth="1"/>
    <col min="14350" max="14350" width="7.7109375" style="1" customWidth="1"/>
    <col min="14351" max="14351" width="8" style="1" customWidth="1"/>
    <col min="14352" max="14352" width="16.28515625" style="1" customWidth="1"/>
    <col min="14353" max="14353" width="10.5703125" style="1" customWidth="1"/>
    <col min="14354" max="14354" width="14.140625" style="1" customWidth="1"/>
    <col min="14355" max="14355" width="10.140625" style="1" customWidth="1"/>
    <col min="14356" max="14356" width="15.140625" style="1" customWidth="1"/>
    <col min="14357" max="14357" width="8.5703125" style="1" customWidth="1"/>
    <col min="14358" max="14358" width="14.28515625" style="1" customWidth="1"/>
    <col min="14359" max="14359" width="18.28515625" style="1" customWidth="1"/>
    <col min="14360" max="14360" width="13" style="1" bestFit="1" customWidth="1"/>
    <col min="14361" max="14361" width="11.7109375" style="1" bestFit="1" customWidth="1"/>
    <col min="14362" max="14368" width="9.140625" style="1"/>
    <col min="14369" max="14369" width="11.28515625" style="1" bestFit="1" customWidth="1"/>
    <col min="14370" max="14370" width="10.7109375" style="1" bestFit="1" customWidth="1"/>
    <col min="14371" max="14592" width="9.140625" style="1"/>
    <col min="14593" max="14593" width="6.42578125" style="1" customWidth="1"/>
    <col min="14594" max="14594" width="20.7109375" style="1" customWidth="1"/>
    <col min="14595" max="14595" width="24.7109375" style="1" customWidth="1"/>
    <col min="14596" max="14596" width="11.140625" style="1" customWidth="1"/>
    <col min="14597" max="14597" width="12.28515625" style="1" customWidth="1"/>
    <col min="14598" max="14598" width="11.140625" style="1" customWidth="1"/>
    <col min="14599" max="14599" width="10.42578125" style="1" customWidth="1"/>
    <col min="14600" max="14600" width="4.7109375" style="1" customWidth="1"/>
    <col min="14601" max="14601" width="8.5703125" style="1" customWidth="1"/>
    <col min="14602" max="14602" width="5.5703125" style="1" customWidth="1"/>
    <col min="14603" max="14604" width="11.5703125" style="1" customWidth="1"/>
    <col min="14605" max="14605" width="10.85546875" style="1" customWidth="1"/>
    <col min="14606" max="14606" width="7.7109375" style="1" customWidth="1"/>
    <col min="14607" max="14607" width="8" style="1" customWidth="1"/>
    <col min="14608" max="14608" width="16.28515625" style="1" customWidth="1"/>
    <col min="14609" max="14609" width="10.5703125" style="1" customWidth="1"/>
    <col min="14610" max="14610" width="14.140625" style="1" customWidth="1"/>
    <col min="14611" max="14611" width="10.140625" style="1" customWidth="1"/>
    <col min="14612" max="14612" width="15.140625" style="1" customWidth="1"/>
    <col min="14613" max="14613" width="8.5703125" style="1" customWidth="1"/>
    <col min="14614" max="14614" width="14.28515625" style="1" customWidth="1"/>
    <col min="14615" max="14615" width="18.28515625" style="1" customWidth="1"/>
    <col min="14616" max="14616" width="13" style="1" bestFit="1" customWidth="1"/>
    <col min="14617" max="14617" width="11.7109375" style="1" bestFit="1" customWidth="1"/>
    <col min="14618" max="14624" width="9.140625" style="1"/>
    <col min="14625" max="14625" width="11.28515625" style="1" bestFit="1" customWidth="1"/>
    <col min="14626" max="14626" width="10.7109375" style="1" bestFit="1" customWidth="1"/>
    <col min="14627" max="14848" width="9.140625" style="1"/>
    <col min="14849" max="14849" width="6.42578125" style="1" customWidth="1"/>
    <col min="14850" max="14850" width="20.7109375" style="1" customWidth="1"/>
    <col min="14851" max="14851" width="24.7109375" style="1" customWidth="1"/>
    <col min="14852" max="14852" width="11.140625" style="1" customWidth="1"/>
    <col min="14853" max="14853" width="12.28515625" style="1" customWidth="1"/>
    <col min="14854" max="14854" width="11.140625" style="1" customWidth="1"/>
    <col min="14855" max="14855" width="10.42578125" style="1" customWidth="1"/>
    <col min="14856" max="14856" width="4.7109375" style="1" customWidth="1"/>
    <col min="14857" max="14857" width="8.5703125" style="1" customWidth="1"/>
    <col min="14858" max="14858" width="5.5703125" style="1" customWidth="1"/>
    <col min="14859" max="14860" width="11.5703125" style="1" customWidth="1"/>
    <col min="14861" max="14861" width="10.85546875" style="1" customWidth="1"/>
    <col min="14862" max="14862" width="7.7109375" style="1" customWidth="1"/>
    <col min="14863" max="14863" width="8" style="1" customWidth="1"/>
    <col min="14864" max="14864" width="16.28515625" style="1" customWidth="1"/>
    <col min="14865" max="14865" width="10.5703125" style="1" customWidth="1"/>
    <col min="14866" max="14866" width="14.140625" style="1" customWidth="1"/>
    <col min="14867" max="14867" width="10.140625" style="1" customWidth="1"/>
    <col min="14868" max="14868" width="15.140625" style="1" customWidth="1"/>
    <col min="14869" max="14869" width="8.5703125" style="1" customWidth="1"/>
    <col min="14870" max="14870" width="14.28515625" style="1" customWidth="1"/>
    <col min="14871" max="14871" width="18.28515625" style="1" customWidth="1"/>
    <col min="14872" max="14872" width="13" style="1" bestFit="1" customWidth="1"/>
    <col min="14873" max="14873" width="11.7109375" style="1" bestFit="1" customWidth="1"/>
    <col min="14874" max="14880" width="9.140625" style="1"/>
    <col min="14881" max="14881" width="11.28515625" style="1" bestFit="1" customWidth="1"/>
    <col min="14882" max="14882" width="10.7109375" style="1" bestFit="1" customWidth="1"/>
    <col min="14883" max="15104" width="9.140625" style="1"/>
    <col min="15105" max="15105" width="6.42578125" style="1" customWidth="1"/>
    <col min="15106" max="15106" width="20.7109375" style="1" customWidth="1"/>
    <col min="15107" max="15107" width="24.7109375" style="1" customWidth="1"/>
    <col min="15108" max="15108" width="11.140625" style="1" customWidth="1"/>
    <col min="15109" max="15109" width="12.28515625" style="1" customWidth="1"/>
    <col min="15110" max="15110" width="11.140625" style="1" customWidth="1"/>
    <col min="15111" max="15111" width="10.42578125" style="1" customWidth="1"/>
    <col min="15112" max="15112" width="4.7109375" style="1" customWidth="1"/>
    <col min="15113" max="15113" width="8.5703125" style="1" customWidth="1"/>
    <col min="15114" max="15114" width="5.5703125" style="1" customWidth="1"/>
    <col min="15115" max="15116" width="11.5703125" style="1" customWidth="1"/>
    <col min="15117" max="15117" width="10.85546875" style="1" customWidth="1"/>
    <col min="15118" max="15118" width="7.7109375" style="1" customWidth="1"/>
    <col min="15119" max="15119" width="8" style="1" customWidth="1"/>
    <col min="15120" max="15120" width="16.28515625" style="1" customWidth="1"/>
    <col min="15121" max="15121" width="10.5703125" style="1" customWidth="1"/>
    <col min="15122" max="15122" width="14.140625" style="1" customWidth="1"/>
    <col min="15123" max="15123" width="10.140625" style="1" customWidth="1"/>
    <col min="15124" max="15124" width="15.140625" style="1" customWidth="1"/>
    <col min="15125" max="15125" width="8.5703125" style="1" customWidth="1"/>
    <col min="15126" max="15126" width="14.28515625" style="1" customWidth="1"/>
    <col min="15127" max="15127" width="18.28515625" style="1" customWidth="1"/>
    <col min="15128" max="15128" width="13" style="1" bestFit="1" customWidth="1"/>
    <col min="15129" max="15129" width="11.7109375" style="1" bestFit="1" customWidth="1"/>
    <col min="15130" max="15136" width="9.140625" style="1"/>
    <col min="15137" max="15137" width="11.28515625" style="1" bestFit="1" customWidth="1"/>
    <col min="15138" max="15138" width="10.7109375" style="1" bestFit="1" customWidth="1"/>
    <col min="15139" max="15360" width="9.140625" style="1"/>
    <col min="15361" max="15361" width="6.42578125" style="1" customWidth="1"/>
    <col min="15362" max="15362" width="20.7109375" style="1" customWidth="1"/>
    <col min="15363" max="15363" width="24.7109375" style="1" customWidth="1"/>
    <col min="15364" max="15364" width="11.140625" style="1" customWidth="1"/>
    <col min="15365" max="15365" width="12.28515625" style="1" customWidth="1"/>
    <col min="15366" max="15366" width="11.140625" style="1" customWidth="1"/>
    <col min="15367" max="15367" width="10.42578125" style="1" customWidth="1"/>
    <col min="15368" max="15368" width="4.7109375" style="1" customWidth="1"/>
    <col min="15369" max="15369" width="8.5703125" style="1" customWidth="1"/>
    <col min="15370" max="15370" width="5.5703125" style="1" customWidth="1"/>
    <col min="15371" max="15372" width="11.5703125" style="1" customWidth="1"/>
    <col min="15373" max="15373" width="10.85546875" style="1" customWidth="1"/>
    <col min="15374" max="15374" width="7.7109375" style="1" customWidth="1"/>
    <col min="15375" max="15375" width="8" style="1" customWidth="1"/>
    <col min="15376" max="15376" width="16.28515625" style="1" customWidth="1"/>
    <col min="15377" max="15377" width="10.5703125" style="1" customWidth="1"/>
    <col min="15378" max="15378" width="14.140625" style="1" customWidth="1"/>
    <col min="15379" max="15379" width="10.140625" style="1" customWidth="1"/>
    <col min="15380" max="15380" width="15.140625" style="1" customWidth="1"/>
    <col min="15381" max="15381" width="8.5703125" style="1" customWidth="1"/>
    <col min="15382" max="15382" width="14.28515625" style="1" customWidth="1"/>
    <col min="15383" max="15383" width="18.28515625" style="1" customWidth="1"/>
    <col min="15384" max="15384" width="13" style="1" bestFit="1" customWidth="1"/>
    <col min="15385" max="15385" width="11.7109375" style="1" bestFit="1" customWidth="1"/>
    <col min="15386" max="15392" width="9.140625" style="1"/>
    <col min="15393" max="15393" width="11.28515625" style="1" bestFit="1" customWidth="1"/>
    <col min="15394" max="15394" width="10.7109375" style="1" bestFit="1" customWidth="1"/>
    <col min="15395" max="15616" width="9.140625" style="1"/>
    <col min="15617" max="15617" width="6.42578125" style="1" customWidth="1"/>
    <col min="15618" max="15618" width="20.7109375" style="1" customWidth="1"/>
    <col min="15619" max="15619" width="24.7109375" style="1" customWidth="1"/>
    <col min="15620" max="15620" width="11.140625" style="1" customWidth="1"/>
    <col min="15621" max="15621" width="12.28515625" style="1" customWidth="1"/>
    <col min="15622" max="15622" width="11.140625" style="1" customWidth="1"/>
    <col min="15623" max="15623" width="10.42578125" style="1" customWidth="1"/>
    <col min="15624" max="15624" width="4.7109375" style="1" customWidth="1"/>
    <col min="15625" max="15625" width="8.5703125" style="1" customWidth="1"/>
    <col min="15626" max="15626" width="5.5703125" style="1" customWidth="1"/>
    <col min="15627" max="15628" width="11.5703125" style="1" customWidth="1"/>
    <col min="15629" max="15629" width="10.85546875" style="1" customWidth="1"/>
    <col min="15630" max="15630" width="7.7109375" style="1" customWidth="1"/>
    <col min="15631" max="15631" width="8" style="1" customWidth="1"/>
    <col min="15632" max="15632" width="16.28515625" style="1" customWidth="1"/>
    <col min="15633" max="15633" width="10.5703125" style="1" customWidth="1"/>
    <col min="15634" max="15634" width="14.140625" style="1" customWidth="1"/>
    <col min="15635" max="15635" width="10.140625" style="1" customWidth="1"/>
    <col min="15636" max="15636" width="15.140625" style="1" customWidth="1"/>
    <col min="15637" max="15637" width="8.5703125" style="1" customWidth="1"/>
    <col min="15638" max="15638" width="14.28515625" style="1" customWidth="1"/>
    <col min="15639" max="15639" width="18.28515625" style="1" customWidth="1"/>
    <col min="15640" max="15640" width="13" style="1" bestFit="1" customWidth="1"/>
    <col min="15641" max="15641" width="11.7109375" style="1" bestFit="1" customWidth="1"/>
    <col min="15642" max="15648" width="9.140625" style="1"/>
    <col min="15649" max="15649" width="11.28515625" style="1" bestFit="1" customWidth="1"/>
    <col min="15650" max="15650" width="10.7109375" style="1" bestFit="1" customWidth="1"/>
    <col min="15651" max="15872" width="9.140625" style="1"/>
    <col min="15873" max="15873" width="6.42578125" style="1" customWidth="1"/>
    <col min="15874" max="15874" width="20.7109375" style="1" customWidth="1"/>
    <col min="15875" max="15875" width="24.7109375" style="1" customWidth="1"/>
    <col min="15876" max="15876" width="11.140625" style="1" customWidth="1"/>
    <col min="15877" max="15877" width="12.28515625" style="1" customWidth="1"/>
    <col min="15878" max="15878" width="11.140625" style="1" customWidth="1"/>
    <col min="15879" max="15879" width="10.42578125" style="1" customWidth="1"/>
    <col min="15880" max="15880" width="4.7109375" style="1" customWidth="1"/>
    <col min="15881" max="15881" width="8.5703125" style="1" customWidth="1"/>
    <col min="15882" max="15882" width="5.5703125" style="1" customWidth="1"/>
    <col min="15883" max="15884" width="11.5703125" style="1" customWidth="1"/>
    <col min="15885" max="15885" width="10.85546875" style="1" customWidth="1"/>
    <col min="15886" max="15886" width="7.7109375" style="1" customWidth="1"/>
    <col min="15887" max="15887" width="8" style="1" customWidth="1"/>
    <col min="15888" max="15888" width="16.28515625" style="1" customWidth="1"/>
    <col min="15889" max="15889" width="10.5703125" style="1" customWidth="1"/>
    <col min="15890" max="15890" width="14.140625" style="1" customWidth="1"/>
    <col min="15891" max="15891" width="10.140625" style="1" customWidth="1"/>
    <col min="15892" max="15892" width="15.140625" style="1" customWidth="1"/>
    <col min="15893" max="15893" width="8.5703125" style="1" customWidth="1"/>
    <col min="15894" max="15894" width="14.28515625" style="1" customWidth="1"/>
    <col min="15895" max="15895" width="18.28515625" style="1" customWidth="1"/>
    <col min="15896" max="15896" width="13" style="1" bestFit="1" customWidth="1"/>
    <col min="15897" max="15897" width="11.7109375" style="1" bestFit="1" customWidth="1"/>
    <col min="15898" max="15904" width="9.140625" style="1"/>
    <col min="15905" max="15905" width="11.28515625" style="1" bestFit="1" customWidth="1"/>
    <col min="15906" max="15906" width="10.7109375" style="1" bestFit="1" customWidth="1"/>
    <col min="15907" max="16128" width="9.140625" style="1"/>
    <col min="16129" max="16129" width="6.42578125" style="1" customWidth="1"/>
    <col min="16130" max="16130" width="20.7109375" style="1" customWidth="1"/>
    <col min="16131" max="16131" width="24.7109375" style="1" customWidth="1"/>
    <col min="16132" max="16132" width="11.140625" style="1" customWidth="1"/>
    <col min="16133" max="16133" width="12.28515625" style="1" customWidth="1"/>
    <col min="16134" max="16134" width="11.140625" style="1" customWidth="1"/>
    <col min="16135" max="16135" width="10.42578125" style="1" customWidth="1"/>
    <col min="16136" max="16136" width="4.7109375" style="1" customWidth="1"/>
    <col min="16137" max="16137" width="8.5703125" style="1" customWidth="1"/>
    <col min="16138" max="16138" width="5.5703125" style="1" customWidth="1"/>
    <col min="16139" max="16140" width="11.5703125" style="1" customWidth="1"/>
    <col min="16141" max="16141" width="10.85546875" style="1" customWidth="1"/>
    <col min="16142" max="16142" width="7.7109375" style="1" customWidth="1"/>
    <col min="16143" max="16143" width="8" style="1" customWidth="1"/>
    <col min="16144" max="16144" width="16.28515625" style="1" customWidth="1"/>
    <col min="16145" max="16145" width="10.5703125" style="1" customWidth="1"/>
    <col min="16146" max="16146" width="14.140625" style="1" customWidth="1"/>
    <col min="16147" max="16147" width="10.140625" style="1" customWidth="1"/>
    <col min="16148" max="16148" width="15.140625" style="1" customWidth="1"/>
    <col min="16149" max="16149" width="8.5703125" style="1" customWidth="1"/>
    <col min="16150" max="16150" width="14.28515625" style="1" customWidth="1"/>
    <col min="16151" max="16151" width="18.28515625" style="1" customWidth="1"/>
    <col min="16152" max="16152" width="13" style="1" bestFit="1" customWidth="1"/>
    <col min="16153" max="16153" width="11.7109375" style="1" bestFit="1" customWidth="1"/>
    <col min="16154" max="16160" width="9.140625" style="1"/>
    <col min="16161" max="16161" width="11.28515625" style="1" bestFit="1" customWidth="1"/>
    <col min="16162" max="16162" width="10.7109375" style="1" bestFit="1" customWidth="1"/>
    <col min="16163" max="16384" width="9.140625" style="1"/>
  </cols>
  <sheetData>
    <row r="1" spans="1:44" ht="9.75" customHeight="1">
      <c r="U1" s="3"/>
    </row>
    <row r="2" spans="1:44" s="24" customFormat="1" ht="15.75">
      <c r="A2" s="548" t="s">
        <v>98</v>
      </c>
      <c r="B2" s="549" t="s">
        <v>99</v>
      </c>
      <c r="C2" s="547" t="s">
        <v>25</v>
      </c>
      <c r="D2" s="550" t="s">
        <v>647</v>
      </c>
      <c r="E2" s="550" t="s">
        <v>463</v>
      </c>
      <c r="F2" s="547">
        <v>1</v>
      </c>
      <c r="G2" s="547" t="s">
        <v>102</v>
      </c>
      <c r="H2" s="547" t="s">
        <v>103</v>
      </c>
      <c r="I2" s="1578">
        <v>1</v>
      </c>
      <c r="J2" s="552">
        <v>17697</v>
      </c>
      <c r="K2" s="553">
        <v>35</v>
      </c>
      <c r="L2" s="554">
        <f t="shared" ref="L2:L33" si="0">K2/18</f>
        <v>1.9444444444444444</v>
      </c>
      <c r="M2" s="555" t="s">
        <v>152</v>
      </c>
      <c r="N2" s="1579">
        <v>4.55</v>
      </c>
      <c r="O2" s="556">
        <f t="shared" ref="O2:O10" si="1">N2*J2/18*K2</f>
        <v>156569.29166666666</v>
      </c>
      <c r="P2" s="556">
        <f t="shared" ref="P2:P33" si="2">O2*25%</f>
        <v>39142.322916666664</v>
      </c>
      <c r="Q2" s="557"/>
      <c r="R2" s="552"/>
      <c r="S2" s="552">
        <v>0.1</v>
      </c>
      <c r="T2" s="556">
        <f t="shared" ref="T2:T10" si="3">(O2+P2)*S2</f>
        <v>19571.161458333332</v>
      </c>
      <c r="U2" s="558"/>
      <c r="V2" s="552"/>
      <c r="W2" s="559">
        <f t="shared" ref="W2:W10" si="4">O2+P2+T2</f>
        <v>215282.77604166666</v>
      </c>
      <c r="X2" s="70">
        <f>U2+Q2</f>
        <v>0</v>
      </c>
      <c r="Y2" s="70">
        <f>V2+R2</f>
        <v>0</v>
      </c>
      <c r="Z2" s="23">
        <f>W2*12</f>
        <v>2583393.3125</v>
      </c>
      <c r="AA2" s="24">
        <f t="shared" ref="AA2:AA10" si="5">Z2/12/29.33*56</f>
        <v>411041.09984089102</v>
      </c>
      <c r="AB2" s="24">
        <f t="shared" ref="AB2:AB10" si="6">Z2*1.25</f>
        <v>3229241.640625</v>
      </c>
      <c r="AC2" s="24">
        <f t="shared" ref="AC2:AC10" si="7">AB2/12/29.33*56</f>
        <v>513801.37480111379</v>
      </c>
      <c r="AJ2" s="23"/>
      <c r="AK2" s="23"/>
      <c r="AL2" s="23"/>
      <c r="AM2" s="23"/>
      <c r="AN2" s="23"/>
      <c r="AO2" s="23"/>
      <c r="AP2" s="23"/>
    </row>
    <row r="3" spans="1:44" s="24" customFormat="1" ht="17.25" customHeight="1">
      <c r="A3" s="998" t="s">
        <v>41</v>
      </c>
      <c r="B3" s="873" t="s">
        <v>99</v>
      </c>
      <c r="C3" s="874" t="s">
        <v>25</v>
      </c>
      <c r="D3" s="1539" t="s">
        <v>648</v>
      </c>
      <c r="E3" s="1539" t="s">
        <v>34</v>
      </c>
      <c r="F3" s="547">
        <v>1</v>
      </c>
      <c r="G3" s="1002" t="s">
        <v>102</v>
      </c>
      <c r="H3" s="1002" t="s">
        <v>103</v>
      </c>
      <c r="I3" s="1580">
        <v>2</v>
      </c>
      <c r="J3" s="700">
        <v>17697</v>
      </c>
      <c r="K3" s="1540">
        <v>24</v>
      </c>
      <c r="L3" s="554">
        <f t="shared" si="0"/>
        <v>1.3333333333333333</v>
      </c>
      <c r="M3" s="566" t="s">
        <v>104</v>
      </c>
      <c r="N3" s="1014">
        <v>4.51</v>
      </c>
      <c r="O3" s="567">
        <f t="shared" si="1"/>
        <v>106417.96</v>
      </c>
      <c r="P3" s="556">
        <f t="shared" si="2"/>
        <v>26604.49</v>
      </c>
      <c r="Q3" s="568"/>
      <c r="R3" s="554"/>
      <c r="S3" s="554">
        <v>0.1</v>
      </c>
      <c r="T3" s="556">
        <f t="shared" si="3"/>
        <v>13302.245000000003</v>
      </c>
      <c r="U3" s="569"/>
      <c r="V3" s="554"/>
      <c r="W3" s="559">
        <f t="shared" si="4"/>
        <v>146324.69500000001</v>
      </c>
      <c r="X3" s="10">
        <f>U3+Q3</f>
        <v>0</v>
      </c>
      <c r="Y3" s="10">
        <f>V3+R3</f>
        <v>0</v>
      </c>
      <c r="Z3" s="23">
        <f>W3*12</f>
        <v>1755896.34</v>
      </c>
      <c r="AA3" s="24">
        <f t="shared" si="5"/>
        <v>279378.89260143205</v>
      </c>
      <c r="AB3" s="24">
        <f t="shared" si="6"/>
        <v>2194870.4250000003</v>
      </c>
      <c r="AC3" s="24">
        <f t="shared" si="7"/>
        <v>349223.61575179</v>
      </c>
      <c r="AJ3" s="23"/>
      <c r="AK3" s="23"/>
      <c r="AL3" s="23"/>
      <c r="AM3" s="23"/>
      <c r="AN3" s="23"/>
      <c r="AO3" s="23"/>
      <c r="AP3" s="23"/>
    </row>
    <row r="4" spans="1:44" s="24" customFormat="1" ht="15.75">
      <c r="A4" s="646" t="s">
        <v>36</v>
      </c>
      <c r="B4" s="647" t="s">
        <v>99</v>
      </c>
      <c r="C4" s="628" t="s">
        <v>25</v>
      </c>
      <c r="D4" s="586" t="s">
        <v>649</v>
      </c>
      <c r="E4" s="562" t="s">
        <v>40</v>
      </c>
      <c r="F4" s="547">
        <v>1</v>
      </c>
      <c r="G4" s="577" t="s">
        <v>102</v>
      </c>
      <c r="H4" s="577" t="s">
        <v>103</v>
      </c>
      <c r="I4" s="644">
        <v>1</v>
      </c>
      <c r="J4" s="554">
        <v>17697</v>
      </c>
      <c r="K4" s="648">
        <v>9</v>
      </c>
      <c r="L4" s="554">
        <f t="shared" si="0"/>
        <v>0.5</v>
      </c>
      <c r="M4" s="574" t="s">
        <v>152</v>
      </c>
      <c r="N4" s="1749">
        <v>4.75</v>
      </c>
      <c r="O4" s="567">
        <f t="shared" si="1"/>
        <v>42030.375</v>
      </c>
      <c r="P4" s="556">
        <f t="shared" si="2"/>
        <v>10507.59375</v>
      </c>
      <c r="Q4" s="568"/>
      <c r="R4" s="554"/>
      <c r="S4" s="554">
        <v>0.1</v>
      </c>
      <c r="T4" s="556">
        <f t="shared" si="3"/>
        <v>5253.796875</v>
      </c>
      <c r="U4" s="19"/>
      <c r="V4" s="554"/>
      <c r="W4" s="559">
        <f t="shared" si="4"/>
        <v>57791.765625</v>
      </c>
      <c r="X4" s="10"/>
      <c r="Y4" s="10"/>
      <c r="Z4" s="23" t="e">
        <f>#REF!*12</f>
        <v>#REF!</v>
      </c>
      <c r="AA4" s="24" t="e">
        <f t="shared" si="5"/>
        <v>#REF!</v>
      </c>
      <c r="AB4" s="24" t="e">
        <f t="shared" si="6"/>
        <v>#REF!</v>
      </c>
      <c r="AC4" s="24" t="e">
        <f t="shared" si="7"/>
        <v>#REF!</v>
      </c>
      <c r="AJ4" s="23"/>
      <c r="AK4" s="23"/>
      <c r="AL4" s="23"/>
      <c r="AM4" s="23"/>
      <c r="AN4" s="23"/>
      <c r="AO4" s="23"/>
      <c r="AP4" s="23"/>
    </row>
    <row r="5" spans="1:44" s="24" customFormat="1" ht="17.25" customHeight="1">
      <c r="A5" s="576" t="s">
        <v>110</v>
      </c>
      <c r="B5" s="561" t="s">
        <v>99</v>
      </c>
      <c r="C5" s="560" t="s">
        <v>25</v>
      </c>
      <c r="D5" s="562" t="s">
        <v>650</v>
      </c>
      <c r="E5" s="562" t="s">
        <v>77</v>
      </c>
      <c r="F5" s="547">
        <v>1</v>
      </c>
      <c r="G5" s="563" t="s">
        <v>102</v>
      </c>
      <c r="H5" s="563" t="s">
        <v>103</v>
      </c>
      <c r="I5" s="581">
        <v>3</v>
      </c>
      <c r="J5" s="554">
        <v>17697</v>
      </c>
      <c r="K5" s="565">
        <v>36</v>
      </c>
      <c r="L5" s="554">
        <f t="shared" si="0"/>
        <v>2</v>
      </c>
      <c r="M5" s="1581" t="s">
        <v>109</v>
      </c>
      <c r="N5" s="1016">
        <v>4</v>
      </c>
      <c r="O5" s="567">
        <f t="shared" si="1"/>
        <v>141576</v>
      </c>
      <c r="P5" s="556">
        <f t="shared" si="2"/>
        <v>35394</v>
      </c>
      <c r="Q5" s="568"/>
      <c r="R5" s="554"/>
      <c r="S5" s="554">
        <v>0.1</v>
      </c>
      <c r="T5" s="556">
        <f t="shared" si="3"/>
        <v>17697</v>
      </c>
      <c r="U5" s="569"/>
      <c r="V5" s="554"/>
      <c r="W5" s="559">
        <f t="shared" si="4"/>
        <v>194667</v>
      </c>
      <c r="X5" s="10"/>
      <c r="Y5" s="10"/>
      <c r="Z5" s="23">
        <f>W5*12</f>
        <v>2336004</v>
      </c>
      <c r="AA5" s="24">
        <f t="shared" si="5"/>
        <v>371679.2362768497</v>
      </c>
      <c r="AB5" s="24">
        <f t="shared" si="6"/>
        <v>2920005</v>
      </c>
      <c r="AC5" s="24">
        <f t="shared" si="7"/>
        <v>464599.04534606205</v>
      </c>
      <c r="AJ5" s="23"/>
      <c r="AK5" s="23"/>
      <c r="AL5" s="23"/>
      <c r="AM5" s="23"/>
      <c r="AN5" s="23"/>
      <c r="AO5" s="23"/>
      <c r="AP5" s="23"/>
    </row>
    <row r="6" spans="1:44" s="24" customFormat="1" ht="15.75">
      <c r="A6" s="153" t="s">
        <v>106</v>
      </c>
      <c r="B6" s="561" t="s">
        <v>99</v>
      </c>
      <c r="C6" s="560" t="s">
        <v>25</v>
      </c>
      <c r="D6" s="562" t="s">
        <v>651</v>
      </c>
      <c r="E6" s="562" t="s">
        <v>77</v>
      </c>
      <c r="F6" s="547">
        <v>1</v>
      </c>
      <c r="G6" s="563" t="s">
        <v>102</v>
      </c>
      <c r="H6" s="563" t="s">
        <v>103</v>
      </c>
      <c r="I6" s="564">
        <v>3</v>
      </c>
      <c r="J6" s="554">
        <v>17697</v>
      </c>
      <c r="K6" s="565">
        <v>18</v>
      </c>
      <c r="L6" s="554">
        <f t="shared" si="0"/>
        <v>1</v>
      </c>
      <c r="M6" s="566" t="s">
        <v>109</v>
      </c>
      <c r="N6" s="1014">
        <v>4</v>
      </c>
      <c r="O6" s="567">
        <f t="shared" si="1"/>
        <v>70788</v>
      </c>
      <c r="P6" s="556">
        <f t="shared" si="2"/>
        <v>17697</v>
      </c>
      <c r="Q6" s="568"/>
      <c r="R6" s="554"/>
      <c r="S6" s="554">
        <v>0.1</v>
      </c>
      <c r="T6" s="556">
        <f t="shared" si="3"/>
        <v>8848.5</v>
      </c>
      <c r="U6" s="569"/>
      <c r="V6" s="554"/>
      <c r="W6" s="559">
        <f t="shared" si="4"/>
        <v>97333.5</v>
      </c>
      <c r="X6" s="10">
        <f>U6+Q6</f>
        <v>0</v>
      </c>
      <c r="Y6" s="10">
        <f>V6+R6</f>
        <v>0</v>
      </c>
      <c r="Z6" s="23">
        <f>W6*12</f>
        <v>1168002</v>
      </c>
      <c r="AA6" s="24">
        <f t="shared" si="5"/>
        <v>185839.61813842485</v>
      </c>
      <c r="AB6" s="24">
        <f t="shared" si="6"/>
        <v>1460002.5</v>
      </c>
      <c r="AC6" s="24">
        <f t="shared" si="7"/>
        <v>232299.52267303102</v>
      </c>
      <c r="AJ6" s="23"/>
      <c r="AK6" s="23"/>
      <c r="AL6" s="23"/>
      <c r="AM6" s="23"/>
      <c r="AN6" s="23"/>
      <c r="AO6" s="23"/>
      <c r="AP6" s="23"/>
    </row>
    <row r="7" spans="1:44" s="24" customFormat="1" ht="17.25" customHeight="1">
      <c r="A7" s="646" t="s">
        <v>261</v>
      </c>
      <c r="B7" s="647" t="s">
        <v>99</v>
      </c>
      <c r="C7" s="628" t="s">
        <v>25</v>
      </c>
      <c r="D7" s="586" t="s">
        <v>652</v>
      </c>
      <c r="E7" s="562" t="s">
        <v>614</v>
      </c>
      <c r="F7" s="547">
        <v>1</v>
      </c>
      <c r="G7" s="563" t="s">
        <v>102</v>
      </c>
      <c r="H7" s="563" t="s">
        <v>103</v>
      </c>
      <c r="I7" s="629">
        <v>1</v>
      </c>
      <c r="J7" s="554">
        <v>17697</v>
      </c>
      <c r="K7" s="648">
        <v>31</v>
      </c>
      <c r="L7" s="554">
        <f t="shared" si="0"/>
        <v>1.7222222222222223</v>
      </c>
      <c r="M7" s="574" t="s">
        <v>152</v>
      </c>
      <c r="N7" s="1597">
        <v>4.55</v>
      </c>
      <c r="O7" s="567">
        <f t="shared" si="1"/>
        <v>138675.65833333333</v>
      </c>
      <c r="P7" s="556">
        <f t="shared" si="2"/>
        <v>34668.914583333331</v>
      </c>
      <c r="Q7" s="568"/>
      <c r="R7" s="554"/>
      <c r="S7" s="554">
        <v>0.1</v>
      </c>
      <c r="T7" s="556">
        <f t="shared" si="3"/>
        <v>17334.457291666666</v>
      </c>
      <c r="U7" s="19"/>
      <c r="V7" s="554"/>
      <c r="W7" s="559">
        <f t="shared" si="4"/>
        <v>190679.03020833334</v>
      </c>
      <c r="X7" s="10">
        <f>U6+Q6</f>
        <v>0</v>
      </c>
      <c r="Y7" s="10">
        <f>V6+R6</f>
        <v>0</v>
      </c>
      <c r="Z7" s="23">
        <f>W6*12</f>
        <v>1168002</v>
      </c>
      <c r="AA7" s="24">
        <f t="shared" si="5"/>
        <v>185839.61813842485</v>
      </c>
      <c r="AB7" s="24">
        <f t="shared" si="6"/>
        <v>1460002.5</v>
      </c>
      <c r="AC7" s="24">
        <f t="shared" si="7"/>
        <v>232299.52267303102</v>
      </c>
      <c r="AJ7" s="23"/>
      <c r="AK7" s="23"/>
      <c r="AL7" s="23"/>
      <c r="AM7" s="23"/>
      <c r="AN7" s="23"/>
      <c r="AO7" s="23"/>
      <c r="AP7" s="23"/>
    </row>
    <row r="8" spans="1:44" s="24" customFormat="1" ht="17.25" customHeight="1">
      <c r="A8" s="153" t="s">
        <v>215</v>
      </c>
      <c r="B8" s="561" t="s">
        <v>99</v>
      </c>
      <c r="C8" s="563" t="s">
        <v>25</v>
      </c>
      <c r="D8" s="562" t="s">
        <v>750</v>
      </c>
      <c r="E8" s="562" t="s">
        <v>217</v>
      </c>
      <c r="F8" s="547">
        <v>1</v>
      </c>
      <c r="G8" s="580" t="s">
        <v>102</v>
      </c>
      <c r="H8" s="580" t="s">
        <v>103</v>
      </c>
      <c r="I8" s="997">
        <v>1</v>
      </c>
      <c r="J8" s="554">
        <v>17697</v>
      </c>
      <c r="K8" s="573">
        <v>4</v>
      </c>
      <c r="L8" s="554">
        <f t="shared" si="0"/>
        <v>0.22222222222222221</v>
      </c>
      <c r="M8" s="997" t="s">
        <v>152</v>
      </c>
      <c r="N8" s="1672">
        <v>4.6900000000000004</v>
      </c>
      <c r="O8" s="567">
        <f t="shared" si="1"/>
        <v>18444.206666666669</v>
      </c>
      <c r="P8" s="556">
        <f t="shared" si="2"/>
        <v>4611.0516666666672</v>
      </c>
      <c r="Q8" s="1538"/>
      <c r="R8" s="700"/>
      <c r="S8" s="554">
        <v>0.1</v>
      </c>
      <c r="T8" s="556">
        <f t="shared" si="3"/>
        <v>2305.5258333333336</v>
      </c>
      <c r="U8" s="699"/>
      <c r="V8" s="700"/>
      <c r="W8" s="559">
        <f t="shared" si="4"/>
        <v>25360.784166666668</v>
      </c>
      <c r="X8" s="882">
        <f>U8+Q8</f>
        <v>0</v>
      </c>
      <c r="Y8" s="882">
        <f>V8+R8</f>
        <v>0</v>
      </c>
      <c r="Z8" s="23">
        <f>W8*12</f>
        <v>304329.41000000003</v>
      </c>
      <c r="AA8" s="24">
        <f t="shared" si="5"/>
        <v>48421.544948289586</v>
      </c>
      <c r="AB8" s="24">
        <f t="shared" si="6"/>
        <v>380411.76250000007</v>
      </c>
      <c r="AC8" s="24">
        <f t="shared" si="7"/>
        <v>60526.931185361987</v>
      </c>
      <c r="AJ8" s="23"/>
      <c r="AK8" s="23"/>
      <c r="AL8" s="23"/>
      <c r="AM8" s="23"/>
      <c r="AN8" s="23"/>
      <c r="AO8" s="23"/>
      <c r="AP8" s="23"/>
    </row>
    <row r="9" spans="1:44" s="24" customFormat="1" ht="17.25" customHeight="1">
      <c r="A9" s="153" t="s">
        <v>215</v>
      </c>
      <c r="B9" s="561" t="s">
        <v>99</v>
      </c>
      <c r="C9" s="563" t="s">
        <v>25</v>
      </c>
      <c r="D9" s="562" t="s">
        <v>653</v>
      </c>
      <c r="E9" s="562" t="s">
        <v>217</v>
      </c>
      <c r="F9" s="1668">
        <v>1</v>
      </c>
      <c r="G9" s="1669" t="s">
        <v>102</v>
      </c>
      <c r="H9" s="1669" t="s">
        <v>103</v>
      </c>
      <c r="I9" s="1670">
        <v>1</v>
      </c>
      <c r="J9" s="554">
        <v>17697</v>
      </c>
      <c r="K9" s="1643">
        <v>20</v>
      </c>
      <c r="L9" s="554">
        <f t="shared" si="0"/>
        <v>1.1111111111111112</v>
      </c>
      <c r="M9" s="698" t="s">
        <v>152</v>
      </c>
      <c r="N9" s="1672">
        <v>4.6900000000000004</v>
      </c>
      <c r="O9" s="697">
        <f t="shared" si="1"/>
        <v>92221.03333333334</v>
      </c>
      <c r="P9" s="556">
        <f t="shared" si="2"/>
        <v>23055.258333333335</v>
      </c>
      <c r="Q9" s="1538"/>
      <c r="R9" s="700"/>
      <c r="S9" s="554">
        <v>0.1</v>
      </c>
      <c r="T9" s="556">
        <f t="shared" si="3"/>
        <v>11527.629166666668</v>
      </c>
      <c r="U9" s="1541"/>
      <c r="V9" s="700"/>
      <c r="W9" s="559">
        <f t="shared" si="4"/>
        <v>126803.92083333334</v>
      </c>
      <c r="X9" s="1547"/>
      <c r="Y9" s="1547"/>
      <c r="Z9" s="23" t="e">
        <f>#REF!*12</f>
        <v>#REF!</v>
      </c>
      <c r="AA9" s="24" t="e">
        <f t="shared" si="5"/>
        <v>#REF!</v>
      </c>
      <c r="AB9" s="24" t="e">
        <f t="shared" si="6"/>
        <v>#REF!</v>
      </c>
      <c r="AC9" s="24" t="e">
        <f t="shared" si="7"/>
        <v>#REF!</v>
      </c>
      <c r="AJ9" s="906"/>
      <c r="AK9" s="23"/>
      <c r="AL9" s="23"/>
      <c r="AM9" s="23"/>
      <c r="AN9" s="23"/>
      <c r="AO9" s="23"/>
      <c r="AP9" s="23"/>
    </row>
    <row r="10" spans="1:44" s="24" customFormat="1" ht="17.25" customHeight="1">
      <c r="A10" s="646" t="s">
        <v>760</v>
      </c>
      <c r="B10" s="647" t="s">
        <v>99</v>
      </c>
      <c r="C10" s="628" t="s">
        <v>25</v>
      </c>
      <c r="D10" s="586" t="s">
        <v>761</v>
      </c>
      <c r="E10" s="562" t="s">
        <v>403</v>
      </c>
      <c r="F10" s="547">
        <v>1</v>
      </c>
      <c r="G10" s="563" t="s">
        <v>102</v>
      </c>
      <c r="H10" s="563" t="s">
        <v>103</v>
      </c>
      <c r="I10" s="629">
        <v>3</v>
      </c>
      <c r="J10" s="554">
        <v>17697</v>
      </c>
      <c r="K10" s="648">
        <v>26</v>
      </c>
      <c r="L10" s="554">
        <f t="shared" si="0"/>
        <v>1.4444444444444444</v>
      </c>
      <c r="M10" s="574" t="s">
        <v>109</v>
      </c>
      <c r="N10" s="1598">
        <v>4.1399999999999997</v>
      </c>
      <c r="O10" s="567">
        <f t="shared" si="1"/>
        <v>105828.05999999998</v>
      </c>
      <c r="P10" s="556">
        <f t="shared" si="2"/>
        <v>26457.014999999996</v>
      </c>
      <c r="Q10" s="568"/>
      <c r="R10" s="554"/>
      <c r="S10" s="554">
        <v>0.1</v>
      </c>
      <c r="T10" s="556">
        <f t="shared" si="3"/>
        <v>13228.5075</v>
      </c>
      <c r="U10" s="19"/>
      <c r="V10" s="554"/>
      <c r="W10" s="559">
        <f t="shared" si="4"/>
        <v>145513.58249999999</v>
      </c>
      <c r="X10" s="10">
        <f>U9+Q9</f>
        <v>0</v>
      </c>
      <c r="Y10" s="10">
        <f>V9+R9</f>
        <v>0</v>
      </c>
      <c r="Z10" s="23">
        <f>W9*12</f>
        <v>1521647.05</v>
      </c>
      <c r="AA10" s="24">
        <f t="shared" si="5"/>
        <v>242107.72474144792</v>
      </c>
      <c r="AB10" s="24">
        <f t="shared" si="6"/>
        <v>1902058.8125</v>
      </c>
      <c r="AC10" s="24">
        <f t="shared" si="7"/>
        <v>302634.65592680988</v>
      </c>
      <c r="AJ10" s="23"/>
      <c r="AK10" s="23"/>
      <c r="AL10" s="23"/>
      <c r="AM10" s="23"/>
      <c r="AN10" s="23"/>
      <c r="AO10" s="23"/>
      <c r="AP10" s="23"/>
    </row>
    <row r="11" spans="1:44" s="24" customFormat="1" ht="19.5" customHeight="1">
      <c r="A11" s="661" t="s">
        <v>516</v>
      </c>
      <c r="B11" s="647" t="s">
        <v>99</v>
      </c>
      <c r="C11" s="663" t="s">
        <v>25</v>
      </c>
      <c r="D11" s="1794" t="s">
        <v>594</v>
      </c>
      <c r="E11" s="664" t="s">
        <v>40</v>
      </c>
      <c r="F11" s="1727">
        <v>1</v>
      </c>
      <c r="G11" s="177" t="s">
        <v>102</v>
      </c>
      <c r="H11" s="177" t="s">
        <v>103</v>
      </c>
      <c r="I11" s="178">
        <v>1</v>
      </c>
      <c r="J11" s="554">
        <v>17697</v>
      </c>
      <c r="K11" s="665">
        <v>18</v>
      </c>
      <c r="L11" s="567">
        <f t="shared" si="0"/>
        <v>1</v>
      </c>
      <c r="M11" s="574" t="s">
        <v>152</v>
      </c>
      <c r="N11" s="1608">
        <v>4.75</v>
      </c>
      <c r="O11" s="567">
        <f>J11*N11/18*K11</f>
        <v>84060.75</v>
      </c>
      <c r="P11" s="556">
        <f t="shared" si="2"/>
        <v>21015.1875</v>
      </c>
      <c r="Q11" s="666">
        <v>0.25</v>
      </c>
      <c r="R11" s="554">
        <f>(O11+P11)*Q11</f>
        <v>26268.984375</v>
      </c>
      <c r="S11" s="554">
        <v>0.1</v>
      </c>
      <c r="T11" s="556">
        <f>(O11+P11+R11)*S11</f>
        <v>13134.4921875</v>
      </c>
      <c r="U11" s="19"/>
      <c r="V11" s="554"/>
      <c r="W11" s="559">
        <f>O11+P11+R11+T11</f>
        <v>144479.4140625</v>
      </c>
      <c r="X11" s="1765"/>
      <c r="Y11" s="1765"/>
      <c r="Z11" s="1345"/>
      <c r="AA11" s="1346"/>
      <c r="AB11" s="1346"/>
      <c r="AC11" s="1346"/>
      <c r="AD11" s="1346"/>
      <c r="AE11" s="1346"/>
      <c r="AF11" s="1346"/>
      <c r="AG11" s="1346"/>
      <c r="AH11" s="1346"/>
      <c r="AI11" s="1346"/>
      <c r="AJ11" s="23"/>
      <c r="AK11" s="23"/>
      <c r="AL11" s="23"/>
      <c r="AM11" s="23"/>
      <c r="AN11" s="23"/>
      <c r="AO11" s="23"/>
      <c r="AP11" s="23"/>
      <c r="AQ11" s="1346"/>
      <c r="AR11" s="1346"/>
    </row>
    <row r="12" spans="1:44" s="24" customFormat="1" ht="17.25" customHeight="1">
      <c r="A12" s="153" t="s">
        <v>222</v>
      </c>
      <c r="B12" s="561" t="s">
        <v>148</v>
      </c>
      <c r="C12" s="563" t="s">
        <v>25</v>
      </c>
      <c r="D12" s="562" t="s">
        <v>654</v>
      </c>
      <c r="E12" s="562" t="s">
        <v>224</v>
      </c>
      <c r="F12" s="1668">
        <v>1</v>
      </c>
      <c r="G12" s="580" t="s">
        <v>102</v>
      </c>
      <c r="H12" s="580" t="s">
        <v>103</v>
      </c>
      <c r="I12" s="574">
        <v>2</v>
      </c>
      <c r="J12" s="554">
        <v>17697</v>
      </c>
      <c r="K12" s="1643">
        <v>31</v>
      </c>
      <c r="L12" s="554">
        <f t="shared" si="0"/>
        <v>1.7222222222222223</v>
      </c>
      <c r="M12" s="566" t="s">
        <v>104</v>
      </c>
      <c r="N12" s="1015">
        <v>4.16</v>
      </c>
      <c r="O12" s="567">
        <f t="shared" ref="O12:O24" si="8">N12*J12/18*K12</f>
        <v>126789.17333333334</v>
      </c>
      <c r="P12" s="556">
        <f t="shared" si="2"/>
        <v>31697.293333333335</v>
      </c>
      <c r="Q12" s="568"/>
      <c r="R12" s="554"/>
      <c r="S12" s="554">
        <v>0.1</v>
      </c>
      <c r="T12" s="556">
        <f t="shared" ref="T12:T24" si="9">(O12+P12)*S12</f>
        <v>15848.646666666667</v>
      </c>
      <c r="U12" s="19"/>
      <c r="V12" s="554"/>
      <c r="W12" s="559">
        <f t="shared" ref="W12:W24" si="10">O12+P12+T12</f>
        <v>174335.11333333334</v>
      </c>
      <c r="X12" s="10">
        <f>U11+Q11</f>
        <v>0.25</v>
      </c>
      <c r="Y12" s="10">
        <f>V11+R11</f>
        <v>26268.984375</v>
      </c>
      <c r="Z12" s="23">
        <f>W11*12</f>
        <v>1733752.96875</v>
      </c>
      <c r="AA12" s="24">
        <f>Z12/12/29.33*56</f>
        <v>275855.68317422434</v>
      </c>
      <c r="AB12" s="24">
        <f>Z12*1.25</f>
        <v>2167191.2109375</v>
      </c>
      <c r="AC12" s="24">
        <f>AB12/12/29.33*56</f>
        <v>344819.60396778048</v>
      </c>
      <c r="AJ12" s="23"/>
      <c r="AK12" s="23"/>
      <c r="AL12" s="23"/>
      <c r="AM12" s="23"/>
      <c r="AN12" s="23"/>
      <c r="AO12" s="23"/>
      <c r="AP12" s="23"/>
    </row>
    <row r="13" spans="1:44" s="24" customFormat="1" ht="17.25" customHeight="1">
      <c r="A13" s="646" t="s">
        <v>263</v>
      </c>
      <c r="B13" s="647" t="s">
        <v>99</v>
      </c>
      <c r="C13" s="628" t="s">
        <v>25</v>
      </c>
      <c r="D13" s="586" t="s">
        <v>655</v>
      </c>
      <c r="E13" s="582" t="s">
        <v>271</v>
      </c>
      <c r="F13" s="547">
        <v>1</v>
      </c>
      <c r="G13" s="563" t="s">
        <v>102</v>
      </c>
      <c r="H13" s="563" t="s">
        <v>103</v>
      </c>
      <c r="I13" s="629">
        <v>2</v>
      </c>
      <c r="J13" s="554">
        <v>17697</v>
      </c>
      <c r="K13" s="648">
        <v>18</v>
      </c>
      <c r="L13" s="554">
        <f t="shared" si="0"/>
        <v>1</v>
      </c>
      <c r="M13" s="698" t="s">
        <v>104</v>
      </c>
      <c r="N13" s="1600">
        <v>4.37</v>
      </c>
      <c r="O13" s="697">
        <f t="shared" si="8"/>
        <v>77335.89</v>
      </c>
      <c r="P13" s="556">
        <f t="shared" si="2"/>
        <v>19333.9725</v>
      </c>
      <c r="Q13" s="1538"/>
      <c r="R13" s="700"/>
      <c r="S13" s="554">
        <v>0.1</v>
      </c>
      <c r="T13" s="556">
        <f t="shared" si="9"/>
        <v>9666.9862499999999</v>
      </c>
      <c r="U13" s="1541"/>
      <c r="V13" s="700"/>
      <c r="W13" s="559">
        <f t="shared" si="10"/>
        <v>106336.84875</v>
      </c>
      <c r="X13" s="1547"/>
      <c r="Y13" s="1547"/>
      <c r="Z13" s="23"/>
      <c r="AJ13" s="23"/>
      <c r="AK13" s="23"/>
      <c r="AL13" s="23"/>
      <c r="AM13" s="23"/>
      <c r="AN13" s="23"/>
      <c r="AO13" s="23"/>
      <c r="AP13" s="23"/>
    </row>
    <row r="14" spans="1:44" s="24" customFormat="1" ht="17.25" customHeight="1">
      <c r="A14" s="998" t="s">
        <v>23</v>
      </c>
      <c r="B14" s="561" t="s">
        <v>99</v>
      </c>
      <c r="C14" s="560" t="s">
        <v>25</v>
      </c>
      <c r="D14" s="562" t="s">
        <v>656</v>
      </c>
      <c r="E14" s="562" t="s">
        <v>114</v>
      </c>
      <c r="F14" s="547">
        <v>1</v>
      </c>
      <c r="G14" s="563" t="s">
        <v>102</v>
      </c>
      <c r="H14" s="563" t="s">
        <v>103</v>
      </c>
      <c r="I14" s="581">
        <v>1</v>
      </c>
      <c r="J14" s="554">
        <v>17697</v>
      </c>
      <c r="K14" s="1540">
        <v>9</v>
      </c>
      <c r="L14" s="700">
        <f t="shared" si="0"/>
        <v>0.5</v>
      </c>
      <c r="M14" s="698" t="s">
        <v>152</v>
      </c>
      <c r="N14" s="1157">
        <v>4.75</v>
      </c>
      <c r="O14" s="697">
        <f t="shared" si="8"/>
        <v>42030.375</v>
      </c>
      <c r="P14" s="556">
        <f t="shared" si="2"/>
        <v>10507.59375</v>
      </c>
      <c r="Q14" s="1538"/>
      <c r="R14" s="700"/>
      <c r="S14" s="554">
        <v>0.1</v>
      </c>
      <c r="T14" s="556">
        <f t="shared" si="9"/>
        <v>5253.796875</v>
      </c>
      <c r="U14" s="699"/>
      <c r="V14" s="700"/>
      <c r="W14" s="559">
        <f t="shared" si="10"/>
        <v>57791.765625</v>
      </c>
      <c r="X14" s="882">
        <f>U14+Q14</f>
        <v>0</v>
      </c>
      <c r="Y14" s="882">
        <f>V14+R14</f>
        <v>0</v>
      </c>
      <c r="Z14" s="23">
        <f>W14*12</f>
        <v>693501.1875</v>
      </c>
      <c r="AA14" s="24">
        <f>Z14/12/29.33*56</f>
        <v>110342.27326968974</v>
      </c>
      <c r="AB14" s="24">
        <f>Z14*1.25</f>
        <v>866876.484375</v>
      </c>
      <c r="AC14" s="24">
        <f>AB14/12/29.33*56</f>
        <v>137927.84158711217</v>
      </c>
      <c r="AJ14" s="23"/>
      <c r="AK14" s="23"/>
      <c r="AL14" s="23"/>
      <c r="AM14" s="23"/>
      <c r="AN14" s="23"/>
      <c r="AO14" s="23"/>
      <c r="AP14" s="23"/>
    </row>
    <row r="15" spans="1:44" s="24" customFormat="1" ht="17.25" customHeight="1">
      <c r="A15" s="153" t="s">
        <v>631</v>
      </c>
      <c r="B15" s="561" t="s">
        <v>525</v>
      </c>
      <c r="C15" s="560" t="s">
        <v>25</v>
      </c>
      <c r="D15" s="1000" t="s">
        <v>657</v>
      </c>
      <c r="E15" s="562" t="s">
        <v>114</v>
      </c>
      <c r="F15" s="547">
        <v>1</v>
      </c>
      <c r="G15" s="563" t="s">
        <v>102</v>
      </c>
      <c r="H15" s="563" t="s">
        <v>103</v>
      </c>
      <c r="I15" s="581">
        <v>1</v>
      </c>
      <c r="J15" s="554">
        <v>17697</v>
      </c>
      <c r="K15" s="565">
        <v>26</v>
      </c>
      <c r="L15" s="554">
        <f t="shared" si="0"/>
        <v>1.4444444444444444</v>
      </c>
      <c r="M15" s="574" t="s">
        <v>152</v>
      </c>
      <c r="N15" s="1014">
        <v>4.75</v>
      </c>
      <c r="O15" s="567">
        <f t="shared" si="8"/>
        <v>121421.08333333334</v>
      </c>
      <c r="P15" s="556">
        <f t="shared" si="2"/>
        <v>30355.270833333336</v>
      </c>
      <c r="Q15" s="568"/>
      <c r="R15" s="554"/>
      <c r="S15" s="554">
        <v>0.1</v>
      </c>
      <c r="T15" s="556">
        <f t="shared" si="9"/>
        <v>15177.63541666667</v>
      </c>
      <c r="U15" s="569"/>
      <c r="V15" s="554"/>
      <c r="W15" s="559">
        <f t="shared" si="10"/>
        <v>166953.98958333334</v>
      </c>
      <c r="X15" s="7"/>
      <c r="Y15" s="7"/>
      <c r="Z15" s="23">
        <f>W15*12</f>
        <v>2003447.875</v>
      </c>
      <c r="AA15" s="24">
        <f>Z15/12/29.33*56</f>
        <v>318766.56722354813</v>
      </c>
      <c r="AB15" s="24">
        <f>Z15*1.25</f>
        <v>2504309.84375</v>
      </c>
      <c r="AC15" s="24">
        <f>AB15/12/29.33*56</f>
        <v>398458.20902943518</v>
      </c>
      <c r="AJ15" s="23"/>
      <c r="AK15" s="23"/>
      <c r="AL15" s="23"/>
      <c r="AM15" s="23"/>
      <c r="AN15" s="23"/>
      <c r="AO15" s="23"/>
      <c r="AP15" s="23"/>
    </row>
    <row r="16" spans="1:44" s="1692" customFormat="1" ht="17.25" customHeight="1">
      <c r="A16" s="153" t="s">
        <v>124</v>
      </c>
      <c r="B16" s="561" t="s">
        <v>125</v>
      </c>
      <c r="C16" s="560" t="s">
        <v>75</v>
      </c>
      <c r="D16" s="582" t="s">
        <v>503</v>
      </c>
      <c r="E16" s="562" t="s">
        <v>77</v>
      </c>
      <c r="F16" s="547">
        <v>1</v>
      </c>
      <c r="G16" s="563" t="s">
        <v>102</v>
      </c>
      <c r="H16" s="563" t="s">
        <v>118</v>
      </c>
      <c r="I16" s="581">
        <v>3</v>
      </c>
      <c r="J16" s="554">
        <v>17697</v>
      </c>
      <c r="K16" s="565">
        <v>18</v>
      </c>
      <c r="L16" s="554">
        <f t="shared" si="0"/>
        <v>1</v>
      </c>
      <c r="M16" s="566" t="s">
        <v>109</v>
      </c>
      <c r="N16" s="1014">
        <v>3.85</v>
      </c>
      <c r="O16" s="567">
        <f t="shared" si="8"/>
        <v>68133.45</v>
      </c>
      <c r="P16" s="556">
        <f t="shared" si="2"/>
        <v>17033.362499999999</v>
      </c>
      <c r="Q16" s="568"/>
      <c r="R16" s="554"/>
      <c r="S16" s="554">
        <v>0.1</v>
      </c>
      <c r="T16" s="556">
        <f t="shared" si="9"/>
        <v>8516.6812499999996</v>
      </c>
      <c r="U16" s="569"/>
      <c r="V16" s="554"/>
      <c r="W16" s="559">
        <f t="shared" si="10"/>
        <v>93683.493749999994</v>
      </c>
      <c r="X16" s="7"/>
      <c r="Y16" s="7"/>
      <c r="Z16" s="23">
        <f>W16*12</f>
        <v>1124201.9249999998</v>
      </c>
      <c r="AA16" s="24">
        <f>Z16/12/29.33*56</f>
        <v>178870.63245823386</v>
      </c>
      <c r="AB16" s="24">
        <f>Z16*1.25</f>
        <v>1405252.4062499998</v>
      </c>
      <c r="AC16" s="24">
        <f>AB16/12/29.33*56</f>
        <v>223588.29057279235</v>
      </c>
      <c r="AD16" s="24"/>
      <c r="AE16" s="24"/>
      <c r="AF16" s="24"/>
      <c r="AG16" s="24"/>
      <c r="AH16" s="24"/>
      <c r="AI16" s="24"/>
      <c r="AJ16" s="23"/>
      <c r="AK16" s="23"/>
      <c r="AL16" s="23"/>
      <c r="AM16" s="23"/>
      <c r="AN16" s="23"/>
      <c r="AO16" s="23"/>
      <c r="AP16" s="23"/>
      <c r="AQ16" s="24"/>
      <c r="AR16" s="24"/>
    </row>
    <row r="17" spans="1:44" s="24" customFormat="1" ht="17.25" customHeight="1">
      <c r="A17" s="153" t="s">
        <v>124</v>
      </c>
      <c r="B17" s="561" t="s">
        <v>125</v>
      </c>
      <c r="C17" s="560" t="s">
        <v>75</v>
      </c>
      <c r="D17" s="582" t="s">
        <v>590</v>
      </c>
      <c r="E17" s="562" t="s">
        <v>108</v>
      </c>
      <c r="F17" s="1668">
        <v>1</v>
      </c>
      <c r="G17" s="563" t="s">
        <v>102</v>
      </c>
      <c r="H17" s="563" t="s">
        <v>118</v>
      </c>
      <c r="I17" s="581">
        <v>3</v>
      </c>
      <c r="J17" s="554">
        <v>17697</v>
      </c>
      <c r="K17" s="1014">
        <v>11</v>
      </c>
      <c r="L17" s="554">
        <f t="shared" si="0"/>
        <v>0.61111111111111116</v>
      </c>
      <c r="M17" s="574" t="s">
        <v>109</v>
      </c>
      <c r="N17" s="1014">
        <v>3.85</v>
      </c>
      <c r="O17" s="567">
        <f t="shared" si="8"/>
        <v>41637.10833333333</v>
      </c>
      <c r="P17" s="556">
        <f t="shared" si="2"/>
        <v>10409.277083333332</v>
      </c>
      <c r="Q17" s="568"/>
      <c r="R17" s="554"/>
      <c r="S17" s="554">
        <v>0.1</v>
      </c>
      <c r="T17" s="556">
        <f t="shared" si="9"/>
        <v>5204.6385416666672</v>
      </c>
      <c r="U17" s="19"/>
      <c r="V17" s="554"/>
      <c r="W17" s="559">
        <f t="shared" si="10"/>
        <v>57251.023958333331</v>
      </c>
      <c r="X17" s="10">
        <f>U16+Q16</f>
        <v>0</v>
      </c>
      <c r="Y17" s="10">
        <f>V16+R16</f>
        <v>0</v>
      </c>
      <c r="Z17" s="23">
        <f>W16*12</f>
        <v>1124201.9249999998</v>
      </c>
      <c r="AA17" s="24">
        <f>Z17/12/29.33*56</f>
        <v>178870.63245823386</v>
      </c>
      <c r="AB17" s="24">
        <f>Z17*1.25</f>
        <v>1405252.4062499998</v>
      </c>
      <c r="AC17" s="24">
        <f>AB17/12/29.33*56</f>
        <v>223588.29057279235</v>
      </c>
      <c r="AJ17" s="23"/>
      <c r="AK17" s="23"/>
      <c r="AL17" s="23"/>
      <c r="AM17" s="23"/>
      <c r="AN17" s="23"/>
      <c r="AO17" s="23"/>
      <c r="AP17" s="23"/>
    </row>
    <row r="18" spans="1:44" s="24" customFormat="1" ht="17.25" customHeight="1">
      <c r="A18" s="153" t="s">
        <v>629</v>
      </c>
      <c r="B18" s="561" t="s">
        <v>99</v>
      </c>
      <c r="C18" s="560" t="s">
        <v>25</v>
      </c>
      <c r="D18" s="562" t="s">
        <v>805</v>
      </c>
      <c r="E18" s="562" t="s">
        <v>252</v>
      </c>
      <c r="F18" s="547">
        <v>1</v>
      </c>
      <c r="G18" s="563" t="s">
        <v>102</v>
      </c>
      <c r="H18" s="563" t="s">
        <v>103</v>
      </c>
      <c r="I18" s="581">
        <v>4</v>
      </c>
      <c r="J18" s="554">
        <v>17697</v>
      </c>
      <c r="K18" s="565">
        <v>10</v>
      </c>
      <c r="L18" s="554">
        <f t="shared" si="0"/>
        <v>0.55555555555555558</v>
      </c>
      <c r="M18" s="574" t="s">
        <v>112</v>
      </c>
      <c r="N18" s="1014">
        <v>3.78</v>
      </c>
      <c r="O18" s="567">
        <f t="shared" si="8"/>
        <v>37163.700000000004</v>
      </c>
      <c r="P18" s="556">
        <f t="shared" si="2"/>
        <v>9290.9250000000011</v>
      </c>
      <c r="Q18" s="568"/>
      <c r="R18" s="554"/>
      <c r="S18" s="554">
        <v>0.1</v>
      </c>
      <c r="T18" s="556">
        <f t="shared" si="9"/>
        <v>4645.4625000000005</v>
      </c>
      <c r="U18" s="569"/>
      <c r="V18" s="554"/>
      <c r="W18" s="559">
        <f t="shared" si="10"/>
        <v>51100.087500000009</v>
      </c>
      <c r="X18" s="10">
        <f>U18+Q18</f>
        <v>0</v>
      </c>
      <c r="Y18" s="10">
        <f>V18+R18</f>
        <v>0</v>
      </c>
      <c r="Z18" s="23">
        <f>W18*12</f>
        <v>613201.05000000005</v>
      </c>
      <c r="AA18" s="24">
        <f>Z18/12/29.33*56</f>
        <v>97565.799522673042</v>
      </c>
      <c r="AB18" s="24">
        <f>Z18*1.25</f>
        <v>766501.3125</v>
      </c>
      <c r="AC18" s="24">
        <f>AB18/12/29.33*56</f>
        <v>121957.24940334129</v>
      </c>
      <c r="AJ18" s="23"/>
      <c r="AK18" s="23"/>
      <c r="AL18" s="23"/>
      <c r="AM18" s="23"/>
      <c r="AN18" s="23"/>
      <c r="AO18" s="23"/>
      <c r="AP18" s="23"/>
    </row>
    <row r="19" spans="1:44" s="24" customFormat="1" ht="18" customHeight="1">
      <c r="A19" s="647" t="s">
        <v>264</v>
      </c>
      <c r="B19" s="647" t="s">
        <v>99</v>
      </c>
      <c r="C19" s="628" t="s">
        <v>25</v>
      </c>
      <c r="D19" s="586" t="s">
        <v>658</v>
      </c>
      <c r="E19" s="562" t="s">
        <v>40</v>
      </c>
      <c r="F19" s="547">
        <v>1</v>
      </c>
      <c r="G19" s="563" t="s">
        <v>102</v>
      </c>
      <c r="H19" s="563" t="s">
        <v>103</v>
      </c>
      <c r="I19" s="629">
        <v>1</v>
      </c>
      <c r="J19" s="554">
        <v>17697</v>
      </c>
      <c r="K19" s="648">
        <v>32</v>
      </c>
      <c r="L19" s="554">
        <f t="shared" si="0"/>
        <v>1.7777777777777777</v>
      </c>
      <c r="M19" s="574" t="s">
        <v>152</v>
      </c>
      <c r="N19" s="1598">
        <v>4.75</v>
      </c>
      <c r="O19" s="567">
        <f t="shared" si="8"/>
        <v>149441.33333333334</v>
      </c>
      <c r="P19" s="556">
        <f t="shared" si="2"/>
        <v>37360.333333333336</v>
      </c>
      <c r="Q19" s="568"/>
      <c r="R19" s="554"/>
      <c r="S19" s="554">
        <v>0.1</v>
      </c>
      <c r="T19" s="556">
        <f t="shared" si="9"/>
        <v>18680.166666666668</v>
      </c>
      <c r="U19" s="19"/>
      <c r="V19" s="554"/>
      <c r="W19" s="559">
        <f t="shared" si="10"/>
        <v>205481.83333333334</v>
      </c>
      <c r="X19" s="10"/>
      <c r="Y19" s="10"/>
      <c r="Z19" s="23"/>
      <c r="AJ19" s="23"/>
      <c r="AK19" s="23"/>
      <c r="AL19" s="23"/>
      <c r="AM19" s="23"/>
      <c r="AN19" s="23"/>
      <c r="AO19" s="23"/>
      <c r="AP19" s="23"/>
    </row>
    <row r="20" spans="1:44" s="24" customFormat="1" ht="17.25" customHeight="1">
      <c r="A20" s="153" t="s">
        <v>618</v>
      </c>
      <c r="B20" s="561" t="s">
        <v>99</v>
      </c>
      <c r="C20" s="560" t="s">
        <v>25</v>
      </c>
      <c r="D20" s="582" t="s">
        <v>794</v>
      </c>
      <c r="E20" s="562" t="s">
        <v>795</v>
      </c>
      <c r="F20" s="1668">
        <v>1</v>
      </c>
      <c r="G20" s="580" t="s">
        <v>102</v>
      </c>
      <c r="H20" s="580" t="s">
        <v>103</v>
      </c>
      <c r="I20" s="574">
        <v>3</v>
      </c>
      <c r="J20" s="554">
        <v>17697</v>
      </c>
      <c r="K20" s="1014">
        <v>27</v>
      </c>
      <c r="L20" s="554">
        <f t="shared" si="0"/>
        <v>1.5</v>
      </c>
      <c r="M20" s="574" t="s">
        <v>109</v>
      </c>
      <c r="N20" s="1014">
        <v>4.3600000000000003</v>
      </c>
      <c r="O20" s="567">
        <f t="shared" si="8"/>
        <v>115738.38000000002</v>
      </c>
      <c r="P20" s="556">
        <f t="shared" si="2"/>
        <v>28934.595000000005</v>
      </c>
      <c r="Q20" s="568"/>
      <c r="R20" s="554"/>
      <c r="S20" s="554">
        <v>0.1</v>
      </c>
      <c r="T20" s="556">
        <f t="shared" si="9"/>
        <v>14467.297500000004</v>
      </c>
      <c r="U20" s="19"/>
      <c r="V20" s="554"/>
      <c r="W20" s="559">
        <f t="shared" si="10"/>
        <v>159140.27250000005</v>
      </c>
      <c r="X20" s="10">
        <f>U19+Q19</f>
        <v>0</v>
      </c>
      <c r="Y20" s="10">
        <f>V19+R19</f>
        <v>0</v>
      </c>
      <c r="Z20" s="23">
        <f>W19*12</f>
        <v>2465782</v>
      </c>
      <c r="AA20" s="24">
        <f>Z20/12/29.33*56</f>
        <v>392328.0827366747</v>
      </c>
      <c r="AB20" s="24">
        <f>Z20*1.25</f>
        <v>3082227.5</v>
      </c>
      <c r="AC20" s="24">
        <f>AB20/12/29.33*56</f>
        <v>490410.10342084331</v>
      </c>
      <c r="AJ20" s="23"/>
      <c r="AK20" s="23"/>
      <c r="AL20" s="23"/>
      <c r="AM20" s="23"/>
      <c r="AN20" s="23"/>
      <c r="AO20" s="23"/>
      <c r="AP20" s="23"/>
    </row>
    <row r="21" spans="1:44" s="24" customFormat="1" ht="17.25" customHeight="1">
      <c r="A21" s="153" t="s">
        <v>116</v>
      </c>
      <c r="B21" s="561" t="s">
        <v>99</v>
      </c>
      <c r="C21" s="560" t="s">
        <v>64</v>
      </c>
      <c r="D21" s="562" t="s">
        <v>660</v>
      </c>
      <c r="E21" s="562" t="s">
        <v>114</v>
      </c>
      <c r="F21" s="547">
        <v>1</v>
      </c>
      <c r="G21" s="563" t="s">
        <v>102</v>
      </c>
      <c r="H21" s="563" t="s">
        <v>118</v>
      </c>
      <c r="I21" s="564">
        <v>1</v>
      </c>
      <c r="J21" s="554">
        <v>17697</v>
      </c>
      <c r="K21" s="565">
        <v>36</v>
      </c>
      <c r="L21" s="554">
        <f t="shared" si="0"/>
        <v>2</v>
      </c>
      <c r="M21" s="574" t="s">
        <v>152</v>
      </c>
      <c r="N21" s="1014">
        <v>4.5199999999999996</v>
      </c>
      <c r="O21" s="567">
        <f t="shared" si="8"/>
        <v>159980.87999999998</v>
      </c>
      <c r="P21" s="556">
        <f t="shared" si="2"/>
        <v>39995.219999999994</v>
      </c>
      <c r="Q21" s="568"/>
      <c r="R21" s="554"/>
      <c r="S21" s="554">
        <v>0.1</v>
      </c>
      <c r="T21" s="556">
        <f t="shared" si="9"/>
        <v>19997.61</v>
      </c>
      <c r="U21" s="569"/>
      <c r="V21" s="554"/>
      <c r="W21" s="559">
        <f t="shared" si="10"/>
        <v>219973.70999999996</v>
      </c>
      <c r="X21" s="10">
        <f>U21+Q21</f>
        <v>0</v>
      </c>
      <c r="Y21" s="10">
        <f>V21+R21</f>
        <v>0</v>
      </c>
      <c r="Z21" s="23">
        <f>W21*12</f>
        <v>2639684.5199999996</v>
      </c>
      <c r="AA21" s="24">
        <f>Z21/12/29.33*56</f>
        <v>419997.53699284006</v>
      </c>
      <c r="AB21" s="24">
        <f>Z21*1.25</f>
        <v>3299605.6499999994</v>
      </c>
      <c r="AC21" s="24">
        <f>AB21/12/29.33*56</f>
        <v>524996.92124105</v>
      </c>
      <c r="AJ21" s="23"/>
      <c r="AK21" s="23"/>
      <c r="AL21" s="23"/>
      <c r="AM21" s="23"/>
      <c r="AN21" s="23"/>
      <c r="AO21" s="23"/>
      <c r="AP21" s="23"/>
    </row>
    <row r="22" spans="1:44" s="24" customFormat="1" ht="17.25" customHeight="1">
      <c r="A22" s="153" t="s">
        <v>127</v>
      </c>
      <c r="B22" s="561" t="s">
        <v>99</v>
      </c>
      <c r="C22" s="560" t="s">
        <v>25</v>
      </c>
      <c r="D22" s="1586" t="s">
        <v>661</v>
      </c>
      <c r="E22" s="1586" t="s">
        <v>34</v>
      </c>
      <c r="F22" s="547">
        <v>1</v>
      </c>
      <c r="G22" s="563" t="s">
        <v>102</v>
      </c>
      <c r="H22" s="563" t="s">
        <v>103</v>
      </c>
      <c r="I22" s="564">
        <v>1</v>
      </c>
      <c r="J22" s="554">
        <v>17697</v>
      </c>
      <c r="K22" s="565">
        <v>26</v>
      </c>
      <c r="L22" s="554">
        <f t="shared" si="0"/>
        <v>1.4444444444444444</v>
      </c>
      <c r="M22" s="574" t="s">
        <v>152</v>
      </c>
      <c r="N22" s="1014">
        <v>4.75</v>
      </c>
      <c r="O22" s="567">
        <f t="shared" si="8"/>
        <v>121421.08333333334</v>
      </c>
      <c r="P22" s="556">
        <f t="shared" si="2"/>
        <v>30355.270833333336</v>
      </c>
      <c r="Q22" s="568"/>
      <c r="R22" s="554"/>
      <c r="S22" s="554">
        <v>0.1</v>
      </c>
      <c r="T22" s="556">
        <f t="shared" si="9"/>
        <v>15177.63541666667</v>
      </c>
      <c r="U22" s="569"/>
      <c r="V22" s="554"/>
      <c r="W22" s="559">
        <f t="shared" si="10"/>
        <v>166953.98958333334</v>
      </c>
      <c r="X22" s="10"/>
      <c r="Y22" s="10"/>
      <c r="Z22" s="23">
        <f>W22*12</f>
        <v>2003447.875</v>
      </c>
      <c r="AA22" s="24">
        <f>Z22/12/29.33*56</f>
        <v>318766.56722354813</v>
      </c>
      <c r="AB22" s="24">
        <f>Z22*1.25</f>
        <v>2504309.84375</v>
      </c>
      <c r="AC22" s="24">
        <f>AB22/12/29.33*56</f>
        <v>398458.20902943518</v>
      </c>
      <c r="AJ22" s="23"/>
      <c r="AK22" s="23"/>
      <c r="AL22" s="23"/>
      <c r="AM22" s="23"/>
      <c r="AN22" s="23"/>
      <c r="AO22" s="23"/>
      <c r="AP22" s="23"/>
    </row>
    <row r="23" spans="1:44" s="24" customFormat="1" ht="17.25" customHeight="1">
      <c r="A23" s="998" t="s">
        <v>127</v>
      </c>
      <c r="B23" s="873" t="s">
        <v>99</v>
      </c>
      <c r="C23" s="874" t="s">
        <v>25</v>
      </c>
      <c r="D23" s="1586" t="s">
        <v>661</v>
      </c>
      <c r="E23" s="1586" t="s">
        <v>34</v>
      </c>
      <c r="F23" s="1668">
        <v>1</v>
      </c>
      <c r="G23" s="563" t="s">
        <v>102</v>
      </c>
      <c r="H23" s="563" t="s">
        <v>103</v>
      </c>
      <c r="I23" s="564">
        <v>1</v>
      </c>
      <c r="J23" s="554">
        <v>17697</v>
      </c>
      <c r="K23" s="1157">
        <v>4</v>
      </c>
      <c r="L23" s="554">
        <f t="shared" si="0"/>
        <v>0.22222222222222221</v>
      </c>
      <c r="M23" s="698" t="s">
        <v>152</v>
      </c>
      <c r="N23" s="1157">
        <v>4.75</v>
      </c>
      <c r="O23" s="697">
        <f t="shared" si="8"/>
        <v>18680.166666666668</v>
      </c>
      <c r="P23" s="556">
        <f t="shared" si="2"/>
        <v>4670.041666666667</v>
      </c>
      <c r="Q23" s="1538"/>
      <c r="R23" s="700"/>
      <c r="S23" s="554">
        <v>0.1</v>
      </c>
      <c r="T23" s="556">
        <f t="shared" si="9"/>
        <v>2335.0208333333335</v>
      </c>
      <c r="U23" s="1541"/>
      <c r="V23" s="700"/>
      <c r="W23" s="559">
        <f t="shared" si="10"/>
        <v>25685.229166666668</v>
      </c>
      <c r="X23" s="1547"/>
      <c r="Y23" s="1547"/>
      <c r="Z23" s="23"/>
      <c r="AJ23" s="23"/>
      <c r="AK23" s="23"/>
      <c r="AL23" s="23"/>
      <c r="AM23" s="23"/>
      <c r="AN23" s="23"/>
      <c r="AO23" s="23"/>
      <c r="AP23" s="23"/>
    </row>
    <row r="24" spans="1:44" s="24" customFormat="1" ht="17.25" customHeight="1">
      <c r="A24" s="153" t="s">
        <v>386</v>
      </c>
      <c r="B24" s="561" t="s">
        <v>99</v>
      </c>
      <c r="C24" s="560" t="s">
        <v>25</v>
      </c>
      <c r="D24" s="582" t="s">
        <v>662</v>
      </c>
      <c r="E24" s="582" t="s">
        <v>34</v>
      </c>
      <c r="F24" s="547">
        <v>1</v>
      </c>
      <c r="G24" s="563" t="s">
        <v>102</v>
      </c>
      <c r="H24" s="563" t="s">
        <v>103</v>
      </c>
      <c r="I24" s="581">
        <v>1</v>
      </c>
      <c r="J24" s="554">
        <v>17697</v>
      </c>
      <c r="K24" s="565">
        <v>28</v>
      </c>
      <c r="L24" s="554">
        <f t="shared" si="0"/>
        <v>1.5555555555555556</v>
      </c>
      <c r="M24" s="574" t="s">
        <v>152</v>
      </c>
      <c r="N24" s="1014">
        <v>4.75</v>
      </c>
      <c r="O24" s="567">
        <f t="shared" si="8"/>
        <v>130761.16666666667</v>
      </c>
      <c r="P24" s="556">
        <f t="shared" si="2"/>
        <v>32690.291666666668</v>
      </c>
      <c r="Q24" s="568"/>
      <c r="R24" s="554"/>
      <c r="S24" s="554">
        <v>0.1</v>
      </c>
      <c r="T24" s="556">
        <f t="shared" si="9"/>
        <v>16345.145833333336</v>
      </c>
      <c r="U24" s="569"/>
      <c r="V24" s="554"/>
      <c r="W24" s="559">
        <f t="shared" si="10"/>
        <v>179796.60416666669</v>
      </c>
      <c r="X24" s="10"/>
      <c r="Y24" s="10"/>
      <c r="Z24" s="23">
        <f>W24*12</f>
        <v>2157559.25</v>
      </c>
      <c r="AA24" s="24">
        <f>Z24/12/29.33*56</f>
        <v>343287.0723945903</v>
      </c>
      <c r="AB24" s="24">
        <f>Z24*1.25</f>
        <v>2696949.0625</v>
      </c>
      <c r="AC24" s="24">
        <f>AB24/12/29.33*56</f>
        <v>429108.84049323789</v>
      </c>
      <c r="AJ24" s="23"/>
      <c r="AK24" s="23"/>
      <c r="AL24" s="23"/>
      <c r="AM24" s="23"/>
      <c r="AN24" s="23"/>
      <c r="AO24" s="23"/>
      <c r="AP24" s="23"/>
    </row>
    <row r="25" spans="1:44" s="24" customFormat="1" ht="17.25" customHeight="1">
      <c r="A25" s="661" t="s">
        <v>38</v>
      </c>
      <c r="B25" s="647" t="s">
        <v>99</v>
      </c>
      <c r="C25" s="663" t="s">
        <v>25</v>
      </c>
      <c r="D25" s="664" t="s">
        <v>663</v>
      </c>
      <c r="E25" s="664" t="s">
        <v>40</v>
      </c>
      <c r="F25" s="1727">
        <v>1</v>
      </c>
      <c r="G25" s="177" t="s">
        <v>102</v>
      </c>
      <c r="H25" s="177" t="s">
        <v>103</v>
      </c>
      <c r="I25" s="178">
        <v>1</v>
      </c>
      <c r="J25" s="554">
        <v>17697</v>
      </c>
      <c r="K25" s="665">
        <v>9</v>
      </c>
      <c r="L25" s="567">
        <f t="shared" si="0"/>
        <v>0.5</v>
      </c>
      <c r="M25" s="997" t="s">
        <v>152</v>
      </c>
      <c r="N25" s="1608">
        <v>4.75</v>
      </c>
      <c r="O25" s="567">
        <f>J25*N25/18*K25</f>
        <v>42030.375</v>
      </c>
      <c r="P25" s="556">
        <f t="shared" si="2"/>
        <v>10507.59375</v>
      </c>
      <c r="Q25" s="666">
        <v>0.25</v>
      </c>
      <c r="R25" s="554">
        <f>(O25+P25)*Q25</f>
        <v>13134.4921875</v>
      </c>
      <c r="S25" s="554">
        <v>0.1</v>
      </c>
      <c r="T25" s="556">
        <f>(O25+P25+R25)*S25</f>
        <v>6567.24609375</v>
      </c>
      <c r="U25" s="19"/>
      <c r="V25" s="554"/>
      <c r="W25" s="559">
        <f>O25+P25+R25+T25</f>
        <v>72239.70703125</v>
      </c>
      <c r="X25" s="238"/>
      <c r="Y25" s="238"/>
      <c r="Z25" s="1370">
        <f>W24*12</f>
        <v>2157559.25</v>
      </c>
      <c r="AA25" s="225">
        <f>Z25/12/29.33*56</f>
        <v>343287.0723945903</v>
      </c>
      <c r="AB25" s="225">
        <f>Z25*1.25</f>
        <v>2696949.0625</v>
      </c>
      <c r="AC25" s="225">
        <f>AB25/12/29.33*56</f>
        <v>429108.84049323789</v>
      </c>
      <c r="AD25" s="225"/>
      <c r="AE25" s="225"/>
      <c r="AF25" s="225"/>
      <c r="AG25" s="225"/>
      <c r="AH25" s="225"/>
      <c r="AI25" s="225"/>
      <c r="AJ25" s="23"/>
      <c r="AK25" s="23"/>
      <c r="AL25" s="23"/>
      <c r="AM25" s="23"/>
      <c r="AN25" s="23"/>
      <c r="AO25" s="23"/>
      <c r="AP25" s="23"/>
      <c r="AQ25" s="225"/>
      <c r="AR25" s="225"/>
    </row>
    <row r="26" spans="1:44" s="24" customFormat="1" ht="17.25" customHeight="1">
      <c r="A26" s="647" t="s">
        <v>268</v>
      </c>
      <c r="B26" s="647" t="s">
        <v>99</v>
      </c>
      <c r="C26" s="628" t="s">
        <v>25</v>
      </c>
      <c r="D26" s="586" t="s">
        <v>664</v>
      </c>
      <c r="E26" s="562" t="s">
        <v>40</v>
      </c>
      <c r="F26" s="547">
        <v>1</v>
      </c>
      <c r="G26" s="563" t="s">
        <v>102</v>
      </c>
      <c r="H26" s="563" t="s">
        <v>103</v>
      </c>
      <c r="I26" s="629">
        <v>1</v>
      </c>
      <c r="J26" s="554">
        <v>17697</v>
      </c>
      <c r="K26" s="648">
        <v>32</v>
      </c>
      <c r="L26" s="554">
        <f t="shared" si="0"/>
        <v>1.7777777777777777</v>
      </c>
      <c r="M26" s="574" t="s">
        <v>152</v>
      </c>
      <c r="N26" s="1598">
        <v>4.75</v>
      </c>
      <c r="O26" s="567">
        <f>N26*J26/18*K26</f>
        <v>149441.33333333334</v>
      </c>
      <c r="P26" s="556">
        <f t="shared" si="2"/>
        <v>37360.333333333336</v>
      </c>
      <c r="Q26" s="568"/>
      <c r="R26" s="554"/>
      <c r="S26" s="554">
        <v>0.1</v>
      </c>
      <c r="T26" s="556">
        <f>(O26+P26)*S26</f>
        <v>18680.166666666668</v>
      </c>
      <c r="U26" s="19"/>
      <c r="V26" s="554"/>
      <c r="W26" s="559">
        <f>O26+P26+T26</f>
        <v>205481.83333333334</v>
      </c>
      <c r="X26" s="10"/>
      <c r="Y26" s="10"/>
      <c r="Z26" s="23"/>
      <c r="AJ26" s="23"/>
      <c r="AK26" s="23"/>
      <c r="AL26" s="23"/>
      <c r="AM26" s="23"/>
      <c r="AN26" s="23"/>
      <c r="AO26" s="23"/>
      <c r="AP26" s="23"/>
    </row>
    <row r="27" spans="1:44" s="24" customFormat="1" ht="17.25" customHeight="1">
      <c r="A27" s="998" t="s">
        <v>458</v>
      </c>
      <c r="B27" s="549" t="s">
        <v>99</v>
      </c>
      <c r="C27" s="874" t="s">
        <v>25</v>
      </c>
      <c r="D27" s="1650" t="s">
        <v>662</v>
      </c>
      <c r="E27" s="582" t="s">
        <v>34</v>
      </c>
      <c r="F27" s="874">
        <v>1</v>
      </c>
      <c r="G27" s="1002" t="s">
        <v>102</v>
      </c>
      <c r="H27" s="1002" t="s">
        <v>103</v>
      </c>
      <c r="I27" s="1590">
        <v>1</v>
      </c>
      <c r="J27" s="554">
        <v>17697</v>
      </c>
      <c r="K27" s="1540">
        <v>17</v>
      </c>
      <c r="L27" s="700">
        <f t="shared" si="0"/>
        <v>0.94444444444444442</v>
      </c>
      <c r="M27" s="698" t="s">
        <v>152</v>
      </c>
      <c r="N27" s="1157">
        <v>4.75</v>
      </c>
      <c r="O27" s="697">
        <f>N27*J27/18*K27</f>
        <v>79390.708333333343</v>
      </c>
      <c r="P27" s="556">
        <f t="shared" si="2"/>
        <v>19847.677083333336</v>
      </c>
      <c r="Q27" s="1538"/>
      <c r="R27" s="700"/>
      <c r="S27" s="554">
        <v>0.1</v>
      </c>
      <c r="T27" s="556">
        <f>(O27+P27)*S27</f>
        <v>9923.8385416666697</v>
      </c>
      <c r="U27" s="699"/>
      <c r="V27" s="700"/>
      <c r="W27" s="559">
        <f>O27+P27+T27</f>
        <v>109162.22395833336</v>
      </c>
      <c r="X27" s="1547"/>
      <c r="Y27" s="1547"/>
      <c r="Z27" s="23"/>
      <c r="AJ27" s="23"/>
      <c r="AK27" s="23"/>
      <c r="AL27" s="23"/>
      <c r="AM27" s="23"/>
      <c r="AN27" s="23"/>
      <c r="AO27" s="23"/>
      <c r="AP27" s="23"/>
    </row>
    <row r="28" spans="1:44" s="24" customFormat="1" ht="17.25" customHeight="1">
      <c r="A28" s="153" t="s">
        <v>130</v>
      </c>
      <c r="B28" s="561" t="s">
        <v>99</v>
      </c>
      <c r="C28" s="560" t="s">
        <v>25</v>
      </c>
      <c r="D28" s="582" t="s">
        <v>665</v>
      </c>
      <c r="E28" s="582" t="s">
        <v>34</v>
      </c>
      <c r="F28" s="547">
        <v>1</v>
      </c>
      <c r="G28" s="563" t="s">
        <v>102</v>
      </c>
      <c r="H28" s="563" t="s">
        <v>103</v>
      </c>
      <c r="I28" s="564">
        <v>1</v>
      </c>
      <c r="J28" s="554">
        <v>17697</v>
      </c>
      <c r="K28" s="565">
        <v>9</v>
      </c>
      <c r="L28" s="554">
        <f t="shared" si="0"/>
        <v>0.5</v>
      </c>
      <c r="M28" s="997" t="s">
        <v>152</v>
      </c>
      <c r="N28" s="1014">
        <v>4.75</v>
      </c>
      <c r="O28" s="567">
        <f>N28*J28/18*K28</f>
        <v>42030.375</v>
      </c>
      <c r="P28" s="556">
        <f t="shared" si="2"/>
        <v>10507.59375</v>
      </c>
      <c r="Q28" s="568"/>
      <c r="R28" s="554"/>
      <c r="S28" s="554">
        <v>0.1</v>
      </c>
      <c r="T28" s="556">
        <f>(O28+P28)*S28</f>
        <v>5253.796875</v>
      </c>
      <c r="U28" s="569"/>
      <c r="V28" s="554"/>
      <c r="W28" s="559">
        <f>O28+P28+T28</f>
        <v>57791.765625</v>
      </c>
      <c r="X28" s="7">
        <f>U28+Q28</f>
        <v>0</v>
      </c>
      <c r="Y28" s="7">
        <f>V28+R28</f>
        <v>0</v>
      </c>
      <c r="Z28" s="23">
        <f>W28*12</f>
        <v>693501.1875</v>
      </c>
      <c r="AA28" s="24">
        <f t="shared" ref="AA28:AA33" si="11">Z28/12/29.33*56</f>
        <v>110342.27326968974</v>
      </c>
      <c r="AB28" s="24">
        <f t="shared" ref="AB28:AB33" si="12">Z28*1.25</f>
        <v>866876.484375</v>
      </c>
      <c r="AC28" s="24">
        <f t="shared" ref="AC28:AC33" si="13">AB28/12/29.33*56</f>
        <v>137927.84158711217</v>
      </c>
      <c r="AJ28" s="23"/>
      <c r="AK28" s="23"/>
      <c r="AL28" s="23"/>
      <c r="AM28" s="23"/>
      <c r="AN28" s="23"/>
      <c r="AO28" s="23"/>
      <c r="AP28" s="23"/>
    </row>
    <row r="29" spans="1:44" s="24" customFormat="1" ht="17.25" customHeight="1">
      <c r="A29" s="669" t="s">
        <v>306</v>
      </c>
      <c r="B29" s="647" t="s">
        <v>99</v>
      </c>
      <c r="C29" s="663" t="s">
        <v>25</v>
      </c>
      <c r="D29" s="670" t="s">
        <v>666</v>
      </c>
      <c r="E29" s="670" t="s">
        <v>68</v>
      </c>
      <c r="F29" s="1727">
        <v>1</v>
      </c>
      <c r="G29" s="177" t="s">
        <v>102</v>
      </c>
      <c r="H29" s="177" t="s">
        <v>103</v>
      </c>
      <c r="I29" s="182">
        <v>4</v>
      </c>
      <c r="J29" s="554">
        <v>17697</v>
      </c>
      <c r="K29" s="665">
        <v>31</v>
      </c>
      <c r="L29" s="567">
        <f t="shared" si="0"/>
        <v>1.7222222222222223</v>
      </c>
      <c r="M29" s="997" t="s">
        <v>112</v>
      </c>
      <c r="N29" s="1610">
        <v>3.64</v>
      </c>
      <c r="O29" s="567">
        <f>J29*N29/18*K29</f>
        <v>110940.52666666667</v>
      </c>
      <c r="P29" s="556">
        <f t="shared" si="2"/>
        <v>27735.131666666668</v>
      </c>
      <c r="Q29" s="666">
        <v>0.25</v>
      </c>
      <c r="R29" s="554">
        <f>(O29+P29)*Q29</f>
        <v>34668.914583333331</v>
      </c>
      <c r="S29" s="554">
        <v>0.1</v>
      </c>
      <c r="T29" s="556">
        <f>(O29+P29+R29)*S29</f>
        <v>17334.457291666666</v>
      </c>
      <c r="U29" s="19"/>
      <c r="V29" s="554"/>
      <c r="W29" s="559">
        <f>O29+P29+R29+T29</f>
        <v>190679.03020833334</v>
      </c>
      <c r="X29" s="406">
        <f>U28+S28+Q28</f>
        <v>0.1</v>
      </c>
      <c r="Y29" s="406">
        <f>V28+T28+R28</f>
        <v>5253.796875</v>
      </c>
      <c r="Z29" s="375">
        <f>W28*12</f>
        <v>693501.1875</v>
      </c>
      <c r="AA29" s="377">
        <f t="shared" si="11"/>
        <v>110342.27326968974</v>
      </c>
      <c r="AB29" s="377">
        <f t="shared" si="12"/>
        <v>866876.484375</v>
      </c>
      <c r="AC29" s="377">
        <f t="shared" si="13"/>
        <v>137927.84158711217</v>
      </c>
      <c r="AD29" s="377"/>
      <c r="AE29" s="377"/>
      <c r="AF29" s="377"/>
      <c r="AG29" s="377"/>
      <c r="AH29" s="377"/>
      <c r="AI29" s="377"/>
      <c r="AJ29" s="23"/>
      <c r="AK29" s="23"/>
      <c r="AL29" s="23"/>
      <c r="AM29" s="23"/>
      <c r="AN29" s="23"/>
      <c r="AO29" s="23"/>
      <c r="AP29" s="23"/>
      <c r="AQ29" s="377"/>
      <c r="AR29" s="377"/>
    </row>
    <row r="30" spans="1:44" s="24" customFormat="1" ht="17.25" customHeight="1">
      <c r="A30" s="153" t="s">
        <v>791</v>
      </c>
      <c r="B30" s="561" t="s">
        <v>99</v>
      </c>
      <c r="C30" s="560" t="s">
        <v>75</v>
      </c>
      <c r="D30" s="562" t="s">
        <v>796</v>
      </c>
      <c r="E30" s="562" t="s">
        <v>797</v>
      </c>
      <c r="F30" s="1668">
        <v>1</v>
      </c>
      <c r="G30" s="580" t="s">
        <v>102</v>
      </c>
      <c r="H30" s="580" t="s">
        <v>118</v>
      </c>
      <c r="I30" s="574">
        <v>3</v>
      </c>
      <c r="J30" s="554">
        <v>17697</v>
      </c>
      <c r="K30" s="1014">
        <v>21</v>
      </c>
      <c r="L30" s="554">
        <f t="shared" si="0"/>
        <v>1.1666666666666667</v>
      </c>
      <c r="M30" s="574" t="s">
        <v>109</v>
      </c>
      <c r="N30" s="1014">
        <v>3.97</v>
      </c>
      <c r="O30" s="567">
        <f>N30*J30/18*K30</f>
        <v>81966.604999999996</v>
      </c>
      <c r="P30" s="556">
        <f t="shared" si="2"/>
        <v>20491.651249999999</v>
      </c>
      <c r="Q30" s="568"/>
      <c r="R30" s="554"/>
      <c r="S30" s="554">
        <v>0.1</v>
      </c>
      <c r="T30" s="556">
        <f>(O30+P30)*S30</f>
        <v>10245.825624999999</v>
      </c>
      <c r="U30" s="19"/>
      <c r="V30" s="554"/>
      <c r="W30" s="559">
        <f>O30+P30+T30</f>
        <v>112704.08187499999</v>
      </c>
      <c r="X30" s="10">
        <f>U29+Q29</f>
        <v>0.25</v>
      </c>
      <c r="Y30" s="10">
        <f>V29+R29</f>
        <v>34668.914583333331</v>
      </c>
      <c r="Z30" s="23">
        <f>W29*12</f>
        <v>2288148.3624999998</v>
      </c>
      <c r="AA30" s="24">
        <f t="shared" si="11"/>
        <v>364064.97414478916</v>
      </c>
      <c r="AB30" s="24">
        <f t="shared" si="12"/>
        <v>2860185.453125</v>
      </c>
      <c r="AC30" s="24">
        <f t="shared" si="13"/>
        <v>455081.21768098651</v>
      </c>
      <c r="AJ30" s="23"/>
      <c r="AK30" s="23"/>
      <c r="AL30" s="23"/>
      <c r="AM30" s="23"/>
      <c r="AN30" s="23"/>
      <c r="AO30" s="23"/>
      <c r="AP30" s="23"/>
    </row>
    <row r="31" spans="1:44" s="24" customFormat="1" ht="17.25" customHeight="1">
      <c r="A31" s="153" t="s">
        <v>455</v>
      </c>
      <c r="B31" s="561" t="s">
        <v>99</v>
      </c>
      <c r="C31" s="563" t="s">
        <v>25</v>
      </c>
      <c r="D31" s="210" t="s">
        <v>667</v>
      </c>
      <c r="E31" s="562" t="s">
        <v>34</v>
      </c>
      <c r="F31" s="547">
        <v>1</v>
      </c>
      <c r="G31" s="563" t="s">
        <v>102</v>
      </c>
      <c r="H31" s="563" t="s">
        <v>103</v>
      </c>
      <c r="I31" s="564">
        <v>1</v>
      </c>
      <c r="J31" s="554">
        <v>17697</v>
      </c>
      <c r="K31" s="565">
        <v>8</v>
      </c>
      <c r="L31" s="554">
        <f t="shared" si="0"/>
        <v>0.44444444444444442</v>
      </c>
      <c r="M31" s="997" t="s">
        <v>152</v>
      </c>
      <c r="N31" s="1582">
        <v>4.75</v>
      </c>
      <c r="O31" s="567">
        <f>N31*J31/18*K31</f>
        <v>37360.333333333336</v>
      </c>
      <c r="P31" s="556">
        <f t="shared" si="2"/>
        <v>9340.0833333333339</v>
      </c>
      <c r="Q31" s="568"/>
      <c r="R31" s="554"/>
      <c r="S31" s="554">
        <v>0.1</v>
      </c>
      <c r="T31" s="556">
        <f>(O31+P31)*S31</f>
        <v>4670.041666666667</v>
      </c>
      <c r="U31" s="569"/>
      <c r="V31" s="554"/>
      <c r="W31" s="559">
        <f>O31+P31+T31</f>
        <v>51370.458333333336</v>
      </c>
      <c r="X31" s="1691">
        <f>U31+Q31</f>
        <v>0</v>
      </c>
      <c r="Y31" s="1691">
        <f>V31+R31</f>
        <v>0</v>
      </c>
      <c r="Z31" s="23">
        <f>W31*12</f>
        <v>616445.5</v>
      </c>
      <c r="AA31" s="24">
        <f t="shared" si="11"/>
        <v>98082.020684168674</v>
      </c>
      <c r="AB31" s="24">
        <f t="shared" si="12"/>
        <v>770556.875</v>
      </c>
      <c r="AC31" s="24">
        <f t="shared" si="13"/>
        <v>122602.52585521083</v>
      </c>
      <c r="AD31" s="1692"/>
      <c r="AE31" s="1692"/>
      <c r="AF31" s="1692"/>
      <c r="AG31" s="1692"/>
      <c r="AH31" s="1692"/>
      <c r="AI31" s="1692"/>
      <c r="AJ31" s="1782"/>
      <c r="AK31" s="1782"/>
      <c r="AL31" s="1782"/>
      <c r="AM31" s="1782"/>
      <c r="AN31" s="1782"/>
      <c r="AO31" s="1782"/>
      <c r="AP31" s="1782"/>
      <c r="AQ31" s="1692"/>
      <c r="AR31" s="1692"/>
    </row>
    <row r="32" spans="1:44" s="24" customFormat="1" ht="17.25" customHeight="1">
      <c r="A32" s="1789" t="s">
        <v>309</v>
      </c>
      <c r="B32" s="692" t="s">
        <v>99</v>
      </c>
      <c r="C32" s="693" t="s">
        <v>25</v>
      </c>
      <c r="D32" s="694" t="s">
        <v>668</v>
      </c>
      <c r="E32" s="694" t="s">
        <v>40</v>
      </c>
      <c r="F32" s="1727">
        <v>1</v>
      </c>
      <c r="G32" s="177" t="s">
        <v>102</v>
      </c>
      <c r="H32" s="177" t="s">
        <v>103</v>
      </c>
      <c r="I32" s="178">
        <v>1</v>
      </c>
      <c r="J32" s="554">
        <v>17697</v>
      </c>
      <c r="K32" s="696">
        <v>24</v>
      </c>
      <c r="L32" s="697">
        <f t="shared" si="0"/>
        <v>1.3333333333333333</v>
      </c>
      <c r="M32" s="1004" t="s">
        <v>152</v>
      </c>
      <c r="N32" s="1804">
        <v>4.75</v>
      </c>
      <c r="O32" s="697">
        <f>J32*N32/18*K32</f>
        <v>112081</v>
      </c>
      <c r="P32" s="556">
        <f t="shared" si="2"/>
        <v>28020.25</v>
      </c>
      <c r="Q32" s="1752">
        <v>0.25</v>
      </c>
      <c r="R32" s="700">
        <f>(O32+P32)*Q32</f>
        <v>35025.3125</v>
      </c>
      <c r="S32" s="554">
        <v>0.1</v>
      </c>
      <c r="T32" s="556">
        <f>(O32+P32+R32)*S32</f>
        <v>17512.65625</v>
      </c>
      <c r="U32" s="1541"/>
      <c r="V32" s="700"/>
      <c r="W32" s="559">
        <f>O32+P32+R32+T32</f>
        <v>192639.21875</v>
      </c>
      <c r="X32" s="919">
        <f>U31+Q31</f>
        <v>0</v>
      </c>
      <c r="Y32" s="919">
        <f>V31+R31</f>
        <v>0</v>
      </c>
      <c r="Z32" s="375">
        <f>W31*12</f>
        <v>616445.5</v>
      </c>
      <c r="AA32" s="377">
        <f t="shared" si="11"/>
        <v>98082.020684168674</v>
      </c>
      <c r="AB32" s="377">
        <f t="shared" si="12"/>
        <v>770556.875</v>
      </c>
      <c r="AC32" s="377">
        <f t="shared" si="13"/>
        <v>122602.52585521083</v>
      </c>
      <c r="AD32" s="377"/>
      <c r="AE32" s="377"/>
      <c r="AF32" s="377"/>
      <c r="AG32" s="377"/>
      <c r="AH32" s="377"/>
      <c r="AI32" s="377"/>
      <c r="AJ32" s="23"/>
      <c r="AK32" s="23"/>
      <c r="AL32" s="23"/>
      <c r="AM32" s="23"/>
      <c r="AN32" s="23"/>
      <c r="AO32" s="23"/>
      <c r="AP32" s="23"/>
      <c r="AQ32" s="377"/>
      <c r="AR32" s="377"/>
    </row>
    <row r="33" spans="1:44" s="24" customFormat="1" ht="17.25" customHeight="1">
      <c r="A33" s="998" t="s">
        <v>227</v>
      </c>
      <c r="B33" s="873" t="s">
        <v>99</v>
      </c>
      <c r="C33" s="874" t="s">
        <v>25</v>
      </c>
      <c r="D33" s="1539" t="s">
        <v>741</v>
      </c>
      <c r="E33" s="1539" t="s">
        <v>669</v>
      </c>
      <c r="F33" s="547">
        <v>1</v>
      </c>
      <c r="G33" s="580" t="s">
        <v>102</v>
      </c>
      <c r="H33" s="580" t="s">
        <v>103</v>
      </c>
      <c r="I33" s="574">
        <v>2</v>
      </c>
      <c r="J33" s="554">
        <v>17697</v>
      </c>
      <c r="K33" s="1540">
        <v>4</v>
      </c>
      <c r="L33" s="554">
        <f t="shared" si="0"/>
        <v>0.22222222222222221</v>
      </c>
      <c r="M33" s="1157" t="s">
        <v>104</v>
      </c>
      <c r="N33" s="1582">
        <v>4.09</v>
      </c>
      <c r="O33" s="697">
        <f t="shared" ref="O33:O39" si="14">N33*J33/18*K33</f>
        <v>16084.606666666667</v>
      </c>
      <c r="P33" s="556">
        <f t="shared" si="2"/>
        <v>4021.1516666666666</v>
      </c>
      <c r="Q33" s="1538"/>
      <c r="R33" s="700"/>
      <c r="S33" s="554">
        <v>0.1</v>
      </c>
      <c r="T33" s="556">
        <f t="shared" ref="T33:T39" si="15">(O33+P33)*S33</f>
        <v>2010.5758333333333</v>
      </c>
      <c r="U33" s="699"/>
      <c r="V33" s="700"/>
      <c r="W33" s="559">
        <f t="shared" ref="W33:W39" si="16">O33+P33+T33</f>
        <v>22116.334166666664</v>
      </c>
      <c r="X33" s="1547">
        <f>U33+Q33</f>
        <v>0</v>
      </c>
      <c r="Y33" s="1547">
        <f>V33+R33</f>
        <v>0</v>
      </c>
      <c r="Z33" s="23">
        <f>W33*12</f>
        <v>265396.00999999995</v>
      </c>
      <c r="AA33" s="24">
        <f t="shared" si="11"/>
        <v>42226.891010342079</v>
      </c>
      <c r="AB33" s="24">
        <f t="shared" si="12"/>
        <v>331745.01249999995</v>
      </c>
      <c r="AC33" s="24">
        <f t="shared" si="13"/>
        <v>52783.613762927605</v>
      </c>
      <c r="AJ33" s="23"/>
      <c r="AK33" s="23"/>
      <c r="AL33" s="23"/>
      <c r="AM33" s="23"/>
      <c r="AN33" s="23"/>
      <c r="AO33" s="23"/>
      <c r="AP33" s="23"/>
    </row>
    <row r="34" spans="1:44" s="24" customFormat="1" ht="17.25" customHeight="1">
      <c r="A34" s="153" t="s">
        <v>227</v>
      </c>
      <c r="B34" s="561" t="s">
        <v>99</v>
      </c>
      <c r="C34" s="560" t="s">
        <v>25</v>
      </c>
      <c r="D34" s="562" t="s">
        <v>741</v>
      </c>
      <c r="E34" s="562" t="s">
        <v>669</v>
      </c>
      <c r="F34" s="1668">
        <v>1</v>
      </c>
      <c r="G34" s="580" t="s">
        <v>102</v>
      </c>
      <c r="H34" s="580" t="s">
        <v>103</v>
      </c>
      <c r="I34" s="574">
        <v>2</v>
      </c>
      <c r="J34" s="554">
        <v>17697</v>
      </c>
      <c r="K34" s="1643">
        <v>20</v>
      </c>
      <c r="L34" s="554">
        <f t="shared" ref="L34:L65" si="17">K34/18</f>
        <v>1.1111111111111112</v>
      </c>
      <c r="M34" s="566" t="s">
        <v>104</v>
      </c>
      <c r="N34" s="1015">
        <v>4.09</v>
      </c>
      <c r="O34" s="567">
        <f t="shared" si="14"/>
        <v>80423.033333333326</v>
      </c>
      <c r="P34" s="556">
        <f t="shared" ref="P34:P65" si="18">O34*25%</f>
        <v>20105.758333333331</v>
      </c>
      <c r="Q34" s="568"/>
      <c r="R34" s="554"/>
      <c r="S34" s="554">
        <v>0.1</v>
      </c>
      <c r="T34" s="556">
        <f t="shared" si="15"/>
        <v>10052.879166666666</v>
      </c>
      <c r="U34" s="19"/>
      <c r="V34" s="554"/>
      <c r="W34" s="559">
        <f t="shared" si="16"/>
        <v>110581.67083333332</v>
      </c>
      <c r="X34" s="10"/>
      <c r="Y34" s="10"/>
      <c r="Z34" s="23"/>
      <c r="AJ34" s="23"/>
      <c r="AK34" s="23"/>
      <c r="AL34" s="23"/>
      <c r="AM34" s="23"/>
      <c r="AN34" s="23"/>
      <c r="AO34" s="23"/>
      <c r="AP34" s="23"/>
    </row>
    <row r="35" spans="1:44" s="24" customFormat="1" ht="17.25" customHeight="1">
      <c r="A35" s="153" t="s">
        <v>230</v>
      </c>
      <c r="B35" s="561" t="s">
        <v>99</v>
      </c>
      <c r="C35" s="560" t="s">
        <v>25</v>
      </c>
      <c r="D35" s="582" t="s">
        <v>736</v>
      </c>
      <c r="E35" s="562" t="s">
        <v>217</v>
      </c>
      <c r="F35" s="1668">
        <v>1</v>
      </c>
      <c r="G35" s="580" t="s">
        <v>232</v>
      </c>
      <c r="H35" s="580" t="s">
        <v>233</v>
      </c>
      <c r="I35" s="574">
        <v>1</v>
      </c>
      <c r="J35" s="554">
        <v>17697</v>
      </c>
      <c r="K35" s="1643">
        <v>36</v>
      </c>
      <c r="L35" s="554">
        <f t="shared" si="17"/>
        <v>2</v>
      </c>
      <c r="M35" s="574" t="s">
        <v>152</v>
      </c>
      <c r="N35" s="1014">
        <v>4.75</v>
      </c>
      <c r="O35" s="567">
        <f t="shared" si="14"/>
        <v>168121.5</v>
      </c>
      <c r="P35" s="556">
        <f t="shared" si="18"/>
        <v>42030.375</v>
      </c>
      <c r="Q35" s="568"/>
      <c r="R35" s="554"/>
      <c r="S35" s="554">
        <v>0.1</v>
      </c>
      <c r="T35" s="556">
        <f t="shared" si="15"/>
        <v>21015.1875</v>
      </c>
      <c r="U35" s="19"/>
      <c r="V35" s="554"/>
      <c r="W35" s="559">
        <f t="shared" si="16"/>
        <v>231167.0625</v>
      </c>
      <c r="X35" s="10">
        <f>U34+Q34</f>
        <v>0</v>
      </c>
      <c r="Y35" s="10">
        <f>V34+R34</f>
        <v>0</v>
      </c>
      <c r="Z35" s="23">
        <f>W34*12</f>
        <v>1326980.0499999998</v>
      </c>
      <c r="AA35" s="24">
        <f t="shared" ref="AA35:AA44" si="19">Z35/12/29.33*56</f>
        <v>211134.45505171042</v>
      </c>
      <c r="AB35" s="24">
        <f t="shared" ref="AB35:AB44" si="20">Z35*1.25</f>
        <v>1658725.0624999998</v>
      </c>
      <c r="AC35" s="24">
        <f t="shared" ref="AC35:AC44" si="21">AB35/12/29.33*56</f>
        <v>263918.06881463801</v>
      </c>
      <c r="AJ35" s="23"/>
      <c r="AK35" s="23"/>
      <c r="AL35" s="23"/>
      <c r="AM35" s="23"/>
      <c r="AN35" s="23"/>
      <c r="AO35" s="23"/>
      <c r="AP35" s="23"/>
    </row>
    <row r="36" spans="1:44" s="24" customFormat="1" ht="15.75">
      <c r="A36" s="647" t="s">
        <v>269</v>
      </c>
      <c r="B36" s="647" t="s">
        <v>99</v>
      </c>
      <c r="C36" s="628" t="s">
        <v>25</v>
      </c>
      <c r="D36" s="586" t="s">
        <v>670</v>
      </c>
      <c r="E36" s="582" t="s">
        <v>271</v>
      </c>
      <c r="F36" s="547">
        <v>1</v>
      </c>
      <c r="G36" s="563" t="s">
        <v>102</v>
      </c>
      <c r="H36" s="563" t="s">
        <v>103</v>
      </c>
      <c r="I36" s="629">
        <v>1</v>
      </c>
      <c r="J36" s="554">
        <v>17697</v>
      </c>
      <c r="K36" s="648">
        <v>34</v>
      </c>
      <c r="L36" s="554">
        <f t="shared" si="17"/>
        <v>1.8888888888888888</v>
      </c>
      <c r="M36" s="574" t="s">
        <v>152</v>
      </c>
      <c r="N36" s="1598">
        <v>4.62</v>
      </c>
      <c r="O36" s="567">
        <f t="shared" si="14"/>
        <v>154435.81999999998</v>
      </c>
      <c r="P36" s="556">
        <f t="shared" si="18"/>
        <v>38608.954999999994</v>
      </c>
      <c r="Q36" s="568"/>
      <c r="R36" s="554"/>
      <c r="S36" s="554">
        <v>0.1</v>
      </c>
      <c r="T36" s="556">
        <f t="shared" si="15"/>
        <v>19304.477499999997</v>
      </c>
      <c r="U36" s="19"/>
      <c r="V36" s="554"/>
      <c r="W36" s="559">
        <f t="shared" si="16"/>
        <v>212349.25249999997</v>
      </c>
      <c r="X36" s="10">
        <f>U35+Q35</f>
        <v>0</v>
      </c>
      <c r="Y36" s="10">
        <f>V35+R35</f>
        <v>0</v>
      </c>
      <c r="Z36" s="23">
        <f>W35*12</f>
        <v>2774004.75</v>
      </c>
      <c r="AA36" s="24">
        <f t="shared" si="19"/>
        <v>441369.09307875898</v>
      </c>
      <c r="AB36" s="24">
        <f t="shared" si="20"/>
        <v>3467505.9375</v>
      </c>
      <c r="AC36" s="24">
        <f t="shared" si="21"/>
        <v>551711.36634844868</v>
      </c>
      <c r="AJ36" s="23"/>
      <c r="AK36" s="23"/>
      <c r="AL36" s="23"/>
      <c r="AM36" s="23"/>
      <c r="AN36" s="23"/>
      <c r="AO36" s="23"/>
      <c r="AP36" s="23"/>
    </row>
    <row r="37" spans="1:44" s="24" customFormat="1" ht="16.5" customHeight="1">
      <c r="A37" s="153" t="s">
        <v>138</v>
      </c>
      <c r="B37" s="561" t="s">
        <v>99</v>
      </c>
      <c r="C37" s="563" t="s">
        <v>25</v>
      </c>
      <c r="D37" s="562" t="s">
        <v>671</v>
      </c>
      <c r="E37" s="562" t="s">
        <v>476</v>
      </c>
      <c r="F37" s="547">
        <v>1</v>
      </c>
      <c r="G37" s="563" t="s">
        <v>102</v>
      </c>
      <c r="H37" s="563" t="s">
        <v>103</v>
      </c>
      <c r="I37" s="1584">
        <v>3</v>
      </c>
      <c r="J37" s="554">
        <v>17697</v>
      </c>
      <c r="K37" s="565">
        <v>18</v>
      </c>
      <c r="L37" s="554">
        <f t="shared" si="17"/>
        <v>1</v>
      </c>
      <c r="M37" s="1585" t="s">
        <v>109</v>
      </c>
      <c r="N37" s="1014">
        <v>4.07</v>
      </c>
      <c r="O37" s="567">
        <f t="shared" si="14"/>
        <v>72026.790000000008</v>
      </c>
      <c r="P37" s="556">
        <f t="shared" si="18"/>
        <v>18006.697500000002</v>
      </c>
      <c r="Q37" s="568"/>
      <c r="R37" s="554"/>
      <c r="S37" s="554">
        <v>0.1</v>
      </c>
      <c r="T37" s="556">
        <f t="shared" si="15"/>
        <v>9003.3487500000028</v>
      </c>
      <c r="U37" s="569"/>
      <c r="V37" s="554"/>
      <c r="W37" s="559">
        <f t="shared" si="16"/>
        <v>99036.836250000022</v>
      </c>
      <c r="X37" s="7"/>
      <c r="Y37" s="7"/>
      <c r="Z37" s="23">
        <f>W37*12</f>
        <v>1188442.0350000001</v>
      </c>
      <c r="AA37" s="24">
        <f t="shared" si="19"/>
        <v>189091.81145584729</v>
      </c>
      <c r="AB37" s="24">
        <f t="shared" si="20"/>
        <v>1485552.5437500002</v>
      </c>
      <c r="AC37" s="24">
        <f t="shared" si="21"/>
        <v>236364.76431980912</v>
      </c>
      <c r="AJ37" s="23"/>
      <c r="AK37" s="23"/>
      <c r="AL37" s="23"/>
      <c r="AM37" s="23"/>
      <c r="AN37" s="23"/>
      <c r="AO37" s="23"/>
      <c r="AP37" s="23"/>
    </row>
    <row r="38" spans="1:44" s="24" customFormat="1" ht="17.25" customHeight="1">
      <c r="A38" s="153" t="s">
        <v>58</v>
      </c>
      <c r="B38" s="561" t="s">
        <v>99</v>
      </c>
      <c r="C38" s="563" t="s">
        <v>25</v>
      </c>
      <c r="D38" s="562" t="s">
        <v>608</v>
      </c>
      <c r="E38" s="562" t="s">
        <v>366</v>
      </c>
      <c r="F38" s="547">
        <v>1</v>
      </c>
      <c r="G38" s="563" t="s">
        <v>102</v>
      </c>
      <c r="H38" s="563" t="s">
        <v>103</v>
      </c>
      <c r="I38" s="581">
        <v>2</v>
      </c>
      <c r="J38" s="554">
        <v>17697</v>
      </c>
      <c r="K38" s="565">
        <v>14</v>
      </c>
      <c r="L38" s="554">
        <f t="shared" si="17"/>
        <v>0.77777777777777779</v>
      </c>
      <c r="M38" s="1014" t="s">
        <v>104</v>
      </c>
      <c r="N38" s="1014">
        <v>4.4400000000000004</v>
      </c>
      <c r="O38" s="567">
        <f t="shared" si="14"/>
        <v>61113.64</v>
      </c>
      <c r="P38" s="556">
        <f t="shared" si="18"/>
        <v>15278.41</v>
      </c>
      <c r="Q38" s="568"/>
      <c r="R38" s="554"/>
      <c r="S38" s="554">
        <v>0.1</v>
      </c>
      <c r="T38" s="556">
        <f t="shared" si="15"/>
        <v>7639.2050000000008</v>
      </c>
      <c r="U38" s="569"/>
      <c r="V38" s="554"/>
      <c r="W38" s="559">
        <f t="shared" si="16"/>
        <v>84031.255000000005</v>
      </c>
      <c r="X38" s="10">
        <f>U38+Q38</f>
        <v>0</v>
      </c>
      <c r="Y38" s="10">
        <f>V38+R38</f>
        <v>0</v>
      </c>
      <c r="Z38" s="23">
        <f>W38*12</f>
        <v>1008375.06</v>
      </c>
      <c r="AA38" s="24">
        <f t="shared" si="19"/>
        <v>160441.53699284012</v>
      </c>
      <c r="AB38" s="24">
        <f t="shared" si="20"/>
        <v>1260468.8250000002</v>
      </c>
      <c r="AC38" s="24">
        <f t="shared" si="21"/>
        <v>200551.92124105018</v>
      </c>
      <c r="AJ38" s="23"/>
      <c r="AK38" s="23"/>
      <c r="AL38" s="23"/>
      <c r="AM38" s="23"/>
      <c r="AN38" s="23"/>
      <c r="AO38" s="23"/>
      <c r="AP38" s="23"/>
    </row>
    <row r="39" spans="1:44" s="916" customFormat="1" ht="17.25" customHeight="1">
      <c r="A39" s="153" t="s">
        <v>145</v>
      </c>
      <c r="B39" s="561" t="s">
        <v>99</v>
      </c>
      <c r="C39" s="563" t="s">
        <v>25</v>
      </c>
      <c r="D39" s="562" t="s">
        <v>672</v>
      </c>
      <c r="E39" s="562" t="s">
        <v>476</v>
      </c>
      <c r="F39" s="547">
        <v>1</v>
      </c>
      <c r="G39" s="563" t="s">
        <v>102</v>
      </c>
      <c r="H39" s="563" t="s">
        <v>103</v>
      </c>
      <c r="I39" s="581">
        <v>2</v>
      </c>
      <c r="J39" s="554">
        <v>17697</v>
      </c>
      <c r="K39" s="565">
        <v>12</v>
      </c>
      <c r="L39" s="554">
        <f t="shared" si="17"/>
        <v>0.66666666666666663</v>
      </c>
      <c r="M39" s="1801" t="s">
        <v>104</v>
      </c>
      <c r="N39" s="1157">
        <v>4.09</v>
      </c>
      <c r="O39" s="697">
        <f t="shared" si="14"/>
        <v>48253.82</v>
      </c>
      <c r="P39" s="556">
        <f t="shared" si="18"/>
        <v>12063.455</v>
      </c>
      <c r="Q39" s="1538"/>
      <c r="R39" s="700"/>
      <c r="S39" s="554">
        <v>0.1</v>
      </c>
      <c r="T39" s="556">
        <f t="shared" si="15"/>
        <v>6031.7275000000009</v>
      </c>
      <c r="U39" s="699"/>
      <c r="V39" s="700"/>
      <c r="W39" s="559">
        <f t="shared" si="16"/>
        <v>66349.002500000002</v>
      </c>
      <c r="X39" s="1547">
        <f>U39+Q39</f>
        <v>0</v>
      </c>
      <c r="Y39" s="1547">
        <f>V39+R39</f>
        <v>0</v>
      </c>
      <c r="Z39" s="23">
        <f>W39*12</f>
        <v>796188.03</v>
      </c>
      <c r="AA39" s="24">
        <f t="shared" si="19"/>
        <v>126680.67303102625</v>
      </c>
      <c r="AB39" s="24">
        <f t="shared" si="20"/>
        <v>995235.03750000009</v>
      </c>
      <c r="AC39" s="24">
        <f t="shared" si="21"/>
        <v>158350.84128878283</v>
      </c>
      <c r="AD39" s="24"/>
      <c r="AE39" s="24"/>
      <c r="AF39" s="24"/>
      <c r="AG39" s="24"/>
      <c r="AH39" s="24"/>
      <c r="AI39" s="24"/>
      <c r="AJ39" s="23"/>
      <c r="AK39" s="23"/>
      <c r="AL39" s="23"/>
      <c r="AM39" s="23"/>
      <c r="AN39" s="23"/>
      <c r="AO39" s="23"/>
      <c r="AP39" s="23"/>
      <c r="AQ39" s="24"/>
      <c r="AR39" s="24"/>
    </row>
    <row r="40" spans="1:44" s="916" customFormat="1" ht="17.25" customHeight="1">
      <c r="A40" s="998" t="s">
        <v>145</v>
      </c>
      <c r="B40" s="873" t="s">
        <v>99</v>
      </c>
      <c r="C40" s="1002" t="s">
        <v>25</v>
      </c>
      <c r="D40" s="1539" t="s">
        <v>672</v>
      </c>
      <c r="E40" s="1539" t="s">
        <v>476</v>
      </c>
      <c r="F40" s="547">
        <v>1</v>
      </c>
      <c r="G40" s="563" t="s">
        <v>102</v>
      </c>
      <c r="H40" s="563" t="s">
        <v>103</v>
      </c>
      <c r="I40" s="581">
        <v>2</v>
      </c>
      <c r="J40" s="554">
        <v>17697</v>
      </c>
      <c r="K40" s="696">
        <v>16</v>
      </c>
      <c r="L40" s="567">
        <f t="shared" si="17"/>
        <v>0.88888888888888884</v>
      </c>
      <c r="M40" s="698" t="s">
        <v>385</v>
      </c>
      <c r="N40" s="1612">
        <v>4.09</v>
      </c>
      <c r="O40" s="697">
        <f>J40*N40/18*K40</f>
        <v>64338.426666666666</v>
      </c>
      <c r="P40" s="556">
        <f t="shared" si="18"/>
        <v>16084.606666666667</v>
      </c>
      <c r="Q40" s="1752">
        <v>0.25</v>
      </c>
      <c r="R40" s="700">
        <f>(O40+P40)*Q40</f>
        <v>20105.758333333331</v>
      </c>
      <c r="S40" s="554">
        <v>0.1</v>
      </c>
      <c r="T40" s="556">
        <f>(O40+P40+R40)*S40</f>
        <v>10052.879166666666</v>
      </c>
      <c r="U40" s="1541"/>
      <c r="V40" s="700"/>
      <c r="W40" s="559">
        <f>O40+P40+R40+T40</f>
        <v>110581.67083333332</v>
      </c>
      <c r="X40" s="1175">
        <f>U39+S39+Q39</f>
        <v>0.1</v>
      </c>
      <c r="Y40" s="1175">
        <f>V39+T39+R39</f>
        <v>6031.7275000000009</v>
      </c>
      <c r="Z40" s="375">
        <f>W39*12</f>
        <v>796188.03</v>
      </c>
      <c r="AA40" s="377">
        <f t="shared" si="19"/>
        <v>126680.67303102625</v>
      </c>
      <c r="AB40" s="377">
        <f t="shared" si="20"/>
        <v>995235.03750000009</v>
      </c>
      <c r="AC40" s="377">
        <f t="shared" si="21"/>
        <v>158350.84128878283</v>
      </c>
      <c r="AD40" s="377"/>
      <c r="AE40" s="377"/>
      <c r="AF40" s="377"/>
      <c r="AG40" s="377"/>
      <c r="AH40" s="377"/>
      <c r="AI40" s="377"/>
      <c r="AJ40" s="23"/>
      <c r="AK40" s="23"/>
      <c r="AL40" s="23"/>
      <c r="AM40" s="23"/>
      <c r="AN40" s="23"/>
      <c r="AO40" s="23"/>
      <c r="AP40" s="23"/>
      <c r="AQ40" s="377"/>
      <c r="AR40" s="377"/>
    </row>
    <row r="41" spans="1:44" s="916" customFormat="1" ht="17.25" customHeight="1">
      <c r="A41" s="647" t="s">
        <v>391</v>
      </c>
      <c r="B41" s="647" t="s">
        <v>99</v>
      </c>
      <c r="C41" s="563" t="s">
        <v>25</v>
      </c>
      <c r="D41" s="586" t="s">
        <v>673</v>
      </c>
      <c r="E41" s="582" t="s">
        <v>77</v>
      </c>
      <c r="F41" s="547">
        <v>1</v>
      </c>
      <c r="G41" s="563" t="s">
        <v>102</v>
      </c>
      <c r="H41" s="563" t="s">
        <v>103</v>
      </c>
      <c r="I41" s="629">
        <v>4</v>
      </c>
      <c r="J41" s="554">
        <v>17697</v>
      </c>
      <c r="K41" s="1739">
        <v>24</v>
      </c>
      <c r="L41" s="554">
        <f t="shared" si="17"/>
        <v>1.3333333333333333</v>
      </c>
      <c r="M41" s="1604" t="s">
        <v>112</v>
      </c>
      <c r="N41" s="1605">
        <v>3.71</v>
      </c>
      <c r="O41" s="697">
        <f>N41*J41/18*K41</f>
        <v>87541.16</v>
      </c>
      <c r="P41" s="556">
        <f t="shared" si="18"/>
        <v>21885.29</v>
      </c>
      <c r="Q41" s="1538"/>
      <c r="R41" s="700"/>
      <c r="S41" s="554">
        <v>0.1</v>
      </c>
      <c r="T41" s="556">
        <f>(O41+P41)*S41</f>
        <v>10942.645000000002</v>
      </c>
      <c r="U41" s="1541"/>
      <c r="V41" s="700"/>
      <c r="W41" s="559">
        <f>O41+P41+T41</f>
        <v>120369.09500000002</v>
      </c>
      <c r="X41" s="1547">
        <f>U40+Q40</f>
        <v>0.25</v>
      </c>
      <c r="Y41" s="1547">
        <f>V40+R40</f>
        <v>20105.758333333331</v>
      </c>
      <c r="Z41" s="23">
        <f>W40*12</f>
        <v>1326980.0499999998</v>
      </c>
      <c r="AA41" s="24">
        <f t="shared" si="19"/>
        <v>211134.45505171042</v>
      </c>
      <c r="AB41" s="24">
        <f t="shared" si="20"/>
        <v>1658725.0624999998</v>
      </c>
      <c r="AC41" s="24">
        <f t="shared" si="21"/>
        <v>263918.06881463801</v>
      </c>
      <c r="AD41" s="24"/>
      <c r="AE41" s="24"/>
      <c r="AF41" s="24"/>
      <c r="AG41" s="24"/>
      <c r="AH41" s="24"/>
      <c r="AI41" s="24"/>
      <c r="AJ41" s="23"/>
      <c r="AK41" s="23"/>
      <c r="AL41" s="23"/>
      <c r="AM41" s="23"/>
      <c r="AN41" s="23"/>
      <c r="AO41" s="23"/>
      <c r="AP41" s="23"/>
      <c r="AQ41" s="24"/>
      <c r="AR41" s="24"/>
    </row>
    <row r="42" spans="1:44" s="916" customFormat="1" ht="17.25" customHeight="1">
      <c r="A42" s="153" t="s">
        <v>143</v>
      </c>
      <c r="B42" s="561" t="s">
        <v>99</v>
      </c>
      <c r="C42" s="563" t="s">
        <v>25</v>
      </c>
      <c r="D42" s="562" t="s">
        <v>674</v>
      </c>
      <c r="E42" s="562" t="s">
        <v>239</v>
      </c>
      <c r="F42" s="547">
        <v>1</v>
      </c>
      <c r="G42" s="563" t="s">
        <v>102</v>
      </c>
      <c r="H42" s="563" t="s">
        <v>103</v>
      </c>
      <c r="I42" s="581">
        <v>1</v>
      </c>
      <c r="J42" s="554">
        <v>17697</v>
      </c>
      <c r="K42" s="565">
        <v>28</v>
      </c>
      <c r="L42" s="554">
        <f t="shared" si="17"/>
        <v>1.5555555555555556</v>
      </c>
      <c r="M42" s="574" t="s">
        <v>152</v>
      </c>
      <c r="N42" s="1014">
        <v>4.49</v>
      </c>
      <c r="O42" s="567">
        <f>N42*J42/18*K42</f>
        <v>123603.71333333332</v>
      </c>
      <c r="P42" s="556">
        <f t="shared" si="18"/>
        <v>30900.92833333333</v>
      </c>
      <c r="Q42" s="568"/>
      <c r="R42" s="554"/>
      <c r="S42" s="554">
        <v>0.1</v>
      </c>
      <c r="T42" s="556">
        <f>(O42+P42)*S42</f>
        <v>15450.464166666667</v>
      </c>
      <c r="U42" s="569"/>
      <c r="V42" s="554"/>
      <c r="W42" s="559">
        <f>O42+P42+T42</f>
        <v>169955.10583333333</v>
      </c>
      <c r="X42" s="10">
        <f>U42+Q42</f>
        <v>0</v>
      </c>
      <c r="Y42" s="10">
        <f>V42+R42</f>
        <v>0</v>
      </c>
      <c r="Z42" s="23">
        <f>W42*12</f>
        <v>2039461.27</v>
      </c>
      <c r="AA42" s="24">
        <f t="shared" si="19"/>
        <v>324496.62211614958</v>
      </c>
      <c r="AB42" s="24">
        <f t="shared" si="20"/>
        <v>2549326.5874999999</v>
      </c>
      <c r="AC42" s="24">
        <f t="shared" si="21"/>
        <v>405620.77764518699</v>
      </c>
      <c r="AD42" s="24"/>
      <c r="AE42" s="24"/>
      <c r="AF42" s="24"/>
      <c r="AG42" s="24"/>
      <c r="AH42" s="24"/>
      <c r="AI42" s="24"/>
      <c r="AJ42" s="23"/>
      <c r="AK42" s="23"/>
      <c r="AL42" s="23"/>
      <c r="AM42" s="23"/>
      <c r="AN42" s="23"/>
      <c r="AO42" s="23"/>
      <c r="AP42" s="23"/>
      <c r="AQ42" s="24"/>
      <c r="AR42" s="24"/>
    </row>
    <row r="43" spans="1:44" s="24" customFormat="1" ht="17.25" customHeight="1">
      <c r="A43" s="153" t="s">
        <v>447</v>
      </c>
      <c r="B43" s="561" t="s">
        <v>99</v>
      </c>
      <c r="C43" s="563" t="s">
        <v>75</v>
      </c>
      <c r="D43" s="562" t="s">
        <v>806</v>
      </c>
      <c r="E43" s="562" t="s">
        <v>602</v>
      </c>
      <c r="F43" s="547">
        <v>1</v>
      </c>
      <c r="G43" s="563" t="s">
        <v>102</v>
      </c>
      <c r="H43" s="563" t="s">
        <v>118</v>
      </c>
      <c r="I43" s="581">
        <v>4</v>
      </c>
      <c r="J43" s="554">
        <v>17697</v>
      </c>
      <c r="K43" s="565">
        <v>10</v>
      </c>
      <c r="L43" s="554">
        <f t="shared" si="17"/>
        <v>0.55555555555555558</v>
      </c>
      <c r="M43" s="574" t="s">
        <v>112</v>
      </c>
      <c r="N43" s="1014">
        <v>3.36</v>
      </c>
      <c r="O43" s="567">
        <f>N43*J43/18*K43</f>
        <v>33034.400000000001</v>
      </c>
      <c r="P43" s="556">
        <f t="shared" si="18"/>
        <v>8258.6</v>
      </c>
      <c r="Q43" s="568"/>
      <c r="R43" s="554"/>
      <c r="S43" s="554">
        <v>0.1</v>
      </c>
      <c r="T43" s="556">
        <f>(O43+P43)*S43</f>
        <v>4129.3</v>
      </c>
      <c r="U43" s="569"/>
      <c r="V43" s="554"/>
      <c r="W43" s="559">
        <f>O43+P43+T43</f>
        <v>45422.3</v>
      </c>
      <c r="X43" s="10">
        <f>U43+Q43</f>
        <v>0</v>
      </c>
      <c r="Y43" s="10">
        <f>V43+R43</f>
        <v>0</v>
      </c>
      <c r="Z43" s="23">
        <f>W43*12</f>
        <v>545067.60000000009</v>
      </c>
      <c r="AA43" s="24">
        <f t="shared" si="19"/>
        <v>86725.155131264939</v>
      </c>
      <c r="AB43" s="24">
        <f t="shared" si="20"/>
        <v>681334.50000000012</v>
      </c>
      <c r="AC43" s="24">
        <f t="shared" si="21"/>
        <v>108406.44391408117</v>
      </c>
      <c r="AJ43" s="23"/>
      <c r="AK43" s="23"/>
      <c r="AL43" s="23"/>
      <c r="AM43" s="23"/>
      <c r="AN43" s="23"/>
      <c r="AO43" s="23"/>
      <c r="AP43" s="23"/>
    </row>
    <row r="44" spans="1:44" s="24" customFormat="1" ht="17.25" customHeight="1">
      <c r="A44" s="701" t="s">
        <v>447</v>
      </c>
      <c r="B44" s="692" t="s">
        <v>99</v>
      </c>
      <c r="C44" s="693" t="s">
        <v>300</v>
      </c>
      <c r="D44" s="694" t="s">
        <v>738</v>
      </c>
      <c r="E44" s="694" t="s">
        <v>602</v>
      </c>
      <c r="F44" s="1727">
        <v>1</v>
      </c>
      <c r="G44" s="177" t="s">
        <v>102</v>
      </c>
      <c r="H44" s="177" t="s">
        <v>118</v>
      </c>
      <c r="I44" s="178">
        <v>4</v>
      </c>
      <c r="J44" s="554">
        <v>17697</v>
      </c>
      <c r="K44" s="665">
        <v>10</v>
      </c>
      <c r="L44" s="567">
        <f t="shared" si="17"/>
        <v>0.55555555555555558</v>
      </c>
      <c r="M44" s="997" t="s">
        <v>112</v>
      </c>
      <c r="N44" s="1608">
        <v>3.36</v>
      </c>
      <c r="O44" s="567">
        <f>J44*N44/18*K44</f>
        <v>33034.400000000001</v>
      </c>
      <c r="P44" s="556">
        <f t="shared" si="18"/>
        <v>8258.6</v>
      </c>
      <c r="Q44" s="666">
        <v>0.25</v>
      </c>
      <c r="R44" s="554">
        <f>(O44+P44)*Q44</f>
        <v>10323.25</v>
      </c>
      <c r="S44" s="554">
        <v>0.1</v>
      </c>
      <c r="T44" s="556">
        <f>(O44+P44+R44)*S44</f>
        <v>5161.625</v>
      </c>
      <c r="U44" s="19"/>
      <c r="V44" s="554"/>
      <c r="W44" s="559">
        <f>O44+P44+R44+T44</f>
        <v>56777.875</v>
      </c>
      <c r="X44" s="984">
        <f>U43+S43+Q43</f>
        <v>0.1</v>
      </c>
      <c r="Y44" s="984">
        <f>V43+T43+R43</f>
        <v>4129.3</v>
      </c>
      <c r="Z44" s="81">
        <f>W43*12</f>
        <v>545067.60000000009</v>
      </c>
      <c r="AA44" s="80">
        <f t="shared" si="19"/>
        <v>86725.155131264939</v>
      </c>
      <c r="AB44" s="80">
        <f t="shared" si="20"/>
        <v>681334.50000000012</v>
      </c>
      <c r="AC44" s="80">
        <f t="shared" si="21"/>
        <v>108406.44391408117</v>
      </c>
      <c r="AD44" s="986"/>
      <c r="AE44" s="986"/>
      <c r="AF44" s="986"/>
      <c r="AG44" s="986"/>
      <c r="AH44" s="986"/>
      <c r="AI44" s="986"/>
      <c r="AJ44" s="23"/>
      <c r="AK44" s="23"/>
      <c r="AL44" s="23"/>
      <c r="AM44" s="23"/>
      <c r="AN44" s="23"/>
      <c r="AO44" s="23"/>
      <c r="AP44" s="23"/>
      <c r="AQ44" s="986"/>
      <c r="AR44" s="986"/>
    </row>
    <row r="45" spans="1:44" s="24" customFormat="1" ht="17.25" customHeight="1">
      <c r="A45" s="153" t="s">
        <v>803</v>
      </c>
      <c r="B45" s="561" t="s">
        <v>99</v>
      </c>
      <c r="C45" s="563" t="s">
        <v>25</v>
      </c>
      <c r="D45" s="562" t="s">
        <v>807</v>
      </c>
      <c r="E45" s="562" t="s">
        <v>34</v>
      </c>
      <c r="F45" s="547">
        <v>1</v>
      </c>
      <c r="G45" s="563" t="s">
        <v>102</v>
      </c>
      <c r="H45" s="563" t="s">
        <v>103</v>
      </c>
      <c r="I45" s="581">
        <v>1</v>
      </c>
      <c r="J45" s="554">
        <v>17697</v>
      </c>
      <c r="K45" s="1540">
        <v>12</v>
      </c>
      <c r="L45" s="554">
        <f t="shared" si="17"/>
        <v>0.66666666666666663</v>
      </c>
      <c r="M45" s="698" t="s">
        <v>152</v>
      </c>
      <c r="N45" s="1157">
        <v>4.75</v>
      </c>
      <c r="O45" s="697">
        <f t="shared" ref="O45:O57" si="22">N45*J45/18*K45</f>
        <v>56040.5</v>
      </c>
      <c r="P45" s="556">
        <f t="shared" si="18"/>
        <v>14010.125</v>
      </c>
      <c r="Q45" s="1538"/>
      <c r="R45" s="700"/>
      <c r="S45" s="554">
        <v>0.1</v>
      </c>
      <c r="T45" s="556">
        <f t="shared" ref="T45:T57" si="23">(O45+P45)*S45</f>
        <v>7005.0625</v>
      </c>
      <c r="U45" s="699"/>
      <c r="V45" s="700"/>
      <c r="W45" s="559">
        <f t="shared" ref="W45:W57" si="24">O45+P45+T45</f>
        <v>77055.6875</v>
      </c>
      <c r="X45" s="1547"/>
      <c r="Y45" s="1547"/>
      <c r="Z45" s="23"/>
      <c r="AJ45" s="23"/>
      <c r="AK45" s="23"/>
      <c r="AL45" s="23"/>
      <c r="AM45" s="23"/>
      <c r="AN45" s="23"/>
      <c r="AO45" s="23"/>
      <c r="AP45" s="23"/>
    </row>
    <row r="46" spans="1:44" s="24" customFormat="1" ht="17.25" customHeight="1">
      <c r="A46" s="153" t="s">
        <v>803</v>
      </c>
      <c r="B46" s="561" t="s">
        <v>99</v>
      </c>
      <c r="C46" s="563" t="s">
        <v>25</v>
      </c>
      <c r="D46" s="562" t="s">
        <v>807</v>
      </c>
      <c r="E46" s="562" t="s">
        <v>34</v>
      </c>
      <c r="F46" s="547">
        <v>1</v>
      </c>
      <c r="G46" s="563" t="s">
        <v>102</v>
      </c>
      <c r="H46" s="563" t="s">
        <v>103</v>
      </c>
      <c r="I46" s="581">
        <v>1</v>
      </c>
      <c r="J46" s="554">
        <v>17697</v>
      </c>
      <c r="K46" s="565">
        <v>6</v>
      </c>
      <c r="L46" s="554">
        <f t="shared" si="17"/>
        <v>0.33333333333333331</v>
      </c>
      <c r="M46" s="574" t="s">
        <v>152</v>
      </c>
      <c r="N46" s="1014">
        <v>4.75</v>
      </c>
      <c r="O46" s="567">
        <f t="shared" si="22"/>
        <v>28020.25</v>
      </c>
      <c r="P46" s="556">
        <f t="shared" si="18"/>
        <v>7005.0625</v>
      </c>
      <c r="Q46" s="568"/>
      <c r="R46" s="554"/>
      <c r="S46" s="554">
        <v>0.1</v>
      </c>
      <c r="T46" s="556">
        <f t="shared" si="23"/>
        <v>3502.53125</v>
      </c>
      <c r="U46" s="19"/>
      <c r="V46" s="554"/>
      <c r="W46" s="559">
        <f t="shared" si="24"/>
        <v>38527.84375</v>
      </c>
      <c r="X46" s="10"/>
      <c r="Y46" s="10"/>
      <c r="Z46" s="23"/>
      <c r="AJ46" s="23"/>
      <c r="AK46" s="23"/>
      <c r="AL46" s="23"/>
      <c r="AM46" s="23"/>
      <c r="AN46" s="23"/>
      <c r="AO46" s="23"/>
      <c r="AP46" s="23"/>
    </row>
    <row r="47" spans="1:44" s="24" customFormat="1" ht="17.25" customHeight="1">
      <c r="A47" s="153" t="s">
        <v>147</v>
      </c>
      <c r="B47" s="561" t="s">
        <v>148</v>
      </c>
      <c r="C47" s="563" t="s">
        <v>25</v>
      </c>
      <c r="D47" s="562" t="s">
        <v>676</v>
      </c>
      <c r="E47" s="562" t="s">
        <v>51</v>
      </c>
      <c r="F47" s="547">
        <v>1</v>
      </c>
      <c r="G47" s="563" t="s">
        <v>102</v>
      </c>
      <c r="H47" s="563" t="s">
        <v>103</v>
      </c>
      <c r="I47" s="564">
        <v>3</v>
      </c>
      <c r="J47" s="554">
        <v>17697</v>
      </c>
      <c r="K47" s="565">
        <v>34</v>
      </c>
      <c r="L47" s="554">
        <f t="shared" si="17"/>
        <v>1.8888888888888888</v>
      </c>
      <c r="M47" s="1583" t="s">
        <v>109</v>
      </c>
      <c r="N47" s="1157">
        <v>4.43</v>
      </c>
      <c r="O47" s="697">
        <f t="shared" si="22"/>
        <v>148084.56333333332</v>
      </c>
      <c r="P47" s="556">
        <f t="shared" si="18"/>
        <v>37021.140833333331</v>
      </c>
      <c r="Q47" s="1538"/>
      <c r="R47" s="700"/>
      <c r="S47" s="700">
        <v>0.1</v>
      </c>
      <c r="T47" s="556">
        <f t="shared" si="23"/>
        <v>18510.570416666666</v>
      </c>
      <c r="U47" s="699"/>
      <c r="V47" s="700"/>
      <c r="W47" s="559">
        <f t="shared" si="24"/>
        <v>203616.27458333332</v>
      </c>
      <c r="X47" s="10">
        <f>U47+Q47</f>
        <v>0</v>
      </c>
      <c r="Y47" s="10">
        <f>V47+R47</f>
        <v>0</v>
      </c>
      <c r="Z47" s="23">
        <f>W47*12</f>
        <v>2443395.2949999999</v>
      </c>
      <c r="AA47" s="24">
        <f>Z47/12/29.33*56</f>
        <v>388766.15672235476</v>
      </c>
      <c r="AB47" s="24">
        <f>Z47*1.25</f>
        <v>3054244.1187499999</v>
      </c>
      <c r="AC47" s="24">
        <f>AB47/12/29.33*56</f>
        <v>485957.69590294355</v>
      </c>
      <c r="AJ47" s="23"/>
      <c r="AK47" s="23"/>
      <c r="AL47" s="23"/>
      <c r="AM47" s="23"/>
      <c r="AN47" s="23"/>
      <c r="AO47" s="23"/>
      <c r="AP47" s="23"/>
    </row>
    <row r="48" spans="1:44" s="24" customFormat="1" ht="15.75">
      <c r="A48" s="153" t="s">
        <v>91</v>
      </c>
      <c r="B48" s="561" t="s">
        <v>99</v>
      </c>
      <c r="C48" s="563" t="s">
        <v>25</v>
      </c>
      <c r="D48" s="562" t="s">
        <v>677</v>
      </c>
      <c r="E48" s="562" t="s">
        <v>93</v>
      </c>
      <c r="F48" s="547">
        <v>1</v>
      </c>
      <c r="G48" s="563" t="s">
        <v>102</v>
      </c>
      <c r="H48" s="563" t="s">
        <v>103</v>
      </c>
      <c r="I48" s="581">
        <v>1</v>
      </c>
      <c r="J48" s="554">
        <v>17697</v>
      </c>
      <c r="K48" s="565">
        <v>9</v>
      </c>
      <c r="L48" s="554">
        <f t="shared" si="17"/>
        <v>0.5</v>
      </c>
      <c r="M48" s="698" t="s">
        <v>152</v>
      </c>
      <c r="N48" s="1157">
        <v>4.62</v>
      </c>
      <c r="O48" s="697">
        <f t="shared" si="22"/>
        <v>40880.069999999992</v>
      </c>
      <c r="P48" s="556">
        <f t="shared" si="18"/>
        <v>10220.017499999998</v>
      </c>
      <c r="Q48" s="1538"/>
      <c r="R48" s="700"/>
      <c r="S48" s="700">
        <v>0.1</v>
      </c>
      <c r="T48" s="556">
        <f t="shared" si="23"/>
        <v>5110.00875</v>
      </c>
      <c r="U48" s="699"/>
      <c r="V48" s="700"/>
      <c r="W48" s="559">
        <f t="shared" si="24"/>
        <v>56210.096249999995</v>
      </c>
      <c r="X48" s="35">
        <f>U48+Q48</f>
        <v>0</v>
      </c>
      <c r="Y48" s="35">
        <f>V48+R48</f>
        <v>0</v>
      </c>
      <c r="Z48" s="23">
        <f>W48*12</f>
        <v>674521.15499999991</v>
      </c>
      <c r="AA48" s="24">
        <f>Z48/12/29.33*56</f>
        <v>107322.37947494033</v>
      </c>
      <c r="AB48" s="24">
        <f>Z48*1.25</f>
        <v>843151.44374999986</v>
      </c>
      <c r="AC48" s="24">
        <f>AB48/12/29.33*56</f>
        <v>134152.97434367539</v>
      </c>
      <c r="AJ48" s="23"/>
      <c r="AK48" s="23"/>
      <c r="AL48" s="23"/>
      <c r="AM48" s="23"/>
      <c r="AN48" s="23"/>
      <c r="AO48" s="23"/>
      <c r="AP48" s="23"/>
    </row>
    <row r="49" spans="1:44" s="24" customFormat="1" ht="15.75">
      <c r="A49" s="1008" t="s">
        <v>678</v>
      </c>
      <c r="B49" s="1009" t="s">
        <v>99</v>
      </c>
      <c r="C49" s="563" t="s">
        <v>75</v>
      </c>
      <c r="D49" s="562" t="s">
        <v>738</v>
      </c>
      <c r="E49" s="562" t="s">
        <v>602</v>
      </c>
      <c r="F49" s="1668">
        <v>1</v>
      </c>
      <c r="G49" s="580" t="s">
        <v>102</v>
      </c>
      <c r="H49" s="580" t="s">
        <v>118</v>
      </c>
      <c r="I49" s="574">
        <v>4</v>
      </c>
      <c r="J49" s="554">
        <v>17697</v>
      </c>
      <c r="K49" s="1643">
        <v>11</v>
      </c>
      <c r="L49" s="554">
        <f t="shared" si="17"/>
        <v>0.61111111111111116</v>
      </c>
      <c r="M49" s="1583" t="s">
        <v>112</v>
      </c>
      <c r="N49" s="1591">
        <v>3.36</v>
      </c>
      <c r="O49" s="697">
        <f t="shared" si="22"/>
        <v>36337.840000000004</v>
      </c>
      <c r="P49" s="556">
        <f t="shared" si="18"/>
        <v>9084.4600000000009</v>
      </c>
      <c r="Q49" s="1538"/>
      <c r="R49" s="700"/>
      <c r="S49" s="700">
        <v>0.1</v>
      </c>
      <c r="T49" s="556">
        <f t="shared" si="23"/>
        <v>4542.2300000000005</v>
      </c>
      <c r="U49" s="1541"/>
      <c r="V49" s="700"/>
      <c r="W49" s="559">
        <f t="shared" si="24"/>
        <v>49964.530000000006</v>
      </c>
      <c r="X49" s="35"/>
      <c r="Y49" s="35"/>
      <c r="Z49" s="23"/>
      <c r="AJ49" s="23"/>
      <c r="AK49" s="23"/>
      <c r="AL49" s="23"/>
      <c r="AM49" s="23"/>
      <c r="AN49" s="23"/>
      <c r="AO49" s="23"/>
      <c r="AP49" s="23"/>
    </row>
    <row r="50" spans="1:44" s="24" customFormat="1" ht="17.25" customHeight="1">
      <c r="A50" s="1008" t="s">
        <v>804</v>
      </c>
      <c r="B50" s="1009" t="s">
        <v>99</v>
      </c>
      <c r="C50" s="1002" t="s">
        <v>75</v>
      </c>
      <c r="D50" s="1539" t="s">
        <v>738</v>
      </c>
      <c r="E50" s="1539" t="s">
        <v>108</v>
      </c>
      <c r="F50" s="874">
        <v>1</v>
      </c>
      <c r="G50" s="1002" t="s">
        <v>102</v>
      </c>
      <c r="H50" s="1002" t="s">
        <v>118</v>
      </c>
      <c r="I50" s="1590">
        <v>4</v>
      </c>
      <c r="J50" s="888">
        <v>17697</v>
      </c>
      <c r="K50" s="1010">
        <v>18</v>
      </c>
      <c r="L50" s="554">
        <f t="shared" si="17"/>
        <v>1</v>
      </c>
      <c r="M50" s="698" t="s">
        <v>112</v>
      </c>
      <c r="N50" s="1021">
        <v>3.36</v>
      </c>
      <c r="O50" s="607">
        <f t="shared" si="22"/>
        <v>59461.919999999998</v>
      </c>
      <c r="P50" s="556">
        <f t="shared" si="18"/>
        <v>14865.48</v>
      </c>
      <c r="Q50" s="1011"/>
      <c r="R50" s="888"/>
      <c r="S50" s="605">
        <v>0.1</v>
      </c>
      <c r="T50" s="556">
        <f t="shared" si="23"/>
        <v>7432.74</v>
      </c>
      <c r="U50" s="1012"/>
      <c r="V50" s="888"/>
      <c r="W50" s="559">
        <f t="shared" si="24"/>
        <v>81760.14</v>
      </c>
      <c r="X50" s="1690"/>
      <c r="Y50" s="1690"/>
      <c r="Z50" s="23"/>
      <c r="AJ50" s="23"/>
      <c r="AK50" s="23"/>
      <c r="AL50" s="23"/>
      <c r="AM50" s="23"/>
      <c r="AN50" s="23"/>
      <c r="AO50" s="23"/>
      <c r="AP50" s="23"/>
    </row>
    <row r="51" spans="1:44" s="24" customFormat="1" ht="17.25" customHeight="1">
      <c r="A51" s="1008" t="s">
        <v>150</v>
      </c>
      <c r="B51" s="1009" t="s">
        <v>99</v>
      </c>
      <c r="C51" s="1592" t="s">
        <v>25</v>
      </c>
      <c r="D51" s="1586" t="s">
        <v>680</v>
      </c>
      <c r="E51" s="1586" t="s">
        <v>34</v>
      </c>
      <c r="F51" s="1695">
        <v>1</v>
      </c>
      <c r="G51" s="1592" t="s">
        <v>102</v>
      </c>
      <c r="H51" s="1592" t="s">
        <v>103</v>
      </c>
      <c r="I51" s="1799">
        <v>1</v>
      </c>
      <c r="J51" s="888">
        <v>17697</v>
      </c>
      <c r="K51" s="1010">
        <v>26</v>
      </c>
      <c r="L51" s="888">
        <f t="shared" si="17"/>
        <v>1.4444444444444444</v>
      </c>
      <c r="M51" s="1802" t="s">
        <v>152</v>
      </c>
      <c r="N51" s="1021">
        <v>4.75</v>
      </c>
      <c r="O51" s="1013">
        <f t="shared" si="22"/>
        <v>121421.08333333334</v>
      </c>
      <c r="P51" s="1013">
        <f t="shared" si="18"/>
        <v>30355.270833333336</v>
      </c>
      <c r="Q51" s="1011"/>
      <c r="R51" s="888"/>
      <c r="S51" s="888">
        <v>0.1</v>
      </c>
      <c r="T51" s="1013">
        <f t="shared" si="23"/>
        <v>15177.63541666667</v>
      </c>
      <c r="U51" s="1012"/>
      <c r="V51" s="888"/>
      <c r="W51" s="1697">
        <f t="shared" si="24"/>
        <v>166953.98958333334</v>
      </c>
      <c r="X51" s="885">
        <f>U51+Q51</f>
        <v>0</v>
      </c>
      <c r="Y51" s="885">
        <f>V51+R51</f>
        <v>0</v>
      </c>
      <c r="Z51" s="23">
        <f>W51*12</f>
        <v>2003447.875</v>
      </c>
      <c r="AA51" s="24">
        <f>Z51/12/29.33*56</f>
        <v>318766.56722354813</v>
      </c>
      <c r="AB51" s="24">
        <f>Z51*1.25</f>
        <v>2504309.84375</v>
      </c>
      <c r="AC51" s="24">
        <f>AB51/12/29.33*56</f>
        <v>398458.20902943518</v>
      </c>
      <c r="AJ51" s="23"/>
      <c r="AK51" s="23"/>
      <c r="AL51" s="23"/>
      <c r="AM51" s="23"/>
      <c r="AN51" s="23"/>
      <c r="AO51" s="23"/>
      <c r="AP51" s="23"/>
    </row>
    <row r="52" spans="1:44" s="24" customFormat="1" ht="17.25" customHeight="1">
      <c r="A52" s="548" t="s">
        <v>153</v>
      </c>
      <c r="B52" s="549" t="s">
        <v>99</v>
      </c>
      <c r="C52" s="547" t="s">
        <v>25</v>
      </c>
      <c r="D52" s="547" t="s">
        <v>818</v>
      </c>
      <c r="E52" s="583" t="s">
        <v>819</v>
      </c>
      <c r="F52" s="547">
        <v>1</v>
      </c>
      <c r="G52" s="547" t="s">
        <v>102</v>
      </c>
      <c r="H52" s="547" t="s">
        <v>103</v>
      </c>
      <c r="I52" s="1797">
        <v>1</v>
      </c>
      <c r="J52" s="552">
        <v>17697</v>
      </c>
      <c r="K52" s="553">
        <v>10</v>
      </c>
      <c r="L52" s="552">
        <f t="shared" si="17"/>
        <v>0.55555555555555558</v>
      </c>
      <c r="M52" s="1796" t="s">
        <v>152</v>
      </c>
      <c r="N52" s="1582">
        <v>4.75</v>
      </c>
      <c r="O52" s="556">
        <f t="shared" si="22"/>
        <v>46700.416666666672</v>
      </c>
      <c r="P52" s="556">
        <f t="shared" si="18"/>
        <v>11675.104166666668</v>
      </c>
      <c r="Q52" s="557"/>
      <c r="R52" s="552"/>
      <c r="S52" s="552">
        <v>0.1</v>
      </c>
      <c r="T52" s="556">
        <f t="shared" si="23"/>
        <v>5837.5520833333348</v>
      </c>
      <c r="U52" s="558"/>
      <c r="V52" s="552"/>
      <c r="W52" s="559">
        <f t="shared" si="24"/>
        <v>64213.072916666679</v>
      </c>
      <c r="X52" s="7"/>
      <c r="Y52" s="7"/>
      <c r="Z52" s="23"/>
      <c r="AJ52" s="23"/>
      <c r="AK52" s="23"/>
      <c r="AL52" s="23"/>
      <c r="AM52" s="23"/>
      <c r="AN52" s="23"/>
      <c r="AO52" s="23"/>
      <c r="AP52" s="23"/>
    </row>
    <row r="53" spans="1:44" s="24" customFormat="1" ht="18" customHeight="1">
      <c r="A53" s="153" t="s">
        <v>157</v>
      </c>
      <c r="B53" s="561" t="s">
        <v>99</v>
      </c>
      <c r="C53" s="563" t="s">
        <v>75</v>
      </c>
      <c r="D53" s="562" t="s">
        <v>681</v>
      </c>
      <c r="E53" s="562" t="s">
        <v>108</v>
      </c>
      <c r="F53" s="560">
        <v>1</v>
      </c>
      <c r="G53" s="563" t="s">
        <v>102</v>
      </c>
      <c r="H53" s="563" t="s">
        <v>118</v>
      </c>
      <c r="I53" s="564">
        <v>4</v>
      </c>
      <c r="J53" s="554">
        <v>17697</v>
      </c>
      <c r="K53" s="565">
        <v>26</v>
      </c>
      <c r="L53" s="554">
        <f t="shared" si="17"/>
        <v>1.4444444444444444</v>
      </c>
      <c r="M53" s="997" t="s">
        <v>112</v>
      </c>
      <c r="N53" s="1014">
        <v>3.41</v>
      </c>
      <c r="O53" s="567">
        <f t="shared" si="22"/>
        <v>87167.556666666671</v>
      </c>
      <c r="P53" s="697">
        <f t="shared" si="18"/>
        <v>21791.889166666668</v>
      </c>
      <c r="Q53" s="568"/>
      <c r="R53" s="554"/>
      <c r="S53" s="552">
        <v>0.1</v>
      </c>
      <c r="T53" s="567">
        <f t="shared" si="23"/>
        <v>10895.944583333334</v>
      </c>
      <c r="U53" s="569"/>
      <c r="V53" s="554"/>
      <c r="W53" s="570">
        <f t="shared" si="24"/>
        <v>119855.39041666666</v>
      </c>
      <c r="X53" s="10">
        <f>U53+Q53</f>
        <v>0</v>
      </c>
      <c r="Y53" s="10">
        <f>V53+R53</f>
        <v>0</v>
      </c>
      <c r="Z53" s="23">
        <f>W53*12</f>
        <v>1438264.6850000001</v>
      </c>
      <c r="AA53" s="24">
        <f t="shared" ref="AA53:AA60" si="25">Z53/12/29.33*56</f>
        <v>228840.84089101036</v>
      </c>
      <c r="AB53" s="24">
        <f t="shared" ref="AB53:AB60" si="26">Z53*1.25</f>
        <v>1797830.8562500002</v>
      </c>
      <c r="AC53" s="24">
        <f t="shared" ref="AC53:AC60" si="27">AB53/12/29.33*56</f>
        <v>286051.05111376295</v>
      </c>
      <c r="AJ53" s="23"/>
      <c r="AK53" s="23"/>
      <c r="AL53" s="23"/>
      <c r="AM53" s="23"/>
      <c r="AN53" s="23"/>
      <c r="AO53" s="23"/>
      <c r="AP53" s="23"/>
    </row>
    <row r="54" spans="1:44" s="24" customFormat="1" ht="16.5" customHeight="1">
      <c r="A54" s="153" t="s">
        <v>160</v>
      </c>
      <c r="B54" s="561" t="s">
        <v>148</v>
      </c>
      <c r="C54" s="563" t="s">
        <v>25</v>
      </c>
      <c r="D54" s="562" t="s">
        <v>682</v>
      </c>
      <c r="E54" s="562" t="s">
        <v>34</v>
      </c>
      <c r="F54" s="560">
        <v>1</v>
      </c>
      <c r="G54" s="563" t="s">
        <v>102</v>
      </c>
      <c r="H54" s="563" t="s">
        <v>103</v>
      </c>
      <c r="I54" s="564">
        <v>2</v>
      </c>
      <c r="J54" s="554">
        <v>17697</v>
      </c>
      <c r="K54" s="565">
        <v>29</v>
      </c>
      <c r="L54" s="554">
        <f t="shared" si="17"/>
        <v>1.6111111111111112</v>
      </c>
      <c r="M54" s="566" t="s">
        <v>104</v>
      </c>
      <c r="N54" s="1014">
        <v>4.51</v>
      </c>
      <c r="O54" s="567">
        <f t="shared" si="22"/>
        <v>128588.36833333335</v>
      </c>
      <c r="P54" s="697">
        <f t="shared" si="18"/>
        <v>32147.092083333337</v>
      </c>
      <c r="Q54" s="568"/>
      <c r="R54" s="554"/>
      <c r="S54" s="552">
        <v>0.1</v>
      </c>
      <c r="T54" s="567">
        <f t="shared" si="23"/>
        <v>16073.54604166667</v>
      </c>
      <c r="U54" s="569"/>
      <c r="V54" s="554"/>
      <c r="W54" s="570">
        <f t="shared" si="24"/>
        <v>176809.00645833337</v>
      </c>
      <c r="X54" s="10">
        <f>U54+Q54</f>
        <v>0</v>
      </c>
      <c r="Y54" s="10">
        <f>V54+R54</f>
        <v>0</v>
      </c>
      <c r="Z54" s="23">
        <f>W54*12</f>
        <v>2121708.0775000006</v>
      </c>
      <c r="AA54" s="24">
        <f t="shared" si="25"/>
        <v>337582.82856006373</v>
      </c>
      <c r="AB54" s="24">
        <f t="shared" si="26"/>
        <v>2652135.0968750007</v>
      </c>
      <c r="AC54" s="24">
        <f t="shared" si="27"/>
        <v>421978.53570007969</v>
      </c>
      <c r="AJ54" s="23"/>
      <c r="AK54" s="23"/>
      <c r="AL54" s="23"/>
      <c r="AM54" s="23"/>
      <c r="AN54" s="23"/>
      <c r="AO54" s="23"/>
      <c r="AP54" s="23"/>
    </row>
    <row r="55" spans="1:44" s="24" customFormat="1" ht="17.25" customHeight="1">
      <c r="A55" s="153" t="s">
        <v>360</v>
      </c>
      <c r="B55" s="561" t="s">
        <v>99</v>
      </c>
      <c r="C55" s="563" t="s">
        <v>25</v>
      </c>
      <c r="D55" s="583" t="s">
        <v>683</v>
      </c>
      <c r="E55" s="562" t="s">
        <v>362</v>
      </c>
      <c r="F55" s="571">
        <v>1</v>
      </c>
      <c r="G55" s="580" t="s">
        <v>102</v>
      </c>
      <c r="H55" s="580" t="s">
        <v>103</v>
      </c>
      <c r="I55" s="574">
        <v>1</v>
      </c>
      <c r="J55" s="554">
        <v>17697</v>
      </c>
      <c r="K55" s="1643">
        <v>24</v>
      </c>
      <c r="L55" s="554">
        <f t="shared" si="17"/>
        <v>1.3333333333333333</v>
      </c>
      <c r="M55" s="1583" t="s">
        <v>152</v>
      </c>
      <c r="N55" s="1591">
        <v>4.55</v>
      </c>
      <c r="O55" s="567">
        <f t="shared" si="22"/>
        <v>107361.79999999999</v>
      </c>
      <c r="P55" s="697">
        <f t="shared" si="18"/>
        <v>26840.449999999997</v>
      </c>
      <c r="Q55" s="1538"/>
      <c r="R55" s="700"/>
      <c r="S55" s="552">
        <v>0.1</v>
      </c>
      <c r="T55" s="567">
        <f t="shared" si="23"/>
        <v>13420.225</v>
      </c>
      <c r="U55" s="19"/>
      <c r="V55" s="554"/>
      <c r="W55" s="570">
        <f t="shared" si="24"/>
        <v>147622.47500000001</v>
      </c>
      <c r="X55" s="10">
        <f>U54+Q54</f>
        <v>0</v>
      </c>
      <c r="Y55" s="10">
        <f>V54+R54</f>
        <v>0</v>
      </c>
      <c r="Z55" s="23">
        <f>W54*12</f>
        <v>2121708.0775000006</v>
      </c>
      <c r="AA55" s="24">
        <f t="shared" si="25"/>
        <v>337582.82856006373</v>
      </c>
      <c r="AB55" s="24">
        <f t="shared" si="26"/>
        <v>2652135.0968750007</v>
      </c>
      <c r="AC55" s="24">
        <f t="shared" si="27"/>
        <v>421978.53570007969</v>
      </c>
      <c r="AJ55" s="23"/>
      <c r="AK55" s="23"/>
      <c r="AL55" s="23"/>
      <c r="AM55" s="23"/>
      <c r="AN55" s="23"/>
      <c r="AO55" s="23"/>
      <c r="AP55" s="23"/>
    </row>
    <row r="56" spans="1:44" s="24" customFormat="1" ht="17.25" customHeight="1">
      <c r="A56" s="153" t="s">
        <v>743</v>
      </c>
      <c r="B56" s="561" t="s">
        <v>744</v>
      </c>
      <c r="C56" s="628" t="s">
        <v>25</v>
      </c>
      <c r="D56" s="586" t="s">
        <v>745</v>
      </c>
      <c r="E56" s="562" t="s">
        <v>403</v>
      </c>
      <c r="F56" s="571">
        <v>1</v>
      </c>
      <c r="G56" s="563" t="s">
        <v>102</v>
      </c>
      <c r="H56" s="563" t="s">
        <v>103</v>
      </c>
      <c r="I56" s="629">
        <v>3</v>
      </c>
      <c r="J56" s="554">
        <v>17697</v>
      </c>
      <c r="K56" s="1643">
        <v>24</v>
      </c>
      <c r="L56" s="554">
        <f t="shared" si="17"/>
        <v>1.3333333333333333</v>
      </c>
      <c r="M56" s="574" t="s">
        <v>109</v>
      </c>
      <c r="N56" s="1015">
        <v>4.1399999999999997</v>
      </c>
      <c r="O56" s="567">
        <f t="shared" si="22"/>
        <v>97687.439999999988</v>
      </c>
      <c r="P56" s="697">
        <f t="shared" si="18"/>
        <v>24421.859999999997</v>
      </c>
      <c r="Q56" s="568"/>
      <c r="R56" s="554"/>
      <c r="S56" s="552">
        <v>0.1</v>
      </c>
      <c r="T56" s="567">
        <f t="shared" si="23"/>
        <v>12210.93</v>
      </c>
      <c r="U56" s="19"/>
      <c r="V56" s="554"/>
      <c r="W56" s="570">
        <f t="shared" si="24"/>
        <v>134320.22999999998</v>
      </c>
      <c r="X56" s="1547"/>
      <c r="Y56" s="1547"/>
      <c r="Z56" s="23">
        <f>W55*12</f>
        <v>1771469.7000000002</v>
      </c>
      <c r="AA56" s="24">
        <f t="shared" si="25"/>
        <v>281856.75417661096</v>
      </c>
      <c r="AB56" s="24">
        <f t="shared" si="26"/>
        <v>2214337.125</v>
      </c>
      <c r="AC56" s="24">
        <f t="shared" si="27"/>
        <v>352320.94272076373</v>
      </c>
      <c r="AJ56" s="23"/>
      <c r="AK56" s="23"/>
      <c r="AL56" s="23"/>
      <c r="AM56" s="23"/>
      <c r="AN56" s="23"/>
      <c r="AO56" s="23"/>
      <c r="AP56" s="23"/>
    </row>
    <row r="57" spans="1:44" s="24" customFormat="1" ht="17.25" customHeight="1">
      <c r="A57" s="998" t="s">
        <v>162</v>
      </c>
      <c r="B57" s="873" t="s">
        <v>99</v>
      </c>
      <c r="C57" s="1002" t="s">
        <v>25</v>
      </c>
      <c r="D57" s="550" t="s">
        <v>503</v>
      </c>
      <c r="E57" s="1539" t="s">
        <v>77</v>
      </c>
      <c r="F57" s="560">
        <v>1</v>
      </c>
      <c r="G57" s="563" t="s">
        <v>102</v>
      </c>
      <c r="H57" s="563" t="s">
        <v>103</v>
      </c>
      <c r="I57" s="581">
        <v>4</v>
      </c>
      <c r="J57" s="554">
        <v>17697</v>
      </c>
      <c r="K57" s="1540">
        <v>30</v>
      </c>
      <c r="L57" s="554">
        <f t="shared" si="17"/>
        <v>1.6666666666666667</v>
      </c>
      <c r="M57" s="698" t="s">
        <v>112</v>
      </c>
      <c r="N57" s="1157">
        <v>3.71</v>
      </c>
      <c r="O57" s="567">
        <f t="shared" si="22"/>
        <v>109426.45</v>
      </c>
      <c r="P57" s="697">
        <f t="shared" si="18"/>
        <v>27356.612499999999</v>
      </c>
      <c r="Q57" s="1538"/>
      <c r="R57" s="700"/>
      <c r="S57" s="552">
        <v>0.1</v>
      </c>
      <c r="T57" s="567">
        <f t="shared" si="23"/>
        <v>13678.306250000001</v>
      </c>
      <c r="U57" s="699"/>
      <c r="V57" s="700"/>
      <c r="W57" s="570">
        <f t="shared" si="24"/>
        <v>150461.36874999999</v>
      </c>
      <c r="X57" s="10">
        <f>U57+Q57</f>
        <v>0</v>
      </c>
      <c r="Y57" s="10">
        <f>V57+R57</f>
        <v>0</v>
      </c>
      <c r="Z57" s="23">
        <f>W57*12</f>
        <v>1805536.4249999998</v>
      </c>
      <c r="AA57" s="24">
        <f t="shared" si="25"/>
        <v>287277.076372315</v>
      </c>
      <c r="AB57" s="24">
        <f t="shared" si="26"/>
        <v>2256920.53125</v>
      </c>
      <c r="AC57" s="24">
        <f t="shared" si="27"/>
        <v>359096.3454653938</v>
      </c>
      <c r="AJ57" s="23"/>
      <c r="AK57" s="23"/>
      <c r="AL57" s="23"/>
      <c r="AM57" s="23"/>
      <c r="AN57" s="23"/>
      <c r="AO57" s="23"/>
      <c r="AP57" s="23"/>
    </row>
    <row r="58" spans="1:44" s="24" customFormat="1" ht="17.25" customHeight="1">
      <c r="A58" s="662" t="s">
        <v>319</v>
      </c>
      <c r="B58" s="647" t="s">
        <v>99</v>
      </c>
      <c r="C58" s="663" t="s">
        <v>25</v>
      </c>
      <c r="D58" s="664" t="s">
        <v>684</v>
      </c>
      <c r="E58" s="664" t="s">
        <v>239</v>
      </c>
      <c r="F58" s="177">
        <v>1</v>
      </c>
      <c r="G58" s="177" t="s">
        <v>232</v>
      </c>
      <c r="H58" s="177" t="s">
        <v>233</v>
      </c>
      <c r="I58" s="178">
        <v>3</v>
      </c>
      <c r="J58" s="554">
        <v>17697</v>
      </c>
      <c r="K58" s="665">
        <v>21</v>
      </c>
      <c r="L58" s="567">
        <f t="shared" si="17"/>
        <v>1.1666666666666667</v>
      </c>
      <c r="M58" s="566" t="s">
        <v>109</v>
      </c>
      <c r="N58" s="1610">
        <v>4.21</v>
      </c>
      <c r="O58" s="567">
        <f>J58*N58/18*K58</f>
        <v>86921.764999999985</v>
      </c>
      <c r="P58" s="697">
        <f t="shared" si="18"/>
        <v>21730.441249999996</v>
      </c>
      <c r="Q58" s="666">
        <v>0.25</v>
      </c>
      <c r="R58" s="554">
        <f>(O58+P58)*Q58</f>
        <v>27163.051562499997</v>
      </c>
      <c r="S58" s="552">
        <v>0.1</v>
      </c>
      <c r="T58" s="567">
        <f>(O58+P58+R58)*S58</f>
        <v>13581.52578125</v>
      </c>
      <c r="U58" s="19"/>
      <c r="V58" s="554"/>
      <c r="W58" s="570">
        <f>O58+P58+R58+T58</f>
        <v>149396.78359375001</v>
      </c>
      <c r="X58" s="1175">
        <f>U57+S57+Q57</f>
        <v>0.1</v>
      </c>
      <c r="Y58" s="1175">
        <f>V57+T57+R57</f>
        <v>13678.306250000001</v>
      </c>
      <c r="Z58" s="375">
        <f>W57*12</f>
        <v>1805536.4249999998</v>
      </c>
      <c r="AA58" s="377">
        <f t="shared" si="25"/>
        <v>287277.076372315</v>
      </c>
      <c r="AB58" s="377">
        <f t="shared" si="26"/>
        <v>2256920.53125</v>
      </c>
      <c r="AC58" s="377">
        <f t="shared" si="27"/>
        <v>359096.3454653938</v>
      </c>
      <c r="AD58" s="377"/>
      <c r="AE58" s="377"/>
      <c r="AF58" s="377"/>
      <c r="AG58" s="377"/>
      <c r="AH58" s="377"/>
      <c r="AI58" s="377"/>
      <c r="AJ58" s="23"/>
      <c r="AK58" s="23"/>
      <c r="AL58" s="23"/>
      <c r="AM58" s="23"/>
      <c r="AN58" s="23"/>
      <c r="AO58" s="23"/>
      <c r="AP58" s="23"/>
      <c r="AQ58" s="377"/>
      <c r="AR58" s="377"/>
    </row>
    <row r="59" spans="1:44" s="24" customFormat="1" ht="17.25" customHeight="1">
      <c r="A59" s="647" t="s">
        <v>272</v>
      </c>
      <c r="B59" s="647" t="s">
        <v>617</v>
      </c>
      <c r="C59" s="628" t="s">
        <v>25</v>
      </c>
      <c r="D59" s="586" t="s">
        <v>685</v>
      </c>
      <c r="E59" s="582" t="s">
        <v>434</v>
      </c>
      <c r="F59" s="560">
        <v>1</v>
      </c>
      <c r="G59" s="563" t="s">
        <v>102</v>
      </c>
      <c r="H59" s="563" t="s">
        <v>103</v>
      </c>
      <c r="I59" s="629">
        <v>1</v>
      </c>
      <c r="J59" s="554">
        <v>17697</v>
      </c>
      <c r="K59" s="648">
        <v>32</v>
      </c>
      <c r="L59" s="554">
        <f t="shared" si="17"/>
        <v>1.7777777777777777</v>
      </c>
      <c r="M59" s="574" t="s">
        <v>152</v>
      </c>
      <c r="N59" s="1598">
        <v>4.6900000000000004</v>
      </c>
      <c r="O59" s="567">
        <f>N59*J59/18*K59</f>
        <v>147553.65333333335</v>
      </c>
      <c r="P59" s="697">
        <f t="shared" si="18"/>
        <v>36888.413333333338</v>
      </c>
      <c r="Q59" s="568"/>
      <c r="R59" s="554"/>
      <c r="S59" s="552">
        <v>0.1</v>
      </c>
      <c r="T59" s="567">
        <f>(O59+P59)*S59</f>
        <v>18444.206666666669</v>
      </c>
      <c r="U59" s="19"/>
      <c r="V59" s="554"/>
      <c r="W59" s="570">
        <f>O59+P59+T59</f>
        <v>202886.27333333335</v>
      </c>
      <c r="X59" s="10">
        <f>U57+Q57</f>
        <v>0</v>
      </c>
      <c r="Y59" s="10">
        <f>V57+R57</f>
        <v>0</v>
      </c>
      <c r="Z59" s="23">
        <f>W57*12</f>
        <v>1805536.4249999998</v>
      </c>
      <c r="AA59" s="24">
        <f t="shared" si="25"/>
        <v>287277.076372315</v>
      </c>
      <c r="AB59" s="24">
        <f t="shared" si="26"/>
        <v>2256920.53125</v>
      </c>
      <c r="AC59" s="24">
        <f t="shared" si="27"/>
        <v>359096.3454653938</v>
      </c>
      <c r="AJ59" s="23"/>
      <c r="AK59" s="23"/>
      <c r="AL59" s="23"/>
      <c r="AM59" s="23"/>
      <c r="AN59" s="23"/>
      <c r="AO59" s="23"/>
      <c r="AP59" s="23"/>
    </row>
    <row r="60" spans="1:44" s="24" customFormat="1" ht="17.25" customHeight="1">
      <c r="A60" s="153" t="s">
        <v>166</v>
      </c>
      <c r="B60" s="561" t="s">
        <v>99</v>
      </c>
      <c r="C60" s="563" t="s">
        <v>25</v>
      </c>
      <c r="D60" s="562" t="s">
        <v>684</v>
      </c>
      <c r="E60" s="562" t="s">
        <v>239</v>
      </c>
      <c r="F60" s="560">
        <v>1</v>
      </c>
      <c r="G60" s="563" t="s">
        <v>102</v>
      </c>
      <c r="H60" s="563" t="s">
        <v>103</v>
      </c>
      <c r="I60" s="581">
        <v>1</v>
      </c>
      <c r="J60" s="554">
        <v>17697</v>
      </c>
      <c r="K60" s="565">
        <v>36</v>
      </c>
      <c r="L60" s="554">
        <f t="shared" si="17"/>
        <v>2</v>
      </c>
      <c r="M60" s="574" t="s">
        <v>152</v>
      </c>
      <c r="N60" s="1014">
        <v>4.49</v>
      </c>
      <c r="O60" s="567">
        <f>N60*J60/18*K60</f>
        <v>158919.06</v>
      </c>
      <c r="P60" s="697">
        <f t="shared" si="18"/>
        <v>39729.764999999999</v>
      </c>
      <c r="Q60" s="568"/>
      <c r="R60" s="554"/>
      <c r="S60" s="552">
        <v>0.1</v>
      </c>
      <c r="T60" s="567">
        <f>(O60+P60)*S60</f>
        <v>19864.882500000003</v>
      </c>
      <c r="U60" s="569"/>
      <c r="V60" s="554"/>
      <c r="W60" s="570">
        <f>O60+P60+T60</f>
        <v>218513.70750000002</v>
      </c>
      <c r="X60" s="10">
        <f>U60+Q60</f>
        <v>0</v>
      </c>
      <c r="Y60" s="10">
        <f>V60+R60</f>
        <v>0</v>
      </c>
      <c r="Z60" s="23">
        <f>W60*12</f>
        <v>2622164.4900000002</v>
      </c>
      <c r="AA60" s="24">
        <f t="shared" si="25"/>
        <v>417209.94272076379</v>
      </c>
      <c r="AB60" s="24">
        <f t="shared" si="26"/>
        <v>3277705.6125000003</v>
      </c>
      <c r="AC60" s="24">
        <f t="shared" si="27"/>
        <v>521512.42840095476</v>
      </c>
      <c r="AJ60" s="23"/>
      <c r="AK60" s="23"/>
      <c r="AL60" s="23"/>
      <c r="AM60" s="23"/>
      <c r="AN60" s="23"/>
      <c r="AO60" s="23"/>
      <c r="AP60" s="23"/>
    </row>
    <row r="61" spans="1:44" s="24" customFormat="1" ht="15.75">
      <c r="A61" s="153" t="s">
        <v>739</v>
      </c>
      <c r="B61" s="561" t="s">
        <v>99</v>
      </c>
      <c r="C61" s="563" t="s">
        <v>25</v>
      </c>
      <c r="D61" s="562" t="s">
        <v>707</v>
      </c>
      <c r="E61" s="562" t="s">
        <v>159</v>
      </c>
      <c r="F61" s="560">
        <v>1</v>
      </c>
      <c r="G61" s="563" t="s">
        <v>102</v>
      </c>
      <c r="H61" s="563" t="s">
        <v>103</v>
      </c>
      <c r="I61" s="581">
        <v>4</v>
      </c>
      <c r="J61" s="554">
        <v>17697</v>
      </c>
      <c r="K61" s="565">
        <v>4</v>
      </c>
      <c r="L61" s="554">
        <f t="shared" si="17"/>
        <v>0.22222222222222221</v>
      </c>
      <c r="M61" s="574" t="s">
        <v>112</v>
      </c>
      <c r="N61" s="1014">
        <v>3.71</v>
      </c>
      <c r="O61" s="567">
        <f>N61*J61/18*K61</f>
        <v>14590.193333333333</v>
      </c>
      <c r="P61" s="697">
        <f t="shared" si="18"/>
        <v>3647.5483333333332</v>
      </c>
      <c r="Q61" s="568"/>
      <c r="R61" s="554"/>
      <c r="S61" s="552">
        <v>0.1</v>
      </c>
      <c r="T61" s="567">
        <f>(O61+P61)*S61</f>
        <v>1823.7741666666666</v>
      </c>
      <c r="U61" s="569"/>
      <c r="V61" s="554"/>
      <c r="W61" s="570">
        <f>O61+P61+T61</f>
        <v>20061.515833333331</v>
      </c>
      <c r="X61" s="10"/>
      <c r="Y61" s="10"/>
      <c r="Z61" s="23"/>
      <c r="AJ61" s="23"/>
      <c r="AK61" s="23"/>
      <c r="AL61" s="23"/>
      <c r="AM61" s="23"/>
      <c r="AN61" s="23"/>
      <c r="AO61" s="23"/>
      <c r="AP61" s="23"/>
    </row>
    <row r="62" spans="1:44" s="24" customFormat="1" ht="17.25" customHeight="1">
      <c r="A62" s="1790" t="s">
        <v>739</v>
      </c>
      <c r="B62" s="692" t="s">
        <v>99</v>
      </c>
      <c r="C62" s="693" t="s">
        <v>25</v>
      </c>
      <c r="D62" s="1794" t="s">
        <v>503</v>
      </c>
      <c r="E62" s="694" t="s">
        <v>77</v>
      </c>
      <c r="F62" s="177">
        <v>1</v>
      </c>
      <c r="G62" s="177" t="s">
        <v>102</v>
      </c>
      <c r="H62" s="177" t="s">
        <v>103</v>
      </c>
      <c r="I62" s="182">
        <v>4</v>
      </c>
      <c r="J62" s="554">
        <v>17697</v>
      </c>
      <c r="K62" s="696">
        <v>10</v>
      </c>
      <c r="L62" s="567">
        <f t="shared" si="17"/>
        <v>0.55555555555555558</v>
      </c>
      <c r="M62" s="1004" t="s">
        <v>112</v>
      </c>
      <c r="N62" s="1611">
        <v>3.71</v>
      </c>
      <c r="O62" s="567">
        <f>J62*N62/18*K62</f>
        <v>36475.48333333333</v>
      </c>
      <c r="P62" s="697">
        <f t="shared" si="18"/>
        <v>9118.8708333333325</v>
      </c>
      <c r="Q62" s="1752">
        <v>0.25</v>
      </c>
      <c r="R62" s="700">
        <f>(O62+P62)*Q62</f>
        <v>11398.588541666666</v>
      </c>
      <c r="S62" s="552">
        <v>0.1</v>
      </c>
      <c r="T62" s="567">
        <f>(O62+P62+R62)*S62</f>
        <v>5699.294270833333</v>
      </c>
      <c r="U62" s="1541"/>
      <c r="V62" s="700"/>
      <c r="W62" s="570">
        <f>O62+P62+R62+T62</f>
        <v>62692.236979166664</v>
      </c>
      <c r="X62" s="406"/>
      <c r="Y62" s="406"/>
      <c r="Z62" s="375">
        <f>W61*12</f>
        <v>240738.18999999997</v>
      </c>
      <c r="AA62" s="377">
        <f t="shared" ref="AA62:AA68" si="28">Z62/12/29.33*56</f>
        <v>38303.610182975332</v>
      </c>
      <c r="AB62" s="377">
        <f t="shared" ref="AB62:AB68" si="29">Z62*1.25</f>
        <v>300922.73749999999</v>
      </c>
      <c r="AC62" s="377">
        <f t="shared" ref="AC62:AC68" si="30">AB62/12/29.33*56</f>
        <v>47879.512728719172</v>
      </c>
      <c r="AD62" s="377"/>
      <c r="AE62" s="377"/>
      <c r="AF62" s="377"/>
      <c r="AG62" s="377"/>
      <c r="AH62" s="377"/>
      <c r="AI62" s="377"/>
      <c r="AJ62" s="23"/>
      <c r="AK62" s="23"/>
      <c r="AL62" s="23"/>
      <c r="AM62" s="23"/>
      <c r="AN62" s="23"/>
      <c r="AO62" s="23"/>
      <c r="AP62" s="23"/>
      <c r="AQ62" s="377"/>
      <c r="AR62" s="377"/>
    </row>
    <row r="63" spans="1:44" s="24" customFormat="1" ht="15.75">
      <c r="A63" s="872" t="s">
        <v>274</v>
      </c>
      <c r="B63" s="692" t="s">
        <v>99</v>
      </c>
      <c r="C63" s="875" t="s">
        <v>25</v>
      </c>
      <c r="D63" s="1599" t="s">
        <v>686</v>
      </c>
      <c r="E63" s="1539" t="s">
        <v>239</v>
      </c>
      <c r="F63" s="874">
        <v>1</v>
      </c>
      <c r="G63" s="1002" t="s">
        <v>102</v>
      </c>
      <c r="H63" s="1002" t="s">
        <v>103</v>
      </c>
      <c r="I63" s="1798">
        <v>2</v>
      </c>
      <c r="J63" s="700">
        <v>17697</v>
      </c>
      <c r="K63" s="1739">
        <v>23</v>
      </c>
      <c r="L63" s="554">
        <f t="shared" si="17"/>
        <v>1.2777777777777777</v>
      </c>
      <c r="M63" s="698" t="s">
        <v>104</v>
      </c>
      <c r="N63" s="1600">
        <v>4.2300000000000004</v>
      </c>
      <c r="O63" s="697">
        <f>N63*J63/18*K63</f>
        <v>95652.285000000018</v>
      </c>
      <c r="P63" s="697">
        <f t="shared" si="18"/>
        <v>23913.071250000005</v>
      </c>
      <c r="Q63" s="1538"/>
      <c r="R63" s="700"/>
      <c r="S63" s="552">
        <v>0.1</v>
      </c>
      <c r="T63" s="567">
        <f>(O63+P63)*S63</f>
        <v>11956.535625000004</v>
      </c>
      <c r="U63" s="1541"/>
      <c r="V63" s="700"/>
      <c r="W63" s="570">
        <f>O63+P63+T63</f>
        <v>131521.89187500003</v>
      </c>
      <c r="X63" s="1547"/>
      <c r="Y63" s="1547"/>
      <c r="Z63" s="23">
        <f>W62*12</f>
        <v>752306.84375</v>
      </c>
      <c r="AA63" s="24">
        <f t="shared" si="28"/>
        <v>119698.78182179792</v>
      </c>
      <c r="AB63" s="24">
        <f t="shared" si="29"/>
        <v>940383.5546875</v>
      </c>
      <c r="AC63" s="24">
        <f t="shared" si="30"/>
        <v>149623.47727724741</v>
      </c>
      <c r="AJ63" s="23"/>
      <c r="AK63" s="23"/>
      <c r="AL63" s="23"/>
      <c r="AM63" s="23"/>
      <c r="AN63" s="23"/>
      <c r="AO63" s="23"/>
      <c r="AP63" s="23"/>
    </row>
    <row r="64" spans="1:44" s="24" customFormat="1" ht="15.75">
      <c r="A64" s="153" t="s">
        <v>274</v>
      </c>
      <c r="B64" s="647" t="s">
        <v>99</v>
      </c>
      <c r="C64" s="663" t="s">
        <v>25</v>
      </c>
      <c r="D64" s="586" t="s">
        <v>686</v>
      </c>
      <c r="E64" s="562" t="s">
        <v>239</v>
      </c>
      <c r="F64" s="177">
        <v>1</v>
      </c>
      <c r="G64" s="177" t="s">
        <v>102</v>
      </c>
      <c r="H64" s="177" t="s">
        <v>103</v>
      </c>
      <c r="I64" s="178">
        <v>2</v>
      </c>
      <c r="J64" s="554">
        <v>17697</v>
      </c>
      <c r="K64" s="665">
        <v>12</v>
      </c>
      <c r="L64" s="567">
        <f t="shared" si="17"/>
        <v>0.66666666666666663</v>
      </c>
      <c r="M64" s="574" t="s">
        <v>104</v>
      </c>
      <c r="N64" s="1608">
        <v>4.2300000000000004</v>
      </c>
      <c r="O64" s="567">
        <f>J64*N64/18*K64</f>
        <v>49905.540000000008</v>
      </c>
      <c r="P64" s="697">
        <f t="shared" si="18"/>
        <v>12476.385000000002</v>
      </c>
      <c r="Q64" s="666">
        <v>0.25</v>
      </c>
      <c r="R64" s="554">
        <f>(O64+P64)*Q64</f>
        <v>15595.481250000003</v>
      </c>
      <c r="S64" s="552">
        <v>0.1</v>
      </c>
      <c r="T64" s="567">
        <f>(O64+P64+R64)*S64</f>
        <v>7797.7406250000022</v>
      </c>
      <c r="U64" s="19"/>
      <c r="V64" s="554"/>
      <c r="W64" s="570">
        <f>O64+P64+R64+T64</f>
        <v>85775.14687500002</v>
      </c>
      <c r="X64" s="919"/>
      <c r="Y64" s="919"/>
      <c r="Z64" s="375">
        <f>W63*12</f>
        <v>1578262.7025000004</v>
      </c>
      <c r="AA64" s="377">
        <f t="shared" si="28"/>
        <v>251115.78400954659</v>
      </c>
      <c r="AB64" s="377">
        <f t="shared" si="29"/>
        <v>1972828.3781250005</v>
      </c>
      <c r="AC64" s="377">
        <f t="shared" si="30"/>
        <v>313894.73001193325</v>
      </c>
      <c r="AD64" s="377"/>
      <c r="AE64" s="377"/>
      <c r="AF64" s="377"/>
      <c r="AG64" s="377"/>
      <c r="AH64" s="377"/>
      <c r="AI64" s="377"/>
      <c r="AJ64" s="23"/>
      <c r="AK64" s="23"/>
      <c r="AL64" s="23"/>
      <c r="AM64" s="23"/>
      <c r="AN64" s="23"/>
      <c r="AO64" s="23"/>
      <c r="AP64" s="23"/>
      <c r="AQ64" s="377"/>
      <c r="AR64" s="377"/>
    </row>
    <row r="65" spans="1:44" s="24" customFormat="1" ht="17.25" customHeight="1">
      <c r="A65" s="646" t="s">
        <v>420</v>
      </c>
      <c r="B65" s="647" t="s">
        <v>99</v>
      </c>
      <c r="C65" s="628" t="s">
        <v>25</v>
      </c>
      <c r="D65" s="586" t="s">
        <v>687</v>
      </c>
      <c r="E65" s="562" t="s">
        <v>239</v>
      </c>
      <c r="F65" s="560">
        <v>1</v>
      </c>
      <c r="G65" s="563" t="s">
        <v>102</v>
      </c>
      <c r="H65" s="563" t="s">
        <v>103</v>
      </c>
      <c r="I65" s="629">
        <v>3</v>
      </c>
      <c r="J65" s="554">
        <v>17697</v>
      </c>
      <c r="K65" s="648">
        <v>20</v>
      </c>
      <c r="L65" s="554">
        <f t="shared" si="17"/>
        <v>1.1111111111111112</v>
      </c>
      <c r="M65" s="1601" t="s">
        <v>109</v>
      </c>
      <c r="N65" s="1598">
        <v>4.21</v>
      </c>
      <c r="O65" s="567">
        <f t="shared" ref="O65:O72" si="31">N65*J65/18*K65</f>
        <v>82782.633333333331</v>
      </c>
      <c r="P65" s="697">
        <f t="shared" si="18"/>
        <v>20695.658333333333</v>
      </c>
      <c r="Q65" s="568"/>
      <c r="R65" s="554"/>
      <c r="S65" s="552">
        <v>0.1</v>
      </c>
      <c r="T65" s="567">
        <f t="shared" ref="T65:T72" si="32">(O65+P65)*S65</f>
        <v>10347.829166666666</v>
      </c>
      <c r="U65" s="19"/>
      <c r="V65" s="554"/>
      <c r="W65" s="570">
        <f t="shared" ref="W65:W72" si="33">O65+P65+T65</f>
        <v>113826.12083333332</v>
      </c>
      <c r="X65" s="10">
        <f>U64+Q64</f>
        <v>0.25</v>
      </c>
      <c r="Y65" s="10">
        <f>V64+R64</f>
        <v>15595.481250000003</v>
      </c>
      <c r="Z65" s="23">
        <f>W64*12</f>
        <v>1029301.7625000002</v>
      </c>
      <c r="AA65" s="24">
        <f t="shared" si="28"/>
        <v>163771.16348448693</v>
      </c>
      <c r="AB65" s="24">
        <f t="shared" si="29"/>
        <v>1286627.2031250002</v>
      </c>
      <c r="AC65" s="24">
        <f t="shared" si="30"/>
        <v>204713.95435560864</v>
      </c>
      <c r="AJ65" s="23"/>
      <c r="AK65" s="23"/>
      <c r="AL65" s="23"/>
      <c r="AM65" s="23"/>
      <c r="AN65" s="23"/>
      <c r="AO65" s="23"/>
      <c r="AP65" s="23"/>
    </row>
    <row r="66" spans="1:44" s="24" customFormat="1" ht="17.25" customHeight="1">
      <c r="A66" s="153" t="s">
        <v>168</v>
      </c>
      <c r="B66" s="561" t="s">
        <v>99</v>
      </c>
      <c r="C66" s="563" t="s">
        <v>25</v>
      </c>
      <c r="D66" s="562" t="s">
        <v>690</v>
      </c>
      <c r="E66" s="1586" t="s">
        <v>73</v>
      </c>
      <c r="F66" s="560">
        <v>1</v>
      </c>
      <c r="G66" s="563" t="s">
        <v>102</v>
      </c>
      <c r="H66" s="563" t="s">
        <v>103</v>
      </c>
      <c r="I66" s="1584">
        <v>2</v>
      </c>
      <c r="J66" s="554">
        <v>17697</v>
      </c>
      <c r="K66" s="565">
        <v>32</v>
      </c>
      <c r="L66" s="554">
        <f t="shared" ref="L66:L97" si="34">K66/18</f>
        <v>1.7777777777777777</v>
      </c>
      <c r="M66" s="566" t="s">
        <v>104</v>
      </c>
      <c r="N66" s="1157">
        <v>4.16</v>
      </c>
      <c r="O66" s="567">
        <f t="shared" si="31"/>
        <v>130879.14666666667</v>
      </c>
      <c r="P66" s="697">
        <f t="shared" ref="P66:P97" si="35">O66*25%</f>
        <v>32719.786666666667</v>
      </c>
      <c r="Q66" s="1538"/>
      <c r="R66" s="700"/>
      <c r="S66" s="552">
        <v>0.1</v>
      </c>
      <c r="T66" s="567">
        <f t="shared" si="32"/>
        <v>16359.893333333335</v>
      </c>
      <c r="U66" s="569"/>
      <c r="V66" s="554"/>
      <c r="W66" s="570">
        <f t="shared" si="33"/>
        <v>179958.82666666669</v>
      </c>
      <c r="X66" s="7">
        <f>U66+Q66</f>
        <v>0</v>
      </c>
      <c r="Y66" s="7">
        <f>V66+R66</f>
        <v>0</v>
      </c>
      <c r="Z66" s="23">
        <f>W66*12</f>
        <v>2159505.9200000004</v>
      </c>
      <c r="AA66" s="24">
        <f t="shared" si="28"/>
        <v>343596.80509148771</v>
      </c>
      <c r="AB66" s="24">
        <f t="shared" si="29"/>
        <v>2699382.4000000004</v>
      </c>
      <c r="AC66" s="24">
        <f t="shared" si="30"/>
        <v>429496.00636435964</v>
      </c>
      <c r="AJ66" s="23"/>
      <c r="AK66" s="23"/>
      <c r="AL66" s="23"/>
      <c r="AM66" s="23"/>
      <c r="AN66" s="23"/>
      <c r="AO66" s="23"/>
      <c r="AP66" s="23"/>
    </row>
    <row r="67" spans="1:44" s="24" customFormat="1" ht="17.25" customHeight="1">
      <c r="A67" s="153" t="s">
        <v>89</v>
      </c>
      <c r="B67" s="561" t="s">
        <v>170</v>
      </c>
      <c r="C67" s="563" t="s">
        <v>25</v>
      </c>
      <c r="D67" s="562" t="s">
        <v>697</v>
      </c>
      <c r="E67" s="562" t="s">
        <v>73</v>
      </c>
      <c r="F67" s="560">
        <v>1</v>
      </c>
      <c r="G67" s="563" t="s">
        <v>102</v>
      </c>
      <c r="H67" s="563" t="s">
        <v>103</v>
      </c>
      <c r="I67" s="564">
        <v>3</v>
      </c>
      <c r="J67" s="554">
        <v>17697</v>
      </c>
      <c r="K67" s="565">
        <v>15</v>
      </c>
      <c r="L67" s="554">
        <f t="shared" si="34"/>
        <v>0.83333333333333337</v>
      </c>
      <c r="M67" s="566" t="s">
        <v>109</v>
      </c>
      <c r="N67" s="1014">
        <v>4.21</v>
      </c>
      <c r="O67" s="567">
        <f t="shared" si="31"/>
        <v>62086.974999999991</v>
      </c>
      <c r="P67" s="697">
        <f t="shared" si="35"/>
        <v>15521.743749999998</v>
      </c>
      <c r="Q67" s="568"/>
      <c r="R67" s="554"/>
      <c r="S67" s="552">
        <v>0.1</v>
      </c>
      <c r="T67" s="567">
        <f t="shared" si="32"/>
        <v>7760.8718749999989</v>
      </c>
      <c r="U67" s="569"/>
      <c r="V67" s="554"/>
      <c r="W67" s="570">
        <f t="shared" si="33"/>
        <v>85369.590624999983</v>
      </c>
      <c r="X67" s="1547">
        <f>U67+Q67</f>
        <v>0</v>
      </c>
      <c r="Y67" s="1547">
        <f>V67+R67</f>
        <v>0</v>
      </c>
      <c r="Z67" s="23">
        <f>W67*12</f>
        <v>1024435.0874999998</v>
      </c>
      <c r="AA67" s="24">
        <f t="shared" si="28"/>
        <v>162996.83174224343</v>
      </c>
      <c r="AB67" s="24">
        <f t="shared" si="29"/>
        <v>1280543.8593749998</v>
      </c>
      <c r="AC67" s="24">
        <f t="shared" si="30"/>
        <v>203746.03967780428</v>
      </c>
      <c r="AJ67" s="23"/>
      <c r="AK67" s="23"/>
      <c r="AL67" s="23"/>
      <c r="AM67" s="23"/>
      <c r="AN67" s="23"/>
      <c r="AO67" s="23"/>
      <c r="AP67" s="23"/>
    </row>
    <row r="68" spans="1:44" s="24" customFormat="1" ht="17.25" customHeight="1">
      <c r="A68" s="998" t="s">
        <v>171</v>
      </c>
      <c r="B68" s="873" t="s">
        <v>99</v>
      </c>
      <c r="C68" s="1002" t="s">
        <v>25</v>
      </c>
      <c r="D68" s="1539" t="s">
        <v>691</v>
      </c>
      <c r="E68" s="1539" t="s">
        <v>34</v>
      </c>
      <c r="F68" s="874">
        <v>1</v>
      </c>
      <c r="G68" s="563" t="s">
        <v>102</v>
      </c>
      <c r="H68" s="563" t="s">
        <v>103</v>
      </c>
      <c r="I68" s="581">
        <v>1</v>
      </c>
      <c r="J68" s="554">
        <v>17697</v>
      </c>
      <c r="K68" s="1540">
        <v>34</v>
      </c>
      <c r="L68" s="700">
        <f t="shared" si="34"/>
        <v>1.8888888888888888</v>
      </c>
      <c r="M68" s="698" t="s">
        <v>152</v>
      </c>
      <c r="N68" s="1157">
        <v>4.75</v>
      </c>
      <c r="O68" s="697">
        <f t="shared" si="31"/>
        <v>158781.41666666669</v>
      </c>
      <c r="P68" s="697">
        <f t="shared" si="35"/>
        <v>39695.354166666672</v>
      </c>
      <c r="Q68" s="1538"/>
      <c r="R68" s="700"/>
      <c r="S68" s="552">
        <v>0.1</v>
      </c>
      <c r="T68" s="567">
        <f t="shared" si="32"/>
        <v>19847.677083333339</v>
      </c>
      <c r="U68" s="699"/>
      <c r="V68" s="700"/>
      <c r="W68" s="570">
        <f t="shared" si="33"/>
        <v>218324.44791666672</v>
      </c>
      <c r="X68" s="1547"/>
      <c r="Y68" s="1547"/>
      <c r="Z68" s="23">
        <f>W68*12</f>
        <v>2619893.3750000005</v>
      </c>
      <c r="AA68" s="24">
        <f t="shared" si="28"/>
        <v>416848.58790771686</v>
      </c>
      <c r="AB68" s="24">
        <f t="shared" si="29"/>
        <v>3274866.7187500005</v>
      </c>
      <c r="AC68" s="24">
        <f t="shared" si="30"/>
        <v>521060.73488464608</v>
      </c>
      <c r="AJ68" s="23"/>
      <c r="AK68" s="23"/>
      <c r="AL68" s="23"/>
      <c r="AM68" s="23"/>
      <c r="AN68" s="23"/>
      <c r="AO68" s="23"/>
      <c r="AP68" s="23"/>
    </row>
    <row r="69" spans="1:44" s="24" customFormat="1" ht="17.25" customHeight="1">
      <c r="A69" s="998" t="s">
        <v>207</v>
      </c>
      <c r="B69" s="873" t="s">
        <v>817</v>
      </c>
      <c r="C69" s="1002" t="s">
        <v>25</v>
      </c>
      <c r="D69" s="583" t="s">
        <v>588</v>
      </c>
      <c r="E69" s="1539" t="s">
        <v>362</v>
      </c>
      <c r="F69" s="1724">
        <v>1</v>
      </c>
      <c r="G69" s="560" t="s">
        <v>102</v>
      </c>
      <c r="H69" s="560" t="s">
        <v>103</v>
      </c>
      <c r="I69" s="1603">
        <v>1</v>
      </c>
      <c r="J69" s="554">
        <v>17697</v>
      </c>
      <c r="K69" s="1157">
        <v>26</v>
      </c>
      <c r="L69" s="554">
        <f t="shared" si="34"/>
        <v>1.4444444444444444</v>
      </c>
      <c r="M69" s="1583" t="s">
        <v>152</v>
      </c>
      <c r="N69" s="1591">
        <v>4.55</v>
      </c>
      <c r="O69" s="697">
        <f t="shared" si="31"/>
        <v>116308.61666666665</v>
      </c>
      <c r="P69" s="697">
        <f t="shared" si="35"/>
        <v>29077.154166666664</v>
      </c>
      <c r="Q69" s="1538"/>
      <c r="R69" s="700"/>
      <c r="S69" s="552">
        <v>0.1</v>
      </c>
      <c r="T69" s="567">
        <f t="shared" si="32"/>
        <v>14538.577083333332</v>
      </c>
      <c r="U69" s="1541"/>
      <c r="V69" s="700"/>
      <c r="W69" s="570">
        <f t="shared" si="33"/>
        <v>159924.34791666665</v>
      </c>
      <c r="X69" s="1547"/>
      <c r="Y69" s="1547"/>
      <c r="Z69" s="23"/>
      <c r="AJ69" s="23"/>
      <c r="AK69" s="23"/>
      <c r="AL69" s="23"/>
      <c r="AM69" s="23"/>
      <c r="AN69" s="23"/>
      <c r="AO69" s="23"/>
      <c r="AP69" s="23"/>
    </row>
    <row r="70" spans="1:44" s="24" customFormat="1" ht="17.25" customHeight="1">
      <c r="A70" s="1008" t="s">
        <v>173</v>
      </c>
      <c r="B70" s="1009" t="s">
        <v>99</v>
      </c>
      <c r="C70" s="1592" t="s">
        <v>25</v>
      </c>
      <c r="D70" s="1586" t="s">
        <v>693</v>
      </c>
      <c r="E70" s="1586" t="s">
        <v>66</v>
      </c>
      <c r="F70" s="560">
        <v>1</v>
      </c>
      <c r="G70" s="1592" t="s">
        <v>102</v>
      </c>
      <c r="H70" s="1592" t="s">
        <v>103</v>
      </c>
      <c r="I70" s="1696">
        <v>1</v>
      </c>
      <c r="J70" s="554">
        <v>17697</v>
      </c>
      <c r="K70" s="1010">
        <v>32</v>
      </c>
      <c r="L70" s="554">
        <f t="shared" si="34"/>
        <v>1.7777777777777777</v>
      </c>
      <c r="M70" s="574" t="s">
        <v>152</v>
      </c>
      <c r="N70" s="1803">
        <v>4.55</v>
      </c>
      <c r="O70" s="567">
        <f t="shared" si="31"/>
        <v>143149.06666666665</v>
      </c>
      <c r="P70" s="697">
        <f t="shared" si="35"/>
        <v>35787.266666666663</v>
      </c>
      <c r="Q70" s="608"/>
      <c r="R70" s="605"/>
      <c r="S70" s="552">
        <v>0.1</v>
      </c>
      <c r="T70" s="567">
        <f t="shared" si="32"/>
        <v>17893.633333333331</v>
      </c>
      <c r="U70" s="569"/>
      <c r="V70" s="554"/>
      <c r="W70" s="570">
        <f t="shared" si="33"/>
        <v>196829.96666666665</v>
      </c>
      <c r="X70" s="1547">
        <f>U70+Q70</f>
        <v>0</v>
      </c>
      <c r="Y70" s="1547">
        <f>V70+R70</f>
        <v>0</v>
      </c>
      <c r="Z70" s="23">
        <f>W70*12</f>
        <v>2361959.5999999996</v>
      </c>
      <c r="AA70" s="24">
        <f>Z70/12/29.33*56</f>
        <v>375809.00556881464</v>
      </c>
      <c r="AB70" s="24">
        <f>Z70*1.25</f>
        <v>2952449.4999999995</v>
      </c>
      <c r="AC70" s="24">
        <f>AB70/12/29.33*56</f>
        <v>469761.2569610182</v>
      </c>
      <c r="AJ70" s="23"/>
      <c r="AK70" s="23"/>
      <c r="AL70" s="23"/>
      <c r="AM70" s="23"/>
      <c r="AN70" s="23"/>
      <c r="AO70" s="23"/>
      <c r="AP70" s="23"/>
    </row>
    <row r="71" spans="1:44" s="24" customFormat="1" ht="16.5" customHeight="1">
      <c r="A71" s="153" t="s">
        <v>175</v>
      </c>
      <c r="B71" s="561" t="s">
        <v>99</v>
      </c>
      <c r="C71" s="563" t="s">
        <v>25</v>
      </c>
      <c r="D71" s="562" t="s">
        <v>610</v>
      </c>
      <c r="E71" s="562" t="s">
        <v>114</v>
      </c>
      <c r="F71" s="560">
        <v>1</v>
      </c>
      <c r="G71" s="563" t="s">
        <v>102</v>
      </c>
      <c r="H71" s="563" t="s">
        <v>103</v>
      </c>
      <c r="I71" s="564">
        <v>1</v>
      </c>
      <c r="J71" s="888">
        <v>17697</v>
      </c>
      <c r="K71" s="1010">
        <v>4</v>
      </c>
      <c r="L71" s="554">
        <f t="shared" si="34"/>
        <v>0.22222222222222221</v>
      </c>
      <c r="M71" s="1004" t="s">
        <v>152</v>
      </c>
      <c r="N71" s="1021">
        <v>4.75</v>
      </c>
      <c r="O71" s="567">
        <f t="shared" si="31"/>
        <v>18680.166666666668</v>
      </c>
      <c r="P71" s="697">
        <f t="shared" si="35"/>
        <v>4670.041666666667</v>
      </c>
      <c r="Q71" s="1011"/>
      <c r="R71" s="888"/>
      <c r="S71" s="552">
        <v>0.1</v>
      </c>
      <c r="T71" s="567">
        <f t="shared" si="32"/>
        <v>2335.0208333333335</v>
      </c>
      <c r="U71" s="569"/>
      <c r="V71" s="554"/>
      <c r="W71" s="570">
        <f t="shared" si="33"/>
        <v>25685.229166666668</v>
      </c>
      <c r="X71" s="34">
        <f>U71+Q71</f>
        <v>0</v>
      </c>
      <c r="Y71" s="34">
        <f>V71+R71</f>
        <v>0</v>
      </c>
      <c r="Z71" s="23">
        <f>W71*12</f>
        <v>308222.75</v>
      </c>
      <c r="AA71" s="24">
        <f>Z71/12/29.33*56</f>
        <v>49041.010342084337</v>
      </c>
      <c r="AB71" s="24">
        <f>Z71*1.25</f>
        <v>385278.4375</v>
      </c>
      <c r="AC71" s="24">
        <f>AB71/12/29.33*56</f>
        <v>61301.262927605414</v>
      </c>
      <c r="AJ71" s="23"/>
      <c r="AK71" s="23"/>
      <c r="AL71" s="23"/>
      <c r="AM71" s="23"/>
      <c r="AN71" s="23"/>
      <c r="AO71" s="23"/>
      <c r="AP71" s="23"/>
    </row>
    <row r="72" spans="1:44" s="24" customFormat="1" ht="16.5" customHeight="1">
      <c r="A72" s="153" t="s">
        <v>175</v>
      </c>
      <c r="B72" s="647" t="s">
        <v>617</v>
      </c>
      <c r="C72" s="563" t="s">
        <v>25</v>
      </c>
      <c r="D72" s="562" t="s">
        <v>737</v>
      </c>
      <c r="E72" s="562" t="s">
        <v>114</v>
      </c>
      <c r="F72" s="560">
        <v>1</v>
      </c>
      <c r="G72" s="563" t="s">
        <v>102</v>
      </c>
      <c r="H72" s="563" t="s">
        <v>103</v>
      </c>
      <c r="I72" s="564">
        <v>1</v>
      </c>
      <c r="J72" s="554">
        <v>17697</v>
      </c>
      <c r="K72" s="648">
        <v>16</v>
      </c>
      <c r="L72" s="554">
        <f t="shared" si="34"/>
        <v>0.88888888888888884</v>
      </c>
      <c r="M72" s="574" t="s">
        <v>152</v>
      </c>
      <c r="N72" s="1014">
        <v>4.75</v>
      </c>
      <c r="O72" s="567">
        <f t="shared" si="31"/>
        <v>74720.666666666672</v>
      </c>
      <c r="P72" s="697">
        <f t="shared" si="35"/>
        <v>18680.166666666668</v>
      </c>
      <c r="Q72" s="568"/>
      <c r="R72" s="554"/>
      <c r="S72" s="552">
        <v>0.1</v>
      </c>
      <c r="T72" s="567">
        <f t="shared" si="32"/>
        <v>9340.0833333333339</v>
      </c>
      <c r="U72" s="19"/>
      <c r="V72" s="554"/>
      <c r="W72" s="570">
        <f t="shared" si="33"/>
        <v>102740.91666666667</v>
      </c>
      <c r="X72" s="1690">
        <f>U71+Q71</f>
        <v>0</v>
      </c>
      <c r="Y72" s="1690">
        <f>V71+R71</f>
        <v>0</v>
      </c>
      <c r="Z72" s="23">
        <f>W71*12</f>
        <v>308222.75</v>
      </c>
      <c r="AA72" s="24">
        <f>Z72/12/29.33*56</f>
        <v>49041.010342084337</v>
      </c>
      <c r="AB72" s="24">
        <f>Z72*1.25</f>
        <v>385278.4375</v>
      </c>
      <c r="AC72" s="24">
        <f>AB72/12/29.33*56</f>
        <v>61301.262927605414</v>
      </c>
      <c r="AJ72" s="23"/>
      <c r="AK72" s="23"/>
      <c r="AL72" s="23"/>
      <c r="AM72" s="23"/>
      <c r="AN72" s="23"/>
      <c r="AO72" s="23"/>
      <c r="AP72" s="23"/>
    </row>
    <row r="73" spans="1:44" s="24" customFormat="1" ht="17.25" customHeight="1">
      <c r="A73" s="1788" t="s">
        <v>758</v>
      </c>
      <c r="B73" s="641" t="s">
        <v>99</v>
      </c>
      <c r="C73" s="1732" t="s">
        <v>25</v>
      </c>
      <c r="D73" s="1794" t="s">
        <v>816</v>
      </c>
      <c r="E73" s="1794" t="s">
        <v>366</v>
      </c>
      <c r="F73" s="1727">
        <v>1</v>
      </c>
      <c r="G73" s="577" t="s">
        <v>102</v>
      </c>
      <c r="H73" s="577" t="s">
        <v>103</v>
      </c>
      <c r="I73" s="578">
        <v>4</v>
      </c>
      <c r="J73" s="552">
        <v>17697</v>
      </c>
      <c r="K73" s="1607">
        <v>34</v>
      </c>
      <c r="L73" s="556">
        <f t="shared" si="34"/>
        <v>1.8888888888888888</v>
      </c>
      <c r="M73" s="997" t="s">
        <v>112</v>
      </c>
      <c r="N73" s="1804">
        <v>4.12</v>
      </c>
      <c r="O73" s="556">
        <f>J73*N73/18*K73</f>
        <v>137721.98666666666</v>
      </c>
      <c r="P73" s="556">
        <f t="shared" si="35"/>
        <v>34430.496666666666</v>
      </c>
      <c r="Q73" s="1754">
        <v>0.25</v>
      </c>
      <c r="R73" s="552">
        <f>(O73+P73)*Q73</f>
        <v>43038.120833333334</v>
      </c>
      <c r="S73" s="552">
        <v>0.1</v>
      </c>
      <c r="T73" s="556">
        <f>(O73+P73+R73)*S73</f>
        <v>21519.060416666671</v>
      </c>
      <c r="U73" s="19"/>
      <c r="V73" s="552"/>
      <c r="W73" s="559">
        <f>O73+P73+R73+T73</f>
        <v>236709.66458333336</v>
      </c>
      <c r="X73" s="406"/>
      <c r="Y73" s="406"/>
      <c r="Z73" s="375"/>
      <c r="AA73" s="377"/>
      <c r="AB73" s="377"/>
      <c r="AC73" s="377"/>
      <c r="AD73" s="377"/>
      <c r="AE73" s="377"/>
      <c r="AF73" s="377"/>
      <c r="AG73" s="377"/>
      <c r="AH73" s="377"/>
      <c r="AI73" s="377"/>
      <c r="AJ73" s="23"/>
      <c r="AK73" s="23"/>
      <c r="AL73" s="23"/>
      <c r="AM73" s="23"/>
      <c r="AN73" s="23"/>
      <c r="AO73" s="23"/>
      <c r="AP73" s="23"/>
      <c r="AQ73" s="377"/>
      <c r="AR73" s="377"/>
    </row>
    <row r="74" spans="1:44" s="24" customFormat="1" ht="17.25" customHeight="1">
      <c r="A74" s="153" t="s">
        <v>281</v>
      </c>
      <c r="B74" s="561" t="s">
        <v>99</v>
      </c>
      <c r="C74" s="628" t="s">
        <v>25</v>
      </c>
      <c r="D74" s="586" t="s">
        <v>698</v>
      </c>
      <c r="E74" s="562" t="s">
        <v>40</v>
      </c>
      <c r="F74" s="571">
        <v>1</v>
      </c>
      <c r="G74" s="563" t="s">
        <v>102</v>
      </c>
      <c r="H74" s="563" t="s">
        <v>103</v>
      </c>
      <c r="I74" s="629">
        <v>1</v>
      </c>
      <c r="J74" s="554">
        <v>17697</v>
      </c>
      <c r="K74" s="1671">
        <v>6</v>
      </c>
      <c r="L74" s="552">
        <f t="shared" si="34"/>
        <v>0.33333333333333331</v>
      </c>
      <c r="M74" s="574" t="s">
        <v>152</v>
      </c>
      <c r="N74" s="1015">
        <v>4.75</v>
      </c>
      <c r="O74" s="556">
        <f>N74*J74/18*K74</f>
        <v>28020.25</v>
      </c>
      <c r="P74" s="556">
        <f t="shared" si="35"/>
        <v>7005.0625</v>
      </c>
      <c r="Q74" s="568"/>
      <c r="R74" s="554"/>
      <c r="S74" s="554">
        <v>0.1</v>
      </c>
      <c r="T74" s="556">
        <f>(O74+P74)*S74</f>
        <v>3502.53125</v>
      </c>
      <c r="U74" s="19"/>
      <c r="V74" s="552"/>
      <c r="W74" s="559">
        <f>O74+P74+T74</f>
        <v>38527.84375</v>
      </c>
      <c r="X74" s="70"/>
      <c r="Y74" s="70"/>
      <c r="Z74" s="23"/>
      <c r="AJ74" s="23"/>
      <c r="AK74" s="23"/>
      <c r="AL74" s="23"/>
      <c r="AM74" s="23"/>
      <c r="AN74" s="23"/>
      <c r="AO74" s="23"/>
      <c r="AP74" s="23"/>
    </row>
    <row r="75" spans="1:44" s="24" customFormat="1" ht="17.25" customHeight="1">
      <c r="A75" s="692" t="s">
        <v>281</v>
      </c>
      <c r="B75" s="692" t="s">
        <v>99</v>
      </c>
      <c r="C75" s="875" t="s">
        <v>25</v>
      </c>
      <c r="D75" s="1599" t="s">
        <v>694</v>
      </c>
      <c r="E75" s="1539" t="s">
        <v>40</v>
      </c>
      <c r="F75" s="560">
        <v>1</v>
      </c>
      <c r="G75" s="563" t="s">
        <v>102</v>
      </c>
      <c r="H75" s="563" t="s">
        <v>103</v>
      </c>
      <c r="I75" s="1603">
        <v>1</v>
      </c>
      <c r="J75" s="554">
        <v>17697</v>
      </c>
      <c r="K75" s="645">
        <v>12</v>
      </c>
      <c r="L75" s="552">
        <f t="shared" si="34"/>
        <v>0.66666666666666663</v>
      </c>
      <c r="M75" s="698" t="s">
        <v>152</v>
      </c>
      <c r="N75" s="1600">
        <v>4.75</v>
      </c>
      <c r="O75" s="556">
        <f>N75*J75/18*K75</f>
        <v>56040.5</v>
      </c>
      <c r="P75" s="556">
        <f t="shared" si="35"/>
        <v>14010.125</v>
      </c>
      <c r="Q75" s="1538"/>
      <c r="R75" s="700"/>
      <c r="S75" s="554">
        <v>0.1</v>
      </c>
      <c r="T75" s="556">
        <f>(O75+P75)*S75</f>
        <v>7005.0625</v>
      </c>
      <c r="U75" s="1541"/>
      <c r="V75" s="552"/>
      <c r="W75" s="559">
        <f>O75+P75+T75</f>
        <v>77055.6875</v>
      </c>
      <c r="X75" s="7">
        <f>U74+Q74</f>
        <v>0</v>
      </c>
      <c r="Y75" s="7">
        <f>V74+R74</f>
        <v>0</v>
      </c>
      <c r="Z75" s="23">
        <f>W74*12</f>
        <v>462334.125</v>
      </c>
      <c r="AA75" s="24">
        <f>Z75/12/29.33*56</f>
        <v>73561.515513126491</v>
      </c>
      <c r="AB75" s="24">
        <f>Z75*1.25</f>
        <v>577917.65625</v>
      </c>
      <c r="AC75" s="24">
        <f>AB75/12/29.33*56</f>
        <v>91951.894391408117</v>
      </c>
      <c r="AJ75" s="23"/>
      <c r="AK75" s="23"/>
      <c r="AL75" s="23"/>
      <c r="AM75" s="23"/>
      <c r="AN75" s="23"/>
      <c r="AO75" s="23"/>
      <c r="AP75" s="23"/>
    </row>
    <row r="76" spans="1:44" s="24" customFormat="1" ht="17.25" customHeight="1">
      <c r="A76" s="1606" t="s">
        <v>519</v>
      </c>
      <c r="B76" s="692" t="s">
        <v>99</v>
      </c>
      <c r="C76" s="693" t="s">
        <v>25</v>
      </c>
      <c r="D76" s="694" t="s">
        <v>815</v>
      </c>
      <c r="E76" s="664" t="s">
        <v>34</v>
      </c>
      <c r="F76" s="695">
        <v>1</v>
      </c>
      <c r="G76" s="177" t="s">
        <v>102</v>
      </c>
      <c r="H76" s="177" t="s">
        <v>103</v>
      </c>
      <c r="I76" s="178">
        <v>1</v>
      </c>
      <c r="J76" s="554">
        <v>17697</v>
      </c>
      <c r="K76" s="1607">
        <v>18</v>
      </c>
      <c r="L76" s="556">
        <f t="shared" si="34"/>
        <v>1</v>
      </c>
      <c r="M76" s="698" t="s">
        <v>152</v>
      </c>
      <c r="N76" s="1612">
        <v>4.75</v>
      </c>
      <c r="O76" s="556">
        <f>J76*N76/18*K76</f>
        <v>84060.75</v>
      </c>
      <c r="P76" s="556">
        <f t="shared" si="35"/>
        <v>21015.1875</v>
      </c>
      <c r="Q76" s="1752">
        <v>0.25</v>
      </c>
      <c r="R76" s="700">
        <f>(O76+P76)*Q76</f>
        <v>26268.984375</v>
      </c>
      <c r="S76" s="554">
        <v>0.1</v>
      </c>
      <c r="T76" s="556">
        <f>(O76+P76+R76)*S76</f>
        <v>13134.4921875</v>
      </c>
      <c r="U76" s="1541"/>
      <c r="V76" s="552"/>
      <c r="W76" s="559">
        <f>O76+P76+R76+T76</f>
        <v>144479.4140625</v>
      </c>
      <c r="X76" s="1175"/>
      <c r="Y76" s="1175"/>
      <c r="Z76" s="375"/>
      <c r="AA76" s="377"/>
      <c r="AB76" s="377"/>
      <c r="AC76" s="377"/>
      <c r="AD76" s="377"/>
      <c r="AE76" s="377"/>
      <c r="AF76" s="377"/>
      <c r="AG76" s="377"/>
      <c r="AH76" s="377"/>
      <c r="AI76" s="377"/>
      <c r="AJ76" s="23"/>
      <c r="AK76" s="23"/>
      <c r="AL76" s="23"/>
      <c r="AM76" s="23"/>
      <c r="AN76" s="23"/>
      <c r="AO76" s="23"/>
      <c r="AP76" s="23"/>
      <c r="AQ76" s="377"/>
      <c r="AR76" s="377"/>
    </row>
    <row r="77" spans="1:44" s="24" customFormat="1" ht="17.25" customHeight="1">
      <c r="A77" s="153" t="s">
        <v>177</v>
      </c>
      <c r="B77" s="561" t="s">
        <v>99</v>
      </c>
      <c r="C77" s="563" t="s">
        <v>178</v>
      </c>
      <c r="D77" s="562" t="s">
        <v>695</v>
      </c>
      <c r="E77" s="562" t="s">
        <v>366</v>
      </c>
      <c r="F77" s="560">
        <v>1</v>
      </c>
      <c r="G77" s="563" t="s">
        <v>102</v>
      </c>
      <c r="H77" s="563" t="s">
        <v>103</v>
      </c>
      <c r="I77" s="581">
        <v>2</v>
      </c>
      <c r="J77" s="554">
        <v>17697</v>
      </c>
      <c r="K77" s="553">
        <v>28</v>
      </c>
      <c r="L77" s="552">
        <f t="shared" si="34"/>
        <v>1.5555555555555556</v>
      </c>
      <c r="M77" s="566" t="s">
        <v>104</v>
      </c>
      <c r="N77" s="1014">
        <v>4.4400000000000004</v>
      </c>
      <c r="O77" s="556">
        <f>N77*J77/18*K77</f>
        <v>122227.28</v>
      </c>
      <c r="P77" s="556">
        <f t="shared" si="35"/>
        <v>30556.82</v>
      </c>
      <c r="Q77" s="568"/>
      <c r="R77" s="554"/>
      <c r="S77" s="554">
        <v>0.1</v>
      </c>
      <c r="T77" s="556">
        <f>(O77+P77)*S77</f>
        <v>15278.410000000002</v>
      </c>
      <c r="U77" s="569"/>
      <c r="V77" s="552"/>
      <c r="W77" s="559">
        <f>O77+P77+T77</f>
        <v>168062.51</v>
      </c>
      <c r="X77" s="1693"/>
      <c r="Y77" s="1693"/>
      <c r="Z77" s="23">
        <f>W77*12</f>
        <v>2016750.12</v>
      </c>
      <c r="AA77" s="24">
        <f>Z77/12/29.33*56</f>
        <v>320883.07398568024</v>
      </c>
      <c r="AB77" s="24">
        <f>Z77*1.25</f>
        <v>2520937.6500000004</v>
      </c>
      <c r="AC77" s="24">
        <f>AB77/12/29.33*56</f>
        <v>401103.84248210036</v>
      </c>
      <c r="AD77" s="916"/>
      <c r="AE77" s="916"/>
      <c r="AF77" s="916"/>
      <c r="AG77" s="916"/>
      <c r="AH77" s="916"/>
      <c r="AI77" s="916"/>
      <c r="AJ77" s="1783"/>
      <c r="AK77" s="1783"/>
      <c r="AL77" s="1783"/>
      <c r="AM77" s="1783"/>
      <c r="AN77" s="1783"/>
      <c r="AO77" s="1783"/>
      <c r="AP77" s="1783"/>
      <c r="AQ77" s="916"/>
      <c r="AR77" s="916"/>
    </row>
    <row r="78" spans="1:44" s="24" customFormat="1" ht="16.5" customHeight="1">
      <c r="A78" s="153" t="s">
        <v>808</v>
      </c>
      <c r="B78" s="561" t="s">
        <v>99</v>
      </c>
      <c r="C78" s="563" t="s">
        <v>152</v>
      </c>
      <c r="D78" s="562" t="s">
        <v>809</v>
      </c>
      <c r="E78" s="562" t="s">
        <v>34</v>
      </c>
      <c r="F78" s="560">
        <v>1</v>
      </c>
      <c r="G78" s="563" t="s">
        <v>102</v>
      </c>
      <c r="H78" s="563" t="s">
        <v>103</v>
      </c>
      <c r="I78" s="581">
        <v>3</v>
      </c>
      <c r="J78" s="554">
        <v>17697</v>
      </c>
      <c r="K78" s="553">
        <v>28</v>
      </c>
      <c r="L78" s="552">
        <f t="shared" si="34"/>
        <v>1.5555555555555556</v>
      </c>
      <c r="M78" s="566" t="s">
        <v>109</v>
      </c>
      <c r="N78" s="1014">
        <v>4.5</v>
      </c>
      <c r="O78" s="556">
        <f>N78*J78/18*K78</f>
        <v>123879</v>
      </c>
      <c r="P78" s="556">
        <f t="shared" si="35"/>
        <v>30969.75</v>
      </c>
      <c r="Q78" s="568"/>
      <c r="R78" s="554"/>
      <c r="S78" s="554">
        <v>0.1</v>
      </c>
      <c r="T78" s="556">
        <f>(O78+P78)*S78</f>
        <v>15484.875</v>
      </c>
      <c r="U78" s="569"/>
      <c r="V78" s="552"/>
      <c r="W78" s="559">
        <f>O78+P78+T78</f>
        <v>170333.625</v>
      </c>
      <c r="X78" s="1693"/>
      <c r="Y78" s="1693"/>
      <c r="Z78" s="23"/>
      <c r="AD78" s="916"/>
      <c r="AE78" s="916"/>
      <c r="AF78" s="916"/>
      <c r="AG78" s="916"/>
      <c r="AH78" s="916"/>
      <c r="AI78" s="916"/>
      <c r="AJ78" s="1783"/>
      <c r="AK78" s="1783"/>
      <c r="AL78" s="1783"/>
      <c r="AM78" s="1783"/>
      <c r="AN78" s="1783"/>
      <c r="AO78" s="1783"/>
      <c r="AP78" s="1783"/>
      <c r="AQ78" s="916"/>
      <c r="AR78" s="916"/>
    </row>
    <row r="79" spans="1:44" s="24" customFormat="1" ht="17.25" customHeight="1">
      <c r="A79" s="647" t="s">
        <v>282</v>
      </c>
      <c r="B79" s="647" t="s">
        <v>617</v>
      </c>
      <c r="C79" s="628" t="s">
        <v>25</v>
      </c>
      <c r="D79" s="586" t="s">
        <v>699</v>
      </c>
      <c r="E79" s="562" t="s">
        <v>40</v>
      </c>
      <c r="F79" s="560">
        <v>1</v>
      </c>
      <c r="G79" s="563" t="s">
        <v>102</v>
      </c>
      <c r="H79" s="563" t="s">
        <v>103</v>
      </c>
      <c r="I79" s="1603">
        <v>1</v>
      </c>
      <c r="J79" s="554">
        <v>17697</v>
      </c>
      <c r="K79" s="645">
        <v>34</v>
      </c>
      <c r="L79" s="552">
        <f t="shared" si="34"/>
        <v>1.8888888888888888</v>
      </c>
      <c r="M79" s="574" t="s">
        <v>152</v>
      </c>
      <c r="N79" s="1598">
        <v>4.75</v>
      </c>
      <c r="O79" s="556">
        <f>N79*J79/18*K79</f>
        <v>158781.41666666669</v>
      </c>
      <c r="P79" s="556">
        <f t="shared" si="35"/>
        <v>39695.354166666672</v>
      </c>
      <c r="Q79" s="568"/>
      <c r="R79" s="554"/>
      <c r="S79" s="554">
        <v>0.1</v>
      </c>
      <c r="T79" s="556">
        <f>(O79+P79)*S79</f>
        <v>19847.677083333339</v>
      </c>
      <c r="U79" s="19"/>
      <c r="V79" s="552"/>
      <c r="W79" s="559">
        <f>O79+P79+T79</f>
        <v>218324.44791666672</v>
      </c>
      <c r="X79" s="10"/>
      <c r="Y79" s="10"/>
      <c r="Z79" s="23"/>
      <c r="AJ79" s="23"/>
      <c r="AK79" s="23"/>
      <c r="AL79" s="23"/>
      <c r="AM79" s="23"/>
      <c r="AN79" s="23"/>
      <c r="AO79" s="23"/>
      <c r="AP79" s="23"/>
    </row>
    <row r="80" spans="1:44" s="24" customFormat="1" ht="16.5" customHeight="1">
      <c r="A80" s="647" t="s">
        <v>392</v>
      </c>
      <c r="B80" s="647" t="s">
        <v>99</v>
      </c>
      <c r="C80" s="628" t="s">
        <v>25</v>
      </c>
      <c r="D80" s="586" t="s">
        <v>700</v>
      </c>
      <c r="E80" s="582" t="s">
        <v>434</v>
      </c>
      <c r="F80" s="560">
        <v>1</v>
      </c>
      <c r="G80" s="563" t="s">
        <v>102</v>
      </c>
      <c r="H80" s="563" t="s">
        <v>103</v>
      </c>
      <c r="I80" s="1584">
        <v>2</v>
      </c>
      <c r="J80" s="554">
        <v>17697</v>
      </c>
      <c r="K80" s="645">
        <v>24</v>
      </c>
      <c r="L80" s="552">
        <f t="shared" si="34"/>
        <v>1.3333333333333333</v>
      </c>
      <c r="M80" s="574" t="s">
        <v>104</v>
      </c>
      <c r="N80" s="1602">
        <v>4.4400000000000004</v>
      </c>
      <c r="O80" s="556">
        <f>N80*J80/18*K80</f>
        <v>104766.24</v>
      </c>
      <c r="P80" s="556">
        <f t="shared" si="35"/>
        <v>26191.56</v>
      </c>
      <c r="Q80" s="568"/>
      <c r="R80" s="554"/>
      <c r="S80" s="554">
        <v>0.1</v>
      </c>
      <c r="T80" s="556">
        <f>(O80+P80)*S80</f>
        <v>13095.78</v>
      </c>
      <c r="U80" s="19"/>
      <c r="V80" s="552"/>
      <c r="W80" s="559">
        <f>O80+P80+T80</f>
        <v>144053.58000000002</v>
      </c>
      <c r="X80" s="7">
        <f>U79+Q79</f>
        <v>0</v>
      </c>
      <c r="Y80" s="7">
        <f>V79+R79</f>
        <v>0</v>
      </c>
      <c r="Z80" s="23">
        <f>W79*12</f>
        <v>2619893.3750000005</v>
      </c>
      <c r="AA80" s="24">
        <f>Z80/12/29.33*56</f>
        <v>416848.58790771686</v>
      </c>
      <c r="AB80" s="24">
        <f>Z80*1.25</f>
        <v>3274866.7187500005</v>
      </c>
      <c r="AC80" s="24">
        <f>AB80/12/29.33*56</f>
        <v>521060.73488464608</v>
      </c>
      <c r="AJ80" s="23"/>
      <c r="AK80" s="23"/>
      <c r="AL80" s="23"/>
      <c r="AM80" s="23"/>
      <c r="AN80" s="23"/>
      <c r="AO80" s="23"/>
      <c r="AP80" s="23"/>
    </row>
    <row r="81" spans="1:44" s="24" customFormat="1" ht="16.5" customHeight="1">
      <c r="A81" s="692" t="s">
        <v>706</v>
      </c>
      <c r="B81" s="692" t="s">
        <v>99</v>
      </c>
      <c r="C81" s="1002" t="s">
        <v>75</v>
      </c>
      <c r="D81" s="1717" t="s">
        <v>707</v>
      </c>
      <c r="E81" s="1586" t="s">
        <v>159</v>
      </c>
      <c r="F81" s="547">
        <v>1</v>
      </c>
      <c r="G81" s="563" t="s">
        <v>102</v>
      </c>
      <c r="H81" s="563" t="s">
        <v>118</v>
      </c>
      <c r="I81" s="1603">
        <v>4</v>
      </c>
      <c r="J81" s="554">
        <v>17697</v>
      </c>
      <c r="K81" s="1739">
        <v>15</v>
      </c>
      <c r="L81" s="554">
        <f t="shared" si="34"/>
        <v>0.83333333333333337</v>
      </c>
      <c r="M81" s="1604" t="s">
        <v>112</v>
      </c>
      <c r="N81" s="1605">
        <v>3.32</v>
      </c>
      <c r="O81" s="556">
        <f>N81*J81/18*K81</f>
        <v>48961.69999999999</v>
      </c>
      <c r="P81" s="556">
        <f t="shared" si="35"/>
        <v>12240.424999999997</v>
      </c>
      <c r="Q81" s="1538"/>
      <c r="R81" s="700"/>
      <c r="S81" s="554">
        <v>0.1</v>
      </c>
      <c r="T81" s="556">
        <f>(O81+P81)*S81</f>
        <v>6120.2124999999987</v>
      </c>
      <c r="U81" s="1541"/>
      <c r="V81" s="552"/>
      <c r="W81" s="559">
        <f>O81+P81+T81</f>
        <v>67322.33749999998</v>
      </c>
      <c r="X81" s="882"/>
      <c r="Y81" s="882"/>
      <c r="Z81" s="23">
        <f>W80*12</f>
        <v>1728642.9600000002</v>
      </c>
      <c r="AA81" s="24">
        <f>Z81/12/29.33*56</f>
        <v>275042.63484486873</v>
      </c>
      <c r="AB81" s="24">
        <f>Z81*1.25</f>
        <v>2160803.7000000002</v>
      </c>
      <c r="AC81" s="24">
        <f>AB81/12/29.33*56</f>
        <v>343803.2935560859</v>
      </c>
      <c r="AJ81" s="23"/>
      <c r="AK81" s="23"/>
      <c r="AL81" s="23"/>
      <c r="AM81" s="23"/>
      <c r="AN81" s="23"/>
      <c r="AO81" s="23"/>
      <c r="AP81" s="23"/>
    </row>
    <row r="82" spans="1:44" s="24" customFormat="1" ht="17.25" customHeight="1">
      <c r="A82" s="1018" t="s">
        <v>706</v>
      </c>
      <c r="B82" s="647" t="s">
        <v>99</v>
      </c>
      <c r="C82" s="663" t="s">
        <v>75</v>
      </c>
      <c r="D82" s="664" t="s">
        <v>707</v>
      </c>
      <c r="E82" s="664" t="s">
        <v>159</v>
      </c>
      <c r="F82" s="177">
        <v>1</v>
      </c>
      <c r="G82" s="563" t="s">
        <v>102</v>
      </c>
      <c r="H82" s="563" t="s">
        <v>118</v>
      </c>
      <c r="I82" s="1603">
        <v>4</v>
      </c>
      <c r="J82" s="554">
        <v>17697</v>
      </c>
      <c r="K82" s="1607">
        <v>8</v>
      </c>
      <c r="L82" s="556">
        <f t="shared" si="34"/>
        <v>0.44444444444444442</v>
      </c>
      <c r="M82" s="574" t="s">
        <v>112</v>
      </c>
      <c r="N82" s="1608">
        <v>3.32</v>
      </c>
      <c r="O82" s="556">
        <f>J82*N82/18*K82</f>
        <v>26112.906666666662</v>
      </c>
      <c r="P82" s="556">
        <f t="shared" si="35"/>
        <v>6528.2266666666656</v>
      </c>
      <c r="Q82" s="666">
        <v>0.25</v>
      </c>
      <c r="R82" s="554">
        <f>(O82+P82)*Q82</f>
        <v>8160.2833333333319</v>
      </c>
      <c r="S82" s="554">
        <v>0.1</v>
      </c>
      <c r="T82" s="556">
        <f>(O82+P82+R82)*S82</f>
        <v>4080.141666666666</v>
      </c>
      <c r="U82" s="19"/>
      <c r="V82" s="552"/>
      <c r="W82" s="559">
        <f>O82+P82+R82+T82</f>
        <v>44881.55833333332</v>
      </c>
      <c r="X82" s="984"/>
      <c r="Y82" s="984"/>
      <c r="Z82" s="81">
        <f>W81*12</f>
        <v>807868.04999999981</v>
      </c>
      <c r="AA82" s="80">
        <f>Z82/12/29.33*56</f>
        <v>128539.06921241047</v>
      </c>
      <c r="AB82" s="80">
        <f>Z82*1.25</f>
        <v>1009835.0624999998</v>
      </c>
      <c r="AC82" s="80">
        <f>AB82/12/29.33*56</f>
        <v>160673.8365155131</v>
      </c>
      <c r="AD82" s="986"/>
      <c r="AE82" s="986"/>
      <c r="AF82" s="986"/>
      <c r="AG82" s="986"/>
      <c r="AH82" s="986"/>
      <c r="AI82" s="986"/>
      <c r="AJ82" s="23"/>
      <c r="AK82" s="23"/>
      <c r="AL82" s="23"/>
      <c r="AM82" s="23"/>
      <c r="AN82" s="23"/>
      <c r="AO82" s="23"/>
      <c r="AP82" s="23"/>
      <c r="AQ82" s="986"/>
      <c r="AR82" s="986"/>
    </row>
    <row r="83" spans="1:44" s="24" customFormat="1" ht="17.25" customHeight="1">
      <c r="A83" s="153" t="s">
        <v>182</v>
      </c>
      <c r="B83" s="561" t="s">
        <v>99</v>
      </c>
      <c r="C83" s="563" t="s">
        <v>25</v>
      </c>
      <c r="D83" s="562" t="s">
        <v>701</v>
      </c>
      <c r="E83" s="562" t="s">
        <v>51</v>
      </c>
      <c r="F83" s="560">
        <v>1</v>
      </c>
      <c r="G83" s="563" t="s">
        <v>102</v>
      </c>
      <c r="H83" s="563" t="s">
        <v>103</v>
      </c>
      <c r="I83" s="581">
        <v>1</v>
      </c>
      <c r="J83" s="554">
        <v>17697</v>
      </c>
      <c r="K83" s="553">
        <v>32</v>
      </c>
      <c r="L83" s="552">
        <f t="shared" si="34"/>
        <v>1.7777777777777777</v>
      </c>
      <c r="M83" s="1583" t="s">
        <v>104</v>
      </c>
      <c r="N83" s="1014">
        <v>4.6900000000000004</v>
      </c>
      <c r="O83" s="556">
        <f t="shared" ref="O83:O96" si="36">N83*J83/18*K83</f>
        <v>147553.65333333335</v>
      </c>
      <c r="P83" s="556">
        <f t="shared" si="35"/>
        <v>36888.413333333338</v>
      </c>
      <c r="Q83" s="568"/>
      <c r="R83" s="554"/>
      <c r="S83" s="554">
        <v>0.1</v>
      </c>
      <c r="T83" s="556">
        <f t="shared" ref="T83:T96" si="37">(O83+P83)*S83</f>
        <v>18444.206666666669</v>
      </c>
      <c r="U83" s="569"/>
      <c r="V83" s="552"/>
      <c r="W83" s="559">
        <f t="shared" ref="W83:W96" si="38">O83+P83+T83</f>
        <v>202886.27333333335</v>
      </c>
      <c r="X83" s="152"/>
      <c r="Y83" s="152"/>
      <c r="Z83" s="23"/>
      <c r="AD83" s="916"/>
      <c r="AE83" s="916"/>
      <c r="AF83" s="916"/>
      <c r="AG83" s="916"/>
      <c r="AH83" s="916"/>
      <c r="AI83" s="916"/>
      <c r="AJ83" s="1783"/>
      <c r="AK83" s="1783"/>
      <c r="AL83" s="1783"/>
      <c r="AM83" s="1783"/>
      <c r="AN83" s="1783"/>
      <c r="AO83" s="1783"/>
      <c r="AP83" s="1783"/>
      <c r="AQ83" s="916"/>
      <c r="AR83" s="916"/>
    </row>
    <row r="84" spans="1:44" s="24" customFormat="1" ht="17.25" customHeight="1">
      <c r="A84" s="153" t="s">
        <v>184</v>
      </c>
      <c r="B84" s="561" t="s">
        <v>99</v>
      </c>
      <c r="C84" s="563" t="s">
        <v>25</v>
      </c>
      <c r="D84" s="586" t="s">
        <v>702</v>
      </c>
      <c r="E84" s="562" t="s">
        <v>27</v>
      </c>
      <c r="F84" s="560">
        <v>1</v>
      </c>
      <c r="G84" s="563" t="s">
        <v>102</v>
      </c>
      <c r="H84" s="563" t="s">
        <v>103</v>
      </c>
      <c r="I84" s="581">
        <v>1</v>
      </c>
      <c r="J84" s="554">
        <v>17697</v>
      </c>
      <c r="K84" s="553">
        <v>32</v>
      </c>
      <c r="L84" s="552">
        <f t="shared" si="34"/>
        <v>1.7777777777777777</v>
      </c>
      <c r="M84" s="574" t="s">
        <v>152</v>
      </c>
      <c r="N84" s="1014">
        <v>4.75</v>
      </c>
      <c r="O84" s="556">
        <f t="shared" si="36"/>
        <v>149441.33333333334</v>
      </c>
      <c r="P84" s="556">
        <f t="shared" si="35"/>
        <v>37360.333333333336</v>
      </c>
      <c r="Q84" s="568"/>
      <c r="R84" s="554"/>
      <c r="S84" s="554">
        <v>0.1</v>
      </c>
      <c r="T84" s="556">
        <f t="shared" si="37"/>
        <v>18680.166666666668</v>
      </c>
      <c r="U84" s="569"/>
      <c r="V84" s="552"/>
      <c r="W84" s="559">
        <f t="shared" si="38"/>
        <v>205481.83333333334</v>
      </c>
      <c r="X84" s="152"/>
      <c r="Y84" s="152"/>
      <c r="Z84" s="23">
        <f>W84*12</f>
        <v>2465782</v>
      </c>
      <c r="AA84" s="24">
        <f t="shared" ref="AA84:AA90" si="39">Z84/12/29.33*56</f>
        <v>392328.0827366747</v>
      </c>
      <c r="AB84" s="24">
        <f t="shared" ref="AB84:AB90" si="40">Z84*1.25</f>
        <v>3082227.5</v>
      </c>
      <c r="AC84" s="24">
        <f t="shared" ref="AC84:AC90" si="41">AB84/12/29.33*56</f>
        <v>490410.10342084331</v>
      </c>
      <c r="AD84" s="916"/>
      <c r="AE84" s="916"/>
      <c r="AF84" s="916"/>
      <c r="AG84" s="916"/>
      <c r="AH84" s="916"/>
      <c r="AI84" s="916"/>
      <c r="AJ84" s="1783"/>
      <c r="AK84" s="1783"/>
      <c r="AL84" s="1783"/>
      <c r="AM84" s="1783"/>
      <c r="AN84" s="1783"/>
      <c r="AO84" s="1783"/>
      <c r="AP84" s="1783"/>
      <c r="AQ84" s="916"/>
      <c r="AR84" s="916"/>
    </row>
    <row r="85" spans="1:44" s="24" customFormat="1" ht="17.25" customHeight="1">
      <c r="A85" s="647" t="s">
        <v>184</v>
      </c>
      <c r="B85" s="647" t="s">
        <v>99</v>
      </c>
      <c r="C85" s="628" t="s">
        <v>25</v>
      </c>
      <c r="D85" s="586" t="s">
        <v>265</v>
      </c>
      <c r="E85" s="562" t="s">
        <v>40</v>
      </c>
      <c r="F85" s="560">
        <v>1</v>
      </c>
      <c r="G85" s="563" t="s">
        <v>102</v>
      </c>
      <c r="H85" s="563" t="s">
        <v>103</v>
      </c>
      <c r="I85" s="629">
        <v>1</v>
      </c>
      <c r="J85" s="554">
        <v>17697</v>
      </c>
      <c r="K85" s="645">
        <v>4</v>
      </c>
      <c r="L85" s="552">
        <f t="shared" si="34"/>
        <v>0.22222222222222221</v>
      </c>
      <c r="M85" s="574" t="s">
        <v>152</v>
      </c>
      <c r="N85" s="1598">
        <v>4.75</v>
      </c>
      <c r="O85" s="556">
        <f t="shared" si="36"/>
        <v>18680.166666666668</v>
      </c>
      <c r="P85" s="556">
        <f t="shared" si="35"/>
        <v>4670.041666666667</v>
      </c>
      <c r="Q85" s="568"/>
      <c r="R85" s="554"/>
      <c r="S85" s="554">
        <v>0.1</v>
      </c>
      <c r="T85" s="556">
        <f t="shared" si="37"/>
        <v>2335.0208333333335</v>
      </c>
      <c r="U85" s="19"/>
      <c r="V85" s="552"/>
      <c r="W85" s="559">
        <f t="shared" si="38"/>
        <v>25685.229166666668</v>
      </c>
      <c r="X85" s="7">
        <f>U84+Q84</f>
        <v>0</v>
      </c>
      <c r="Y85" s="7">
        <f>V84+R84</f>
        <v>0</v>
      </c>
      <c r="Z85" s="23">
        <f>W84*12</f>
        <v>2465782</v>
      </c>
      <c r="AA85" s="24">
        <f t="shared" si="39"/>
        <v>392328.0827366747</v>
      </c>
      <c r="AB85" s="24">
        <f t="shared" si="40"/>
        <v>3082227.5</v>
      </c>
      <c r="AC85" s="24">
        <f t="shared" si="41"/>
        <v>490410.10342084331</v>
      </c>
      <c r="AJ85" s="23"/>
      <c r="AK85" s="23"/>
      <c r="AL85" s="23"/>
      <c r="AM85" s="23"/>
      <c r="AN85" s="23"/>
      <c r="AO85" s="23"/>
      <c r="AP85" s="23"/>
    </row>
    <row r="86" spans="1:44" s="24" customFormat="1" ht="17.25" customHeight="1">
      <c r="A86" s="153" t="s">
        <v>186</v>
      </c>
      <c r="B86" s="561" t="s">
        <v>99</v>
      </c>
      <c r="C86" s="563" t="s">
        <v>25</v>
      </c>
      <c r="D86" s="562" t="s">
        <v>703</v>
      </c>
      <c r="E86" s="562" t="s">
        <v>27</v>
      </c>
      <c r="F86" s="560">
        <v>1</v>
      </c>
      <c r="G86" s="563" t="s">
        <v>102</v>
      </c>
      <c r="H86" s="563" t="s">
        <v>103</v>
      </c>
      <c r="I86" s="581">
        <v>1</v>
      </c>
      <c r="J86" s="554">
        <v>17697</v>
      </c>
      <c r="K86" s="553">
        <v>26</v>
      </c>
      <c r="L86" s="552">
        <f t="shared" si="34"/>
        <v>1.4444444444444444</v>
      </c>
      <c r="M86" s="574" t="s">
        <v>152</v>
      </c>
      <c r="N86" s="1014">
        <v>4.75</v>
      </c>
      <c r="O86" s="556">
        <f t="shared" si="36"/>
        <v>121421.08333333334</v>
      </c>
      <c r="P86" s="556">
        <f t="shared" si="35"/>
        <v>30355.270833333336</v>
      </c>
      <c r="Q86" s="568"/>
      <c r="R86" s="554"/>
      <c r="S86" s="554">
        <v>0.1</v>
      </c>
      <c r="T86" s="556">
        <f t="shared" si="37"/>
        <v>15177.63541666667</v>
      </c>
      <c r="U86" s="569"/>
      <c r="V86" s="552"/>
      <c r="W86" s="559">
        <f t="shared" si="38"/>
        <v>166953.98958333334</v>
      </c>
      <c r="X86" s="10">
        <f>U86+Q86</f>
        <v>0</v>
      </c>
      <c r="Y86" s="10">
        <f>V86+R86</f>
        <v>0</v>
      </c>
      <c r="Z86" s="23">
        <f>W86*12</f>
        <v>2003447.875</v>
      </c>
      <c r="AA86" s="24">
        <f t="shared" si="39"/>
        <v>318766.56722354813</v>
      </c>
      <c r="AB86" s="24">
        <f t="shared" si="40"/>
        <v>2504309.84375</v>
      </c>
      <c r="AC86" s="24">
        <f t="shared" si="41"/>
        <v>398458.20902943518</v>
      </c>
      <c r="AJ86" s="23"/>
      <c r="AK86" s="23"/>
      <c r="AL86" s="23"/>
      <c r="AM86" s="23"/>
      <c r="AN86" s="23"/>
      <c r="AO86" s="23"/>
      <c r="AP86" s="23"/>
    </row>
    <row r="87" spans="1:44" s="24" customFormat="1" ht="17.25" customHeight="1">
      <c r="A87" s="998" t="s">
        <v>810</v>
      </c>
      <c r="B87" s="873" t="s">
        <v>99</v>
      </c>
      <c r="C87" s="1002" t="s">
        <v>25</v>
      </c>
      <c r="D87" s="1539" t="s">
        <v>811</v>
      </c>
      <c r="E87" s="1539" t="s">
        <v>34</v>
      </c>
      <c r="F87" s="874">
        <v>1</v>
      </c>
      <c r="G87" s="563" t="s">
        <v>102</v>
      </c>
      <c r="H87" s="563" t="s">
        <v>103</v>
      </c>
      <c r="I87" s="581">
        <v>1</v>
      </c>
      <c r="J87" s="554">
        <v>17697</v>
      </c>
      <c r="K87" s="553">
        <v>22</v>
      </c>
      <c r="L87" s="552">
        <f t="shared" si="34"/>
        <v>1.2222222222222223</v>
      </c>
      <c r="M87" s="698" t="s">
        <v>152</v>
      </c>
      <c r="N87" s="1157">
        <v>4.75</v>
      </c>
      <c r="O87" s="556">
        <f t="shared" si="36"/>
        <v>102740.91666666667</v>
      </c>
      <c r="P87" s="556">
        <f t="shared" si="35"/>
        <v>25685.229166666668</v>
      </c>
      <c r="Q87" s="1538"/>
      <c r="R87" s="700"/>
      <c r="S87" s="554">
        <v>0.1</v>
      </c>
      <c r="T87" s="556">
        <f t="shared" si="37"/>
        <v>12842.614583333336</v>
      </c>
      <c r="U87" s="699"/>
      <c r="V87" s="552"/>
      <c r="W87" s="559">
        <f t="shared" si="38"/>
        <v>141268.76041666669</v>
      </c>
      <c r="X87" s="10">
        <f>U87+Q87</f>
        <v>0</v>
      </c>
      <c r="Y87" s="10">
        <f>V87+R87</f>
        <v>0</v>
      </c>
      <c r="Z87" s="23">
        <f>W87*12</f>
        <v>1695225.1250000002</v>
      </c>
      <c r="AA87" s="24">
        <f t="shared" si="39"/>
        <v>269725.55688146385</v>
      </c>
      <c r="AB87" s="24">
        <f t="shared" si="40"/>
        <v>2119031.4062500005</v>
      </c>
      <c r="AC87" s="24">
        <f t="shared" si="41"/>
        <v>337156.94610182982</v>
      </c>
      <c r="AJ87" s="23"/>
      <c r="AK87" s="23"/>
      <c r="AL87" s="23"/>
      <c r="AM87" s="23"/>
      <c r="AN87" s="23"/>
      <c r="AO87" s="23"/>
      <c r="AP87" s="23"/>
    </row>
    <row r="88" spans="1:44" s="24" customFormat="1" ht="17.25" customHeight="1">
      <c r="A88" s="153" t="s">
        <v>243</v>
      </c>
      <c r="B88" s="561" t="s">
        <v>99</v>
      </c>
      <c r="C88" s="563" t="s">
        <v>25</v>
      </c>
      <c r="D88" s="562" t="s">
        <v>705</v>
      </c>
      <c r="E88" s="562" t="s">
        <v>239</v>
      </c>
      <c r="F88" s="571">
        <v>1</v>
      </c>
      <c r="G88" s="580" t="s">
        <v>102</v>
      </c>
      <c r="H88" s="580" t="s">
        <v>103</v>
      </c>
      <c r="I88" s="574">
        <v>2</v>
      </c>
      <c r="J88" s="554">
        <v>17697</v>
      </c>
      <c r="K88" s="1671">
        <v>32</v>
      </c>
      <c r="L88" s="552">
        <f t="shared" si="34"/>
        <v>1.7777777777777777</v>
      </c>
      <c r="M88" s="566" t="s">
        <v>596</v>
      </c>
      <c r="N88" s="1015">
        <v>4.2300000000000004</v>
      </c>
      <c r="O88" s="556">
        <f t="shared" si="36"/>
        <v>133081.44000000003</v>
      </c>
      <c r="P88" s="556">
        <f t="shared" si="35"/>
        <v>33270.360000000008</v>
      </c>
      <c r="Q88" s="568"/>
      <c r="R88" s="554"/>
      <c r="S88" s="554">
        <v>0.1</v>
      </c>
      <c r="T88" s="556">
        <f t="shared" si="37"/>
        <v>16635.180000000004</v>
      </c>
      <c r="U88" s="19"/>
      <c r="V88" s="552"/>
      <c r="W88" s="559">
        <f t="shared" si="38"/>
        <v>182986.98000000004</v>
      </c>
      <c r="X88" s="1547">
        <f>U87+Q87</f>
        <v>0</v>
      </c>
      <c r="Y88" s="1547">
        <f>V87+R87</f>
        <v>0</v>
      </c>
      <c r="Z88" s="23">
        <f>W87*12</f>
        <v>1695225.1250000002</v>
      </c>
      <c r="AA88" s="24">
        <f t="shared" si="39"/>
        <v>269725.55688146385</v>
      </c>
      <c r="AB88" s="24">
        <f t="shared" si="40"/>
        <v>2119031.4062500005</v>
      </c>
      <c r="AC88" s="24">
        <f t="shared" si="41"/>
        <v>337156.94610182982</v>
      </c>
      <c r="AJ88" s="23"/>
      <c r="AK88" s="23"/>
      <c r="AL88" s="23"/>
      <c r="AM88" s="23"/>
      <c r="AN88" s="23"/>
      <c r="AO88" s="23"/>
      <c r="AP88" s="23"/>
    </row>
    <row r="89" spans="1:44" s="24" customFormat="1" ht="16.5" customHeight="1">
      <c r="A89" s="153" t="s">
        <v>245</v>
      </c>
      <c r="B89" s="561" t="s">
        <v>99</v>
      </c>
      <c r="C89" s="563" t="s">
        <v>25</v>
      </c>
      <c r="D89" s="562" t="s">
        <v>461</v>
      </c>
      <c r="E89" s="562" t="s">
        <v>40</v>
      </c>
      <c r="F89" s="571">
        <v>1</v>
      </c>
      <c r="G89" s="580" t="s">
        <v>102</v>
      </c>
      <c r="H89" s="580" t="s">
        <v>103</v>
      </c>
      <c r="I89" s="574">
        <v>1</v>
      </c>
      <c r="J89" s="554">
        <v>17697</v>
      </c>
      <c r="K89" s="1671">
        <v>36</v>
      </c>
      <c r="L89" s="552">
        <f t="shared" si="34"/>
        <v>2</v>
      </c>
      <c r="M89" s="698" t="s">
        <v>152</v>
      </c>
      <c r="N89" s="1015">
        <v>4.75</v>
      </c>
      <c r="O89" s="556">
        <f t="shared" si="36"/>
        <v>168121.5</v>
      </c>
      <c r="P89" s="556">
        <f t="shared" si="35"/>
        <v>42030.375</v>
      </c>
      <c r="Q89" s="568"/>
      <c r="R89" s="554"/>
      <c r="S89" s="554">
        <v>0.1</v>
      </c>
      <c r="T89" s="556">
        <f t="shared" si="37"/>
        <v>21015.1875</v>
      </c>
      <c r="U89" s="19"/>
      <c r="V89" s="552"/>
      <c r="W89" s="559">
        <f t="shared" si="38"/>
        <v>231167.0625</v>
      </c>
      <c r="X89" s="10">
        <f>U88+Q88</f>
        <v>0</v>
      </c>
      <c r="Y89" s="10">
        <f>V88+R88</f>
        <v>0</v>
      </c>
      <c r="Z89" s="23">
        <f>W88*12</f>
        <v>2195843.7600000007</v>
      </c>
      <c r="AA89" s="24">
        <f t="shared" si="39"/>
        <v>349378.48210023879</v>
      </c>
      <c r="AB89" s="24">
        <f t="shared" si="40"/>
        <v>2744804.7000000011</v>
      </c>
      <c r="AC89" s="24">
        <f t="shared" si="41"/>
        <v>436723.10262529855</v>
      </c>
      <c r="AJ89" s="23"/>
      <c r="AK89" s="23"/>
      <c r="AL89" s="23"/>
      <c r="AM89" s="23"/>
      <c r="AN89" s="23"/>
      <c r="AO89" s="23"/>
      <c r="AP89" s="23"/>
    </row>
    <row r="90" spans="1:44" s="24" customFormat="1" ht="17.25" customHeight="1">
      <c r="A90" s="647" t="s">
        <v>762</v>
      </c>
      <c r="B90" s="647" t="s">
        <v>763</v>
      </c>
      <c r="C90" s="563" t="s">
        <v>152</v>
      </c>
      <c r="D90" s="586" t="s">
        <v>764</v>
      </c>
      <c r="E90" s="562" t="s">
        <v>367</v>
      </c>
      <c r="F90" s="560"/>
      <c r="G90" s="563" t="s">
        <v>102</v>
      </c>
      <c r="H90" s="563" t="s">
        <v>103</v>
      </c>
      <c r="I90" s="1603">
        <v>3</v>
      </c>
      <c r="J90" s="554">
        <v>17697</v>
      </c>
      <c r="K90" s="645">
        <v>26</v>
      </c>
      <c r="L90" s="552">
        <f t="shared" si="34"/>
        <v>1.4444444444444444</v>
      </c>
      <c r="M90" s="1601" t="s">
        <v>109</v>
      </c>
      <c r="N90" s="1605">
        <v>4.3600000000000003</v>
      </c>
      <c r="O90" s="556">
        <f t="shared" si="36"/>
        <v>111451.77333333336</v>
      </c>
      <c r="P90" s="556">
        <f t="shared" si="35"/>
        <v>27862.94333333334</v>
      </c>
      <c r="Q90" s="1538"/>
      <c r="R90" s="700"/>
      <c r="S90" s="700">
        <v>0.1</v>
      </c>
      <c r="T90" s="556">
        <f t="shared" si="37"/>
        <v>13931.471666666672</v>
      </c>
      <c r="U90" s="1541"/>
      <c r="V90" s="552"/>
      <c r="W90" s="559">
        <f t="shared" si="38"/>
        <v>153246.18833333338</v>
      </c>
      <c r="X90" s="7"/>
      <c r="Y90" s="7"/>
      <c r="Z90" s="23">
        <f>W89*12</f>
        <v>2774004.75</v>
      </c>
      <c r="AA90" s="24">
        <f t="shared" si="39"/>
        <v>441369.09307875898</v>
      </c>
      <c r="AB90" s="24">
        <f t="shared" si="40"/>
        <v>3467505.9375</v>
      </c>
      <c r="AC90" s="24">
        <f t="shared" si="41"/>
        <v>551711.36634844868</v>
      </c>
      <c r="AJ90" s="23"/>
      <c r="AK90" s="23"/>
      <c r="AL90" s="23"/>
      <c r="AM90" s="23"/>
      <c r="AN90" s="23"/>
      <c r="AO90" s="23"/>
      <c r="AP90" s="23"/>
    </row>
    <row r="91" spans="1:44" s="24" customFormat="1" ht="17.25" customHeight="1">
      <c r="A91" s="1700" t="s">
        <v>188</v>
      </c>
      <c r="B91" s="1793" t="s">
        <v>99</v>
      </c>
      <c r="C91" s="1709" t="s">
        <v>25</v>
      </c>
      <c r="D91" s="1715" t="s">
        <v>708</v>
      </c>
      <c r="E91" s="1795" t="s">
        <v>51</v>
      </c>
      <c r="F91" s="874">
        <v>1</v>
      </c>
      <c r="G91" s="1709" t="s">
        <v>102</v>
      </c>
      <c r="H91" s="589" t="s">
        <v>103</v>
      </c>
      <c r="I91" s="581">
        <v>1</v>
      </c>
      <c r="J91" s="554">
        <v>17697</v>
      </c>
      <c r="K91" s="553">
        <v>34</v>
      </c>
      <c r="L91" s="552">
        <f t="shared" si="34"/>
        <v>1.8888888888888888</v>
      </c>
      <c r="M91" s="574" t="s">
        <v>152</v>
      </c>
      <c r="N91" s="1157">
        <v>4.75</v>
      </c>
      <c r="O91" s="556">
        <f t="shared" si="36"/>
        <v>158781.41666666669</v>
      </c>
      <c r="P91" s="556">
        <f t="shared" si="35"/>
        <v>39695.354166666672</v>
      </c>
      <c r="Q91" s="1538"/>
      <c r="R91" s="700"/>
      <c r="S91" s="554">
        <v>0.1</v>
      </c>
      <c r="T91" s="556">
        <f t="shared" si="37"/>
        <v>19847.677083333339</v>
      </c>
      <c r="U91" s="699"/>
      <c r="V91" s="552"/>
      <c r="W91" s="559">
        <f t="shared" si="38"/>
        <v>218324.44791666672</v>
      </c>
      <c r="X91" s="1547"/>
      <c r="Y91" s="1547"/>
      <c r="Z91" s="23"/>
      <c r="AJ91" s="23"/>
      <c r="AK91" s="23"/>
      <c r="AL91" s="23"/>
      <c r="AM91" s="23"/>
      <c r="AN91" s="23"/>
      <c r="AO91" s="23"/>
      <c r="AP91" s="23"/>
    </row>
    <row r="92" spans="1:44" s="24" customFormat="1" ht="17.25" customHeight="1">
      <c r="A92" s="587" t="s">
        <v>450</v>
      </c>
      <c r="B92" s="588" t="s">
        <v>99</v>
      </c>
      <c r="C92" s="589" t="s">
        <v>25</v>
      </c>
      <c r="D92" s="590" t="s">
        <v>802</v>
      </c>
      <c r="E92" s="591" t="s">
        <v>34</v>
      </c>
      <c r="F92" s="560">
        <v>1</v>
      </c>
      <c r="G92" s="589" t="s">
        <v>102</v>
      </c>
      <c r="H92" s="589" t="s">
        <v>103</v>
      </c>
      <c r="I92" s="564">
        <v>1</v>
      </c>
      <c r="J92" s="593">
        <v>17697</v>
      </c>
      <c r="K92" s="1800">
        <v>24</v>
      </c>
      <c r="L92" s="552">
        <f t="shared" si="34"/>
        <v>1.3333333333333333</v>
      </c>
      <c r="M92" s="574" t="s">
        <v>152</v>
      </c>
      <c r="N92" s="1588">
        <v>4.75</v>
      </c>
      <c r="O92" s="1805">
        <f t="shared" si="36"/>
        <v>112081</v>
      </c>
      <c r="P92" s="556">
        <f t="shared" si="35"/>
        <v>28020.25</v>
      </c>
      <c r="Q92" s="597"/>
      <c r="R92" s="593"/>
      <c r="S92" s="593">
        <v>0.1</v>
      </c>
      <c r="T92" s="556">
        <f t="shared" si="37"/>
        <v>14010.125</v>
      </c>
      <c r="U92" s="598"/>
      <c r="V92" s="892"/>
      <c r="W92" s="559">
        <f t="shared" si="38"/>
        <v>154111.375</v>
      </c>
      <c r="X92" s="1547">
        <f>U92+Q92</f>
        <v>0</v>
      </c>
      <c r="Y92" s="1547">
        <f>V92+R92</f>
        <v>0</v>
      </c>
      <c r="Z92" s="23">
        <f>W92*12</f>
        <v>1849336.5</v>
      </c>
      <c r="AA92" s="24">
        <f>Z92/12/29.33*56</f>
        <v>294246.06205250596</v>
      </c>
      <c r="AB92" s="24">
        <f>Z92*1.25</f>
        <v>2311670.625</v>
      </c>
      <c r="AC92" s="24">
        <f>AB92/12/29.33*56</f>
        <v>367807.57756563247</v>
      </c>
      <c r="AJ92" s="23"/>
      <c r="AK92" s="23"/>
      <c r="AL92" s="23"/>
      <c r="AM92" s="23"/>
      <c r="AN92" s="23"/>
      <c r="AO92" s="23"/>
      <c r="AP92" s="23"/>
    </row>
    <row r="93" spans="1:44" s="24" customFormat="1" ht="17.25" customHeight="1">
      <c r="A93" s="153" t="s">
        <v>586</v>
      </c>
      <c r="B93" s="561" t="s">
        <v>99</v>
      </c>
      <c r="C93" s="563" t="s">
        <v>25</v>
      </c>
      <c r="D93" s="712" t="s">
        <v>710</v>
      </c>
      <c r="E93" s="562" t="s">
        <v>259</v>
      </c>
      <c r="F93" s="571">
        <v>1</v>
      </c>
      <c r="G93" s="580" t="s">
        <v>102</v>
      </c>
      <c r="H93" s="580" t="s">
        <v>103</v>
      </c>
      <c r="I93" s="574">
        <v>3</v>
      </c>
      <c r="J93" s="554">
        <v>17697</v>
      </c>
      <c r="K93" s="1671">
        <v>32</v>
      </c>
      <c r="L93" s="552">
        <f t="shared" si="34"/>
        <v>1.7777777777777777</v>
      </c>
      <c r="M93" s="566" t="s">
        <v>109</v>
      </c>
      <c r="N93" s="1015">
        <v>4.1399999999999997</v>
      </c>
      <c r="O93" s="556">
        <f t="shared" si="36"/>
        <v>130249.91999999998</v>
      </c>
      <c r="P93" s="556">
        <f t="shared" si="35"/>
        <v>32562.479999999996</v>
      </c>
      <c r="Q93" s="568"/>
      <c r="R93" s="554"/>
      <c r="S93" s="554">
        <v>0.1</v>
      </c>
      <c r="T93" s="556">
        <f t="shared" si="37"/>
        <v>16281.239999999998</v>
      </c>
      <c r="U93" s="19"/>
      <c r="V93" s="552"/>
      <c r="W93" s="559">
        <f t="shared" si="38"/>
        <v>179093.63999999996</v>
      </c>
      <c r="X93" s="10"/>
      <c r="Y93" s="10"/>
      <c r="Z93" s="23">
        <f>W92*12</f>
        <v>1849336.5</v>
      </c>
      <c r="AA93" s="24">
        <f>Z93/12/29.33*56</f>
        <v>294246.06205250596</v>
      </c>
      <c r="AB93" s="24">
        <f>Z93*1.25</f>
        <v>2311670.625</v>
      </c>
      <c r="AC93" s="24">
        <f>AB93/12/29.33*56</f>
        <v>367807.57756563247</v>
      </c>
      <c r="AJ93" s="23"/>
      <c r="AK93" s="23"/>
      <c r="AL93" s="23"/>
      <c r="AM93" s="23"/>
      <c r="AN93" s="23"/>
      <c r="AO93" s="23"/>
      <c r="AP93" s="23"/>
    </row>
    <row r="94" spans="1:44" s="1346" customFormat="1" ht="17.25" customHeight="1">
      <c r="A94" s="647" t="s">
        <v>287</v>
      </c>
      <c r="B94" s="647" t="s">
        <v>99</v>
      </c>
      <c r="C94" s="628" t="s">
        <v>25</v>
      </c>
      <c r="D94" s="586" t="s">
        <v>711</v>
      </c>
      <c r="E94" s="562" t="s">
        <v>40</v>
      </c>
      <c r="F94" s="560">
        <v>1</v>
      </c>
      <c r="G94" s="563" t="s">
        <v>102</v>
      </c>
      <c r="H94" s="563" t="s">
        <v>103</v>
      </c>
      <c r="I94" s="1603">
        <v>1</v>
      </c>
      <c r="J94" s="554">
        <v>17697</v>
      </c>
      <c r="K94" s="648">
        <v>24</v>
      </c>
      <c r="L94" s="554">
        <f t="shared" si="34"/>
        <v>1.3333333333333333</v>
      </c>
      <c r="M94" s="574" t="s">
        <v>152</v>
      </c>
      <c r="N94" s="1598">
        <v>4.75</v>
      </c>
      <c r="O94" s="567">
        <f t="shared" si="36"/>
        <v>112081</v>
      </c>
      <c r="P94" s="697">
        <f t="shared" si="35"/>
        <v>28020.25</v>
      </c>
      <c r="Q94" s="568"/>
      <c r="R94" s="554"/>
      <c r="S94" s="554">
        <v>0.1</v>
      </c>
      <c r="T94" s="567">
        <f t="shared" si="37"/>
        <v>14010.125</v>
      </c>
      <c r="U94" s="19"/>
      <c r="V94" s="554"/>
      <c r="W94" s="570">
        <f t="shared" si="38"/>
        <v>154111.375</v>
      </c>
      <c r="X94" s="1547"/>
      <c r="Y94" s="1547"/>
      <c r="Z94" s="23"/>
      <c r="AA94" s="24"/>
      <c r="AB94" s="24"/>
      <c r="AC94" s="24"/>
      <c r="AD94" s="24"/>
      <c r="AE94" s="24"/>
      <c r="AF94" s="24"/>
      <c r="AG94" s="24"/>
      <c r="AH94" s="24"/>
      <c r="AI94" s="24"/>
      <c r="AJ94" s="23"/>
      <c r="AK94" s="23"/>
      <c r="AL94" s="23"/>
      <c r="AM94" s="23"/>
      <c r="AN94" s="23"/>
      <c r="AO94" s="23"/>
      <c r="AP94" s="23"/>
      <c r="AQ94" s="24"/>
      <c r="AR94" s="24"/>
    </row>
    <row r="95" spans="1:44" s="225" customFormat="1" ht="17.25" customHeight="1">
      <c r="A95" s="153" t="s">
        <v>253</v>
      </c>
      <c r="B95" s="561" t="s">
        <v>148</v>
      </c>
      <c r="C95" s="563" t="s">
        <v>25</v>
      </c>
      <c r="D95" s="562" t="s">
        <v>712</v>
      </c>
      <c r="E95" s="562" t="s">
        <v>712</v>
      </c>
      <c r="F95" s="1724">
        <v>1</v>
      </c>
      <c r="G95" s="563" t="s">
        <v>102</v>
      </c>
      <c r="H95" s="563" t="s">
        <v>103</v>
      </c>
      <c r="I95" s="629">
        <v>1</v>
      </c>
      <c r="J95" s="554">
        <v>17697</v>
      </c>
      <c r="K95" s="1643">
        <v>28</v>
      </c>
      <c r="L95" s="554">
        <f t="shared" si="34"/>
        <v>1.5555555555555556</v>
      </c>
      <c r="M95" s="566" t="s">
        <v>152</v>
      </c>
      <c r="N95" s="1015">
        <v>4.75</v>
      </c>
      <c r="O95" s="567">
        <f t="shared" si="36"/>
        <v>130761.16666666667</v>
      </c>
      <c r="P95" s="697">
        <f t="shared" si="35"/>
        <v>32690.291666666668</v>
      </c>
      <c r="Q95" s="568"/>
      <c r="R95" s="554"/>
      <c r="S95" s="554">
        <v>0.1</v>
      </c>
      <c r="T95" s="567">
        <f t="shared" si="37"/>
        <v>16345.145833333336</v>
      </c>
      <c r="U95" s="19"/>
      <c r="V95" s="554"/>
      <c r="W95" s="570">
        <f t="shared" si="38"/>
        <v>179796.60416666669</v>
      </c>
      <c r="X95" s="10"/>
      <c r="Y95" s="10"/>
      <c r="Z95" s="23"/>
      <c r="AA95" s="24"/>
      <c r="AB95" s="24"/>
      <c r="AC95" s="24"/>
      <c r="AD95" s="24"/>
      <c r="AE95" s="24"/>
      <c r="AF95" s="24"/>
      <c r="AG95" s="24"/>
      <c r="AH95" s="24"/>
      <c r="AI95" s="24"/>
      <c r="AJ95" s="23"/>
      <c r="AK95" s="23"/>
      <c r="AL95" s="23"/>
      <c r="AM95" s="23"/>
      <c r="AN95" s="23"/>
      <c r="AO95" s="23"/>
      <c r="AP95" s="23"/>
      <c r="AQ95" s="24"/>
      <c r="AR95" s="24"/>
    </row>
    <row r="96" spans="1:44" s="377" customFormat="1" ht="15.75">
      <c r="A96" s="153" t="s">
        <v>792</v>
      </c>
      <c r="B96" s="561" t="s">
        <v>99</v>
      </c>
      <c r="C96" s="563" t="s">
        <v>25</v>
      </c>
      <c r="D96" s="706" t="s">
        <v>793</v>
      </c>
      <c r="E96" s="562" t="s">
        <v>463</v>
      </c>
      <c r="F96" s="571">
        <v>1</v>
      </c>
      <c r="G96" s="580" t="s">
        <v>102</v>
      </c>
      <c r="H96" s="580" t="s">
        <v>103</v>
      </c>
      <c r="I96" s="574">
        <v>3</v>
      </c>
      <c r="J96" s="554">
        <v>17697</v>
      </c>
      <c r="K96" s="1643">
        <v>18</v>
      </c>
      <c r="L96" s="554">
        <f t="shared" si="34"/>
        <v>1</v>
      </c>
      <c r="M96" s="566" t="s">
        <v>109</v>
      </c>
      <c r="N96" s="1015">
        <v>4.28</v>
      </c>
      <c r="O96" s="567">
        <f t="shared" si="36"/>
        <v>75743.16</v>
      </c>
      <c r="P96" s="697">
        <f t="shared" si="35"/>
        <v>18935.79</v>
      </c>
      <c r="Q96" s="568"/>
      <c r="R96" s="554"/>
      <c r="S96" s="554">
        <v>0.1</v>
      </c>
      <c r="T96" s="567">
        <f t="shared" si="37"/>
        <v>9467.8950000000023</v>
      </c>
      <c r="U96" s="19"/>
      <c r="V96" s="554"/>
      <c r="W96" s="570">
        <f t="shared" si="38"/>
        <v>104146.84500000002</v>
      </c>
      <c r="X96" s="10"/>
      <c r="Y96" s="10"/>
      <c r="Z96" s="23"/>
      <c r="AA96" s="24"/>
      <c r="AB96" s="24"/>
      <c r="AC96" s="24"/>
      <c r="AD96" s="24"/>
      <c r="AE96" s="24"/>
      <c r="AF96" s="24"/>
      <c r="AG96" s="24"/>
      <c r="AH96" s="24"/>
      <c r="AI96" s="24"/>
      <c r="AJ96" s="23"/>
      <c r="AK96" s="23"/>
      <c r="AL96" s="23"/>
      <c r="AM96" s="23"/>
      <c r="AN96" s="23"/>
      <c r="AO96" s="23"/>
      <c r="AP96" s="23"/>
      <c r="AQ96" s="24"/>
      <c r="AR96" s="24"/>
    </row>
    <row r="97" spans="1:44" s="377" customFormat="1" ht="17.25" customHeight="1">
      <c r="A97" s="662" t="s">
        <v>524</v>
      </c>
      <c r="B97" s="647" t="s">
        <v>99</v>
      </c>
      <c r="C97" s="663" t="s">
        <v>25</v>
      </c>
      <c r="D97" s="664" t="s">
        <v>814</v>
      </c>
      <c r="E97" s="664" t="s">
        <v>366</v>
      </c>
      <c r="F97" s="177">
        <v>1</v>
      </c>
      <c r="G97" s="177" t="s">
        <v>102</v>
      </c>
      <c r="H97" s="177" t="s">
        <v>103</v>
      </c>
      <c r="I97" s="178">
        <v>1</v>
      </c>
      <c r="J97" s="554">
        <v>17697</v>
      </c>
      <c r="K97" s="665">
        <v>17</v>
      </c>
      <c r="L97" s="567">
        <f t="shared" si="34"/>
        <v>0.94444444444444442</v>
      </c>
      <c r="M97" s="997" t="s">
        <v>152</v>
      </c>
      <c r="N97" s="1608">
        <v>4.6900000000000004</v>
      </c>
      <c r="O97" s="567">
        <f>J97*N97/18*K97</f>
        <v>78387.878333333341</v>
      </c>
      <c r="P97" s="697">
        <f t="shared" si="35"/>
        <v>19596.969583333335</v>
      </c>
      <c r="Q97" s="666">
        <v>0.25</v>
      </c>
      <c r="R97" s="554">
        <f>(O97+P97)*Q97</f>
        <v>24496.21197916667</v>
      </c>
      <c r="S97" s="554">
        <v>0.1</v>
      </c>
      <c r="T97" s="567">
        <f>(O97+P97+R97)*S97</f>
        <v>12248.105989583335</v>
      </c>
      <c r="U97" s="19"/>
      <c r="V97" s="554"/>
      <c r="W97" s="570">
        <f>O97+P97+R97+T97</f>
        <v>134729.16588541667</v>
      </c>
      <c r="X97" s="984"/>
      <c r="Y97" s="984"/>
      <c r="Z97" s="81"/>
      <c r="AA97" s="80"/>
      <c r="AB97" s="80"/>
      <c r="AC97" s="80"/>
      <c r="AD97" s="986"/>
      <c r="AE97" s="986"/>
      <c r="AF97" s="986"/>
      <c r="AG97" s="986"/>
      <c r="AH97" s="986"/>
      <c r="AI97" s="986"/>
      <c r="AJ97" s="23"/>
      <c r="AK97" s="23"/>
      <c r="AL97" s="23"/>
      <c r="AM97" s="23"/>
      <c r="AN97" s="23"/>
      <c r="AO97" s="23"/>
      <c r="AP97" s="23"/>
      <c r="AQ97" s="986"/>
      <c r="AR97" s="986"/>
    </row>
    <row r="98" spans="1:44" s="377" customFormat="1" ht="22.5" customHeight="1">
      <c r="A98" s="647" t="s">
        <v>289</v>
      </c>
      <c r="B98" s="647" t="s">
        <v>99</v>
      </c>
      <c r="C98" s="563" t="s">
        <v>64</v>
      </c>
      <c r="D98" s="586" t="s">
        <v>713</v>
      </c>
      <c r="E98" s="582" t="s">
        <v>77</v>
      </c>
      <c r="F98" s="547">
        <v>1</v>
      </c>
      <c r="G98" s="563" t="s">
        <v>102</v>
      </c>
      <c r="H98" s="563" t="s">
        <v>118</v>
      </c>
      <c r="I98" s="1603">
        <v>4</v>
      </c>
      <c r="J98" s="554">
        <v>17697</v>
      </c>
      <c r="K98" s="648">
        <v>18</v>
      </c>
      <c r="L98" s="554">
        <f t="shared" ref="L98:L107" si="42">K98/18</f>
        <v>1</v>
      </c>
      <c r="M98" s="1601" t="s">
        <v>112</v>
      </c>
      <c r="N98" s="1602">
        <v>3.45</v>
      </c>
      <c r="O98" s="567">
        <f t="shared" ref="O98:O104" si="43">N98*J98/18*K98</f>
        <v>61054.65</v>
      </c>
      <c r="P98" s="697">
        <f t="shared" ref="P98:P107" si="44">O98*25%</f>
        <v>15263.6625</v>
      </c>
      <c r="Q98" s="568"/>
      <c r="R98" s="554"/>
      <c r="S98" s="554">
        <v>0.1</v>
      </c>
      <c r="T98" s="567">
        <f t="shared" ref="T98:T104" si="45">(O98+P98)*S98</f>
        <v>7631.8312500000002</v>
      </c>
      <c r="U98" s="19"/>
      <c r="V98" s="554"/>
      <c r="W98" s="570">
        <f t="shared" ref="W98:W104" si="46">O98+P98+T98</f>
        <v>83950.143750000003</v>
      </c>
      <c r="X98" s="7">
        <f>U97+Q97</f>
        <v>0.25</v>
      </c>
      <c r="Y98" s="7">
        <f>V97+R97</f>
        <v>24496.21197916667</v>
      </c>
      <c r="Z98" s="23">
        <f>W97*12</f>
        <v>1616749.9906250001</v>
      </c>
      <c r="AA98" s="24">
        <f>Z98/12/29.33*56</f>
        <v>257239.45753778843</v>
      </c>
      <c r="AB98" s="24">
        <f>Z98*1.25</f>
        <v>2020937.48828125</v>
      </c>
      <c r="AC98" s="24">
        <f>AB98/12/29.33*56</f>
        <v>321549.32192223548</v>
      </c>
      <c r="AD98" s="24"/>
      <c r="AE98" s="24"/>
      <c r="AF98" s="24"/>
      <c r="AG98" s="24"/>
      <c r="AH98" s="24"/>
      <c r="AI98" s="24"/>
      <c r="AJ98" s="23"/>
      <c r="AK98" s="23"/>
      <c r="AL98" s="23"/>
      <c r="AM98" s="23"/>
      <c r="AN98" s="23"/>
      <c r="AO98" s="23"/>
      <c r="AP98" s="23"/>
      <c r="AQ98" s="24"/>
      <c r="AR98" s="24"/>
    </row>
    <row r="99" spans="1:44" s="986" customFormat="1" ht="17.25" customHeight="1">
      <c r="A99" s="153" t="s">
        <v>255</v>
      </c>
      <c r="B99" s="561" t="s">
        <v>99</v>
      </c>
      <c r="C99" s="563" t="s">
        <v>25</v>
      </c>
      <c r="D99" s="562" t="s">
        <v>714</v>
      </c>
      <c r="E99" s="562" t="s">
        <v>40</v>
      </c>
      <c r="F99" s="571">
        <v>1</v>
      </c>
      <c r="G99" s="580" t="s">
        <v>102</v>
      </c>
      <c r="H99" s="580" t="s">
        <v>103</v>
      </c>
      <c r="I99" s="574">
        <v>1</v>
      </c>
      <c r="J99" s="554">
        <v>17697</v>
      </c>
      <c r="K99" s="1643">
        <v>34</v>
      </c>
      <c r="L99" s="554">
        <f t="shared" si="42"/>
        <v>1.8888888888888888</v>
      </c>
      <c r="M99" s="574" t="s">
        <v>152</v>
      </c>
      <c r="N99" s="1014">
        <v>4.75</v>
      </c>
      <c r="O99" s="567">
        <f t="shared" si="43"/>
        <v>158781.41666666669</v>
      </c>
      <c r="P99" s="697">
        <f t="shared" si="44"/>
        <v>39695.354166666672</v>
      </c>
      <c r="Q99" s="568"/>
      <c r="R99" s="554"/>
      <c r="S99" s="554">
        <v>0.1</v>
      </c>
      <c r="T99" s="567">
        <f t="shared" si="45"/>
        <v>19847.677083333339</v>
      </c>
      <c r="U99" s="19"/>
      <c r="V99" s="554"/>
      <c r="W99" s="570">
        <f t="shared" si="46"/>
        <v>218324.44791666672</v>
      </c>
      <c r="X99" s="10"/>
      <c r="Y99" s="10"/>
      <c r="Z99" s="23"/>
      <c r="AA99" s="24"/>
      <c r="AB99" s="24"/>
      <c r="AC99" s="24"/>
      <c r="AD99" s="24"/>
      <c r="AE99" s="24"/>
      <c r="AF99" s="24"/>
      <c r="AG99" s="24"/>
      <c r="AH99" s="24"/>
      <c r="AI99" s="24"/>
      <c r="AJ99" s="23"/>
      <c r="AK99" s="23"/>
      <c r="AL99" s="23"/>
      <c r="AM99" s="23"/>
      <c r="AN99" s="23"/>
      <c r="AO99" s="23"/>
      <c r="AP99" s="23"/>
      <c r="AQ99" s="24"/>
      <c r="AR99" s="24"/>
    </row>
    <row r="100" spans="1:44" s="377" customFormat="1" ht="17.25" customHeight="1">
      <c r="A100" s="153" t="s">
        <v>257</v>
      </c>
      <c r="B100" s="561" t="s">
        <v>99</v>
      </c>
      <c r="C100" s="563" t="s">
        <v>25</v>
      </c>
      <c r="D100" s="562" t="s">
        <v>715</v>
      </c>
      <c r="E100" s="562" t="s">
        <v>239</v>
      </c>
      <c r="F100" s="571">
        <v>1</v>
      </c>
      <c r="G100" s="580" t="s">
        <v>102</v>
      </c>
      <c r="H100" s="580" t="s">
        <v>103</v>
      </c>
      <c r="I100" s="574">
        <v>2</v>
      </c>
      <c r="J100" s="554">
        <v>17697</v>
      </c>
      <c r="K100" s="1643">
        <v>27</v>
      </c>
      <c r="L100" s="554">
        <f t="shared" si="42"/>
        <v>1.5</v>
      </c>
      <c r="M100" s="1583" t="s">
        <v>104</v>
      </c>
      <c r="N100" s="1591">
        <v>4.2300000000000004</v>
      </c>
      <c r="O100" s="567">
        <f t="shared" si="43"/>
        <v>112287.46500000003</v>
      </c>
      <c r="P100" s="697">
        <f t="shared" si="44"/>
        <v>28071.866250000006</v>
      </c>
      <c r="Q100" s="568"/>
      <c r="R100" s="554"/>
      <c r="S100" s="554">
        <v>0.1</v>
      </c>
      <c r="T100" s="567">
        <f t="shared" si="45"/>
        <v>14035.933125000005</v>
      </c>
      <c r="U100" s="19"/>
      <c r="V100" s="554"/>
      <c r="W100" s="570">
        <f t="shared" si="46"/>
        <v>154395.26437500006</v>
      </c>
      <c r="X100" s="10">
        <f>U99+Q99</f>
        <v>0</v>
      </c>
      <c r="Y100" s="10">
        <f>V99+R99</f>
        <v>0</v>
      </c>
      <c r="Z100" s="23">
        <f>W99*12</f>
        <v>2619893.3750000005</v>
      </c>
      <c r="AA100" s="24">
        <f t="shared" ref="AA100:AA106" si="47">Z100/12/29.33*56</f>
        <v>416848.58790771686</v>
      </c>
      <c r="AB100" s="24">
        <f t="shared" ref="AB100:AB106" si="48">Z100*1.25</f>
        <v>3274866.7187500005</v>
      </c>
      <c r="AC100" s="24">
        <f t="shared" ref="AC100:AC106" si="49">AB100/12/29.33*56</f>
        <v>521060.73488464608</v>
      </c>
      <c r="AD100" s="24"/>
      <c r="AE100" s="24"/>
      <c r="AF100" s="24"/>
      <c r="AG100" s="24"/>
      <c r="AH100" s="24"/>
      <c r="AI100" s="24"/>
      <c r="AJ100" s="23"/>
      <c r="AK100" s="23"/>
      <c r="AL100" s="23"/>
      <c r="AM100" s="23"/>
      <c r="AN100" s="23"/>
      <c r="AO100" s="23"/>
      <c r="AP100" s="23"/>
      <c r="AQ100" s="24"/>
      <c r="AR100" s="24"/>
    </row>
    <row r="101" spans="1:44" s="377" customFormat="1" ht="17.25" customHeight="1">
      <c r="A101" s="153" t="s">
        <v>193</v>
      </c>
      <c r="B101" s="561" t="s">
        <v>99</v>
      </c>
      <c r="C101" s="563" t="s">
        <v>64</v>
      </c>
      <c r="D101" s="210" t="s">
        <v>716</v>
      </c>
      <c r="E101" s="562" t="s">
        <v>403</v>
      </c>
      <c r="F101" s="560">
        <v>1</v>
      </c>
      <c r="G101" s="563" t="s">
        <v>102</v>
      </c>
      <c r="H101" s="563" t="s">
        <v>118</v>
      </c>
      <c r="I101" s="581">
        <v>3</v>
      </c>
      <c r="J101" s="593">
        <v>17697</v>
      </c>
      <c r="K101" s="594">
        <v>34</v>
      </c>
      <c r="L101" s="554">
        <f t="shared" si="42"/>
        <v>1.8888888888888888</v>
      </c>
      <c r="M101" s="1004" t="s">
        <v>152</v>
      </c>
      <c r="N101" s="1020">
        <v>3.97</v>
      </c>
      <c r="O101" s="596">
        <f t="shared" si="43"/>
        <v>132707.83666666667</v>
      </c>
      <c r="P101" s="697">
        <f t="shared" si="44"/>
        <v>33176.959166666667</v>
      </c>
      <c r="Q101" s="597"/>
      <c r="R101" s="593"/>
      <c r="S101" s="593">
        <v>0.1</v>
      </c>
      <c r="T101" s="567">
        <f t="shared" si="45"/>
        <v>16588.479583333334</v>
      </c>
      <c r="U101" s="598"/>
      <c r="V101" s="593"/>
      <c r="W101" s="570">
        <f t="shared" si="46"/>
        <v>182473.27541666667</v>
      </c>
      <c r="X101" s="882">
        <f>U101+Q101</f>
        <v>0</v>
      </c>
      <c r="Y101" s="882">
        <f>V101+R101</f>
        <v>0</v>
      </c>
      <c r="Z101" s="23">
        <f>W101*12</f>
        <v>2189679.3050000002</v>
      </c>
      <c r="AA101" s="24">
        <f t="shared" si="47"/>
        <v>348397.66189339699</v>
      </c>
      <c r="AB101" s="24">
        <f t="shared" si="48"/>
        <v>2737099.1312500001</v>
      </c>
      <c r="AC101" s="24">
        <f t="shared" si="49"/>
        <v>435497.07736674626</v>
      </c>
      <c r="AD101" s="24"/>
      <c r="AE101" s="24"/>
      <c r="AF101" s="24"/>
      <c r="AG101" s="24"/>
      <c r="AH101" s="24"/>
      <c r="AI101" s="24"/>
      <c r="AJ101" s="23"/>
      <c r="AK101" s="23"/>
      <c r="AL101" s="23"/>
      <c r="AM101" s="23"/>
      <c r="AN101" s="23"/>
      <c r="AO101" s="23"/>
      <c r="AP101" s="23"/>
      <c r="AQ101" s="24"/>
      <c r="AR101" s="24"/>
    </row>
    <row r="102" spans="1:44" s="377" customFormat="1" ht="17.25" customHeight="1">
      <c r="A102" s="153" t="s">
        <v>197</v>
      </c>
      <c r="B102" s="561" t="s">
        <v>99</v>
      </c>
      <c r="C102" s="563" t="s">
        <v>25</v>
      </c>
      <c r="D102" s="210" t="s">
        <v>717</v>
      </c>
      <c r="E102" s="562" t="s">
        <v>34</v>
      </c>
      <c r="F102" s="560">
        <v>1</v>
      </c>
      <c r="G102" s="563" t="s">
        <v>102</v>
      </c>
      <c r="H102" s="563" t="s">
        <v>103</v>
      </c>
      <c r="I102" s="564">
        <v>1</v>
      </c>
      <c r="J102" s="554">
        <v>17697</v>
      </c>
      <c r="K102" s="565">
        <v>32</v>
      </c>
      <c r="L102" s="554">
        <f t="shared" si="42"/>
        <v>1.7777777777777777</v>
      </c>
      <c r="M102" s="566" t="s">
        <v>109</v>
      </c>
      <c r="N102" s="1014">
        <v>4.75</v>
      </c>
      <c r="O102" s="567">
        <f t="shared" si="43"/>
        <v>149441.33333333334</v>
      </c>
      <c r="P102" s="697">
        <f t="shared" si="44"/>
        <v>37360.333333333336</v>
      </c>
      <c r="Q102" s="568"/>
      <c r="R102" s="554"/>
      <c r="S102" s="554">
        <v>0.1</v>
      </c>
      <c r="T102" s="567">
        <f t="shared" si="45"/>
        <v>18680.166666666668</v>
      </c>
      <c r="U102" s="569"/>
      <c r="V102" s="554"/>
      <c r="W102" s="570">
        <f t="shared" si="46"/>
        <v>205481.83333333334</v>
      </c>
      <c r="X102" s="1547"/>
      <c r="Y102" s="1547"/>
      <c r="Z102" s="23">
        <f>W102*12</f>
        <v>2465782</v>
      </c>
      <c r="AA102" s="24">
        <f t="shared" si="47"/>
        <v>392328.0827366747</v>
      </c>
      <c r="AB102" s="24">
        <f t="shared" si="48"/>
        <v>3082227.5</v>
      </c>
      <c r="AC102" s="24">
        <f t="shared" si="49"/>
        <v>490410.10342084331</v>
      </c>
      <c r="AD102" s="24"/>
      <c r="AE102" s="24"/>
      <c r="AF102" s="24"/>
      <c r="AG102" s="24"/>
      <c r="AH102" s="24"/>
      <c r="AI102" s="24"/>
      <c r="AJ102" s="23"/>
      <c r="AK102" s="23"/>
      <c r="AL102" s="23"/>
      <c r="AM102" s="23"/>
      <c r="AN102" s="23"/>
      <c r="AO102" s="23"/>
      <c r="AP102" s="23"/>
      <c r="AQ102" s="24"/>
      <c r="AR102" s="24"/>
    </row>
    <row r="103" spans="1:44" s="377" customFormat="1" ht="17.25" customHeight="1">
      <c r="A103" s="998" t="s">
        <v>388</v>
      </c>
      <c r="B103" s="561" t="s">
        <v>99</v>
      </c>
      <c r="C103" s="1002" t="s">
        <v>189</v>
      </c>
      <c r="D103" s="1539" t="s">
        <v>718</v>
      </c>
      <c r="E103" s="562" t="s">
        <v>34</v>
      </c>
      <c r="F103" s="571">
        <v>1</v>
      </c>
      <c r="G103" s="580" t="s">
        <v>102</v>
      </c>
      <c r="H103" s="580" t="s">
        <v>103</v>
      </c>
      <c r="I103" s="574">
        <v>1</v>
      </c>
      <c r="J103" s="554">
        <v>17697</v>
      </c>
      <c r="K103" s="1671">
        <v>9</v>
      </c>
      <c r="L103" s="554">
        <f t="shared" si="42"/>
        <v>0.5</v>
      </c>
      <c r="M103" s="698" t="s">
        <v>152</v>
      </c>
      <c r="N103" s="1591">
        <v>4.75</v>
      </c>
      <c r="O103" s="567">
        <f t="shared" si="43"/>
        <v>42030.375</v>
      </c>
      <c r="P103" s="697">
        <f t="shared" si="44"/>
        <v>10507.59375</v>
      </c>
      <c r="Q103" s="568"/>
      <c r="R103" s="554"/>
      <c r="S103" s="554">
        <v>0.1</v>
      </c>
      <c r="T103" s="567">
        <f t="shared" si="45"/>
        <v>5253.796875</v>
      </c>
      <c r="U103" s="1541"/>
      <c r="V103" s="552"/>
      <c r="W103" s="570">
        <f t="shared" si="46"/>
        <v>57791.765625</v>
      </c>
      <c r="X103" s="10"/>
      <c r="Y103" s="10"/>
      <c r="Z103" s="23">
        <f>W102*12</f>
        <v>2465782</v>
      </c>
      <c r="AA103" s="24">
        <f t="shared" si="47"/>
        <v>392328.0827366747</v>
      </c>
      <c r="AB103" s="24">
        <f t="shared" si="48"/>
        <v>3082227.5</v>
      </c>
      <c r="AC103" s="24">
        <f t="shared" si="49"/>
        <v>490410.10342084331</v>
      </c>
      <c r="AD103" s="24"/>
      <c r="AE103" s="24"/>
      <c r="AF103" s="24"/>
      <c r="AG103" s="24"/>
      <c r="AH103" s="24"/>
      <c r="AI103" s="24"/>
      <c r="AJ103" s="23"/>
      <c r="AK103" s="23"/>
      <c r="AL103" s="23"/>
      <c r="AM103" s="23"/>
      <c r="AN103" s="23"/>
      <c r="AO103" s="23"/>
      <c r="AP103" s="23"/>
      <c r="AQ103" s="24"/>
      <c r="AR103" s="24"/>
    </row>
    <row r="104" spans="1:44" s="377" customFormat="1" ht="17.25" customHeight="1">
      <c r="A104" s="153" t="s">
        <v>199</v>
      </c>
      <c r="B104" s="561" t="s">
        <v>99</v>
      </c>
      <c r="C104" s="563" t="s">
        <v>64</v>
      </c>
      <c r="D104" s="210" t="s">
        <v>721</v>
      </c>
      <c r="E104" s="562" t="s">
        <v>722</v>
      </c>
      <c r="F104" s="560">
        <v>1</v>
      </c>
      <c r="G104" s="563" t="s">
        <v>102</v>
      </c>
      <c r="H104" s="563" t="s">
        <v>118</v>
      </c>
      <c r="I104" s="581">
        <v>4</v>
      </c>
      <c r="J104" s="554">
        <v>17697</v>
      </c>
      <c r="K104" s="565">
        <v>21</v>
      </c>
      <c r="L104" s="554">
        <f t="shared" si="42"/>
        <v>1.1666666666666667</v>
      </c>
      <c r="M104" s="1004" t="s">
        <v>152</v>
      </c>
      <c r="N104" s="1157">
        <v>3.41</v>
      </c>
      <c r="O104" s="567">
        <f t="shared" si="43"/>
        <v>70404.565000000002</v>
      </c>
      <c r="P104" s="697">
        <f t="shared" si="44"/>
        <v>17601.141250000001</v>
      </c>
      <c r="Q104" s="568"/>
      <c r="R104" s="554"/>
      <c r="S104" s="554">
        <v>0.1</v>
      </c>
      <c r="T104" s="567">
        <f t="shared" si="45"/>
        <v>8800.5706250000003</v>
      </c>
      <c r="U104" s="569"/>
      <c r="V104" s="554"/>
      <c r="W104" s="570">
        <f t="shared" si="46"/>
        <v>96806.27687500001</v>
      </c>
      <c r="X104" s="882">
        <f>U104+Q104</f>
        <v>0</v>
      </c>
      <c r="Y104" s="882">
        <f>V104+R104</f>
        <v>0</v>
      </c>
      <c r="Z104" s="23">
        <f>W104*12</f>
        <v>1161675.3225000002</v>
      </c>
      <c r="AA104" s="24">
        <f t="shared" si="47"/>
        <v>184832.9868735084</v>
      </c>
      <c r="AB104" s="24">
        <f t="shared" si="48"/>
        <v>1452094.1531250002</v>
      </c>
      <c r="AC104" s="24">
        <f t="shared" si="49"/>
        <v>231041.23359188548</v>
      </c>
      <c r="AD104" s="24"/>
      <c r="AE104" s="24"/>
      <c r="AF104" s="24"/>
      <c r="AG104" s="24"/>
      <c r="AH104" s="24"/>
      <c r="AI104" s="24"/>
      <c r="AJ104" s="23"/>
      <c r="AK104" s="23"/>
      <c r="AL104" s="23"/>
      <c r="AM104" s="23"/>
      <c r="AN104" s="23"/>
      <c r="AO104" s="23"/>
      <c r="AP104" s="23"/>
      <c r="AQ104" s="24"/>
      <c r="AR104" s="24"/>
    </row>
    <row r="105" spans="1:44" s="986" customFormat="1" ht="17.25" customHeight="1">
      <c r="A105" s="1792" t="s">
        <v>329</v>
      </c>
      <c r="B105" s="647" t="s">
        <v>99</v>
      </c>
      <c r="C105" s="693" t="s">
        <v>75</v>
      </c>
      <c r="D105" s="694" t="s">
        <v>684</v>
      </c>
      <c r="E105" s="694" t="s">
        <v>239</v>
      </c>
      <c r="F105" s="177">
        <v>1</v>
      </c>
      <c r="G105" s="1002" t="s">
        <v>102</v>
      </c>
      <c r="H105" s="563" t="s">
        <v>118</v>
      </c>
      <c r="I105" s="564">
        <v>3</v>
      </c>
      <c r="J105" s="554">
        <v>17697</v>
      </c>
      <c r="K105" s="1607">
        <v>18</v>
      </c>
      <c r="L105" s="567">
        <f t="shared" si="42"/>
        <v>1</v>
      </c>
      <c r="M105" s="698" t="s">
        <v>109</v>
      </c>
      <c r="N105" s="1612">
        <v>4.03</v>
      </c>
      <c r="O105" s="567">
        <f>J105*N105/18*K105</f>
        <v>71318.91</v>
      </c>
      <c r="P105" s="697">
        <f t="shared" si="44"/>
        <v>17829.727500000001</v>
      </c>
      <c r="Q105" s="666">
        <v>0.25</v>
      </c>
      <c r="R105" s="554">
        <f>(O105+P105)*Q105</f>
        <v>22287.159375000003</v>
      </c>
      <c r="S105" s="554">
        <v>0.1</v>
      </c>
      <c r="T105" s="567">
        <f>(O105+P105+R105)*S105</f>
        <v>11143.579687500001</v>
      </c>
      <c r="U105" s="1541"/>
      <c r="V105" s="552"/>
      <c r="W105" s="570">
        <f>O105+P105+R105+T105</f>
        <v>122579.37656250002</v>
      </c>
      <c r="X105" s="1806">
        <f>U104+S104+Q104</f>
        <v>0.1</v>
      </c>
      <c r="Y105" s="1806">
        <f>V104+T104+R104</f>
        <v>8800.5706250000003</v>
      </c>
      <c r="Z105" s="81">
        <f>W104*12</f>
        <v>1161675.3225000002</v>
      </c>
      <c r="AA105" s="80">
        <f t="shared" si="47"/>
        <v>184832.9868735084</v>
      </c>
      <c r="AB105" s="80">
        <f t="shared" si="48"/>
        <v>1452094.1531250002</v>
      </c>
      <c r="AC105" s="80">
        <f t="shared" si="49"/>
        <v>231041.23359188548</v>
      </c>
      <c r="AJ105" s="23"/>
      <c r="AK105" s="23"/>
      <c r="AL105" s="23"/>
      <c r="AM105" s="23"/>
      <c r="AN105" s="23"/>
      <c r="AO105" s="23"/>
      <c r="AP105" s="23"/>
    </row>
    <row r="106" spans="1:44" s="986" customFormat="1" ht="17.25" customHeight="1">
      <c r="A106" s="153" t="s">
        <v>812</v>
      </c>
      <c r="B106" s="561" t="s">
        <v>99</v>
      </c>
      <c r="C106" s="563" t="s">
        <v>25</v>
      </c>
      <c r="D106" s="210" t="s">
        <v>813</v>
      </c>
      <c r="E106" s="562" t="s">
        <v>34</v>
      </c>
      <c r="F106" s="560">
        <v>1</v>
      </c>
      <c r="G106" s="563" t="s">
        <v>102</v>
      </c>
      <c r="H106" s="563" t="s">
        <v>103</v>
      </c>
      <c r="I106" s="581">
        <v>2</v>
      </c>
      <c r="J106" s="554">
        <v>17697</v>
      </c>
      <c r="K106" s="565">
        <v>14</v>
      </c>
      <c r="L106" s="554">
        <f t="shared" si="42"/>
        <v>0.77777777777777779</v>
      </c>
      <c r="M106" s="574" t="s">
        <v>104</v>
      </c>
      <c r="N106" s="1014">
        <v>4.51</v>
      </c>
      <c r="O106" s="567">
        <f>N106*J106/18*K106</f>
        <v>62077.143333333341</v>
      </c>
      <c r="P106" s="697">
        <f t="shared" si="44"/>
        <v>15519.285833333335</v>
      </c>
      <c r="Q106" s="568"/>
      <c r="R106" s="554"/>
      <c r="S106" s="554">
        <v>0.1</v>
      </c>
      <c r="T106" s="567">
        <f>(O106+P106)*S106</f>
        <v>7759.6429166666676</v>
      </c>
      <c r="U106" s="569"/>
      <c r="V106" s="554"/>
      <c r="W106" s="570">
        <f>O106+P106+T106</f>
        <v>85356.072083333333</v>
      </c>
      <c r="X106" s="882"/>
      <c r="Y106" s="882"/>
      <c r="Z106" s="23">
        <f>W106*12</f>
        <v>1024272.865</v>
      </c>
      <c r="AA106" s="24">
        <f t="shared" si="47"/>
        <v>162971.02068416867</v>
      </c>
      <c r="AB106" s="24">
        <f t="shared" si="48"/>
        <v>1280341.08125</v>
      </c>
      <c r="AC106" s="24">
        <f t="shared" si="49"/>
        <v>203713.77585521081</v>
      </c>
      <c r="AD106" s="24"/>
      <c r="AE106" s="24"/>
      <c r="AF106" s="24"/>
      <c r="AG106" s="24"/>
      <c r="AH106" s="24"/>
      <c r="AI106" s="24"/>
      <c r="AJ106" s="23"/>
      <c r="AK106" s="23"/>
      <c r="AL106" s="23"/>
      <c r="AM106" s="23"/>
      <c r="AN106" s="23"/>
      <c r="AO106" s="23"/>
      <c r="AP106" s="23"/>
      <c r="AQ106" s="24"/>
      <c r="AR106" s="24"/>
    </row>
    <row r="107" spans="1:44" s="986" customFormat="1" ht="17.25" customHeight="1">
      <c r="A107" s="1791" t="s">
        <v>202</v>
      </c>
      <c r="B107" s="561" t="s">
        <v>99</v>
      </c>
      <c r="C107" s="1002" t="s">
        <v>75</v>
      </c>
      <c r="D107" s="1589" t="s">
        <v>720</v>
      </c>
      <c r="E107" s="1539" t="s">
        <v>66</v>
      </c>
      <c r="F107" s="560">
        <v>1</v>
      </c>
      <c r="G107" s="563" t="s">
        <v>102</v>
      </c>
      <c r="H107" s="563" t="s">
        <v>103</v>
      </c>
      <c r="I107" s="581">
        <v>2</v>
      </c>
      <c r="J107" s="554">
        <v>17697</v>
      </c>
      <c r="K107" s="1540">
        <v>31</v>
      </c>
      <c r="L107" s="554">
        <f t="shared" si="42"/>
        <v>1.7222222222222223</v>
      </c>
      <c r="M107" s="698" t="s">
        <v>104</v>
      </c>
      <c r="N107" s="1157">
        <v>4.37</v>
      </c>
      <c r="O107" s="567">
        <f>N107*J107/18*K107</f>
        <v>133189.58833333335</v>
      </c>
      <c r="P107" s="697">
        <f t="shared" si="44"/>
        <v>33297.397083333337</v>
      </c>
      <c r="Q107" s="568"/>
      <c r="R107" s="554"/>
      <c r="S107" s="554">
        <v>0.1</v>
      </c>
      <c r="T107" s="567">
        <f>(O107+P107)*S107</f>
        <v>16648.698541666668</v>
      </c>
      <c r="U107" s="699"/>
      <c r="V107" s="700"/>
      <c r="W107" s="570">
        <f>O107+P107+T107</f>
        <v>183135.68395833336</v>
      </c>
      <c r="X107" s="7"/>
      <c r="Y107" s="7"/>
      <c r="Z107" s="23"/>
      <c r="AA107" s="24"/>
      <c r="AB107" s="24"/>
      <c r="AC107" s="24"/>
      <c r="AD107" s="24"/>
      <c r="AE107" s="24"/>
      <c r="AF107" s="24"/>
      <c r="AG107" s="24"/>
      <c r="AH107" s="24"/>
      <c r="AI107" s="24"/>
      <c r="AJ107" s="23"/>
      <c r="AK107" s="23"/>
      <c r="AL107" s="23"/>
      <c r="AM107" s="23"/>
      <c r="AN107" s="23"/>
      <c r="AO107" s="23"/>
      <c r="AP107" s="23"/>
      <c r="AQ107" s="24"/>
      <c r="AR107" s="24"/>
    </row>
    <row r="108" spans="1:44" ht="25.5" customHeight="1">
      <c r="L108" s="85"/>
      <c r="M108" s="86"/>
      <c r="N108" s="23"/>
      <c r="O108" s="87"/>
      <c r="P108" s="87"/>
      <c r="Q108" s="88"/>
      <c r="W108" s="3">
        <f>SUM(W2:W107)</f>
        <v>13884437.895052083</v>
      </c>
      <c r="AC108" s="1027" t="e">
        <f>SUM(#REF!)</f>
        <v>#REF!</v>
      </c>
      <c r="AK108" s="906"/>
    </row>
    <row r="109" spans="1:44" s="24" customFormat="1">
      <c r="A109" s="1"/>
      <c r="B109" s="1766"/>
      <c r="C109" s="1"/>
      <c r="D109" s="1"/>
      <c r="E109" s="1"/>
      <c r="F109" s="1"/>
      <c r="G109" s="1"/>
      <c r="H109" s="1"/>
      <c r="I109" s="1"/>
      <c r="J109" s="982" t="s">
        <v>604</v>
      </c>
      <c r="K109" s="983" t="e">
        <f>SUM(#REF!)</f>
        <v>#REF!</v>
      </c>
      <c r="L109" s="22" t="e">
        <f>SUM(#REF!)</f>
        <v>#REF!</v>
      </c>
      <c r="M109" s="89"/>
      <c r="Q109" s="1"/>
      <c r="R109" s="1"/>
      <c r="S109" s="1"/>
      <c r="T109" s="1"/>
      <c r="U109" s="1"/>
      <c r="V109" s="1"/>
      <c r="W109" s="3"/>
      <c r="X109" s="3"/>
      <c r="Y109" s="3"/>
      <c r="AA109" s="24" t="e">
        <f>SUM(#REF!)</f>
        <v>#REF!</v>
      </c>
      <c r="AC109" s="24" t="e">
        <f>SUM(#REF!)</f>
        <v>#REF!</v>
      </c>
      <c r="AJ109" s="906"/>
      <c r="AK109" s="23"/>
      <c r="AL109" s="23"/>
      <c r="AM109" s="23"/>
      <c r="AN109" s="23"/>
      <c r="AO109" s="23"/>
      <c r="AP109" s="23"/>
    </row>
    <row r="110" spans="1:44" s="24" customFormat="1">
      <c r="A110" s="1"/>
      <c r="B110" s="1766"/>
      <c r="C110" s="1"/>
      <c r="D110" s="1"/>
      <c r="E110" s="1"/>
      <c r="F110" s="1"/>
      <c r="G110" s="1"/>
      <c r="H110" s="1"/>
      <c r="I110" s="1"/>
      <c r="J110" s="1"/>
      <c r="K110" s="1"/>
      <c r="L110" s="3"/>
      <c r="M110" s="1766"/>
      <c r="N110" s="1"/>
      <c r="O110" s="1"/>
      <c r="P110" s="1"/>
      <c r="Q110" s="1"/>
      <c r="R110" s="1"/>
      <c r="S110" s="1"/>
      <c r="T110" s="1"/>
      <c r="U110" s="3"/>
      <c r="V110" s="3"/>
      <c r="W110" s="3"/>
      <c r="X110" s="3"/>
      <c r="Y110" s="3"/>
      <c r="AC110" s="24" t="e">
        <f>SUM(AC108:AC109)</f>
        <v>#REF!</v>
      </c>
      <c r="AJ110" s="23"/>
      <c r="AK110" s="23"/>
      <c r="AL110" s="23"/>
      <c r="AM110" s="23"/>
      <c r="AN110" s="23"/>
      <c r="AO110" s="23"/>
      <c r="AP110" s="23"/>
    </row>
    <row r="111" spans="1:44" s="24" customFormat="1">
      <c r="A111" s="1"/>
      <c r="B111" s="1766"/>
      <c r="C111" s="1"/>
      <c r="D111" s="1"/>
      <c r="E111" s="1"/>
      <c r="F111" s="1"/>
      <c r="G111" s="1"/>
      <c r="H111" s="1"/>
      <c r="I111" s="1"/>
      <c r="J111" s="983" t="s">
        <v>638</v>
      </c>
      <c r="K111" s="983">
        <f>SUM(L2:L107)</f>
        <v>126.77777777777771</v>
      </c>
      <c r="L111" s="3">
        <f>SUM(K111)</f>
        <v>126.77777777777771</v>
      </c>
      <c r="M111" s="995">
        <f>SUM(W2:W107)</f>
        <v>13884437.895052083</v>
      </c>
      <c r="N111" s="1"/>
      <c r="O111" s="1"/>
      <c r="P111" s="1"/>
      <c r="Q111" s="90"/>
      <c r="R111" s="90"/>
      <c r="S111" s="1"/>
      <c r="T111" s="1"/>
      <c r="U111" s="1"/>
      <c r="V111" s="1"/>
      <c r="W111" s="3"/>
      <c r="X111" s="1"/>
      <c r="Y111" s="1"/>
      <c r="AJ111" s="23"/>
      <c r="AK111" s="23"/>
      <c r="AL111" s="23"/>
      <c r="AM111" s="23"/>
      <c r="AN111" s="23"/>
      <c r="AO111" s="23"/>
      <c r="AP111" s="23"/>
    </row>
    <row r="112" spans="1:44" s="24" customFormat="1">
      <c r="A112" s="1"/>
      <c r="B112" s="1766"/>
      <c r="C112" s="1"/>
      <c r="D112" s="1"/>
      <c r="E112" s="1"/>
      <c r="F112" s="1"/>
      <c r="G112" s="1"/>
      <c r="H112" s="3"/>
      <c r="I112" s="1"/>
      <c r="J112" s="3"/>
      <c r="K112" s="3" t="e">
        <f>#REF!</f>
        <v>#REF!</v>
      </c>
      <c r="L112" s="3"/>
      <c r="M112" s="995"/>
      <c r="N112" s="1"/>
      <c r="O112" s="1"/>
      <c r="P112" s="3"/>
      <c r="Q112" s="996"/>
      <c r="R112" s="1"/>
      <c r="S112" s="1"/>
      <c r="T112" s="1"/>
      <c r="U112" s="1"/>
      <c r="V112" s="1"/>
      <c r="W112" s="3"/>
      <c r="X112" s="1"/>
      <c r="Y112" s="1"/>
      <c r="AJ112" s="23"/>
      <c r="AK112" s="23"/>
      <c r="AL112" s="23"/>
      <c r="AM112" s="23"/>
      <c r="AN112" s="23"/>
      <c r="AO112" s="23"/>
      <c r="AP112" s="23"/>
    </row>
    <row r="113" spans="1:42" s="24" customFormat="1">
      <c r="A113" s="1"/>
      <c r="B113" s="1766"/>
      <c r="C113" s="1"/>
      <c r="D113" s="1"/>
      <c r="E113" s="1"/>
      <c r="F113" s="1"/>
      <c r="G113" s="1"/>
      <c r="H113" s="1"/>
      <c r="I113" s="1"/>
      <c r="J113" s="3"/>
      <c r="K113" s="3" t="e">
        <f>SUM(K109:K112)</f>
        <v>#REF!</v>
      </c>
      <c r="L113" s="3"/>
      <c r="M113" s="1766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22"/>
      <c r="AJ113" s="23"/>
      <c r="AK113" s="23"/>
      <c r="AL113" s="23"/>
      <c r="AM113" s="23"/>
      <c r="AN113" s="23"/>
      <c r="AO113" s="23"/>
      <c r="AP113" s="23"/>
    </row>
    <row r="114" spans="1:42">
      <c r="J114" s="3"/>
    </row>
    <row r="115" spans="1:42">
      <c r="J115" s="88"/>
      <c r="K115" s="88"/>
      <c r="L115" s="3"/>
    </row>
    <row r="116" spans="1:42">
      <c r="J116" s="982" t="s">
        <v>564</v>
      </c>
      <c r="K116" s="983" t="e">
        <f>SUM(#REF!)</f>
        <v>#REF!</v>
      </c>
      <c r="L116" s="3" t="e">
        <f>SUM(#REF!)</f>
        <v>#REF!</v>
      </c>
      <c r="Z116" s="22"/>
    </row>
    <row r="117" spans="1:42">
      <c r="L117" s="3"/>
      <c r="N117" s="3"/>
      <c r="T117" s="3"/>
    </row>
    <row r="118" spans="1:42" s="24" customFormat="1">
      <c r="A118" s="1"/>
      <c r="B118" s="1766"/>
      <c r="C118" s="1"/>
      <c r="D118" s="1"/>
      <c r="E118" s="1"/>
      <c r="F118" s="1"/>
      <c r="G118" s="1"/>
      <c r="H118" s="1"/>
      <c r="I118" s="1"/>
      <c r="J118" s="1"/>
      <c r="K118" s="3"/>
      <c r="L118" s="3"/>
      <c r="M118" s="1766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AJ118" s="23"/>
      <c r="AK118" s="23"/>
      <c r="AL118" s="23"/>
      <c r="AM118" s="23"/>
      <c r="AN118" s="23"/>
      <c r="AO118" s="23"/>
      <c r="AP118" s="23"/>
    </row>
    <row r="120" spans="1:42" s="24" customFormat="1">
      <c r="A120" s="1"/>
      <c r="B120" s="1766"/>
      <c r="C120" s="1"/>
      <c r="D120" s="1"/>
      <c r="E120" s="1"/>
      <c r="F120" s="1"/>
      <c r="G120" s="1"/>
      <c r="H120" s="1"/>
      <c r="I120" s="1"/>
      <c r="J120" s="1"/>
      <c r="K120" s="1"/>
      <c r="L120" s="3" t="e">
        <f>L116+L109</f>
        <v>#REF!</v>
      </c>
      <c r="M120" s="1766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AJ120" s="23"/>
      <c r="AK120" s="23"/>
      <c r="AL120" s="23"/>
      <c r="AM120" s="23"/>
      <c r="AN120" s="23"/>
      <c r="AO120" s="23"/>
      <c r="AP120" s="23"/>
    </row>
  </sheetData>
  <sortState ref="A2:AR107">
    <sortCondition ref="A107"/>
  </sortState>
  <pageMargins left="0" right="0" top="0.62992125984251968" bottom="0" header="0.43307086614173229" footer="0.31496062992125984"/>
  <pageSetup paperSize="9" scale="5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15">
    <tabColor rgb="FF7030A0"/>
  </sheetPr>
  <dimension ref="A1:AR182"/>
  <sheetViews>
    <sheetView topLeftCell="A7" zoomScale="80" zoomScaleNormal="80" zoomScaleSheetLayoutView="40" workbookViewId="0">
      <pane xSplit="3" topLeftCell="D1" activePane="topRight" state="frozen"/>
      <selection pane="topRight" activeCell="U112" sqref="U112"/>
    </sheetView>
  </sheetViews>
  <sheetFormatPr defaultRowHeight="12.75"/>
  <cols>
    <col min="1" max="1" width="6.42578125" style="1" customWidth="1"/>
    <col min="2" max="2" width="20.7109375" style="1" customWidth="1"/>
    <col min="3" max="3" width="22.28515625" style="1559" customWidth="1"/>
    <col min="4" max="4" width="11.140625" style="1" customWidth="1"/>
    <col min="5" max="5" width="16.7109375" style="1" customWidth="1"/>
    <col min="6" max="6" width="13.5703125" style="1" customWidth="1"/>
    <col min="7" max="7" width="7.42578125" style="1" customWidth="1"/>
    <col min="8" max="8" width="4.7109375" style="1" customWidth="1"/>
    <col min="9" max="9" width="8.5703125" style="1" customWidth="1"/>
    <col min="10" max="10" width="5.5703125" style="1" customWidth="1"/>
    <col min="11" max="11" width="11.5703125" style="1" customWidth="1"/>
    <col min="12" max="12" width="10.42578125" style="1" customWidth="1"/>
    <col min="13" max="13" width="10.85546875" style="1" customWidth="1"/>
    <col min="14" max="14" width="8.85546875" style="1559" customWidth="1"/>
    <col min="15" max="15" width="8" style="1" customWidth="1"/>
    <col min="16" max="17" width="16.28515625" style="1" customWidth="1"/>
    <col min="18" max="18" width="9.140625" style="1" customWidth="1"/>
    <col min="19" max="19" width="1.85546875" style="1" hidden="1" customWidth="1"/>
    <col min="20" max="20" width="10.140625" style="1" customWidth="1"/>
    <col min="21" max="21" width="15.140625" style="1" customWidth="1"/>
    <col min="22" max="22" width="8.5703125" style="1" customWidth="1"/>
    <col min="23" max="23" width="13.7109375" style="1" customWidth="1"/>
    <col min="24" max="24" width="15.28515625" style="1" customWidth="1"/>
    <col min="25" max="26" width="18.28515625" style="1" hidden="1" customWidth="1"/>
    <col min="27" max="27" width="13" style="24" hidden="1" customWidth="1"/>
    <col min="28" max="28" width="16" style="24" hidden="1" customWidth="1"/>
    <col min="29" max="29" width="13" style="24" hidden="1" customWidth="1"/>
    <col min="30" max="30" width="12" style="24" hidden="1" customWidth="1"/>
    <col min="31" max="33" width="0" style="24" hidden="1" customWidth="1"/>
    <col min="34" max="34" width="11.28515625" style="24" hidden="1" customWidth="1"/>
    <col min="35" max="35" width="10.7109375" style="24" hidden="1" customWidth="1"/>
    <col min="36" max="36" width="0" style="24" hidden="1" customWidth="1"/>
    <col min="37" max="37" width="11.42578125" style="24" bestFit="1" customWidth="1"/>
    <col min="38" max="38" width="12" style="24" bestFit="1" customWidth="1"/>
    <col min="39" max="40" width="10.28515625" style="24" bestFit="1" customWidth="1"/>
    <col min="41" max="44" width="9.140625" style="24"/>
    <col min="45" max="257" width="9.140625" style="1"/>
    <col min="258" max="258" width="6.42578125" style="1" customWidth="1"/>
    <col min="259" max="259" width="20.7109375" style="1" customWidth="1"/>
    <col min="260" max="260" width="24.7109375" style="1" customWidth="1"/>
    <col min="261" max="261" width="11.140625" style="1" customWidth="1"/>
    <col min="262" max="262" width="12.28515625" style="1" customWidth="1"/>
    <col min="263" max="263" width="11.140625" style="1" customWidth="1"/>
    <col min="264" max="264" width="10.42578125" style="1" customWidth="1"/>
    <col min="265" max="265" width="4.7109375" style="1" customWidth="1"/>
    <col min="266" max="266" width="8.5703125" style="1" customWidth="1"/>
    <col min="267" max="267" width="5.5703125" style="1" customWidth="1"/>
    <col min="268" max="269" width="11.5703125" style="1" customWidth="1"/>
    <col min="270" max="270" width="10.85546875" style="1" customWidth="1"/>
    <col min="271" max="271" width="7.7109375" style="1" customWidth="1"/>
    <col min="272" max="272" width="8" style="1" customWidth="1"/>
    <col min="273" max="273" width="16.28515625" style="1" customWidth="1"/>
    <col min="274" max="274" width="10.5703125" style="1" customWidth="1"/>
    <col min="275" max="275" width="14.140625" style="1" customWidth="1"/>
    <col min="276" max="276" width="10.140625" style="1" customWidth="1"/>
    <col min="277" max="277" width="15.140625" style="1" customWidth="1"/>
    <col min="278" max="278" width="8.5703125" style="1" customWidth="1"/>
    <col min="279" max="279" width="14.28515625" style="1" customWidth="1"/>
    <col min="280" max="280" width="18.28515625" style="1" customWidth="1"/>
    <col min="281" max="281" width="13" style="1" bestFit="1" customWidth="1"/>
    <col min="282" max="282" width="11.7109375" style="1" bestFit="1" customWidth="1"/>
    <col min="283" max="289" width="9.140625" style="1"/>
    <col min="290" max="290" width="11.28515625" style="1" bestFit="1" customWidth="1"/>
    <col min="291" max="291" width="10.7109375" style="1" bestFit="1" customWidth="1"/>
    <col min="292" max="513" width="9.140625" style="1"/>
    <col min="514" max="514" width="6.42578125" style="1" customWidth="1"/>
    <col min="515" max="515" width="20.7109375" style="1" customWidth="1"/>
    <col min="516" max="516" width="24.7109375" style="1" customWidth="1"/>
    <col min="517" max="517" width="11.140625" style="1" customWidth="1"/>
    <col min="518" max="518" width="12.28515625" style="1" customWidth="1"/>
    <col min="519" max="519" width="11.140625" style="1" customWidth="1"/>
    <col min="520" max="520" width="10.42578125" style="1" customWidth="1"/>
    <col min="521" max="521" width="4.7109375" style="1" customWidth="1"/>
    <col min="522" max="522" width="8.5703125" style="1" customWidth="1"/>
    <col min="523" max="523" width="5.5703125" style="1" customWidth="1"/>
    <col min="524" max="525" width="11.5703125" style="1" customWidth="1"/>
    <col min="526" max="526" width="10.85546875" style="1" customWidth="1"/>
    <col min="527" max="527" width="7.7109375" style="1" customWidth="1"/>
    <col min="528" max="528" width="8" style="1" customWidth="1"/>
    <col min="529" max="529" width="16.28515625" style="1" customWidth="1"/>
    <col min="530" max="530" width="10.5703125" style="1" customWidth="1"/>
    <col min="531" max="531" width="14.140625" style="1" customWidth="1"/>
    <col min="532" max="532" width="10.140625" style="1" customWidth="1"/>
    <col min="533" max="533" width="15.140625" style="1" customWidth="1"/>
    <col min="534" max="534" width="8.5703125" style="1" customWidth="1"/>
    <col min="535" max="535" width="14.28515625" style="1" customWidth="1"/>
    <col min="536" max="536" width="18.28515625" style="1" customWidth="1"/>
    <col min="537" max="537" width="13" style="1" bestFit="1" customWidth="1"/>
    <col min="538" max="538" width="11.7109375" style="1" bestFit="1" customWidth="1"/>
    <col min="539" max="545" width="9.140625" style="1"/>
    <col min="546" max="546" width="11.28515625" style="1" bestFit="1" customWidth="1"/>
    <col min="547" max="547" width="10.7109375" style="1" bestFit="1" customWidth="1"/>
    <col min="548" max="769" width="9.140625" style="1"/>
    <col min="770" max="770" width="6.42578125" style="1" customWidth="1"/>
    <col min="771" max="771" width="20.7109375" style="1" customWidth="1"/>
    <col min="772" max="772" width="24.7109375" style="1" customWidth="1"/>
    <col min="773" max="773" width="11.140625" style="1" customWidth="1"/>
    <col min="774" max="774" width="12.28515625" style="1" customWidth="1"/>
    <col min="775" max="775" width="11.140625" style="1" customWidth="1"/>
    <col min="776" max="776" width="10.42578125" style="1" customWidth="1"/>
    <col min="777" max="777" width="4.7109375" style="1" customWidth="1"/>
    <col min="778" max="778" width="8.5703125" style="1" customWidth="1"/>
    <col min="779" max="779" width="5.5703125" style="1" customWidth="1"/>
    <col min="780" max="781" width="11.5703125" style="1" customWidth="1"/>
    <col min="782" max="782" width="10.85546875" style="1" customWidth="1"/>
    <col min="783" max="783" width="7.7109375" style="1" customWidth="1"/>
    <col min="784" max="784" width="8" style="1" customWidth="1"/>
    <col min="785" max="785" width="16.28515625" style="1" customWidth="1"/>
    <col min="786" max="786" width="10.5703125" style="1" customWidth="1"/>
    <col min="787" max="787" width="14.140625" style="1" customWidth="1"/>
    <col min="788" max="788" width="10.140625" style="1" customWidth="1"/>
    <col min="789" max="789" width="15.140625" style="1" customWidth="1"/>
    <col min="790" max="790" width="8.5703125" style="1" customWidth="1"/>
    <col min="791" max="791" width="14.28515625" style="1" customWidth="1"/>
    <col min="792" max="792" width="18.28515625" style="1" customWidth="1"/>
    <col min="793" max="793" width="13" style="1" bestFit="1" customWidth="1"/>
    <col min="794" max="794" width="11.7109375" style="1" bestFit="1" customWidth="1"/>
    <col min="795" max="801" width="9.140625" style="1"/>
    <col min="802" max="802" width="11.28515625" style="1" bestFit="1" customWidth="1"/>
    <col min="803" max="803" width="10.7109375" style="1" bestFit="1" customWidth="1"/>
    <col min="804" max="1025" width="9.140625" style="1"/>
    <col min="1026" max="1026" width="6.42578125" style="1" customWidth="1"/>
    <col min="1027" max="1027" width="20.7109375" style="1" customWidth="1"/>
    <col min="1028" max="1028" width="24.7109375" style="1" customWidth="1"/>
    <col min="1029" max="1029" width="11.140625" style="1" customWidth="1"/>
    <col min="1030" max="1030" width="12.28515625" style="1" customWidth="1"/>
    <col min="1031" max="1031" width="11.140625" style="1" customWidth="1"/>
    <col min="1032" max="1032" width="10.42578125" style="1" customWidth="1"/>
    <col min="1033" max="1033" width="4.7109375" style="1" customWidth="1"/>
    <col min="1034" max="1034" width="8.5703125" style="1" customWidth="1"/>
    <col min="1035" max="1035" width="5.5703125" style="1" customWidth="1"/>
    <col min="1036" max="1037" width="11.5703125" style="1" customWidth="1"/>
    <col min="1038" max="1038" width="10.85546875" style="1" customWidth="1"/>
    <col min="1039" max="1039" width="7.7109375" style="1" customWidth="1"/>
    <col min="1040" max="1040" width="8" style="1" customWidth="1"/>
    <col min="1041" max="1041" width="16.28515625" style="1" customWidth="1"/>
    <col min="1042" max="1042" width="10.5703125" style="1" customWidth="1"/>
    <col min="1043" max="1043" width="14.140625" style="1" customWidth="1"/>
    <col min="1044" max="1044" width="10.140625" style="1" customWidth="1"/>
    <col min="1045" max="1045" width="15.140625" style="1" customWidth="1"/>
    <col min="1046" max="1046" width="8.5703125" style="1" customWidth="1"/>
    <col min="1047" max="1047" width="14.28515625" style="1" customWidth="1"/>
    <col min="1048" max="1048" width="18.28515625" style="1" customWidth="1"/>
    <col min="1049" max="1049" width="13" style="1" bestFit="1" customWidth="1"/>
    <col min="1050" max="1050" width="11.7109375" style="1" bestFit="1" customWidth="1"/>
    <col min="1051" max="1057" width="9.140625" style="1"/>
    <col min="1058" max="1058" width="11.28515625" style="1" bestFit="1" customWidth="1"/>
    <col min="1059" max="1059" width="10.7109375" style="1" bestFit="1" customWidth="1"/>
    <col min="1060" max="1281" width="9.140625" style="1"/>
    <col min="1282" max="1282" width="6.42578125" style="1" customWidth="1"/>
    <col min="1283" max="1283" width="20.7109375" style="1" customWidth="1"/>
    <col min="1284" max="1284" width="24.7109375" style="1" customWidth="1"/>
    <col min="1285" max="1285" width="11.140625" style="1" customWidth="1"/>
    <col min="1286" max="1286" width="12.28515625" style="1" customWidth="1"/>
    <col min="1287" max="1287" width="11.140625" style="1" customWidth="1"/>
    <col min="1288" max="1288" width="10.42578125" style="1" customWidth="1"/>
    <col min="1289" max="1289" width="4.7109375" style="1" customWidth="1"/>
    <col min="1290" max="1290" width="8.5703125" style="1" customWidth="1"/>
    <col min="1291" max="1291" width="5.5703125" style="1" customWidth="1"/>
    <col min="1292" max="1293" width="11.5703125" style="1" customWidth="1"/>
    <col min="1294" max="1294" width="10.85546875" style="1" customWidth="1"/>
    <col min="1295" max="1295" width="7.7109375" style="1" customWidth="1"/>
    <col min="1296" max="1296" width="8" style="1" customWidth="1"/>
    <col min="1297" max="1297" width="16.28515625" style="1" customWidth="1"/>
    <col min="1298" max="1298" width="10.5703125" style="1" customWidth="1"/>
    <col min="1299" max="1299" width="14.140625" style="1" customWidth="1"/>
    <col min="1300" max="1300" width="10.140625" style="1" customWidth="1"/>
    <col min="1301" max="1301" width="15.140625" style="1" customWidth="1"/>
    <col min="1302" max="1302" width="8.5703125" style="1" customWidth="1"/>
    <col min="1303" max="1303" width="14.28515625" style="1" customWidth="1"/>
    <col min="1304" max="1304" width="18.28515625" style="1" customWidth="1"/>
    <col min="1305" max="1305" width="13" style="1" bestFit="1" customWidth="1"/>
    <col min="1306" max="1306" width="11.7109375" style="1" bestFit="1" customWidth="1"/>
    <col min="1307" max="1313" width="9.140625" style="1"/>
    <col min="1314" max="1314" width="11.28515625" style="1" bestFit="1" customWidth="1"/>
    <col min="1315" max="1315" width="10.7109375" style="1" bestFit="1" customWidth="1"/>
    <col min="1316" max="1537" width="9.140625" style="1"/>
    <col min="1538" max="1538" width="6.42578125" style="1" customWidth="1"/>
    <col min="1539" max="1539" width="20.7109375" style="1" customWidth="1"/>
    <col min="1540" max="1540" width="24.7109375" style="1" customWidth="1"/>
    <col min="1541" max="1541" width="11.140625" style="1" customWidth="1"/>
    <col min="1542" max="1542" width="12.28515625" style="1" customWidth="1"/>
    <col min="1543" max="1543" width="11.140625" style="1" customWidth="1"/>
    <col min="1544" max="1544" width="10.42578125" style="1" customWidth="1"/>
    <col min="1545" max="1545" width="4.7109375" style="1" customWidth="1"/>
    <col min="1546" max="1546" width="8.5703125" style="1" customWidth="1"/>
    <col min="1547" max="1547" width="5.5703125" style="1" customWidth="1"/>
    <col min="1548" max="1549" width="11.5703125" style="1" customWidth="1"/>
    <col min="1550" max="1550" width="10.85546875" style="1" customWidth="1"/>
    <col min="1551" max="1551" width="7.7109375" style="1" customWidth="1"/>
    <col min="1552" max="1552" width="8" style="1" customWidth="1"/>
    <col min="1553" max="1553" width="16.28515625" style="1" customWidth="1"/>
    <col min="1554" max="1554" width="10.5703125" style="1" customWidth="1"/>
    <col min="1555" max="1555" width="14.140625" style="1" customWidth="1"/>
    <col min="1556" max="1556" width="10.140625" style="1" customWidth="1"/>
    <col min="1557" max="1557" width="15.140625" style="1" customWidth="1"/>
    <col min="1558" max="1558" width="8.5703125" style="1" customWidth="1"/>
    <col min="1559" max="1559" width="14.28515625" style="1" customWidth="1"/>
    <col min="1560" max="1560" width="18.28515625" style="1" customWidth="1"/>
    <col min="1561" max="1561" width="13" style="1" bestFit="1" customWidth="1"/>
    <col min="1562" max="1562" width="11.7109375" style="1" bestFit="1" customWidth="1"/>
    <col min="1563" max="1569" width="9.140625" style="1"/>
    <col min="1570" max="1570" width="11.28515625" style="1" bestFit="1" customWidth="1"/>
    <col min="1571" max="1571" width="10.7109375" style="1" bestFit="1" customWidth="1"/>
    <col min="1572" max="1793" width="9.140625" style="1"/>
    <col min="1794" max="1794" width="6.42578125" style="1" customWidth="1"/>
    <col min="1795" max="1795" width="20.7109375" style="1" customWidth="1"/>
    <col min="1796" max="1796" width="24.7109375" style="1" customWidth="1"/>
    <col min="1797" max="1797" width="11.140625" style="1" customWidth="1"/>
    <col min="1798" max="1798" width="12.28515625" style="1" customWidth="1"/>
    <col min="1799" max="1799" width="11.140625" style="1" customWidth="1"/>
    <col min="1800" max="1800" width="10.42578125" style="1" customWidth="1"/>
    <col min="1801" max="1801" width="4.7109375" style="1" customWidth="1"/>
    <col min="1802" max="1802" width="8.5703125" style="1" customWidth="1"/>
    <col min="1803" max="1803" width="5.5703125" style="1" customWidth="1"/>
    <col min="1804" max="1805" width="11.5703125" style="1" customWidth="1"/>
    <col min="1806" max="1806" width="10.85546875" style="1" customWidth="1"/>
    <col min="1807" max="1807" width="7.7109375" style="1" customWidth="1"/>
    <col min="1808" max="1808" width="8" style="1" customWidth="1"/>
    <col min="1809" max="1809" width="16.28515625" style="1" customWidth="1"/>
    <col min="1810" max="1810" width="10.5703125" style="1" customWidth="1"/>
    <col min="1811" max="1811" width="14.140625" style="1" customWidth="1"/>
    <col min="1812" max="1812" width="10.140625" style="1" customWidth="1"/>
    <col min="1813" max="1813" width="15.140625" style="1" customWidth="1"/>
    <col min="1814" max="1814" width="8.5703125" style="1" customWidth="1"/>
    <col min="1815" max="1815" width="14.28515625" style="1" customWidth="1"/>
    <col min="1816" max="1816" width="18.28515625" style="1" customWidth="1"/>
    <col min="1817" max="1817" width="13" style="1" bestFit="1" customWidth="1"/>
    <col min="1818" max="1818" width="11.7109375" style="1" bestFit="1" customWidth="1"/>
    <col min="1819" max="1825" width="9.140625" style="1"/>
    <col min="1826" max="1826" width="11.28515625" style="1" bestFit="1" customWidth="1"/>
    <col min="1827" max="1827" width="10.7109375" style="1" bestFit="1" customWidth="1"/>
    <col min="1828" max="2049" width="9.140625" style="1"/>
    <col min="2050" max="2050" width="6.42578125" style="1" customWidth="1"/>
    <col min="2051" max="2051" width="20.7109375" style="1" customWidth="1"/>
    <col min="2052" max="2052" width="24.7109375" style="1" customWidth="1"/>
    <col min="2053" max="2053" width="11.140625" style="1" customWidth="1"/>
    <col min="2054" max="2054" width="12.28515625" style="1" customWidth="1"/>
    <col min="2055" max="2055" width="11.140625" style="1" customWidth="1"/>
    <col min="2056" max="2056" width="10.42578125" style="1" customWidth="1"/>
    <col min="2057" max="2057" width="4.7109375" style="1" customWidth="1"/>
    <col min="2058" max="2058" width="8.5703125" style="1" customWidth="1"/>
    <col min="2059" max="2059" width="5.5703125" style="1" customWidth="1"/>
    <col min="2060" max="2061" width="11.5703125" style="1" customWidth="1"/>
    <col min="2062" max="2062" width="10.85546875" style="1" customWidth="1"/>
    <col min="2063" max="2063" width="7.7109375" style="1" customWidth="1"/>
    <col min="2064" max="2064" width="8" style="1" customWidth="1"/>
    <col min="2065" max="2065" width="16.28515625" style="1" customWidth="1"/>
    <col min="2066" max="2066" width="10.5703125" style="1" customWidth="1"/>
    <col min="2067" max="2067" width="14.140625" style="1" customWidth="1"/>
    <col min="2068" max="2068" width="10.140625" style="1" customWidth="1"/>
    <col min="2069" max="2069" width="15.140625" style="1" customWidth="1"/>
    <col min="2070" max="2070" width="8.5703125" style="1" customWidth="1"/>
    <col min="2071" max="2071" width="14.28515625" style="1" customWidth="1"/>
    <col min="2072" max="2072" width="18.28515625" style="1" customWidth="1"/>
    <col min="2073" max="2073" width="13" style="1" bestFit="1" customWidth="1"/>
    <col min="2074" max="2074" width="11.7109375" style="1" bestFit="1" customWidth="1"/>
    <col min="2075" max="2081" width="9.140625" style="1"/>
    <col min="2082" max="2082" width="11.28515625" style="1" bestFit="1" customWidth="1"/>
    <col min="2083" max="2083" width="10.7109375" style="1" bestFit="1" customWidth="1"/>
    <col min="2084" max="2305" width="9.140625" style="1"/>
    <col min="2306" max="2306" width="6.42578125" style="1" customWidth="1"/>
    <col min="2307" max="2307" width="20.7109375" style="1" customWidth="1"/>
    <col min="2308" max="2308" width="24.7109375" style="1" customWidth="1"/>
    <col min="2309" max="2309" width="11.140625" style="1" customWidth="1"/>
    <col min="2310" max="2310" width="12.28515625" style="1" customWidth="1"/>
    <col min="2311" max="2311" width="11.140625" style="1" customWidth="1"/>
    <col min="2312" max="2312" width="10.42578125" style="1" customWidth="1"/>
    <col min="2313" max="2313" width="4.7109375" style="1" customWidth="1"/>
    <col min="2314" max="2314" width="8.5703125" style="1" customWidth="1"/>
    <col min="2315" max="2315" width="5.5703125" style="1" customWidth="1"/>
    <col min="2316" max="2317" width="11.5703125" style="1" customWidth="1"/>
    <col min="2318" max="2318" width="10.85546875" style="1" customWidth="1"/>
    <col min="2319" max="2319" width="7.7109375" style="1" customWidth="1"/>
    <col min="2320" max="2320" width="8" style="1" customWidth="1"/>
    <col min="2321" max="2321" width="16.28515625" style="1" customWidth="1"/>
    <col min="2322" max="2322" width="10.5703125" style="1" customWidth="1"/>
    <col min="2323" max="2323" width="14.140625" style="1" customWidth="1"/>
    <col min="2324" max="2324" width="10.140625" style="1" customWidth="1"/>
    <col min="2325" max="2325" width="15.140625" style="1" customWidth="1"/>
    <col min="2326" max="2326" width="8.5703125" style="1" customWidth="1"/>
    <col min="2327" max="2327" width="14.28515625" style="1" customWidth="1"/>
    <col min="2328" max="2328" width="18.28515625" style="1" customWidth="1"/>
    <col min="2329" max="2329" width="13" style="1" bestFit="1" customWidth="1"/>
    <col min="2330" max="2330" width="11.7109375" style="1" bestFit="1" customWidth="1"/>
    <col min="2331" max="2337" width="9.140625" style="1"/>
    <col min="2338" max="2338" width="11.28515625" style="1" bestFit="1" customWidth="1"/>
    <col min="2339" max="2339" width="10.7109375" style="1" bestFit="1" customWidth="1"/>
    <col min="2340" max="2561" width="9.140625" style="1"/>
    <col min="2562" max="2562" width="6.42578125" style="1" customWidth="1"/>
    <col min="2563" max="2563" width="20.7109375" style="1" customWidth="1"/>
    <col min="2564" max="2564" width="24.7109375" style="1" customWidth="1"/>
    <col min="2565" max="2565" width="11.140625" style="1" customWidth="1"/>
    <col min="2566" max="2566" width="12.28515625" style="1" customWidth="1"/>
    <col min="2567" max="2567" width="11.140625" style="1" customWidth="1"/>
    <col min="2568" max="2568" width="10.42578125" style="1" customWidth="1"/>
    <col min="2569" max="2569" width="4.7109375" style="1" customWidth="1"/>
    <col min="2570" max="2570" width="8.5703125" style="1" customWidth="1"/>
    <col min="2571" max="2571" width="5.5703125" style="1" customWidth="1"/>
    <col min="2572" max="2573" width="11.5703125" style="1" customWidth="1"/>
    <col min="2574" max="2574" width="10.85546875" style="1" customWidth="1"/>
    <col min="2575" max="2575" width="7.7109375" style="1" customWidth="1"/>
    <col min="2576" max="2576" width="8" style="1" customWidth="1"/>
    <col min="2577" max="2577" width="16.28515625" style="1" customWidth="1"/>
    <col min="2578" max="2578" width="10.5703125" style="1" customWidth="1"/>
    <col min="2579" max="2579" width="14.140625" style="1" customWidth="1"/>
    <col min="2580" max="2580" width="10.140625" style="1" customWidth="1"/>
    <col min="2581" max="2581" width="15.140625" style="1" customWidth="1"/>
    <col min="2582" max="2582" width="8.5703125" style="1" customWidth="1"/>
    <col min="2583" max="2583" width="14.28515625" style="1" customWidth="1"/>
    <col min="2584" max="2584" width="18.28515625" style="1" customWidth="1"/>
    <col min="2585" max="2585" width="13" style="1" bestFit="1" customWidth="1"/>
    <col min="2586" max="2586" width="11.7109375" style="1" bestFit="1" customWidth="1"/>
    <col min="2587" max="2593" width="9.140625" style="1"/>
    <col min="2594" max="2594" width="11.28515625" style="1" bestFit="1" customWidth="1"/>
    <col min="2595" max="2595" width="10.7109375" style="1" bestFit="1" customWidth="1"/>
    <col min="2596" max="2817" width="9.140625" style="1"/>
    <col min="2818" max="2818" width="6.42578125" style="1" customWidth="1"/>
    <col min="2819" max="2819" width="20.7109375" style="1" customWidth="1"/>
    <col min="2820" max="2820" width="24.7109375" style="1" customWidth="1"/>
    <col min="2821" max="2821" width="11.140625" style="1" customWidth="1"/>
    <col min="2822" max="2822" width="12.28515625" style="1" customWidth="1"/>
    <col min="2823" max="2823" width="11.140625" style="1" customWidth="1"/>
    <col min="2824" max="2824" width="10.42578125" style="1" customWidth="1"/>
    <col min="2825" max="2825" width="4.7109375" style="1" customWidth="1"/>
    <col min="2826" max="2826" width="8.5703125" style="1" customWidth="1"/>
    <col min="2827" max="2827" width="5.5703125" style="1" customWidth="1"/>
    <col min="2828" max="2829" width="11.5703125" style="1" customWidth="1"/>
    <col min="2830" max="2830" width="10.85546875" style="1" customWidth="1"/>
    <col min="2831" max="2831" width="7.7109375" style="1" customWidth="1"/>
    <col min="2832" max="2832" width="8" style="1" customWidth="1"/>
    <col min="2833" max="2833" width="16.28515625" style="1" customWidth="1"/>
    <col min="2834" max="2834" width="10.5703125" style="1" customWidth="1"/>
    <col min="2835" max="2835" width="14.140625" style="1" customWidth="1"/>
    <col min="2836" max="2836" width="10.140625" style="1" customWidth="1"/>
    <col min="2837" max="2837" width="15.140625" style="1" customWidth="1"/>
    <col min="2838" max="2838" width="8.5703125" style="1" customWidth="1"/>
    <col min="2839" max="2839" width="14.28515625" style="1" customWidth="1"/>
    <col min="2840" max="2840" width="18.28515625" style="1" customWidth="1"/>
    <col min="2841" max="2841" width="13" style="1" bestFit="1" customWidth="1"/>
    <col min="2842" max="2842" width="11.7109375" style="1" bestFit="1" customWidth="1"/>
    <col min="2843" max="2849" width="9.140625" style="1"/>
    <col min="2850" max="2850" width="11.28515625" style="1" bestFit="1" customWidth="1"/>
    <col min="2851" max="2851" width="10.7109375" style="1" bestFit="1" customWidth="1"/>
    <col min="2852" max="3073" width="9.140625" style="1"/>
    <col min="3074" max="3074" width="6.42578125" style="1" customWidth="1"/>
    <col min="3075" max="3075" width="20.7109375" style="1" customWidth="1"/>
    <col min="3076" max="3076" width="24.7109375" style="1" customWidth="1"/>
    <col min="3077" max="3077" width="11.140625" style="1" customWidth="1"/>
    <col min="3078" max="3078" width="12.28515625" style="1" customWidth="1"/>
    <col min="3079" max="3079" width="11.140625" style="1" customWidth="1"/>
    <col min="3080" max="3080" width="10.42578125" style="1" customWidth="1"/>
    <col min="3081" max="3081" width="4.7109375" style="1" customWidth="1"/>
    <col min="3082" max="3082" width="8.5703125" style="1" customWidth="1"/>
    <col min="3083" max="3083" width="5.5703125" style="1" customWidth="1"/>
    <col min="3084" max="3085" width="11.5703125" style="1" customWidth="1"/>
    <col min="3086" max="3086" width="10.85546875" style="1" customWidth="1"/>
    <col min="3087" max="3087" width="7.7109375" style="1" customWidth="1"/>
    <col min="3088" max="3088" width="8" style="1" customWidth="1"/>
    <col min="3089" max="3089" width="16.28515625" style="1" customWidth="1"/>
    <col min="3090" max="3090" width="10.5703125" style="1" customWidth="1"/>
    <col min="3091" max="3091" width="14.140625" style="1" customWidth="1"/>
    <col min="3092" max="3092" width="10.140625" style="1" customWidth="1"/>
    <col min="3093" max="3093" width="15.140625" style="1" customWidth="1"/>
    <col min="3094" max="3094" width="8.5703125" style="1" customWidth="1"/>
    <col min="3095" max="3095" width="14.28515625" style="1" customWidth="1"/>
    <col min="3096" max="3096" width="18.28515625" style="1" customWidth="1"/>
    <col min="3097" max="3097" width="13" style="1" bestFit="1" customWidth="1"/>
    <col min="3098" max="3098" width="11.7109375" style="1" bestFit="1" customWidth="1"/>
    <col min="3099" max="3105" width="9.140625" style="1"/>
    <col min="3106" max="3106" width="11.28515625" style="1" bestFit="1" customWidth="1"/>
    <col min="3107" max="3107" width="10.7109375" style="1" bestFit="1" customWidth="1"/>
    <col min="3108" max="3329" width="9.140625" style="1"/>
    <col min="3330" max="3330" width="6.42578125" style="1" customWidth="1"/>
    <col min="3331" max="3331" width="20.7109375" style="1" customWidth="1"/>
    <col min="3332" max="3332" width="24.7109375" style="1" customWidth="1"/>
    <col min="3333" max="3333" width="11.140625" style="1" customWidth="1"/>
    <col min="3334" max="3334" width="12.28515625" style="1" customWidth="1"/>
    <col min="3335" max="3335" width="11.140625" style="1" customWidth="1"/>
    <col min="3336" max="3336" width="10.42578125" style="1" customWidth="1"/>
    <col min="3337" max="3337" width="4.7109375" style="1" customWidth="1"/>
    <col min="3338" max="3338" width="8.5703125" style="1" customWidth="1"/>
    <col min="3339" max="3339" width="5.5703125" style="1" customWidth="1"/>
    <col min="3340" max="3341" width="11.5703125" style="1" customWidth="1"/>
    <col min="3342" max="3342" width="10.85546875" style="1" customWidth="1"/>
    <col min="3343" max="3343" width="7.7109375" style="1" customWidth="1"/>
    <col min="3344" max="3344" width="8" style="1" customWidth="1"/>
    <col min="3345" max="3345" width="16.28515625" style="1" customWidth="1"/>
    <col min="3346" max="3346" width="10.5703125" style="1" customWidth="1"/>
    <col min="3347" max="3347" width="14.140625" style="1" customWidth="1"/>
    <col min="3348" max="3348" width="10.140625" style="1" customWidth="1"/>
    <col min="3349" max="3349" width="15.140625" style="1" customWidth="1"/>
    <col min="3350" max="3350" width="8.5703125" style="1" customWidth="1"/>
    <col min="3351" max="3351" width="14.28515625" style="1" customWidth="1"/>
    <col min="3352" max="3352" width="18.28515625" style="1" customWidth="1"/>
    <col min="3353" max="3353" width="13" style="1" bestFit="1" customWidth="1"/>
    <col min="3354" max="3354" width="11.7109375" style="1" bestFit="1" customWidth="1"/>
    <col min="3355" max="3361" width="9.140625" style="1"/>
    <col min="3362" max="3362" width="11.28515625" style="1" bestFit="1" customWidth="1"/>
    <col min="3363" max="3363" width="10.7109375" style="1" bestFit="1" customWidth="1"/>
    <col min="3364" max="3585" width="9.140625" style="1"/>
    <col min="3586" max="3586" width="6.42578125" style="1" customWidth="1"/>
    <col min="3587" max="3587" width="20.7109375" style="1" customWidth="1"/>
    <col min="3588" max="3588" width="24.7109375" style="1" customWidth="1"/>
    <col min="3589" max="3589" width="11.140625" style="1" customWidth="1"/>
    <col min="3590" max="3590" width="12.28515625" style="1" customWidth="1"/>
    <col min="3591" max="3591" width="11.140625" style="1" customWidth="1"/>
    <col min="3592" max="3592" width="10.42578125" style="1" customWidth="1"/>
    <col min="3593" max="3593" width="4.7109375" style="1" customWidth="1"/>
    <col min="3594" max="3594" width="8.5703125" style="1" customWidth="1"/>
    <col min="3595" max="3595" width="5.5703125" style="1" customWidth="1"/>
    <col min="3596" max="3597" width="11.5703125" style="1" customWidth="1"/>
    <col min="3598" max="3598" width="10.85546875" style="1" customWidth="1"/>
    <col min="3599" max="3599" width="7.7109375" style="1" customWidth="1"/>
    <col min="3600" max="3600" width="8" style="1" customWidth="1"/>
    <col min="3601" max="3601" width="16.28515625" style="1" customWidth="1"/>
    <col min="3602" max="3602" width="10.5703125" style="1" customWidth="1"/>
    <col min="3603" max="3603" width="14.140625" style="1" customWidth="1"/>
    <col min="3604" max="3604" width="10.140625" style="1" customWidth="1"/>
    <col min="3605" max="3605" width="15.140625" style="1" customWidth="1"/>
    <col min="3606" max="3606" width="8.5703125" style="1" customWidth="1"/>
    <col min="3607" max="3607" width="14.28515625" style="1" customWidth="1"/>
    <col min="3608" max="3608" width="18.28515625" style="1" customWidth="1"/>
    <col min="3609" max="3609" width="13" style="1" bestFit="1" customWidth="1"/>
    <col min="3610" max="3610" width="11.7109375" style="1" bestFit="1" customWidth="1"/>
    <col min="3611" max="3617" width="9.140625" style="1"/>
    <col min="3618" max="3618" width="11.28515625" style="1" bestFit="1" customWidth="1"/>
    <col min="3619" max="3619" width="10.7109375" style="1" bestFit="1" customWidth="1"/>
    <col min="3620" max="3841" width="9.140625" style="1"/>
    <col min="3842" max="3842" width="6.42578125" style="1" customWidth="1"/>
    <col min="3843" max="3843" width="20.7109375" style="1" customWidth="1"/>
    <col min="3844" max="3844" width="24.7109375" style="1" customWidth="1"/>
    <col min="3845" max="3845" width="11.140625" style="1" customWidth="1"/>
    <col min="3846" max="3846" width="12.28515625" style="1" customWidth="1"/>
    <col min="3847" max="3847" width="11.140625" style="1" customWidth="1"/>
    <col min="3848" max="3848" width="10.42578125" style="1" customWidth="1"/>
    <col min="3849" max="3849" width="4.7109375" style="1" customWidth="1"/>
    <col min="3850" max="3850" width="8.5703125" style="1" customWidth="1"/>
    <col min="3851" max="3851" width="5.5703125" style="1" customWidth="1"/>
    <col min="3852" max="3853" width="11.5703125" style="1" customWidth="1"/>
    <col min="3854" max="3854" width="10.85546875" style="1" customWidth="1"/>
    <col min="3855" max="3855" width="7.7109375" style="1" customWidth="1"/>
    <col min="3856" max="3856" width="8" style="1" customWidth="1"/>
    <col min="3857" max="3857" width="16.28515625" style="1" customWidth="1"/>
    <col min="3858" max="3858" width="10.5703125" style="1" customWidth="1"/>
    <col min="3859" max="3859" width="14.140625" style="1" customWidth="1"/>
    <col min="3860" max="3860" width="10.140625" style="1" customWidth="1"/>
    <col min="3861" max="3861" width="15.140625" style="1" customWidth="1"/>
    <col min="3862" max="3862" width="8.5703125" style="1" customWidth="1"/>
    <col min="3863" max="3863" width="14.28515625" style="1" customWidth="1"/>
    <col min="3864" max="3864" width="18.28515625" style="1" customWidth="1"/>
    <col min="3865" max="3865" width="13" style="1" bestFit="1" customWidth="1"/>
    <col min="3866" max="3866" width="11.7109375" style="1" bestFit="1" customWidth="1"/>
    <col min="3867" max="3873" width="9.140625" style="1"/>
    <col min="3874" max="3874" width="11.28515625" style="1" bestFit="1" customWidth="1"/>
    <col min="3875" max="3875" width="10.7109375" style="1" bestFit="1" customWidth="1"/>
    <col min="3876" max="4097" width="9.140625" style="1"/>
    <col min="4098" max="4098" width="6.42578125" style="1" customWidth="1"/>
    <col min="4099" max="4099" width="20.7109375" style="1" customWidth="1"/>
    <col min="4100" max="4100" width="24.7109375" style="1" customWidth="1"/>
    <col min="4101" max="4101" width="11.140625" style="1" customWidth="1"/>
    <col min="4102" max="4102" width="12.28515625" style="1" customWidth="1"/>
    <col min="4103" max="4103" width="11.140625" style="1" customWidth="1"/>
    <col min="4104" max="4104" width="10.42578125" style="1" customWidth="1"/>
    <col min="4105" max="4105" width="4.7109375" style="1" customWidth="1"/>
    <col min="4106" max="4106" width="8.5703125" style="1" customWidth="1"/>
    <col min="4107" max="4107" width="5.5703125" style="1" customWidth="1"/>
    <col min="4108" max="4109" width="11.5703125" style="1" customWidth="1"/>
    <col min="4110" max="4110" width="10.85546875" style="1" customWidth="1"/>
    <col min="4111" max="4111" width="7.7109375" style="1" customWidth="1"/>
    <col min="4112" max="4112" width="8" style="1" customWidth="1"/>
    <col min="4113" max="4113" width="16.28515625" style="1" customWidth="1"/>
    <col min="4114" max="4114" width="10.5703125" style="1" customWidth="1"/>
    <col min="4115" max="4115" width="14.140625" style="1" customWidth="1"/>
    <col min="4116" max="4116" width="10.140625" style="1" customWidth="1"/>
    <col min="4117" max="4117" width="15.140625" style="1" customWidth="1"/>
    <col min="4118" max="4118" width="8.5703125" style="1" customWidth="1"/>
    <col min="4119" max="4119" width="14.28515625" style="1" customWidth="1"/>
    <col min="4120" max="4120" width="18.28515625" style="1" customWidth="1"/>
    <col min="4121" max="4121" width="13" style="1" bestFit="1" customWidth="1"/>
    <col min="4122" max="4122" width="11.7109375" style="1" bestFit="1" customWidth="1"/>
    <col min="4123" max="4129" width="9.140625" style="1"/>
    <col min="4130" max="4130" width="11.28515625" style="1" bestFit="1" customWidth="1"/>
    <col min="4131" max="4131" width="10.7109375" style="1" bestFit="1" customWidth="1"/>
    <col min="4132" max="4353" width="9.140625" style="1"/>
    <col min="4354" max="4354" width="6.42578125" style="1" customWidth="1"/>
    <col min="4355" max="4355" width="20.7109375" style="1" customWidth="1"/>
    <col min="4356" max="4356" width="24.7109375" style="1" customWidth="1"/>
    <col min="4357" max="4357" width="11.140625" style="1" customWidth="1"/>
    <col min="4358" max="4358" width="12.28515625" style="1" customWidth="1"/>
    <col min="4359" max="4359" width="11.140625" style="1" customWidth="1"/>
    <col min="4360" max="4360" width="10.42578125" style="1" customWidth="1"/>
    <col min="4361" max="4361" width="4.7109375" style="1" customWidth="1"/>
    <col min="4362" max="4362" width="8.5703125" style="1" customWidth="1"/>
    <col min="4363" max="4363" width="5.5703125" style="1" customWidth="1"/>
    <col min="4364" max="4365" width="11.5703125" style="1" customWidth="1"/>
    <col min="4366" max="4366" width="10.85546875" style="1" customWidth="1"/>
    <col min="4367" max="4367" width="7.7109375" style="1" customWidth="1"/>
    <col min="4368" max="4368" width="8" style="1" customWidth="1"/>
    <col min="4369" max="4369" width="16.28515625" style="1" customWidth="1"/>
    <col min="4370" max="4370" width="10.5703125" style="1" customWidth="1"/>
    <col min="4371" max="4371" width="14.140625" style="1" customWidth="1"/>
    <col min="4372" max="4372" width="10.140625" style="1" customWidth="1"/>
    <col min="4373" max="4373" width="15.140625" style="1" customWidth="1"/>
    <col min="4374" max="4374" width="8.5703125" style="1" customWidth="1"/>
    <col min="4375" max="4375" width="14.28515625" style="1" customWidth="1"/>
    <col min="4376" max="4376" width="18.28515625" style="1" customWidth="1"/>
    <col min="4377" max="4377" width="13" style="1" bestFit="1" customWidth="1"/>
    <col min="4378" max="4378" width="11.7109375" style="1" bestFit="1" customWidth="1"/>
    <col min="4379" max="4385" width="9.140625" style="1"/>
    <col min="4386" max="4386" width="11.28515625" style="1" bestFit="1" customWidth="1"/>
    <col min="4387" max="4387" width="10.7109375" style="1" bestFit="1" customWidth="1"/>
    <col min="4388" max="4609" width="9.140625" style="1"/>
    <col min="4610" max="4610" width="6.42578125" style="1" customWidth="1"/>
    <col min="4611" max="4611" width="20.7109375" style="1" customWidth="1"/>
    <col min="4612" max="4612" width="24.7109375" style="1" customWidth="1"/>
    <col min="4613" max="4613" width="11.140625" style="1" customWidth="1"/>
    <col min="4614" max="4614" width="12.28515625" style="1" customWidth="1"/>
    <col min="4615" max="4615" width="11.140625" style="1" customWidth="1"/>
    <col min="4616" max="4616" width="10.42578125" style="1" customWidth="1"/>
    <col min="4617" max="4617" width="4.7109375" style="1" customWidth="1"/>
    <col min="4618" max="4618" width="8.5703125" style="1" customWidth="1"/>
    <col min="4619" max="4619" width="5.5703125" style="1" customWidth="1"/>
    <col min="4620" max="4621" width="11.5703125" style="1" customWidth="1"/>
    <col min="4622" max="4622" width="10.85546875" style="1" customWidth="1"/>
    <col min="4623" max="4623" width="7.7109375" style="1" customWidth="1"/>
    <col min="4624" max="4624" width="8" style="1" customWidth="1"/>
    <col min="4625" max="4625" width="16.28515625" style="1" customWidth="1"/>
    <col min="4626" max="4626" width="10.5703125" style="1" customWidth="1"/>
    <col min="4627" max="4627" width="14.140625" style="1" customWidth="1"/>
    <col min="4628" max="4628" width="10.140625" style="1" customWidth="1"/>
    <col min="4629" max="4629" width="15.140625" style="1" customWidth="1"/>
    <col min="4630" max="4630" width="8.5703125" style="1" customWidth="1"/>
    <col min="4631" max="4631" width="14.28515625" style="1" customWidth="1"/>
    <col min="4632" max="4632" width="18.28515625" style="1" customWidth="1"/>
    <col min="4633" max="4633" width="13" style="1" bestFit="1" customWidth="1"/>
    <col min="4634" max="4634" width="11.7109375" style="1" bestFit="1" customWidth="1"/>
    <col min="4635" max="4641" width="9.140625" style="1"/>
    <col min="4642" max="4642" width="11.28515625" style="1" bestFit="1" customWidth="1"/>
    <col min="4643" max="4643" width="10.7109375" style="1" bestFit="1" customWidth="1"/>
    <col min="4644" max="4865" width="9.140625" style="1"/>
    <col min="4866" max="4866" width="6.42578125" style="1" customWidth="1"/>
    <col min="4867" max="4867" width="20.7109375" style="1" customWidth="1"/>
    <col min="4868" max="4868" width="24.7109375" style="1" customWidth="1"/>
    <col min="4869" max="4869" width="11.140625" style="1" customWidth="1"/>
    <col min="4870" max="4870" width="12.28515625" style="1" customWidth="1"/>
    <col min="4871" max="4871" width="11.140625" style="1" customWidth="1"/>
    <col min="4872" max="4872" width="10.42578125" style="1" customWidth="1"/>
    <col min="4873" max="4873" width="4.7109375" style="1" customWidth="1"/>
    <col min="4874" max="4874" width="8.5703125" style="1" customWidth="1"/>
    <col min="4875" max="4875" width="5.5703125" style="1" customWidth="1"/>
    <col min="4876" max="4877" width="11.5703125" style="1" customWidth="1"/>
    <col min="4878" max="4878" width="10.85546875" style="1" customWidth="1"/>
    <col min="4879" max="4879" width="7.7109375" style="1" customWidth="1"/>
    <col min="4880" max="4880" width="8" style="1" customWidth="1"/>
    <col min="4881" max="4881" width="16.28515625" style="1" customWidth="1"/>
    <col min="4882" max="4882" width="10.5703125" style="1" customWidth="1"/>
    <col min="4883" max="4883" width="14.140625" style="1" customWidth="1"/>
    <col min="4884" max="4884" width="10.140625" style="1" customWidth="1"/>
    <col min="4885" max="4885" width="15.140625" style="1" customWidth="1"/>
    <col min="4886" max="4886" width="8.5703125" style="1" customWidth="1"/>
    <col min="4887" max="4887" width="14.28515625" style="1" customWidth="1"/>
    <col min="4888" max="4888" width="18.28515625" style="1" customWidth="1"/>
    <col min="4889" max="4889" width="13" style="1" bestFit="1" customWidth="1"/>
    <col min="4890" max="4890" width="11.7109375" style="1" bestFit="1" customWidth="1"/>
    <col min="4891" max="4897" width="9.140625" style="1"/>
    <col min="4898" max="4898" width="11.28515625" style="1" bestFit="1" customWidth="1"/>
    <col min="4899" max="4899" width="10.7109375" style="1" bestFit="1" customWidth="1"/>
    <col min="4900" max="5121" width="9.140625" style="1"/>
    <col min="5122" max="5122" width="6.42578125" style="1" customWidth="1"/>
    <col min="5123" max="5123" width="20.7109375" style="1" customWidth="1"/>
    <col min="5124" max="5124" width="24.7109375" style="1" customWidth="1"/>
    <col min="5125" max="5125" width="11.140625" style="1" customWidth="1"/>
    <col min="5126" max="5126" width="12.28515625" style="1" customWidth="1"/>
    <col min="5127" max="5127" width="11.140625" style="1" customWidth="1"/>
    <col min="5128" max="5128" width="10.42578125" style="1" customWidth="1"/>
    <col min="5129" max="5129" width="4.7109375" style="1" customWidth="1"/>
    <col min="5130" max="5130" width="8.5703125" style="1" customWidth="1"/>
    <col min="5131" max="5131" width="5.5703125" style="1" customWidth="1"/>
    <col min="5132" max="5133" width="11.5703125" style="1" customWidth="1"/>
    <col min="5134" max="5134" width="10.85546875" style="1" customWidth="1"/>
    <col min="5135" max="5135" width="7.7109375" style="1" customWidth="1"/>
    <col min="5136" max="5136" width="8" style="1" customWidth="1"/>
    <col min="5137" max="5137" width="16.28515625" style="1" customWidth="1"/>
    <col min="5138" max="5138" width="10.5703125" style="1" customWidth="1"/>
    <col min="5139" max="5139" width="14.140625" style="1" customWidth="1"/>
    <col min="5140" max="5140" width="10.140625" style="1" customWidth="1"/>
    <col min="5141" max="5141" width="15.140625" style="1" customWidth="1"/>
    <col min="5142" max="5142" width="8.5703125" style="1" customWidth="1"/>
    <col min="5143" max="5143" width="14.28515625" style="1" customWidth="1"/>
    <col min="5144" max="5144" width="18.28515625" style="1" customWidth="1"/>
    <col min="5145" max="5145" width="13" style="1" bestFit="1" customWidth="1"/>
    <col min="5146" max="5146" width="11.7109375" style="1" bestFit="1" customWidth="1"/>
    <col min="5147" max="5153" width="9.140625" style="1"/>
    <col min="5154" max="5154" width="11.28515625" style="1" bestFit="1" customWidth="1"/>
    <col min="5155" max="5155" width="10.7109375" style="1" bestFit="1" customWidth="1"/>
    <col min="5156" max="5377" width="9.140625" style="1"/>
    <col min="5378" max="5378" width="6.42578125" style="1" customWidth="1"/>
    <col min="5379" max="5379" width="20.7109375" style="1" customWidth="1"/>
    <col min="5380" max="5380" width="24.7109375" style="1" customWidth="1"/>
    <col min="5381" max="5381" width="11.140625" style="1" customWidth="1"/>
    <col min="5382" max="5382" width="12.28515625" style="1" customWidth="1"/>
    <col min="5383" max="5383" width="11.140625" style="1" customWidth="1"/>
    <col min="5384" max="5384" width="10.42578125" style="1" customWidth="1"/>
    <col min="5385" max="5385" width="4.7109375" style="1" customWidth="1"/>
    <col min="5386" max="5386" width="8.5703125" style="1" customWidth="1"/>
    <col min="5387" max="5387" width="5.5703125" style="1" customWidth="1"/>
    <col min="5388" max="5389" width="11.5703125" style="1" customWidth="1"/>
    <col min="5390" max="5390" width="10.85546875" style="1" customWidth="1"/>
    <col min="5391" max="5391" width="7.7109375" style="1" customWidth="1"/>
    <col min="5392" max="5392" width="8" style="1" customWidth="1"/>
    <col min="5393" max="5393" width="16.28515625" style="1" customWidth="1"/>
    <col min="5394" max="5394" width="10.5703125" style="1" customWidth="1"/>
    <col min="5395" max="5395" width="14.140625" style="1" customWidth="1"/>
    <col min="5396" max="5396" width="10.140625" style="1" customWidth="1"/>
    <col min="5397" max="5397" width="15.140625" style="1" customWidth="1"/>
    <col min="5398" max="5398" width="8.5703125" style="1" customWidth="1"/>
    <col min="5399" max="5399" width="14.28515625" style="1" customWidth="1"/>
    <col min="5400" max="5400" width="18.28515625" style="1" customWidth="1"/>
    <col min="5401" max="5401" width="13" style="1" bestFit="1" customWidth="1"/>
    <col min="5402" max="5402" width="11.7109375" style="1" bestFit="1" customWidth="1"/>
    <col min="5403" max="5409" width="9.140625" style="1"/>
    <col min="5410" max="5410" width="11.28515625" style="1" bestFit="1" customWidth="1"/>
    <col min="5411" max="5411" width="10.7109375" style="1" bestFit="1" customWidth="1"/>
    <col min="5412" max="5633" width="9.140625" style="1"/>
    <col min="5634" max="5634" width="6.42578125" style="1" customWidth="1"/>
    <col min="5635" max="5635" width="20.7109375" style="1" customWidth="1"/>
    <col min="5636" max="5636" width="24.7109375" style="1" customWidth="1"/>
    <col min="5637" max="5637" width="11.140625" style="1" customWidth="1"/>
    <col min="5638" max="5638" width="12.28515625" style="1" customWidth="1"/>
    <col min="5639" max="5639" width="11.140625" style="1" customWidth="1"/>
    <col min="5640" max="5640" width="10.42578125" style="1" customWidth="1"/>
    <col min="5641" max="5641" width="4.7109375" style="1" customWidth="1"/>
    <col min="5642" max="5642" width="8.5703125" style="1" customWidth="1"/>
    <col min="5643" max="5643" width="5.5703125" style="1" customWidth="1"/>
    <col min="5644" max="5645" width="11.5703125" style="1" customWidth="1"/>
    <col min="5646" max="5646" width="10.85546875" style="1" customWidth="1"/>
    <col min="5647" max="5647" width="7.7109375" style="1" customWidth="1"/>
    <col min="5648" max="5648" width="8" style="1" customWidth="1"/>
    <col min="5649" max="5649" width="16.28515625" style="1" customWidth="1"/>
    <col min="5650" max="5650" width="10.5703125" style="1" customWidth="1"/>
    <col min="5651" max="5651" width="14.140625" style="1" customWidth="1"/>
    <col min="5652" max="5652" width="10.140625" style="1" customWidth="1"/>
    <col min="5653" max="5653" width="15.140625" style="1" customWidth="1"/>
    <col min="5654" max="5654" width="8.5703125" style="1" customWidth="1"/>
    <col min="5655" max="5655" width="14.28515625" style="1" customWidth="1"/>
    <col min="5656" max="5656" width="18.28515625" style="1" customWidth="1"/>
    <col min="5657" max="5657" width="13" style="1" bestFit="1" customWidth="1"/>
    <col min="5658" max="5658" width="11.7109375" style="1" bestFit="1" customWidth="1"/>
    <col min="5659" max="5665" width="9.140625" style="1"/>
    <col min="5666" max="5666" width="11.28515625" style="1" bestFit="1" customWidth="1"/>
    <col min="5667" max="5667" width="10.7109375" style="1" bestFit="1" customWidth="1"/>
    <col min="5668" max="5889" width="9.140625" style="1"/>
    <col min="5890" max="5890" width="6.42578125" style="1" customWidth="1"/>
    <col min="5891" max="5891" width="20.7109375" style="1" customWidth="1"/>
    <col min="5892" max="5892" width="24.7109375" style="1" customWidth="1"/>
    <col min="5893" max="5893" width="11.140625" style="1" customWidth="1"/>
    <col min="5894" max="5894" width="12.28515625" style="1" customWidth="1"/>
    <col min="5895" max="5895" width="11.140625" style="1" customWidth="1"/>
    <col min="5896" max="5896" width="10.42578125" style="1" customWidth="1"/>
    <col min="5897" max="5897" width="4.7109375" style="1" customWidth="1"/>
    <col min="5898" max="5898" width="8.5703125" style="1" customWidth="1"/>
    <col min="5899" max="5899" width="5.5703125" style="1" customWidth="1"/>
    <col min="5900" max="5901" width="11.5703125" style="1" customWidth="1"/>
    <col min="5902" max="5902" width="10.85546875" style="1" customWidth="1"/>
    <col min="5903" max="5903" width="7.7109375" style="1" customWidth="1"/>
    <col min="5904" max="5904" width="8" style="1" customWidth="1"/>
    <col min="5905" max="5905" width="16.28515625" style="1" customWidth="1"/>
    <col min="5906" max="5906" width="10.5703125" style="1" customWidth="1"/>
    <col min="5907" max="5907" width="14.140625" style="1" customWidth="1"/>
    <col min="5908" max="5908" width="10.140625" style="1" customWidth="1"/>
    <col min="5909" max="5909" width="15.140625" style="1" customWidth="1"/>
    <col min="5910" max="5910" width="8.5703125" style="1" customWidth="1"/>
    <col min="5911" max="5911" width="14.28515625" style="1" customWidth="1"/>
    <col min="5912" max="5912" width="18.28515625" style="1" customWidth="1"/>
    <col min="5913" max="5913" width="13" style="1" bestFit="1" customWidth="1"/>
    <col min="5914" max="5914" width="11.7109375" style="1" bestFit="1" customWidth="1"/>
    <col min="5915" max="5921" width="9.140625" style="1"/>
    <col min="5922" max="5922" width="11.28515625" style="1" bestFit="1" customWidth="1"/>
    <col min="5923" max="5923" width="10.7109375" style="1" bestFit="1" customWidth="1"/>
    <col min="5924" max="6145" width="9.140625" style="1"/>
    <col min="6146" max="6146" width="6.42578125" style="1" customWidth="1"/>
    <col min="6147" max="6147" width="20.7109375" style="1" customWidth="1"/>
    <col min="6148" max="6148" width="24.7109375" style="1" customWidth="1"/>
    <col min="6149" max="6149" width="11.140625" style="1" customWidth="1"/>
    <col min="6150" max="6150" width="12.28515625" style="1" customWidth="1"/>
    <col min="6151" max="6151" width="11.140625" style="1" customWidth="1"/>
    <col min="6152" max="6152" width="10.42578125" style="1" customWidth="1"/>
    <col min="6153" max="6153" width="4.7109375" style="1" customWidth="1"/>
    <col min="6154" max="6154" width="8.5703125" style="1" customWidth="1"/>
    <col min="6155" max="6155" width="5.5703125" style="1" customWidth="1"/>
    <col min="6156" max="6157" width="11.5703125" style="1" customWidth="1"/>
    <col min="6158" max="6158" width="10.85546875" style="1" customWidth="1"/>
    <col min="6159" max="6159" width="7.7109375" style="1" customWidth="1"/>
    <col min="6160" max="6160" width="8" style="1" customWidth="1"/>
    <col min="6161" max="6161" width="16.28515625" style="1" customWidth="1"/>
    <col min="6162" max="6162" width="10.5703125" style="1" customWidth="1"/>
    <col min="6163" max="6163" width="14.140625" style="1" customWidth="1"/>
    <col min="6164" max="6164" width="10.140625" style="1" customWidth="1"/>
    <col min="6165" max="6165" width="15.140625" style="1" customWidth="1"/>
    <col min="6166" max="6166" width="8.5703125" style="1" customWidth="1"/>
    <col min="6167" max="6167" width="14.28515625" style="1" customWidth="1"/>
    <col min="6168" max="6168" width="18.28515625" style="1" customWidth="1"/>
    <col min="6169" max="6169" width="13" style="1" bestFit="1" customWidth="1"/>
    <col min="6170" max="6170" width="11.7109375" style="1" bestFit="1" customWidth="1"/>
    <col min="6171" max="6177" width="9.140625" style="1"/>
    <col min="6178" max="6178" width="11.28515625" style="1" bestFit="1" customWidth="1"/>
    <col min="6179" max="6179" width="10.7109375" style="1" bestFit="1" customWidth="1"/>
    <col min="6180" max="6401" width="9.140625" style="1"/>
    <col min="6402" max="6402" width="6.42578125" style="1" customWidth="1"/>
    <col min="6403" max="6403" width="20.7109375" style="1" customWidth="1"/>
    <col min="6404" max="6404" width="24.7109375" style="1" customWidth="1"/>
    <col min="6405" max="6405" width="11.140625" style="1" customWidth="1"/>
    <col min="6406" max="6406" width="12.28515625" style="1" customWidth="1"/>
    <col min="6407" max="6407" width="11.140625" style="1" customWidth="1"/>
    <col min="6408" max="6408" width="10.42578125" style="1" customWidth="1"/>
    <col min="6409" max="6409" width="4.7109375" style="1" customWidth="1"/>
    <col min="6410" max="6410" width="8.5703125" style="1" customWidth="1"/>
    <col min="6411" max="6411" width="5.5703125" style="1" customWidth="1"/>
    <col min="6412" max="6413" width="11.5703125" style="1" customWidth="1"/>
    <col min="6414" max="6414" width="10.85546875" style="1" customWidth="1"/>
    <col min="6415" max="6415" width="7.7109375" style="1" customWidth="1"/>
    <col min="6416" max="6416" width="8" style="1" customWidth="1"/>
    <col min="6417" max="6417" width="16.28515625" style="1" customWidth="1"/>
    <col min="6418" max="6418" width="10.5703125" style="1" customWidth="1"/>
    <col min="6419" max="6419" width="14.140625" style="1" customWidth="1"/>
    <col min="6420" max="6420" width="10.140625" style="1" customWidth="1"/>
    <col min="6421" max="6421" width="15.140625" style="1" customWidth="1"/>
    <col min="6422" max="6422" width="8.5703125" style="1" customWidth="1"/>
    <col min="6423" max="6423" width="14.28515625" style="1" customWidth="1"/>
    <col min="6424" max="6424" width="18.28515625" style="1" customWidth="1"/>
    <col min="6425" max="6425" width="13" style="1" bestFit="1" customWidth="1"/>
    <col min="6426" max="6426" width="11.7109375" style="1" bestFit="1" customWidth="1"/>
    <col min="6427" max="6433" width="9.140625" style="1"/>
    <col min="6434" max="6434" width="11.28515625" style="1" bestFit="1" customWidth="1"/>
    <col min="6435" max="6435" width="10.7109375" style="1" bestFit="1" customWidth="1"/>
    <col min="6436" max="6657" width="9.140625" style="1"/>
    <col min="6658" max="6658" width="6.42578125" style="1" customWidth="1"/>
    <col min="6659" max="6659" width="20.7109375" style="1" customWidth="1"/>
    <col min="6660" max="6660" width="24.7109375" style="1" customWidth="1"/>
    <col min="6661" max="6661" width="11.140625" style="1" customWidth="1"/>
    <col min="6662" max="6662" width="12.28515625" style="1" customWidth="1"/>
    <col min="6663" max="6663" width="11.140625" style="1" customWidth="1"/>
    <col min="6664" max="6664" width="10.42578125" style="1" customWidth="1"/>
    <col min="6665" max="6665" width="4.7109375" style="1" customWidth="1"/>
    <col min="6666" max="6666" width="8.5703125" style="1" customWidth="1"/>
    <col min="6667" max="6667" width="5.5703125" style="1" customWidth="1"/>
    <col min="6668" max="6669" width="11.5703125" style="1" customWidth="1"/>
    <col min="6670" max="6670" width="10.85546875" style="1" customWidth="1"/>
    <col min="6671" max="6671" width="7.7109375" style="1" customWidth="1"/>
    <col min="6672" max="6672" width="8" style="1" customWidth="1"/>
    <col min="6673" max="6673" width="16.28515625" style="1" customWidth="1"/>
    <col min="6674" max="6674" width="10.5703125" style="1" customWidth="1"/>
    <col min="6675" max="6675" width="14.140625" style="1" customWidth="1"/>
    <col min="6676" max="6676" width="10.140625" style="1" customWidth="1"/>
    <col min="6677" max="6677" width="15.140625" style="1" customWidth="1"/>
    <col min="6678" max="6678" width="8.5703125" style="1" customWidth="1"/>
    <col min="6679" max="6679" width="14.28515625" style="1" customWidth="1"/>
    <col min="6680" max="6680" width="18.28515625" style="1" customWidth="1"/>
    <col min="6681" max="6681" width="13" style="1" bestFit="1" customWidth="1"/>
    <col min="6682" max="6682" width="11.7109375" style="1" bestFit="1" customWidth="1"/>
    <col min="6683" max="6689" width="9.140625" style="1"/>
    <col min="6690" max="6690" width="11.28515625" style="1" bestFit="1" customWidth="1"/>
    <col min="6691" max="6691" width="10.7109375" style="1" bestFit="1" customWidth="1"/>
    <col min="6692" max="6913" width="9.140625" style="1"/>
    <col min="6914" max="6914" width="6.42578125" style="1" customWidth="1"/>
    <col min="6915" max="6915" width="20.7109375" style="1" customWidth="1"/>
    <col min="6916" max="6916" width="24.7109375" style="1" customWidth="1"/>
    <col min="6917" max="6917" width="11.140625" style="1" customWidth="1"/>
    <col min="6918" max="6918" width="12.28515625" style="1" customWidth="1"/>
    <col min="6919" max="6919" width="11.140625" style="1" customWidth="1"/>
    <col min="6920" max="6920" width="10.42578125" style="1" customWidth="1"/>
    <col min="6921" max="6921" width="4.7109375" style="1" customWidth="1"/>
    <col min="6922" max="6922" width="8.5703125" style="1" customWidth="1"/>
    <col min="6923" max="6923" width="5.5703125" style="1" customWidth="1"/>
    <col min="6924" max="6925" width="11.5703125" style="1" customWidth="1"/>
    <col min="6926" max="6926" width="10.85546875" style="1" customWidth="1"/>
    <col min="6927" max="6927" width="7.7109375" style="1" customWidth="1"/>
    <col min="6928" max="6928" width="8" style="1" customWidth="1"/>
    <col min="6929" max="6929" width="16.28515625" style="1" customWidth="1"/>
    <col min="6930" max="6930" width="10.5703125" style="1" customWidth="1"/>
    <col min="6931" max="6931" width="14.140625" style="1" customWidth="1"/>
    <col min="6932" max="6932" width="10.140625" style="1" customWidth="1"/>
    <col min="6933" max="6933" width="15.140625" style="1" customWidth="1"/>
    <col min="6934" max="6934" width="8.5703125" style="1" customWidth="1"/>
    <col min="6935" max="6935" width="14.28515625" style="1" customWidth="1"/>
    <col min="6936" max="6936" width="18.28515625" style="1" customWidth="1"/>
    <col min="6937" max="6937" width="13" style="1" bestFit="1" customWidth="1"/>
    <col min="6938" max="6938" width="11.7109375" style="1" bestFit="1" customWidth="1"/>
    <col min="6939" max="6945" width="9.140625" style="1"/>
    <col min="6946" max="6946" width="11.28515625" style="1" bestFit="1" customWidth="1"/>
    <col min="6947" max="6947" width="10.7109375" style="1" bestFit="1" customWidth="1"/>
    <col min="6948" max="7169" width="9.140625" style="1"/>
    <col min="7170" max="7170" width="6.42578125" style="1" customWidth="1"/>
    <col min="7171" max="7171" width="20.7109375" style="1" customWidth="1"/>
    <col min="7172" max="7172" width="24.7109375" style="1" customWidth="1"/>
    <col min="7173" max="7173" width="11.140625" style="1" customWidth="1"/>
    <col min="7174" max="7174" width="12.28515625" style="1" customWidth="1"/>
    <col min="7175" max="7175" width="11.140625" style="1" customWidth="1"/>
    <col min="7176" max="7176" width="10.42578125" style="1" customWidth="1"/>
    <col min="7177" max="7177" width="4.7109375" style="1" customWidth="1"/>
    <col min="7178" max="7178" width="8.5703125" style="1" customWidth="1"/>
    <col min="7179" max="7179" width="5.5703125" style="1" customWidth="1"/>
    <col min="7180" max="7181" width="11.5703125" style="1" customWidth="1"/>
    <col min="7182" max="7182" width="10.85546875" style="1" customWidth="1"/>
    <col min="7183" max="7183" width="7.7109375" style="1" customWidth="1"/>
    <col min="7184" max="7184" width="8" style="1" customWidth="1"/>
    <col min="7185" max="7185" width="16.28515625" style="1" customWidth="1"/>
    <col min="7186" max="7186" width="10.5703125" style="1" customWidth="1"/>
    <col min="7187" max="7187" width="14.140625" style="1" customWidth="1"/>
    <col min="7188" max="7188" width="10.140625" style="1" customWidth="1"/>
    <col min="7189" max="7189" width="15.140625" style="1" customWidth="1"/>
    <col min="7190" max="7190" width="8.5703125" style="1" customWidth="1"/>
    <col min="7191" max="7191" width="14.28515625" style="1" customWidth="1"/>
    <col min="7192" max="7192" width="18.28515625" style="1" customWidth="1"/>
    <col min="7193" max="7193" width="13" style="1" bestFit="1" customWidth="1"/>
    <col min="7194" max="7194" width="11.7109375" style="1" bestFit="1" customWidth="1"/>
    <col min="7195" max="7201" width="9.140625" style="1"/>
    <col min="7202" max="7202" width="11.28515625" style="1" bestFit="1" customWidth="1"/>
    <col min="7203" max="7203" width="10.7109375" style="1" bestFit="1" customWidth="1"/>
    <col min="7204" max="7425" width="9.140625" style="1"/>
    <col min="7426" max="7426" width="6.42578125" style="1" customWidth="1"/>
    <col min="7427" max="7427" width="20.7109375" style="1" customWidth="1"/>
    <col min="7428" max="7428" width="24.7109375" style="1" customWidth="1"/>
    <col min="7429" max="7429" width="11.140625" style="1" customWidth="1"/>
    <col min="7430" max="7430" width="12.28515625" style="1" customWidth="1"/>
    <col min="7431" max="7431" width="11.140625" style="1" customWidth="1"/>
    <col min="7432" max="7432" width="10.42578125" style="1" customWidth="1"/>
    <col min="7433" max="7433" width="4.7109375" style="1" customWidth="1"/>
    <col min="7434" max="7434" width="8.5703125" style="1" customWidth="1"/>
    <col min="7435" max="7435" width="5.5703125" style="1" customWidth="1"/>
    <col min="7436" max="7437" width="11.5703125" style="1" customWidth="1"/>
    <col min="7438" max="7438" width="10.85546875" style="1" customWidth="1"/>
    <col min="7439" max="7439" width="7.7109375" style="1" customWidth="1"/>
    <col min="7440" max="7440" width="8" style="1" customWidth="1"/>
    <col min="7441" max="7441" width="16.28515625" style="1" customWidth="1"/>
    <col min="7442" max="7442" width="10.5703125" style="1" customWidth="1"/>
    <col min="7443" max="7443" width="14.140625" style="1" customWidth="1"/>
    <col min="7444" max="7444" width="10.140625" style="1" customWidth="1"/>
    <col min="7445" max="7445" width="15.140625" style="1" customWidth="1"/>
    <col min="7446" max="7446" width="8.5703125" style="1" customWidth="1"/>
    <col min="7447" max="7447" width="14.28515625" style="1" customWidth="1"/>
    <col min="7448" max="7448" width="18.28515625" style="1" customWidth="1"/>
    <col min="7449" max="7449" width="13" style="1" bestFit="1" customWidth="1"/>
    <col min="7450" max="7450" width="11.7109375" style="1" bestFit="1" customWidth="1"/>
    <col min="7451" max="7457" width="9.140625" style="1"/>
    <col min="7458" max="7458" width="11.28515625" style="1" bestFit="1" customWidth="1"/>
    <col min="7459" max="7459" width="10.7109375" style="1" bestFit="1" customWidth="1"/>
    <col min="7460" max="7681" width="9.140625" style="1"/>
    <col min="7682" max="7682" width="6.42578125" style="1" customWidth="1"/>
    <col min="7683" max="7683" width="20.7109375" style="1" customWidth="1"/>
    <col min="7684" max="7684" width="24.7109375" style="1" customWidth="1"/>
    <col min="7685" max="7685" width="11.140625" style="1" customWidth="1"/>
    <col min="7686" max="7686" width="12.28515625" style="1" customWidth="1"/>
    <col min="7687" max="7687" width="11.140625" style="1" customWidth="1"/>
    <col min="7688" max="7688" width="10.42578125" style="1" customWidth="1"/>
    <col min="7689" max="7689" width="4.7109375" style="1" customWidth="1"/>
    <col min="7690" max="7690" width="8.5703125" style="1" customWidth="1"/>
    <col min="7691" max="7691" width="5.5703125" style="1" customWidth="1"/>
    <col min="7692" max="7693" width="11.5703125" style="1" customWidth="1"/>
    <col min="7694" max="7694" width="10.85546875" style="1" customWidth="1"/>
    <col min="7695" max="7695" width="7.7109375" style="1" customWidth="1"/>
    <col min="7696" max="7696" width="8" style="1" customWidth="1"/>
    <col min="7697" max="7697" width="16.28515625" style="1" customWidth="1"/>
    <col min="7698" max="7698" width="10.5703125" style="1" customWidth="1"/>
    <col min="7699" max="7699" width="14.140625" style="1" customWidth="1"/>
    <col min="7700" max="7700" width="10.140625" style="1" customWidth="1"/>
    <col min="7701" max="7701" width="15.140625" style="1" customWidth="1"/>
    <col min="7702" max="7702" width="8.5703125" style="1" customWidth="1"/>
    <col min="7703" max="7703" width="14.28515625" style="1" customWidth="1"/>
    <col min="7704" max="7704" width="18.28515625" style="1" customWidth="1"/>
    <col min="7705" max="7705" width="13" style="1" bestFit="1" customWidth="1"/>
    <col min="7706" max="7706" width="11.7109375" style="1" bestFit="1" customWidth="1"/>
    <col min="7707" max="7713" width="9.140625" style="1"/>
    <col min="7714" max="7714" width="11.28515625" style="1" bestFit="1" customWidth="1"/>
    <col min="7715" max="7715" width="10.7109375" style="1" bestFit="1" customWidth="1"/>
    <col min="7716" max="7937" width="9.140625" style="1"/>
    <col min="7938" max="7938" width="6.42578125" style="1" customWidth="1"/>
    <col min="7939" max="7939" width="20.7109375" style="1" customWidth="1"/>
    <col min="7940" max="7940" width="24.7109375" style="1" customWidth="1"/>
    <col min="7941" max="7941" width="11.140625" style="1" customWidth="1"/>
    <col min="7942" max="7942" width="12.28515625" style="1" customWidth="1"/>
    <col min="7943" max="7943" width="11.140625" style="1" customWidth="1"/>
    <col min="7944" max="7944" width="10.42578125" style="1" customWidth="1"/>
    <col min="7945" max="7945" width="4.7109375" style="1" customWidth="1"/>
    <col min="7946" max="7946" width="8.5703125" style="1" customWidth="1"/>
    <col min="7947" max="7947" width="5.5703125" style="1" customWidth="1"/>
    <col min="7948" max="7949" width="11.5703125" style="1" customWidth="1"/>
    <col min="7950" max="7950" width="10.85546875" style="1" customWidth="1"/>
    <col min="7951" max="7951" width="7.7109375" style="1" customWidth="1"/>
    <col min="7952" max="7952" width="8" style="1" customWidth="1"/>
    <col min="7953" max="7953" width="16.28515625" style="1" customWidth="1"/>
    <col min="7954" max="7954" width="10.5703125" style="1" customWidth="1"/>
    <col min="7955" max="7955" width="14.140625" style="1" customWidth="1"/>
    <col min="7956" max="7956" width="10.140625" style="1" customWidth="1"/>
    <col min="7957" max="7957" width="15.140625" style="1" customWidth="1"/>
    <col min="7958" max="7958" width="8.5703125" style="1" customWidth="1"/>
    <col min="7959" max="7959" width="14.28515625" style="1" customWidth="1"/>
    <col min="7960" max="7960" width="18.28515625" style="1" customWidth="1"/>
    <col min="7961" max="7961" width="13" style="1" bestFit="1" customWidth="1"/>
    <col min="7962" max="7962" width="11.7109375" style="1" bestFit="1" customWidth="1"/>
    <col min="7963" max="7969" width="9.140625" style="1"/>
    <col min="7970" max="7970" width="11.28515625" style="1" bestFit="1" customWidth="1"/>
    <col min="7971" max="7971" width="10.7109375" style="1" bestFit="1" customWidth="1"/>
    <col min="7972" max="8193" width="9.140625" style="1"/>
    <col min="8194" max="8194" width="6.42578125" style="1" customWidth="1"/>
    <col min="8195" max="8195" width="20.7109375" style="1" customWidth="1"/>
    <col min="8196" max="8196" width="24.7109375" style="1" customWidth="1"/>
    <col min="8197" max="8197" width="11.140625" style="1" customWidth="1"/>
    <col min="8198" max="8198" width="12.28515625" style="1" customWidth="1"/>
    <col min="8199" max="8199" width="11.140625" style="1" customWidth="1"/>
    <col min="8200" max="8200" width="10.42578125" style="1" customWidth="1"/>
    <col min="8201" max="8201" width="4.7109375" style="1" customWidth="1"/>
    <col min="8202" max="8202" width="8.5703125" style="1" customWidth="1"/>
    <col min="8203" max="8203" width="5.5703125" style="1" customWidth="1"/>
    <col min="8204" max="8205" width="11.5703125" style="1" customWidth="1"/>
    <col min="8206" max="8206" width="10.85546875" style="1" customWidth="1"/>
    <col min="8207" max="8207" width="7.7109375" style="1" customWidth="1"/>
    <col min="8208" max="8208" width="8" style="1" customWidth="1"/>
    <col min="8209" max="8209" width="16.28515625" style="1" customWidth="1"/>
    <col min="8210" max="8210" width="10.5703125" style="1" customWidth="1"/>
    <col min="8211" max="8211" width="14.140625" style="1" customWidth="1"/>
    <col min="8212" max="8212" width="10.140625" style="1" customWidth="1"/>
    <col min="8213" max="8213" width="15.140625" style="1" customWidth="1"/>
    <col min="8214" max="8214" width="8.5703125" style="1" customWidth="1"/>
    <col min="8215" max="8215" width="14.28515625" style="1" customWidth="1"/>
    <col min="8216" max="8216" width="18.28515625" style="1" customWidth="1"/>
    <col min="8217" max="8217" width="13" style="1" bestFit="1" customWidth="1"/>
    <col min="8218" max="8218" width="11.7109375" style="1" bestFit="1" customWidth="1"/>
    <col min="8219" max="8225" width="9.140625" style="1"/>
    <col min="8226" max="8226" width="11.28515625" style="1" bestFit="1" customWidth="1"/>
    <col min="8227" max="8227" width="10.7109375" style="1" bestFit="1" customWidth="1"/>
    <col min="8228" max="8449" width="9.140625" style="1"/>
    <col min="8450" max="8450" width="6.42578125" style="1" customWidth="1"/>
    <col min="8451" max="8451" width="20.7109375" style="1" customWidth="1"/>
    <col min="8452" max="8452" width="24.7109375" style="1" customWidth="1"/>
    <col min="8453" max="8453" width="11.140625" style="1" customWidth="1"/>
    <col min="8454" max="8454" width="12.28515625" style="1" customWidth="1"/>
    <col min="8455" max="8455" width="11.140625" style="1" customWidth="1"/>
    <col min="8456" max="8456" width="10.42578125" style="1" customWidth="1"/>
    <col min="8457" max="8457" width="4.7109375" style="1" customWidth="1"/>
    <col min="8458" max="8458" width="8.5703125" style="1" customWidth="1"/>
    <col min="8459" max="8459" width="5.5703125" style="1" customWidth="1"/>
    <col min="8460" max="8461" width="11.5703125" style="1" customWidth="1"/>
    <col min="8462" max="8462" width="10.85546875" style="1" customWidth="1"/>
    <col min="8463" max="8463" width="7.7109375" style="1" customWidth="1"/>
    <col min="8464" max="8464" width="8" style="1" customWidth="1"/>
    <col min="8465" max="8465" width="16.28515625" style="1" customWidth="1"/>
    <col min="8466" max="8466" width="10.5703125" style="1" customWidth="1"/>
    <col min="8467" max="8467" width="14.140625" style="1" customWidth="1"/>
    <col min="8468" max="8468" width="10.140625" style="1" customWidth="1"/>
    <col min="8469" max="8469" width="15.140625" style="1" customWidth="1"/>
    <col min="8470" max="8470" width="8.5703125" style="1" customWidth="1"/>
    <col min="8471" max="8471" width="14.28515625" style="1" customWidth="1"/>
    <col min="8472" max="8472" width="18.28515625" style="1" customWidth="1"/>
    <col min="8473" max="8473" width="13" style="1" bestFit="1" customWidth="1"/>
    <col min="8474" max="8474" width="11.7109375" style="1" bestFit="1" customWidth="1"/>
    <col min="8475" max="8481" width="9.140625" style="1"/>
    <col min="8482" max="8482" width="11.28515625" style="1" bestFit="1" customWidth="1"/>
    <col min="8483" max="8483" width="10.7109375" style="1" bestFit="1" customWidth="1"/>
    <col min="8484" max="8705" width="9.140625" style="1"/>
    <col min="8706" max="8706" width="6.42578125" style="1" customWidth="1"/>
    <col min="8707" max="8707" width="20.7109375" style="1" customWidth="1"/>
    <col min="8708" max="8708" width="24.7109375" style="1" customWidth="1"/>
    <col min="8709" max="8709" width="11.140625" style="1" customWidth="1"/>
    <col min="8710" max="8710" width="12.28515625" style="1" customWidth="1"/>
    <col min="8711" max="8711" width="11.140625" style="1" customWidth="1"/>
    <col min="8712" max="8712" width="10.42578125" style="1" customWidth="1"/>
    <col min="8713" max="8713" width="4.7109375" style="1" customWidth="1"/>
    <col min="8714" max="8714" width="8.5703125" style="1" customWidth="1"/>
    <col min="8715" max="8715" width="5.5703125" style="1" customWidth="1"/>
    <col min="8716" max="8717" width="11.5703125" style="1" customWidth="1"/>
    <col min="8718" max="8718" width="10.85546875" style="1" customWidth="1"/>
    <col min="8719" max="8719" width="7.7109375" style="1" customWidth="1"/>
    <col min="8720" max="8720" width="8" style="1" customWidth="1"/>
    <col min="8721" max="8721" width="16.28515625" style="1" customWidth="1"/>
    <col min="8722" max="8722" width="10.5703125" style="1" customWidth="1"/>
    <col min="8723" max="8723" width="14.140625" style="1" customWidth="1"/>
    <col min="8724" max="8724" width="10.140625" style="1" customWidth="1"/>
    <col min="8725" max="8725" width="15.140625" style="1" customWidth="1"/>
    <col min="8726" max="8726" width="8.5703125" style="1" customWidth="1"/>
    <col min="8727" max="8727" width="14.28515625" style="1" customWidth="1"/>
    <col min="8728" max="8728" width="18.28515625" style="1" customWidth="1"/>
    <col min="8729" max="8729" width="13" style="1" bestFit="1" customWidth="1"/>
    <col min="8730" max="8730" width="11.7109375" style="1" bestFit="1" customWidth="1"/>
    <col min="8731" max="8737" width="9.140625" style="1"/>
    <col min="8738" max="8738" width="11.28515625" style="1" bestFit="1" customWidth="1"/>
    <col min="8739" max="8739" width="10.7109375" style="1" bestFit="1" customWidth="1"/>
    <col min="8740" max="8961" width="9.140625" style="1"/>
    <col min="8962" max="8962" width="6.42578125" style="1" customWidth="1"/>
    <col min="8963" max="8963" width="20.7109375" style="1" customWidth="1"/>
    <col min="8964" max="8964" width="24.7109375" style="1" customWidth="1"/>
    <col min="8965" max="8965" width="11.140625" style="1" customWidth="1"/>
    <col min="8966" max="8966" width="12.28515625" style="1" customWidth="1"/>
    <col min="8967" max="8967" width="11.140625" style="1" customWidth="1"/>
    <col min="8968" max="8968" width="10.42578125" style="1" customWidth="1"/>
    <col min="8969" max="8969" width="4.7109375" style="1" customWidth="1"/>
    <col min="8970" max="8970" width="8.5703125" style="1" customWidth="1"/>
    <col min="8971" max="8971" width="5.5703125" style="1" customWidth="1"/>
    <col min="8972" max="8973" width="11.5703125" style="1" customWidth="1"/>
    <col min="8974" max="8974" width="10.85546875" style="1" customWidth="1"/>
    <col min="8975" max="8975" width="7.7109375" style="1" customWidth="1"/>
    <col min="8976" max="8976" width="8" style="1" customWidth="1"/>
    <col min="8977" max="8977" width="16.28515625" style="1" customWidth="1"/>
    <col min="8978" max="8978" width="10.5703125" style="1" customWidth="1"/>
    <col min="8979" max="8979" width="14.140625" style="1" customWidth="1"/>
    <col min="8980" max="8980" width="10.140625" style="1" customWidth="1"/>
    <col min="8981" max="8981" width="15.140625" style="1" customWidth="1"/>
    <col min="8982" max="8982" width="8.5703125" style="1" customWidth="1"/>
    <col min="8983" max="8983" width="14.28515625" style="1" customWidth="1"/>
    <col min="8984" max="8984" width="18.28515625" style="1" customWidth="1"/>
    <col min="8985" max="8985" width="13" style="1" bestFit="1" customWidth="1"/>
    <col min="8986" max="8986" width="11.7109375" style="1" bestFit="1" customWidth="1"/>
    <col min="8987" max="8993" width="9.140625" style="1"/>
    <col min="8994" max="8994" width="11.28515625" style="1" bestFit="1" customWidth="1"/>
    <col min="8995" max="8995" width="10.7109375" style="1" bestFit="1" customWidth="1"/>
    <col min="8996" max="9217" width="9.140625" style="1"/>
    <col min="9218" max="9218" width="6.42578125" style="1" customWidth="1"/>
    <col min="9219" max="9219" width="20.7109375" style="1" customWidth="1"/>
    <col min="9220" max="9220" width="24.7109375" style="1" customWidth="1"/>
    <col min="9221" max="9221" width="11.140625" style="1" customWidth="1"/>
    <col min="9222" max="9222" width="12.28515625" style="1" customWidth="1"/>
    <col min="9223" max="9223" width="11.140625" style="1" customWidth="1"/>
    <col min="9224" max="9224" width="10.42578125" style="1" customWidth="1"/>
    <col min="9225" max="9225" width="4.7109375" style="1" customWidth="1"/>
    <col min="9226" max="9226" width="8.5703125" style="1" customWidth="1"/>
    <col min="9227" max="9227" width="5.5703125" style="1" customWidth="1"/>
    <col min="9228" max="9229" width="11.5703125" style="1" customWidth="1"/>
    <col min="9230" max="9230" width="10.85546875" style="1" customWidth="1"/>
    <col min="9231" max="9231" width="7.7109375" style="1" customWidth="1"/>
    <col min="9232" max="9232" width="8" style="1" customWidth="1"/>
    <col min="9233" max="9233" width="16.28515625" style="1" customWidth="1"/>
    <col min="9234" max="9234" width="10.5703125" style="1" customWidth="1"/>
    <col min="9235" max="9235" width="14.140625" style="1" customWidth="1"/>
    <col min="9236" max="9236" width="10.140625" style="1" customWidth="1"/>
    <col min="9237" max="9237" width="15.140625" style="1" customWidth="1"/>
    <col min="9238" max="9238" width="8.5703125" style="1" customWidth="1"/>
    <col min="9239" max="9239" width="14.28515625" style="1" customWidth="1"/>
    <col min="9240" max="9240" width="18.28515625" style="1" customWidth="1"/>
    <col min="9241" max="9241" width="13" style="1" bestFit="1" customWidth="1"/>
    <col min="9242" max="9242" width="11.7109375" style="1" bestFit="1" customWidth="1"/>
    <col min="9243" max="9249" width="9.140625" style="1"/>
    <col min="9250" max="9250" width="11.28515625" style="1" bestFit="1" customWidth="1"/>
    <col min="9251" max="9251" width="10.7109375" style="1" bestFit="1" customWidth="1"/>
    <col min="9252" max="9473" width="9.140625" style="1"/>
    <col min="9474" max="9474" width="6.42578125" style="1" customWidth="1"/>
    <col min="9475" max="9475" width="20.7109375" style="1" customWidth="1"/>
    <col min="9476" max="9476" width="24.7109375" style="1" customWidth="1"/>
    <col min="9477" max="9477" width="11.140625" style="1" customWidth="1"/>
    <col min="9478" max="9478" width="12.28515625" style="1" customWidth="1"/>
    <col min="9479" max="9479" width="11.140625" style="1" customWidth="1"/>
    <col min="9480" max="9480" width="10.42578125" style="1" customWidth="1"/>
    <col min="9481" max="9481" width="4.7109375" style="1" customWidth="1"/>
    <col min="9482" max="9482" width="8.5703125" style="1" customWidth="1"/>
    <col min="9483" max="9483" width="5.5703125" style="1" customWidth="1"/>
    <col min="9484" max="9485" width="11.5703125" style="1" customWidth="1"/>
    <col min="9486" max="9486" width="10.85546875" style="1" customWidth="1"/>
    <col min="9487" max="9487" width="7.7109375" style="1" customWidth="1"/>
    <col min="9488" max="9488" width="8" style="1" customWidth="1"/>
    <col min="9489" max="9489" width="16.28515625" style="1" customWidth="1"/>
    <col min="9490" max="9490" width="10.5703125" style="1" customWidth="1"/>
    <col min="9491" max="9491" width="14.140625" style="1" customWidth="1"/>
    <col min="9492" max="9492" width="10.140625" style="1" customWidth="1"/>
    <col min="9493" max="9493" width="15.140625" style="1" customWidth="1"/>
    <col min="9494" max="9494" width="8.5703125" style="1" customWidth="1"/>
    <col min="9495" max="9495" width="14.28515625" style="1" customWidth="1"/>
    <col min="9496" max="9496" width="18.28515625" style="1" customWidth="1"/>
    <col min="9497" max="9497" width="13" style="1" bestFit="1" customWidth="1"/>
    <col min="9498" max="9498" width="11.7109375" style="1" bestFit="1" customWidth="1"/>
    <col min="9499" max="9505" width="9.140625" style="1"/>
    <col min="9506" max="9506" width="11.28515625" style="1" bestFit="1" customWidth="1"/>
    <col min="9507" max="9507" width="10.7109375" style="1" bestFit="1" customWidth="1"/>
    <col min="9508" max="9729" width="9.140625" style="1"/>
    <col min="9730" max="9730" width="6.42578125" style="1" customWidth="1"/>
    <col min="9731" max="9731" width="20.7109375" style="1" customWidth="1"/>
    <col min="9732" max="9732" width="24.7109375" style="1" customWidth="1"/>
    <col min="9733" max="9733" width="11.140625" style="1" customWidth="1"/>
    <col min="9734" max="9734" width="12.28515625" style="1" customWidth="1"/>
    <col min="9735" max="9735" width="11.140625" style="1" customWidth="1"/>
    <col min="9736" max="9736" width="10.42578125" style="1" customWidth="1"/>
    <col min="9737" max="9737" width="4.7109375" style="1" customWidth="1"/>
    <col min="9738" max="9738" width="8.5703125" style="1" customWidth="1"/>
    <col min="9739" max="9739" width="5.5703125" style="1" customWidth="1"/>
    <col min="9740" max="9741" width="11.5703125" style="1" customWidth="1"/>
    <col min="9742" max="9742" width="10.85546875" style="1" customWidth="1"/>
    <col min="9743" max="9743" width="7.7109375" style="1" customWidth="1"/>
    <col min="9744" max="9744" width="8" style="1" customWidth="1"/>
    <col min="9745" max="9745" width="16.28515625" style="1" customWidth="1"/>
    <col min="9746" max="9746" width="10.5703125" style="1" customWidth="1"/>
    <col min="9747" max="9747" width="14.140625" style="1" customWidth="1"/>
    <col min="9748" max="9748" width="10.140625" style="1" customWidth="1"/>
    <col min="9749" max="9749" width="15.140625" style="1" customWidth="1"/>
    <col min="9750" max="9750" width="8.5703125" style="1" customWidth="1"/>
    <col min="9751" max="9751" width="14.28515625" style="1" customWidth="1"/>
    <col min="9752" max="9752" width="18.28515625" style="1" customWidth="1"/>
    <col min="9753" max="9753" width="13" style="1" bestFit="1" customWidth="1"/>
    <col min="9754" max="9754" width="11.7109375" style="1" bestFit="1" customWidth="1"/>
    <col min="9755" max="9761" width="9.140625" style="1"/>
    <col min="9762" max="9762" width="11.28515625" style="1" bestFit="1" customWidth="1"/>
    <col min="9763" max="9763" width="10.7109375" style="1" bestFit="1" customWidth="1"/>
    <col min="9764" max="9985" width="9.140625" style="1"/>
    <col min="9986" max="9986" width="6.42578125" style="1" customWidth="1"/>
    <col min="9987" max="9987" width="20.7109375" style="1" customWidth="1"/>
    <col min="9988" max="9988" width="24.7109375" style="1" customWidth="1"/>
    <col min="9989" max="9989" width="11.140625" style="1" customWidth="1"/>
    <col min="9990" max="9990" width="12.28515625" style="1" customWidth="1"/>
    <col min="9991" max="9991" width="11.140625" style="1" customWidth="1"/>
    <col min="9992" max="9992" width="10.42578125" style="1" customWidth="1"/>
    <col min="9993" max="9993" width="4.7109375" style="1" customWidth="1"/>
    <col min="9994" max="9994" width="8.5703125" style="1" customWidth="1"/>
    <col min="9995" max="9995" width="5.5703125" style="1" customWidth="1"/>
    <col min="9996" max="9997" width="11.5703125" style="1" customWidth="1"/>
    <col min="9998" max="9998" width="10.85546875" style="1" customWidth="1"/>
    <col min="9999" max="9999" width="7.7109375" style="1" customWidth="1"/>
    <col min="10000" max="10000" width="8" style="1" customWidth="1"/>
    <col min="10001" max="10001" width="16.28515625" style="1" customWidth="1"/>
    <col min="10002" max="10002" width="10.5703125" style="1" customWidth="1"/>
    <col min="10003" max="10003" width="14.140625" style="1" customWidth="1"/>
    <col min="10004" max="10004" width="10.140625" style="1" customWidth="1"/>
    <col min="10005" max="10005" width="15.140625" style="1" customWidth="1"/>
    <col min="10006" max="10006" width="8.5703125" style="1" customWidth="1"/>
    <col min="10007" max="10007" width="14.28515625" style="1" customWidth="1"/>
    <col min="10008" max="10008" width="18.28515625" style="1" customWidth="1"/>
    <col min="10009" max="10009" width="13" style="1" bestFit="1" customWidth="1"/>
    <col min="10010" max="10010" width="11.7109375" style="1" bestFit="1" customWidth="1"/>
    <col min="10011" max="10017" width="9.140625" style="1"/>
    <col min="10018" max="10018" width="11.28515625" style="1" bestFit="1" customWidth="1"/>
    <col min="10019" max="10019" width="10.7109375" style="1" bestFit="1" customWidth="1"/>
    <col min="10020" max="10241" width="9.140625" style="1"/>
    <col min="10242" max="10242" width="6.42578125" style="1" customWidth="1"/>
    <col min="10243" max="10243" width="20.7109375" style="1" customWidth="1"/>
    <col min="10244" max="10244" width="24.7109375" style="1" customWidth="1"/>
    <col min="10245" max="10245" width="11.140625" style="1" customWidth="1"/>
    <col min="10246" max="10246" width="12.28515625" style="1" customWidth="1"/>
    <col min="10247" max="10247" width="11.140625" style="1" customWidth="1"/>
    <col min="10248" max="10248" width="10.42578125" style="1" customWidth="1"/>
    <col min="10249" max="10249" width="4.7109375" style="1" customWidth="1"/>
    <col min="10250" max="10250" width="8.5703125" style="1" customWidth="1"/>
    <col min="10251" max="10251" width="5.5703125" style="1" customWidth="1"/>
    <col min="10252" max="10253" width="11.5703125" style="1" customWidth="1"/>
    <col min="10254" max="10254" width="10.85546875" style="1" customWidth="1"/>
    <col min="10255" max="10255" width="7.7109375" style="1" customWidth="1"/>
    <col min="10256" max="10256" width="8" style="1" customWidth="1"/>
    <col min="10257" max="10257" width="16.28515625" style="1" customWidth="1"/>
    <col min="10258" max="10258" width="10.5703125" style="1" customWidth="1"/>
    <col min="10259" max="10259" width="14.140625" style="1" customWidth="1"/>
    <col min="10260" max="10260" width="10.140625" style="1" customWidth="1"/>
    <col min="10261" max="10261" width="15.140625" style="1" customWidth="1"/>
    <col min="10262" max="10262" width="8.5703125" style="1" customWidth="1"/>
    <col min="10263" max="10263" width="14.28515625" style="1" customWidth="1"/>
    <col min="10264" max="10264" width="18.28515625" style="1" customWidth="1"/>
    <col min="10265" max="10265" width="13" style="1" bestFit="1" customWidth="1"/>
    <col min="10266" max="10266" width="11.7109375" style="1" bestFit="1" customWidth="1"/>
    <col min="10267" max="10273" width="9.140625" style="1"/>
    <col min="10274" max="10274" width="11.28515625" style="1" bestFit="1" customWidth="1"/>
    <col min="10275" max="10275" width="10.7109375" style="1" bestFit="1" customWidth="1"/>
    <col min="10276" max="10497" width="9.140625" style="1"/>
    <col min="10498" max="10498" width="6.42578125" style="1" customWidth="1"/>
    <col min="10499" max="10499" width="20.7109375" style="1" customWidth="1"/>
    <col min="10500" max="10500" width="24.7109375" style="1" customWidth="1"/>
    <col min="10501" max="10501" width="11.140625" style="1" customWidth="1"/>
    <col min="10502" max="10502" width="12.28515625" style="1" customWidth="1"/>
    <col min="10503" max="10503" width="11.140625" style="1" customWidth="1"/>
    <col min="10504" max="10504" width="10.42578125" style="1" customWidth="1"/>
    <col min="10505" max="10505" width="4.7109375" style="1" customWidth="1"/>
    <col min="10506" max="10506" width="8.5703125" style="1" customWidth="1"/>
    <col min="10507" max="10507" width="5.5703125" style="1" customWidth="1"/>
    <col min="10508" max="10509" width="11.5703125" style="1" customWidth="1"/>
    <col min="10510" max="10510" width="10.85546875" style="1" customWidth="1"/>
    <col min="10511" max="10511" width="7.7109375" style="1" customWidth="1"/>
    <col min="10512" max="10512" width="8" style="1" customWidth="1"/>
    <col min="10513" max="10513" width="16.28515625" style="1" customWidth="1"/>
    <col min="10514" max="10514" width="10.5703125" style="1" customWidth="1"/>
    <col min="10515" max="10515" width="14.140625" style="1" customWidth="1"/>
    <col min="10516" max="10516" width="10.140625" style="1" customWidth="1"/>
    <col min="10517" max="10517" width="15.140625" style="1" customWidth="1"/>
    <col min="10518" max="10518" width="8.5703125" style="1" customWidth="1"/>
    <col min="10519" max="10519" width="14.28515625" style="1" customWidth="1"/>
    <col min="10520" max="10520" width="18.28515625" style="1" customWidth="1"/>
    <col min="10521" max="10521" width="13" style="1" bestFit="1" customWidth="1"/>
    <col min="10522" max="10522" width="11.7109375" style="1" bestFit="1" customWidth="1"/>
    <col min="10523" max="10529" width="9.140625" style="1"/>
    <col min="10530" max="10530" width="11.28515625" style="1" bestFit="1" customWidth="1"/>
    <col min="10531" max="10531" width="10.7109375" style="1" bestFit="1" customWidth="1"/>
    <col min="10532" max="10753" width="9.140625" style="1"/>
    <col min="10754" max="10754" width="6.42578125" style="1" customWidth="1"/>
    <col min="10755" max="10755" width="20.7109375" style="1" customWidth="1"/>
    <col min="10756" max="10756" width="24.7109375" style="1" customWidth="1"/>
    <col min="10757" max="10757" width="11.140625" style="1" customWidth="1"/>
    <col min="10758" max="10758" width="12.28515625" style="1" customWidth="1"/>
    <col min="10759" max="10759" width="11.140625" style="1" customWidth="1"/>
    <col min="10760" max="10760" width="10.42578125" style="1" customWidth="1"/>
    <col min="10761" max="10761" width="4.7109375" style="1" customWidth="1"/>
    <col min="10762" max="10762" width="8.5703125" style="1" customWidth="1"/>
    <col min="10763" max="10763" width="5.5703125" style="1" customWidth="1"/>
    <col min="10764" max="10765" width="11.5703125" style="1" customWidth="1"/>
    <col min="10766" max="10766" width="10.85546875" style="1" customWidth="1"/>
    <col min="10767" max="10767" width="7.7109375" style="1" customWidth="1"/>
    <col min="10768" max="10768" width="8" style="1" customWidth="1"/>
    <col min="10769" max="10769" width="16.28515625" style="1" customWidth="1"/>
    <col min="10770" max="10770" width="10.5703125" style="1" customWidth="1"/>
    <col min="10771" max="10771" width="14.140625" style="1" customWidth="1"/>
    <col min="10772" max="10772" width="10.140625" style="1" customWidth="1"/>
    <col min="10773" max="10773" width="15.140625" style="1" customWidth="1"/>
    <col min="10774" max="10774" width="8.5703125" style="1" customWidth="1"/>
    <col min="10775" max="10775" width="14.28515625" style="1" customWidth="1"/>
    <col min="10776" max="10776" width="18.28515625" style="1" customWidth="1"/>
    <col min="10777" max="10777" width="13" style="1" bestFit="1" customWidth="1"/>
    <col min="10778" max="10778" width="11.7109375" style="1" bestFit="1" customWidth="1"/>
    <col min="10779" max="10785" width="9.140625" style="1"/>
    <col min="10786" max="10786" width="11.28515625" style="1" bestFit="1" customWidth="1"/>
    <col min="10787" max="10787" width="10.7109375" style="1" bestFit="1" customWidth="1"/>
    <col min="10788" max="11009" width="9.140625" style="1"/>
    <col min="11010" max="11010" width="6.42578125" style="1" customWidth="1"/>
    <col min="11011" max="11011" width="20.7109375" style="1" customWidth="1"/>
    <col min="11012" max="11012" width="24.7109375" style="1" customWidth="1"/>
    <col min="11013" max="11013" width="11.140625" style="1" customWidth="1"/>
    <col min="11014" max="11014" width="12.28515625" style="1" customWidth="1"/>
    <col min="11015" max="11015" width="11.140625" style="1" customWidth="1"/>
    <col min="11016" max="11016" width="10.42578125" style="1" customWidth="1"/>
    <col min="11017" max="11017" width="4.7109375" style="1" customWidth="1"/>
    <col min="11018" max="11018" width="8.5703125" style="1" customWidth="1"/>
    <col min="11019" max="11019" width="5.5703125" style="1" customWidth="1"/>
    <col min="11020" max="11021" width="11.5703125" style="1" customWidth="1"/>
    <col min="11022" max="11022" width="10.85546875" style="1" customWidth="1"/>
    <col min="11023" max="11023" width="7.7109375" style="1" customWidth="1"/>
    <col min="11024" max="11024" width="8" style="1" customWidth="1"/>
    <col min="11025" max="11025" width="16.28515625" style="1" customWidth="1"/>
    <col min="11026" max="11026" width="10.5703125" style="1" customWidth="1"/>
    <col min="11027" max="11027" width="14.140625" style="1" customWidth="1"/>
    <col min="11028" max="11028" width="10.140625" style="1" customWidth="1"/>
    <col min="11029" max="11029" width="15.140625" style="1" customWidth="1"/>
    <col min="11030" max="11030" width="8.5703125" style="1" customWidth="1"/>
    <col min="11031" max="11031" width="14.28515625" style="1" customWidth="1"/>
    <col min="11032" max="11032" width="18.28515625" style="1" customWidth="1"/>
    <col min="11033" max="11033" width="13" style="1" bestFit="1" customWidth="1"/>
    <col min="11034" max="11034" width="11.7109375" style="1" bestFit="1" customWidth="1"/>
    <col min="11035" max="11041" width="9.140625" style="1"/>
    <col min="11042" max="11042" width="11.28515625" style="1" bestFit="1" customWidth="1"/>
    <col min="11043" max="11043" width="10.7109375" style="1" bestFit="1" customWidth="1"/>
    <col min="11044" max="11265" width="9.140625" style="1"/>
    <col min="11266" max="11266" width="6.42578125" style="1" customWidth="1"/>
    <col min="11267" max="11267" width="20.7109375" style="1" customWidth="1"/>
    <col min="11268" max="11268" width="24.7109375" style="1" customWidth="1"/>
    <col min="11269" max="11269" width="11.140625" style="1" customWidth="1"/>
    <col min="11270" max="11270" width="12.28515625" style="1" customWidth="1"/>
    <col min="11271" max="11271" width="11.140625" style="1" customWidth="1"/>
    <col min="11272" max="11272" width="10.42578125" style="1" customWidth="1"/>
    <col min="11273" max="11273" width="4.7109375" style="1" customWidth="1"/>
    <col min="11274" max="11274" width="8.5703125" style="1" customWidth="1"/>
    <col min="11275" max="11275" width="5.5703125" style="1" customWidth="1"/>
    <col min="11276" max="11277" width="11.5703125" style="1" customWidth="1"/>
    <col min="11278" max="11278" width="10.85546875" style="1" customWidth="1"/>
    <col min="11279" max="11279" width="7.7109375" style="1" customWidth="1"/>
    <col min="11280" max="11280" width="8" style="1" customWidth="1"/>
    <col min="11281" max="11281" width="16.28515625" style="1" customWidth="1"/>
    <col min="11282" max="11282" width="10.5703125" style="1" customWidth="1"/>
    <col min="11283" max="11283" width="14.140625" style="1" customWidth="1"/>
    <col min="11284" max="11284" width="10.140625" style="1" customWidth="1"/>
    <col min="11285" max="11285" width="15.140625" style="1" customWidth="1"/>
    <col min="11286" max="11286" width="8.5703125" style="1" customWidth="1"/>
    <col min="11287" max="11287" width="14.28515625" style="1" customWidth="1"/>
    <col min="11288" max="11288" width="18.28515625" style="1" customWidth="1"/>
    <col min="11289" max="11289" width="13" style="1" bestFit="1" customWidth="1"/>
    <col min="11290" max="11290" width="11.7109375" style="1" bestFit="1" customWidth="1"/>
    <col min="11291" max="11297" width="9.140625" style="1"/>
    <col min="11298" max="11298" width="11.28515625" style="1" bestFit="1" customWidth="1"/>
    <col min="11299" max="11299" width="10.7109375" style="1" bestFit="1" customWidth="1"/>
    <col min="11300" max="11521" width="9.140625" style="1"/>
    <col min="11522" max="11522" width="6.42578125" style="1" customWidth="1"/>
    <col min="11523" max="11523" width="20.7109375" style="1" customWidth="1"/>
    <col min="11524" max="11524" width="24.7109375" style="1" customWidth="1"/>
    <col min="11525" max="11525" width="11.140625" style="1" customWidth="1"/>
    <col min="11526" max="11526" width="12.28515625" style="1" customWidth="1"/>
    <col min="11527" max="11527" width="11.140625" style="1" customWidth="1"/>
    <col min="11528" max="11528" width="10.42578125" style="1" customWidth="1"/>
    <col min="11529" max="11529" width="4.7109375" style="1" customWidth="1"/>
    <col min="11530" max="11530" width="8.5703125" style="1" customWidth="1"/>
    <col min="11531" max="11531" width="5.5703125" style="1" customWidth="1"/>
    <col min="11532" max="11533" width="11.5703125" style="1" customWidth="1"/>
    <col min="11534" max="11534" width="10.85546875" style="1" customWidth="1"/>
    <col min="11535" max="11535" width="7.7109375" style="1" customWidth="1"/>
    <col min="11536" max="11536" width="8" style="1" customWidth="1"/>
    <col min="11537" max="11537" width="16.28515625" style="1" customWidth="1"/>
    <col min="11538" max="11538" width="10.5703125" style="1" customWidth="1"/>
    <col min="11539" max="11539" width="14.140625" style="1" customWidth="1"/>
    <col min="11540" max="11540" width="10.140625" style="1" customWidth="1"/>
    <col min="11541" max="11541" width="15.140625" style="1" customWidth="1"/>
    <col min="11542" max="11542" width="8.5703125" style="1" customWidth="1"/>
    <col min="11543" max="11543" width="14.28515625" style="1" customWidth="1"/>
    <col min="11544" max="11544" width="18.28515625" style="1" customWidth="1"/>
    <col min="11545" max="11545" width="13" style="1" bestFit="1" customWidth="1"/>
    <col min="11546" max="11546" width="11.7109375" style="1" bestFit="1" customWidth="1"/>
    <col min="11547" max="11553" width="9.140625" style="1"/>
    <col min="11554" max="11554" width="11.28515625" style="1" bestFit="1" customWidth="1"/>
    <col min="11555" max="11555" width="10.7109375" style="1" bestFit="1" customWidth="1"/>
    <col min="11556" max="11777" width="9.140625" style="1"/>
    <col min="11778" max="11778" width="6.42578125" style="1" customWidth="1"/>
    <col min="11779" max="11779" width="20.7109375" style="1" customWidth="1"/>
    <col min="11780" max="11780" width="24.7109375" style="1" customWidth="1"/>
    <col min="11781" max="11781" width="11.140625" style="1" customWidth="1"/>
    <col min="11782" max="11782" width="12.28515625" style="1" customWidth="1"/>
    <col min="11783" max="11783" width="11.140625" style="1" customWidth="1"/>
    <col min="11784" max="11784" width="10.42578125" style="1" customWidth="1"/>
    <col min="11785" max="11785" width="4.7109375" style="1" customWidth="1"/>
    <col min="11786" max="11786" width="8.5703125" style="1" customWidth="1"/>
    <col min="11787" max="11787" width="5.5703125" style="1" customWidth="1"/>
    <col min="11788" max="11789" width="11.5703125" style="1" customWidth="1"/>
    <col min="11790" max="11790" width="10.85546875" style="1" customWidth="1"/>
    <col min="11791" max="11791" width="7.7109375" style="1" customWidth="1"/>
    <col min="11792" max="11792" width="8" style="1" customWidth="1"/>
    <col min="11793" max="11793" width="16.28515625" style="1" customWidth="1"/>
    <col min="11794" max="11794" width="10.5703125" style="1" customWidth="1"/>
    <col min="11795" max="11795" width="14.140625" style="1" customWidth="1"/>
    <col min="11796" max="11796" width="10.140625" style="1" customWidth="1"/>
    <col min="11797" max="11797" width="15.140625" style="1" customWidth="1"/>
    <col min="11798" max="11798" width="8.5703125" style="1" customWidth="1"/>
    <col min="11799" max="11799" width="14.28515625" style="1" customWidth="1"/>
    <col min="11800" max="11800" width="18.28515625" style="1" customWidth="1"/>
    <col min="11801" max="11801" width="13" style="1" bestFit="1" customWidth="1"/>
    <col min="11802" max="11802" width="11.7109375" style="1" bestFit="1" customWidth="1"/>
    <col min="11803" max="11809" width="9.140625" style="1"/>
    <col min="11810" max="11810" width="11.28515625" style="1" bestFit="1" customWidth="1"/>
    <col min="11811" max="11811" width="10.7109375" style="1" bestFit="1" customWidth="1"/>
    <col min="11812" max="12033" width="9.140625" style="1"/>
    <col min="12034" max="12034" width="6.42578125" style="1" customWidth="1"/>
    <col min="12035" max="12035" width="20.7109375" style="1" customWidth="1"/>
    <col min="12036" max="12036" width="24.7109375" style="1" customWidth="1"/>
    <col min="12037" max="12037" width="11.140625" style="1" customWidth="1"/>
    <col min="12038" max="12038" width="12.28515625" style="1" customWidth="1"/>
    <col min="12039" max="12039" width="11.140625" style="1" customWidth="1"/>
    <col min="12040" max="12040" width="10.42578125" style="1" customWidth="1"/>
    <col min="12041" max="12041" width="4.7109375" style="1" customWidth="1"/>
    <col min="12042" max="12042" width="8.5703125" style="1" customWidth="1"/>
    <col min="12043" max="12043" width="5.5703125" style="1" customWidth="1"/>
    <col min="12044" max="12045" width="11.5703125" style="1" customWidth="1"/>
    <col min="12046" max="12046" width="10.85546875" style="1" customWidth="1"/>
    <col min="12047" max="12047" width="7.7109375" style="1" customWidth="1"/>
    <col min="12048" max="12048" width="8" style="1" customWidth="1"/>
    <col min="12049" max="12049" width="16.28515625" style="1" customWidth="1"/>
    <col min="12050" max="12050" width="10.5703125" style="1" customWidth="1"/>
    <col min="12051" max="12051" width="14.140625" style="1" customWidth="1"/>
    <col min="12052" max="12052" width="10.140625" style="1" customWidth="1"/>
    <col min="12053" max="12053" width="15.140625" style="1" customWidth="1"/>
    <col min="12054" max="12054" width="8.5703125" style="1" customWidth="1"/>
    <col min="12055" max="12055" width="14.28515625" style="1" customWidth="1"/>
    <col min="12056" max="12056" width="18.28515625" style="1" customWidth="1"/>
    <col min="12057" max="12057" width="13" style="1" bestFit="1" customWidth="1"/>
    <col min="12058" max="12058" width="11.7109375" style="1" bestFit="1" customWidth="1"/>
    <col min="12059" max="12065" width="9.140625" style="1"/>
    <col min="12066" max="12066" width="11.28515625" style="1" bestFit="1" customWidth="1"/>
    <col min="12067" max="12067" width="10.7109375" style="1" bestFit="1" customWidth="1"/>
    <col min="12068" max="12289" width="9.140625" style="1"/>
    <col min="12290" max="12290" width="6.42578125" style="1" customWidth="1"/>
    <col min="12291" max="12291" width="20.7109375" style="1" customWidth="1"/>
    <col min="12292" max="12292" width="24.7109375" style="1" customWidth="1"/>
    <col min="12293" max="12293" width="11.140625" style="1" customWidth="1"/>
    <col min="12294" max="12294" width="12.28515625" style="1" customWidth="1"/>
    <col min="12295" max="12295" width="11.140625" style="1" customWidth="1"/>
    <col min="12296" max="12296" width="10.42578125" style="1" customWidth="1"/>
    <col min="12297" max="12297" width="4.7109375" style="1" customWidth="1"/>
    <col min="12298" max="12298" width="8.5703125" style="1" customWidth="1"/>
    <col min="12299" max="12299" width="5.5703125" style="1" customWidth="1"/>
    <col min="12300" max="12301" width="11.5703125" style="1" customWidth="1"/>
    <col min="12302" max="12302" width="10.85546875" style="1" customWidth="1"/>
    <col min="12303" max="12303" width="7.7109375" style="1" customWidth="1"/>
    <col min="12304" max="12304" width="8" style="1" customWidth="1"/>
    <col min="12305" max="12305" width="16.28515625" style="1" customWidth="1"/>
    <col min="12306" max="12306" width="10.5703125" style="1" customWidth="1"/>
    <col min="12307" max="12307" width="14.140625" style="1" customWidth="1"/>
    <col min="12308" max="12308" width="10.140625" style="1" customWidth="1"/>
    <col min="12309" max="12309" width="15.140625" style="1" customWidth="1"/>
    <col min="12310" max="12310" width="8.5703125" style="1" customWidth="1"/>
    <col min="12311" max="12311" width="14.28515625" style="1" customWidth="1"/>
    <col min="12312" max="12312" width="18.28515625" style="1" customWidth="1"/>
    <col min="12313" max="12313" width="13" style="1" bestFit="1" customWidth="1"/>
    <col min="12314" max="12314" width="11.7109375" style="1" bestFit="1" customWidth="1"/>
    <col min="12315" max="12321" width="9.140625" style="1"/>
    <col min="12322" max="12322" width="11.28515625" style="1" bestFit="1" customWidth="1"/>
    <col min="12323" max="12323" width="10.7109375" style="1" bestFit="1" customWidth="1"/>
    <col min="12324" max="12545" width="9.140625" style="1"/>
    <col min="12546" max="12546" width="6.42578125" style="1" customWidth="1"/>
    <col min="12547" max="12547" width="20.7109375" style="1" customWidth="1"/>
    <col min="12548" max="12548" width="24.7109375" style="1" customWidth="1"/>
    <col min="12549" max="12549" width="11.140625" style="1" customWidth="1"/>
    <col min="12550" max="12550" width="12.28515625" style="1" customWidth="1"/>
    <col min="12551" max="12551" width="11.140625" style="1" customWidth="1"/>
    <col min="12552" max="12552" width="10.42578125" style="1" customWidth="1"/>
    <col min="12553" max="12553" width="4.7109375" style="1" customWidth="1"/>
    <col min="12554" max="12554" width="8.5703125" style="1" customWidth="1"/>
    <col min="12555" max="12555" width="5.5703125" style="1" customWidth="1"/>
    <col min="12556" max="12557" width="11.5703125" style="1" customWidth="1"/>
    <col min="12558" max="12558" width="10.85546875" style="1" customWidth="1"/>
    <col min="12559" max="12559" width="7.7109375" style="1" customWidth="1"/>
    <col min="12560" max="12560" width="8" style="1" customWidth="1"/>
    <col min="12561" max="12561" width="16.28515625" style="1" customWidth="1"/>
    <col min="12562" max="12562" width="10.5703125" style="1" customWidth="1"/>
    <col min="12563" max="12563" width="14.140625" style="1" customWidth="1"/>
    <col min="12564" max="12564" width="10.140625" style="1" customWidth="1"/>
    <col min="12565" max="12565" width="15.140625" style="1" customWidth="1"/>
    <col min="12566" max="12566" width="8.5703125" style="1" customWidth="1"/>
    <col min="12567" max="12567" width="14.28515625" style="1" customWidth="1"/>
    <col min="12568" max="12568" width="18.28515625" style="1" customWidth="1"/>
    <col min="12569" max="12569" width="13" style="1" bestFit="1" customWidth="1"/>
    <col min="12570" max="12570" width="11.7109375" style="1" bestFit="1" customWidth="1"/>
    <col min="12571" max="12577" width="9.140625" style="1"/>
    <col min="12578" max="12578" width="11.28515625" style="1" bestFit="1" customWidth="1"/>
    <col min="12579" max="12579" width="10.7109375" style="1" bestFit="1" customWidth="1"/>
    <col min="12580" max="12801" width="9.140625" style="1"/>
    <col min="12802" max="12802" width="6.42578125" style="1" customWidth="1"/>
    <col min="12803" max="12803" width="20.7109375" style="1" customWidth="1"/>
    <col min="12804" max="12804" width="24.7109375" style="1" customWidth="1"/>
    <col min="12805" max="12805" width="11.140625" style="1" customWidth="1"/>
    <col min="12806" max="12806" width="12.28515625" style="1" customWidth="1"/>
    <col min="12807" max="12807" width="11.140625" style="1" customWidth="1"/>
    <col min="12808" max="12808" width="10.42578125" style="1" customWidth="1"/>
    <col min="12809" max="12809" width="4.7109375" style="1" customWidth="1"/>
    <col min="12810" max="12810" width="8.5703125" style="1" customWidth="1"/>
    <col min="12811" max="12811" width="5.5703125" style="1" customWidth="1"/>
    <col min="12812" max="12813" width="11.5703125" style="1" customWidth="1"/>
    <col min="12814" max="12814" width="10.85546875" style="1" customWidth="1"/>
    <col min="12815" max="12815" width="7.7109375" style="1" customWidth="1"/>
    <col min="12816" max="12816" width="8" style="1" customWidth="1"/>
    <col min="12817" max="12817" width="16.28515625" style="1" customWidth="1"/>
    <col min="12818" max="12818" width="10.5703125" style="1" customWidth="1"/>
    <col min="12819" max="12819" width="14.140625" style="1" customWidth="1"/>
    <col min="12820" max="12820" width="10.140625" style="1" customWidth="1"/>
    <col min="12821" max="12821" width="15.140625" style="1" customWidth="1"/>
    <col min="12822" max="12822" width="8.5703125" style="1" customWidth="1"/>
    <col min="12823" max="12823" width="14.28515625" style="1" customWidth="1"/>
    <col min="12824" max="12824" width="18.28515625" style="1" customWidth="1"/>
    <col min="12825" max="12825" width="13" style="1" bestFit="1" customWidth="1"/>
    <col min="12826" max="12826" width="11.7109375" style="1" bestFit="1" customWidth="1"/>
    <col min="12827" max="12833" width="9.140625" style="1"/>
    <col min="12834" max="12834" width="11.28515625" style="1" bestFit="1" customWidth="1"/>
    <col min="12835" max="12835" width="10.7109375" style="1" bestFit="1" customWidth="1"/>
    <col min="12836" max="13057" width="9.140625" style="1"/>
    <col min="13058" max="13058" width="6.42578125" style="1" customWidth="1"/>
    <col min="13059" max="13059" width="20.7109375" style="1" customWidth="1"/>
    <col min="13060" max="13060" width="24.7109375" style="1" customWidth="1"/>
    <col min="13061" max="13061" width="11.140625" style="1" customWidth="1"/>
    <col min="13062" max="13062" width="12.28515625" style="1" customWidth="1"/>
    <col min="13063" max="13063" width="11.140625" style="1" customWidth="1"/>
    <col min="13064" max="13064" width="10.42578125" style="1" customWidth="1"/>
    <col min="13065" max="13065" width="4.7109375" style="1" customWidth="1"/>
    <col min="13066" max="13066" width="8.5703125" style="1" customWidth="1"/>
    <col min="13067" max="13067" width="5.5703125" style="1" customWidth="1"/>
    <col min="13068" max="13069" width="11.5703125" style="1" customWidth="1"/>
    <col min="13070" max="13070" width="10.85546875" style="1" customWidth="1"/>
    <col min="13071" max="13071" width="7.7109375" style="1" customWidth="1"/>
    <col min="13072" max="13072" width="8" style="1" customWidth="1"/>
    <col min="13073" max="13073" width="16.28515625" style="1" customWidth="1"/>
    <col min="13074" max="13074" width="10.5703125" style="1" customWidth="1"/>
    <col min="13075" max="13075" width="14.140625" style="1" customWidth="1"/>
    <col min="13076" max="13076" width="10.140625" style="1" customWidth="1"/>
    <col min="13077" max="13077" width="15.140625" style="1" customWidth="1"/>
    <col min="13078" max="13078" width="8.5703125" style="1" customWidth="1"/>
    <col min="13079" max="13079" width="14.28515625" style="1" customWidth="1"/>
    <col min="13080" max="13080" width="18.28515625" style="1" customWidth="1"/>
    <col min="13081" max="13081" width="13" style="1" bestFit="1" customWidth="1"/>
    <col min="13082" max="13082" width="11.7109375" style="1" bestFit="1" customWidth="1"/>
    <col min="13083" max="13089" width="9.140625" style="1"/>
    <col min="13090" max="13090" width="11.28515625" style="1" bestFit="1" customWidth="1"/>
    <col min="13091" max="13091" width="10.7109375" style="1" bestFit="1" customWidth="1"/>
    <col min="13092" max="13313" width="9.140625" style="1"/>
    <col min="13314" max="13314" width="6.42578125" style="1" customWidth="1"/>
    <col min="13315" max="13315" width="20.7109375" style="1" customWidth="1"/>
    <col min="13316" max="13316" width="24.7109375" style="1" customWidth="1"/>
    <col min="13317" max="13317" width="11.140625" style="1" customWidth="1"/>
    <col min="13318" max="13318" width="12.28515625" style="1" customWidth="1"/>
    <col min="13319" max="13319" width="11.140625" style="1" customWidth="1"/>
    <col min="13320" max="13320" width="10.42578125" style="1" customWidth="1"/>
    <col min="13321" max="13321" width="4.7109375" style="1" customWidth="1"/>
    <col min="13322" max="13322" width="8.5703125" style="1" customWidth="1"/>
    <col min="13323" max="13323" width="5.5703125" style="1" customWidth="1"/>
    <col min="13324" max="13325" width="11.5703125" style="1" customWidth="1"/>
    <col min="13326" max="13326" width="10.85546875" style="1" customWidth="1"/>
    <col min="13327" max="13327" width="7.7109375" style="1" customWidth="1"/>
    <col min="13328" max="13328" width="8" style="1" customWidth="1"/>
    <col min="13329" max="13329" width="16.28515625" style="1" customWidth="1"/>
    <col min="13330" max="13330" width="10.5703125" style="1" customWidth="1"/>
    <col min="13331" max="13331" width="14.140625" style="1" customWidth="1"/>
    <col min="13332" max="13332" width="10.140625" style="1" customWidth="1"/>
    <col min="13333" max="13333" width="15.140625" style="1" customWidth="1"/>
    <col min="13334" max="13334" width="8.5703125" style="1" customWidth="1"/>
    <col min="13335" max="13335" width="14.28515625" style="1" customWidth="1"/>
    <col min="13336" max="13336" width="18.28515625" style="1" customWidth="1"/>
    <col min="13337" max="13337" width="13" style="1" bestFit="1" customWidth="1"/>
    <col min="13338" max="13338" width="11.7109375" style="1" bestFit="1" customWidth="1"/>
    <col min="13339" max="13345" width="9.140625" style="1"/>
    <col min="13346" max="13346" width="11.28515625" style="1" bestFit="1" customWidth="1"/>
    <col min="13347" max="13347" width="10.7109375" style="1" bestFit="1" customWidth="1"/>
    <col min="13348" max="13569" width="9.140625" style="1"/>
    <col min="13570" max="13570" width="6.42578125" style="1" customWidth="1"/>
    <col min="13571" max="13571" width="20.7109375" style="1" customWidth="1"/>
    <col min="13572" max="13572" width="24.7109375" style="1" customWidth="1"/>
    <col min="13573" max="13573" width="11.140625" style="1" customWidth="1"/>
    <col min="13574" max="13574" width="12.28515625" style="1" customWidth="1"/>
    <col min="13575" max="13575" width="11.140625" style="1" customWidth="1"/>
    <col min="13576" max="13576" width="10.42578125" style="1" customWidth="1"/>
    <col min="13577" max="13577" width="4.7109375" style="1" customWidth="1"/>
    <col min="13578" max="13578" width="8.5703125" style="1" customWidth="1"/>
    <col min="13579" max="13579" width="5.5703125" style="1" customWidth="1"/>
    <col min="13580" max="13581" width="11.5703125" style="1" customWidth="1"/>
    <col min="13582" max="13582" width="10.85546875" style="1" customWidth="1"/>
    <col min="13583" max="13583" width="7.7109375" style="1" customWidth="1"/>
    <col min="13584" max="13584" width="8" style="1" customWidth="1"/>
    <col min="13585" max="13585" width="16.28515625" style="1" customWidth="1"/>
    <col min="13586" max="13586" width="10.5703125" style="1" customWidth="1"/>
    <col min="13587" max="13587" width="14.140625" style="1" customWidth="1"/>
    <col min="13588" max="13588" width="10.140625" style="1" customWidth="1"/>
    <col min="13589" max="13589" width="15.140625" style="1" customWidth="1"/>
    <col min="13590" max="13590" width="8.5703125" style="1" customWidth="1"/>
    <col min="13591" max="13591" width="14.28515625" style="1" customWidth="1"/>
    <col min="13592" max="13592" width="18.28515625" style="1" customWidth="1"/>
    <col min="13593" max="13593" width="13" style="1" bestFit="1" customWidth="1"/>
    <col min="13594" max="13594" width="11.7109375" style="1" bestFit="1" customWidth="1"/>
    <col min="13595" max="13601" width="9.140625" style="1"/>
    <col min="13602" max="13602" width="11.28515625" style="1" bestFit="1" customWidth="1"/>
    <col min="13603" max="13603" width="10.7109375" style="1" bestFit="1" customWidth="1"/>
    <col min="13604" max="13825" width="9.140625" style="1"/>
    <col min="13826" max="13826" width="6.42578125" style="1" customWidth="1"/>
    <col min="13827" max="13827" width="20.7109375" style="1" customWidth="1"/>
    <col min="13828" max="13828" width="24.7109375" style="1" customWidth="1"/>
    <col min="13829" max="13829" width="11.140625" style="1" customWidth="1"/>
    <col min="13830" max="13830" width="12.28515625" style="1" customWidth="1"/>
    <col min="13831" max="13831" width="11.140625" style="1" customWidth="1"/>
    <col min="13832" max="13832" width="10.42578125" style="1" customWidth="1"/>
    <col min="13833" max="13833" width="4.7109375" style="1" customWidth="1"/>
    <col min="13834" max="13834" width="8.5703125" style="1" customWidth="1"/>
    <col min="13835" max="13835" width="5.5703125" style="1" customWidth="1"/>
    <col min="13836" max="13837" width="11.5703125" style="1" customWidth="1"/>
    <col min="13838" max="13838" width="10.85546875" style="1" customWidth="1"/>
    <col min="13839" max="13839" width="7.7109375" style="1" customWidth="1"/>
    <col min="13840" max="13840" width="8" style="1" customWidth="1"/>
    <col min="13841" max="13841" width="16.28515625" style="1" customWidth="1"/>
    <col min="13842" max="13842" width="10.5703125" style="1" customWidth="1"/>
    <col min="13843" max="13843" width="14.140625" style="1" customWidth="1"/>
    <col min="13844" max="13844" width="10.140625" style="1" customWidth="1"/>
    <col min="13845" max="13845" width="15.140625" style="1" customWidth="1"/>
    <col min="13846" max="13846" width="8.5703125" style="1" customWidth="1"/>
    <col min="13847" max="13847" width="14.28515625" style="1" customWidth="1"/>
    <col min="13848" max="13848" width="18.28515625" style="1" customWidth="1"/>
    <col min="13849" max="13849" width="13" style="1" bestFit="1" customWidth="1"/>
    <col min="13850" max="13850" width="11.7109375" style="1" bestFit="1" customWidth="1"/>
    <col min="13851" max="13857" width="9.140625" style="1"/>
    <col min="13858" max="13858" width="11.28515625" style="1" bestFit="1" customWidth="1"/>
    <col min="13859" max="13859" width="10.7109375" style="1" bestFit="1" customWidth="1"/>
    <col min="13860" max="14081" width="9.140625" style="1"/>
    <col min="14082" max="14082" width="6.42578125" style="1" customWidth="1"/>
    <col min="14083" max="14083" width="20.7109375" style="1" customWidth="1"/>
    <col min="14084" max="14084" width="24.7109375" style="1" customWidth="1"/>
    <col min="14085" max="14085" width="11.140625" style="1" customWidth="1"/>
    <col min="14086" max="14086" width="12.28515625" style="1" customWidth="1"/>
    <col min="14087" max="14087" width="11.140625" style="1" customWidth="1"/>
    <col min="14088" max="14088" width="10.42578125" style="1" customWidth="1"/>
    <col min="14089" max="14089" width="4.7109375" style="1" customWidth="1"/>
    <col min="14090" max="14090" width="8.5703125" style="1" customWidth="1"/>
    <col min="14091" max="14091" width="5.5703125" style="1" customWidth="1"/>
    <col min="14092" max="14093" width="11.5703125" style="1" customWidth="1"/>
    <col min="14094" max="14094" width="10.85546875" style="1" customWidth="1"/>
    <col min="14095" max="14095" width="7.7109375" style="1" customWidth="1"/>
    <col min="14096" max="14096" width="8" style="1" customWidth="1"/>
    <col min="14097" max="14097" width="16.28515625" style="1" customWidth="1"/>
    <col min="14098" max="14098" width="10.5703125" style="1" customWidth="1"/>
    <col min="14099" max="14099" width="14.140625" style="1" customWidth="1"/>
    <col min="14100" max="14100" width="10.140625" style="1" customWidth="1"/>
    <col min="14101" max="14101" width="15.140625" style="1" customWidth="1"/>
    <col min="14102" max="14102" width="8.5703125" style="1" customWidth="1"/>
    <col min="14103" max="14103" width="14.28515625" style="1" customWidth="1"/>
    <col min="14104" max="14104" width="18.28515625" style="1" customWidth="1"/>
    <col min="14105" max="14105" width="13" style="1" bestFit="1" customWidth="1"/>
    <col min="14106" max="14106" width="11.7109375" style="1" bestFit="1" customWidth="1"/>
    <col min="14107" max="14113" width="9.140625" style="1"/>
    <col min="14114" max="14114" width="11.28515625" style="1" bestFit="1" customWidth="1"/>
    <col min="14115" max="14115" width="10.7109375" style="1" bestFit="1" customWidth="1"/>
    <col min="14116" max="14337" width="9.140625" style="1"/>
    <col min="14338" max="14338" width="6.42578125" style="1" customWidth="1"/>
    <col min="14339" max="14339" width="20.7109375" style="1" customWidth="1"/>
    <col min="14340" max="14340" width="24.7109375" style="1" customWidth="1"/>
    <col min="14341" max="14341" width="11.140625" style="1" customWidth="1"/>
    <col min="14342" max="14342" width="12.28515625" style="1" customWidth="1"/>
    <col min="14343" max="14343" width="11.140625" style="1" customWidth="1"/>
    <col min="14344" max="14344" width="10.42578125" style="1" customWidth="1"/>
    <col min="14345" max="14345" width="4.7109375" style="1" customWidth="1"/>
    <col min="14346" max="14346" width="8.5703125" style="1" customWidth="1"/>
    <col min="14347" max="14347" width="5.5703125" style="1" customWidth="1"/>
    <col min="14348" max="14349" width="11.5703125" style="1" customWidth="1"/>
    <col min="14350" max="14350" width="10.85546875" style="1" customWidth="1"/>
    <col min="14351" max="14351" width="7.7109375" style="1" customWidth="1"/>
    <col min="14352" max="14352" width="8" style="1" customWidth="1"/>
    <col min="14353" max="14353" width="16.28515625" style="1" customWidth="1"/>
    <col min="14354" max="14354" width="10.5703125" style="1" customWidth="1"/>
    <col min="14355" max="14355" width="14.140625" style="1" customWidth="1"/>
    <col min="14356" max="14356" width="10.140625" style="1" customWidth="1"/>
    <col min="14357" max="14357" width="15.140625" style="1" customWidth="1"/>
    <col min="14358" max="14358" width="8.5703125" style="1" customWidth="1"/>
    <col min="14359" max="14359" width="14.28515625" style="1" customWidth="1"/>
    <col min="14360" max="14360" width="18.28515625" style="1" customWidth="1"/>
    <col min="14361" max="14361" width="13" style="1" bestFit="1" customWidth="1"/>
    <col min="14362" max="14362" width="11.7109375" style="1" bestFit="1" customWidth="1"/>
    <col min="14363" max="14369" width="9.140625" style="1"/>
    <col min="14370" max="14370" width="11.28515625" style="1" bestFit="1" customWidth="1"/>
    <col min="14371" max="14371" width="10.7109375" style="1" bestFit="1" customWidth="1"/>
    <col min="14372" max="14593" width="9.140625" style="1"/>
    <col min="14594" max="14594" width="6.42578125" style="1" customWidth="1"/>
    <col min="14595" max="14595" width="20.7109375" style="1" customWidth="1"/>
    <col min="14596" max="14596" width="24.7109375" style="1" customWidth="1"/>
    <col min="14597" max="14597" width="11.140625" style="1" customWidth="1"/>
    <col min="14598" max="14598" width="12.28515625" style="1" customWidth="1"/>
    <col min="14599" max="14599" width="11.140625" style="1" customWidth="1"/>
    <col min="14600" max="14600" width="10.42578125" style="1" customWidth="1"/>
    <col min="14601" max="14601" width="4.7109375" style="1" customWidth="1"/>
    <col min="14602" max="14602" width="8.5703125" style="1" customWidth="1"/>
    <col min="14603" max="14603" width="5.5703125" style="1" customWidth="1"/>
    <col min="14604" max="14605" width="11.5703125" style="1" customWidth="1"/>
    <col min="14606" max="14606" width="10.85546875" style="1" customWidth="1"/>
    <col min="14607" max="14607" width="7.7109375" style="1" customWidth="1"/>
    <col min="14608" max="14608" width="8" style="1" customWidth="1"/>
    <col min="14609" max="14609" width="16.28515625" style="1" customWidth="1"/>
    <col min="14610" max="14610" width="10.5703125" style="1" customWidth="1"/>
    <col min="14611" max="14611" width="14.140625" style="1" customWidth="1"/>
    <col min="14612" max="14612" width="10.140625" style="1" customWidth="1"/>
    <col min="14613" max="14613" width="15.140625" style="1" customWidth="1"/>
    <col min="14614" max="14614" width="8.5703125" style="1" customWidth="1"/>
    <col min="14615" max="14615" width="14.28515625" style="1" customWidth="1"/>
    <col min="14616" max="14616" width="18.28515625" style="1" customWidth="1"/>
    <col min="14617" max="14617" width="13" style="1" bestFit="1" customWidth="1"/>
    <col min="14618" max="14618" width="11.7109375" style="1" bestFit="1" customWidth="1"/>
    <col min="14619" max="14625" width="9.140625" style="1"/>
    <col min="14626" max="14626" width="11.28515625" style="1" bestFit="1" customWidth="1"/>
    <col min="14627" max="14627" width="10.7109375" style="1" bestFit="1" customWidth="1"/>
    <col min="14628" max="14849" width="9.140625" style="1"/>
    <col min="14850" max="14850" width="6.42578125" style="1" customWidth="1"/>
    <col min="14851" max="14851" width="20.7109375" style="1" customWidth="1"/>
    <col min="14852" max="14852" width="24.7109375" style="1" customWidth="1"/>
    <col min="14853" max="14853" width="11.140625" style="1" customWidth="1"/>
    <col min="14854" max="14854" width="12.28515625" style="1" customWidth="1"/>
    <col min="14855" max="14855" width="11.140625" style="1" customWidth="1"/>
    <col min="14856" max="14856" width="10.42578125" style="1" customWidth="1"/>
    <col min="14857" max="14857" width="4.7109375" style="1" customWidth="1"/>
    <col min="14858" max="14858" width="8.5703125" style="1" customWidth="1"/>
    <col min="14859" max="14859" width="5.5703125" style="1" customWidth="1"/>
    <col min="14860" max="14861" width="11.5703125" style="1" customWidth="1"/>
    <col min="14862" max="14862" width="10.85546875" style="1" customWidth="1"/>
    <col min="14863" max="14863" width="7.7109375" style="1" customWidth="1"/>
    <col min="14864" max="14864" width="8" style="1" customWidth="1"/>
    <col min="14865" max="14865" width="16.28515625" style="1" customWidth="1"/>
    <col min="14866" max="14866" width="10.5703125" style="1" customWidth="1"/>
    <col min="14867" max="14867" width="14.140625" style="1" customWidth="1"/>
    <col min="14868" max="14868" width="10.140625" style="1" customWidth="1"/>
    <col min="14869" max="14869" width="15.140625" style="1" customWidth="1"/>
    <col min="14870" max="14870" width="8.5703125" style="1" customWidth="1"/>
    <col min="14871" max="14871" width="14.28515625" style="1" customWidth="1"/>
    <col min="14872" max="14872" width="18.28515625" style="1" customWidth="1"/>
    <col min="14873" max="14873" width="13" style="1" bestFit="1" customWidth="1"/>
    <col min="14874" max="14874" width="11.7109375" style="1" bestFit="1" customWidth="1"/>
    <col min="14875" max="14881" width="9.140625" style="1"/>
    <col min="14882" max="14882" width="11.28515625" style="1" bestFit="1" customWidth="1"/>
    <col min="14883" max="14883" width="10.7109375" style="1" bestFit="1" customWidth="1"/>
    <col min="14884" max="15105" width="9.140625" style="1"/>
    <col min="15106" max="15106" width="6.42578125" style="1" customWidth="1"/>
    <col min="15107" max="15107" width="20.7109375" style="1" customWidth="1"/>
    <col min="15108" max="15108" width="24.7109375" style="1" customWidth="1"/>
    <col min="15109" max="15109" width="11.140625" style="1" customWidth="1"/>
    <col min="15110" max="15110" width="12.28515625" style="1" customWidth="1"/>
    <col min="15111" max="15111" width="11.140625" style="1" customWidth="1"/>
    <col min="15112" max="15112" width="10.42578125" style="1" customWidth="1"/>
    <col min="15113" max="15113" width="4.7109375" style="1" customWidth="1"/>
    <col min="15114" max="15114" width="8.5703125" style="1" customWidth="1"/>
    <col min="15115" max="15115" width="5.5703125" style="1" customWidth="1"/>
    <col min="15116" max="15117" width="11.5703125" style="1" customWidth="1"/>
    <col min="15118" max="15118" width="10.85546875" style="1" customWidth="1"/>
    <col min="15119" max="15119" width="7.7109375" style="1" customWidth="1"/>
    <col min="15120" max="15120" width="8" style="1" customWidth="1"/>
    <col min="15121" max="15121" width="16.28515625" style="1" customWidth="1"/>
    <col min="15122" max="15122" width="10.5703125" style="1" customWidth="1"/>
    <col min="15123" max="15123" width="14.140625" style="1" customWidth="1"/>
    <col min="15124" max="15124" width="10.140625" style="1" customWidth="1"/>
    <col min="15125" max="15125" width="15.140625" style="1" customWidth="1"/>
    <col min="15126" max="15126" width="8.5703125" style="1" customWidth="1"/>
    <col min="15127" max="15127" width="14.28515625" style="1" customWidth="1"/>
    <col min="15128" max="15128" width="18.28515625" style="1" customWidth="1"/>
    <col min="15129" max="15129" width="13" style="1" bestFit="1" customWidth="1"/>
    <col min="15130" max="15130" width="11.7109375" style="1" bestFit="1" customWidth="1"/>
    <col min="15131" max="15137" width="9.140625" style="1"/>
    <col min="15138" max="15138" width="11.28515625" style="1" bestFit="1" customWidth="1"/>
    <col min="15139" max="15139" width="10.7109375" style="1" bestFit="1" customWidth="1"/>
    <col min="15140" max="15361" width="9.140625" style="1"/>
    <col min="15362" max="15362" width="6.42578125" style="1" customWidth="1"/>
    <col min="15363" max="15363" width="20.7109375" style="1" customWidth="1"/>
    <col min="15364" max="15364" width="24.7109375" style="1" customWidth="1"/>
    <col min="15365" max="15365" width="11.140625" style="1" customWidth="1"/>
    <col min="15366" max="15366" width="12.28515625" style="1" customWidth="1"/>
    <col min="15367" max="15367" width="11.140625" style="1" customWidth="1"/>
    <col min="15368" max="15368" width="10.42578125" style="1" customWidth="1"/>
    <col min="15369" max="15369" width="4.7109375" style="1" customWidth="1"/>
    <col min="15370" max="15370" width="8.5703125" style="1" customWidth="1"/>
    <col min="15371" max="15371" width="5.5703125" style="1" customWidth="1"/>
    <col min="15372" max="15373" width="11.5703125" style="1" customWidth="1"/>
    <col min="15374" max="15374" width="10.85546875" style="1" customWidth="1"/>
    <col min="15375" max="15375" width="7.7109375" style="1" customWidth="1"/>
    <col min="15376" max="15376" width="8" style="1" customWidth="1"/>
    <col min="15377" max="15377" width="16.28515625" style="1" customWidth="1"/>
    <col min="15378" max="15378" width="10.5703125" style="1" customWidth="1"/>
    <col min="15379" max="15379" width="14.140625" style="1" customWidth="1"/>
    <col min="15380" max="15380" width="10.140625" style="1" customWidth="1"/>
    <col min="15381" max="15381" width="15.140625" style="1" customWidth="1"/>
    <col min="15382" max="15382" width="8.5703125" style="1" customWidth="1"/>
    <col min="15383" max="15383" width="14.28515625" style="1" customWidth="1"/>
    <col min="15384" max="15384" width="18.28515625" style="1" customWidth="1"/>
    <col min="15385" max="15385" width="13" style="1" bestFit="1" customWidth="1"/>
    <col min="15386" max="15386" width="11.7109375" style="1" bestFit="1" customWidth="1"/>
    <col min="15387" max="15393" width="9.140625" style="1"/>
    <col min="15394" max="15394" width="11.28515625" style="1" bestFit="1" customWidth="1"/>
    <col min="15395" max="15395" width="10.7109375" style="1" bestFit="1" customWidth="1"/>
    <col min="15396" max="15617" width="9.140625" style="1"/>
    <col min="15618" max="15618" width="6.42578125" style="1" customWidth="1"/>
    <col min="15619" max="15619" width="20.7109375" style="1" customWidth="1"/>
    <col min="15620" max="15620" width="24.7109375" style="1" customWidth="1"/>
    <col min="15621" max="15621" width="11.140625" style="1" customWidth="1"/>
    <col min="15622" max="15622" width="12.28515625" style="1" customWidth="1"/>
    <col min="15623" max="15623" width="11.140625" style="1" customWidth="1"/>
    <col min="15624" max="15624" width="10.42578125" style="1" customWidth="1"/>
    <col min="15625" max="15625" width="4.7109375" style="1" customWidth="1"/>
    <col min="15626" max="15626" width="8.5703125" style="1" customWidth="1"/>
    <col min="15627" max="15627" width="5.5703125" style="1" customWidth="1"/>
    <col min="15628" max="15629" width="11.5703125" style="1" customWidth="1"/>
    <col min="15630" max="15630" width="10.85546875" style="1" customWidth="1"/>
    <col min="15631" max="15631" width="7.7109375" style="1" customWidth="1"/>
    <col min="15632" max="15632" width="8" style="1" customWidth="1"/>
    <col min="15633" max="15633" width="16.28515625" style="1" customWidth="1"/>
    <col min="15634" max="15634" width="10.5703125" style="1" customWidth="1"/>
    <col min="15635" max="15635" width="14.140625" style="1" customWidth="1"/>
    <col min="15636" max="15636" width="10.140625" style="1" customWidth="1"/>
    <col min="15637" max="15637" width="15.140625" style="1" customWidth="1"/>
    <col min="15638" max="15638" width="8.5703125" style="1" customWidth="1"/>
    <col min="15639" max="15639" width="14.28515625" style="1" customWidth="1"/>
    <col min="15640" max="15640" width="18.28515625" style="1" customWidth="1"/>
    <col min="15641" max="15641" width="13" style="1" bestFit="1" customWidth="1"/>
    <col min="15642" max="15642" width="11.7109375" style="1" bestFit="1" customWidth="1"/>
    <col min="15643" max="15649" width="9.140625" style="1"/>
    <col min="15650" max="15650" width="11.28515625" style="1" bestFit="1" customWidth="1"/>
    <col min="15651" max="15651" width="10.7109375" style="1" bestFit="1" customWidth="1"/>
    <col min="15652" max="15873" width="9.140625" style="1"/>
    <col min="15874" max="15874" width="6.42578125" style="1" customWidth="1"/>
    <col min="15875" max="15875" width="20.7109375" style="1" customWidth="1"/>
    <col min="15876" max="15876" width="24.7109375" style="1" customWidth="1"/>
    <col min="15877" max="15877" width="11.140625" style="1" customWidth="1"/>
    <col min="15878" max="15878" width="12.28515625" style="1" customWidth="1"/>
    <col min="15879" max="15879" width="11.140625" style="1" customWidth="1"/>
    <col min="15880" max="15880" width="10.42578125" style="1" customWidth="1"/>
    <col min="15881" max="15881" width="4.7109375" style="1" customWidth="1"/>
    <col min="15882" max="15882" width="8.5703125" style="1" customWidth="1"/>
    <col min="15883" max="15883" width="5.5703125" style="1" customWidth="1"/>
    <col min="15884" max="15885" width="11.5703125" style="1" customWidth="1"/>
    <col min="15886" max="15886" width="10.85546875" style="1" customWidth="1"/>
    <col min="15887" max="15887" width="7.7109375" style="1" customWidth="1"/>
    <col min="15888" max="15888" width="8" style="1" customWidth="1"/>
    <col min="15889" max="15889" width="16.28515625" style="1" customWidth="1"/>
    <col min="15890" max="15890" width="10.5703125" style="1" customWidth="1"/>
    <col min="15891" max="15891" width="14.140625" style="1" customWidth="1"/>
    <col min="15892" max="15892" width="10.140625" style="1" customWidth="1"/>
    <col min="15893" max="15893" width="15.140625" style="1" customWidth="1"/>
    <col min="15894" max="15894" width="8.5703125" style="1" customWidth="1"/>
    <col min="15895" max="15895" width="14.28515625" style="1" customWidth="1"/>
    <col min="15896" max="15896" width="18.28515625" style="1" customWidth="1"/>
    <col min="15897" max="15897" width="13" style="1" bestFit="1" customWidth="1"/>
    <col min="15898" max="15898" width="11.7109375" style="1" bestFit="1" customWidth="1"/>
    <col min="15899" max="15905" width="9.140625" style="1"/>
    <col min="15906" max="15906" width="11.28515625" style="1" bestFit="1" customWidth="1"/>
    <col min="15907" max="15907" width="10.7109375" style="1" bestFit="1" customWidth="1"/>
    <col min="15908" max="16129" width="9.140625" style="1"/>
    <col min="16130" max="16130" width="6.42578125" style="1" customWidth="1"/>
    <col min="16131" max="16131" width="20.7109375" style="1" customWidth="1"/>
    <col min="16132" max="16132" width="24.7109375" style="1" customWidth="1"/>
    <col min="16133" max="16133" width="11.140625" style="1" customWidth="1"/>
    <col min="16134" max="16134" width="12.28515625" style="1" customWidth="1"/>
    <col min="16135" max="16135" width="11.140625" style="1" customWidth="1"/>
    <col min="16136" max="16136" width="10.42578125" style="1" customWidth="1"/>
    <col min="16137" max="16137" width="4.7109375" style="1" customWidth="1"/>
    <col min="16138" max="16138" width="8.5703125" style="1" customWidth="1"/>
    <col min="16139" max="16139" width="5.5703125" style="1" customWidth="1"/>
    <col min="16140" max="16141" width="11.5703125" style="1" customWidth="1"/>
    <col min="16142" max="16142" width="10.85546875" style="1" customWidth="1"/>
    <col min="16143" max="16143" width="7.7109375" style="1" customWidth="1"/>
    <col min="16144" max="16144" width="8" style="1" customWidth="1"/>
    <col min="16145" max="16145" width="16.28515625" style="1" customWidth="1"/>
    <col min="16146" max="16146" width="10.5703125" style="1" customWidth="1"/>
    <col min="16147" max="16147" width="14.140625" style="1" customWidth="1"/>
    <col min="16148" max="16148" width="10.140625" style="1" customWidth="1"/>
    <col min="16149" max="16149" width="15.140625" style="1" customWidth="1"/>
    <col min="16150" max="16150" width="8.5703125" style="1" customWidth="1"/>
    <col min="16151" max="16151" width="14.28515625" style="1" customWidth="1"/>
    <col min="16152" max="16152" width="18.28515625" style="1" customWidth="1"/>
    <col min="16153" max="16153" width="13" style="1" bestFit="1" customWidth="1"/>
    <col min="16154" max="16154" width="11.7109375" style="1" bestFit="1" customWidth="1"/>
    <col min="16155" max="16161" width="9.140625" style="1"/>
    <col min="16162" max="16162" width="11.28515625" style="1" bestFit="1" customWidth="1"/>
    <col min="16163" max="16163" width="10.7109375" style="1" bestFit="1" customWidth="1"/>
    <col min="16164" max="16384" width="9.140625" style="1"/>
  </cols>
  <sheetData>
    <row r="1" spans="1:44" ht="9.75" customHeight="1">
      <c r="V1" s="3"/>
    </row>
    <row r="2" spans="1:44" ht="16.5" customHeight="1">
      <c r="A2" s="2308" t="s">
        <v>801</v>
      </c>
      <c r="B2" s="2308"/>
      <c r="C2" s="2308"/>
      <c r="D2" s="2308"/>
      <c r="E2" s="2308"/>
      <c r="F2" s="2308"/>
      <c r="G2" s="2308"/>
      <c r="H2" s="2308"/>
      <c r="I2" s="2308"/>
      <c r="J2" s="2308"/>
      <c r="K2" s="2308"/>
      <c r="L2" s="2308"/>
      <c r="M2" s="2308"/>
      <c r="N2" s="2308"/>
      <c r="O2" s="2308"/>
      <c r="P2" s="2308"/>
      <c r="Q2" s="2308"/>
      <c r="R2" s="2308"/>
      <c r="S2" s="2308"/>
      <c r="T2" s="2308"/>
      <c r="U2" s="2308"/>
      <c r="V2" s="2308"/>
      <c r="W2" s="2308"/>
      <c r="X2" s="2308"/>
      <c r="Y2" s="24"/>
      <c r="Z2" s="24"/>
    </row>
    <row r="3" spans="1:44" ht="13.5" customHeight="1">
      <c r="A3" s="2309" t="s">
        <v>0</v>
      </c>
      <c r="B3" s="2309"/>
      <c r="C3" s="2309"/>
      <c r="D3" s="2309"/>
      <c r="E3" s="2309"/>
      <c r="F3" s="2309"/>
      <c r="G3" s="2309"/>
      <c r="H3" s="2309"/>
      <c r="I3" s="2309"/>
      <c r="J3" s="2309"/>
      <c r="K3" s="2309"/>
      <c r="L3" s="2309"/>
      <c r="M3" s="2309"/>
      <c r="N3" s="2309"/>
      <c r="O3" s="2309"/>
      <c r="P3" s="2309"/>
      <c r="Q3" s="2309"/>
      <c r="R3" s="2309"/>
      <c r="S3" s="2309"/>
      <c r="T3" s="2309"/>
      <c r="U3" s="2309"/>
      <c r="V3" s="2309"/>
      <c r="W3" s="2309"/>
      <c r="X3" s="2309"/>
      <c r="Y3" s="24"/>
      <c r="Z3" s="24"/>
    </row>
    <row r="4" spans="1:44" s="1559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782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304" t="s">
        <v>395</v>
      </c>
      <c r="P4" s="2256" t="s">
        <v>16</v>
      </c>
      <c r="Q4" s="1558" t="s">
        <v>642</v>
      </c>
      <c r="R4" s="2256" t="s">
        <v>17</v>
      </c>
      <c r="S4" s="2256"/>
      <c r="T4" s="2256" t="s">
        <v>18</v>
      </c>
      <c r="U4" s="2256"/>
      <c r="V4" s="2256" t="s">
        <v>19</v>
      </c>
      <c r="W4" s="2256"/>
      <c r="X4" s="2306" t="s">
        <v>401</v>
      </c>
      <c r="Y4" s="2260" t="s">
        <v>401</v>
      </c>
      <c r="Z4" s="2305" t="s">
        <v>394</v>
      </c>
      <c r="AA4" s="24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</row>
    <row r="5" spans="1:44" s="1559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304"/>
      <c r="P5" s="2256"/>
      <c r="Q5" s="1558" t="s">
        <v>22</v>
      </c>
      <c r="R5" s="1558" t="s">
        <v>21</v>
      </c>
      <c r="S5" s="1558" t="s">
        <v>22</v>
      </c>
      <c r="T5" s="1558" t="s">
        <v>21</v>
      </c>
      <c r="U5" s="1558" t="s">
        <v>22</v>
      </c>
      <c r="V5" s="1558" t="s">
        <v>21</v>
      </c>
      <c r="W5" s="1558" t="s">
        <v>22</v>
      </c>
      <c r="X5" s="2306"/>
      <c r="Y5" s="2260"/>
      <c r="Z5" s="2305"/>
      <c r="AA5" s="1023" t="s">
        <v>640</v>
      </c>
      <c r="AB5" s="1024" t="s">
        <v>641</v>
      </c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</row>
    <row r="6" spans="1:44" s="1265" customFormat="1" ht="15" customHeight="1">
      <c r="A6" s="1373">
        <v>1</v>
      </c>
      <c r="B6" s="1374" t="s">
        <v>23</v>
      </c>
      <c r="C6" s="1375" t="s">
        <v>620</v>
      </c>
      <c r="D6" s="1373" t="s">
        <v>25</v>
      </c>
      <c r="E6" s="1376" t="s">
        <v>724</v>
      </c>
      <c r="F6" s="1373" t="s">
        <v>27</v>
      </c>
      <c r="G6" s="1373">
        <v>1</v>
      </c>
      <c r="H6" s="1373" t="s">
        <v>28</v>
      </c>
      <c r="I6" s="1373" t="s">
        <v>29</v>
      </c>
      <c r="J6" s="1377" t="s">
        <v>30</v>
      </c>
      <c r="K6" s="1378">
        <v>17697</v>
      </c>
      <c r="L6" s="1378"/>
      <c r="M6" s="1268">
        <v>1</v>
      </c>
      <c r="N6" s="1378"/>
      <c r="O6" s="1268">
        <v>6.22</v>
      </c>
      <c r="P6" s="1378">
        <f>O6*K6</f>
        <v>110075.34</v>
      </c>
      <c r="Q6" s="1379">
        <f>P6*25%</f>
        <v>27518.834999999999</v>
      </c>
      <c r="R6" s="1378"/>
      <c r="S6" s="1380"/>
      <c r="T6" s="1378">
        <v>0.1</v>
      </c>
      <c r="U6" s="1378">
        <f>(P6+Q6+S6)*T6</f>
        <v>13759.4175</v>
      </c>
      <c r="V6" s="1378"/>
      <c r="W6" s="1381"/>
      <c r="X6" s="1268">
        <f>P6+S6+U6+W6+Q6</f>
        <v>151353.5925</v>
      </c>
      <c r="Y6" s="1268">
        <f>R6+T6+V6</f>
        <v>0.1</v>
      </c>
      <c r="Z6" s="1268">
        <f>S6+U6+W6</f>
        <v>13759.4175</v>
      </c>
      <c r="AA6" s="1264">
        <f>X6*12</f>
        <v>1816243.1099999999</v>
      </c>
      <c r="AB6" s="1382">
        <f>AA6/12/29.33*30</f>
        <v>154811.03903852712</v>
      </c>
      <c r="AC6" s="1383"/>
      <c r="AD6" s="1264"/>
      <c r="AE6" s="1264"/>
      <c r="AF6" s="1264"/>
      <c r="AG6" s="1264"/>
      <c r="AH6" s="1264"/>
      <c r="AI6" s="1264"/>
      <c r="AJ6" s="1264"/>
      <c r="AK6" s="1264"/>
      <c r="AL6" s="1264"/>
      <c r="AM6" s="1264"/>
      <c r="AN6" s="1264"/>
    </row>
    <row r="7" spans="1:44" s="1265" customFormat="1" ht="15" customHeight="1">
      <c r="A7" s="1373">
        <v>2</v>
      </c>
      <c r="B7" s="1374" t="s">
        <v>31</v>
      </c>
      <c r="C7" s="1375" t="s">
        <v>32</v>
      </c>
      <c r="D7" s="1373" t="s">
        <v>25</v>
      </c>
      <c r="E7" s="1384" t="s">
        <v>772</v>
      </c>
      <c r="F7" s="1385" t="s">
        <v>34</v>
      </c>
      <c r="G7" s="1373">
        <v>1</v>
      </c>
      <c r="H7" s="1373" t="s">
        <v>28</v>
      </c>
      <c r="I7" s="1373" t="s">
        <v>35</v>
      </c>
      <c r="J7" s="1386" t="s">
        <v>30</v>
      </c>
      <c r="K7" s="1378">
        <v>17697</v>
      </c>
      <c r="L7" s="1378"/>
      <c r="M7" s="1268">
        <v>1</v>
      </c>
      <c r="N7" s="1378"/>
      <c r="O7" s="1387">
        <v>5.77</v>
      </c>
      <c r="P7" s="1378">
        <f>O7*K7</f>
        <v>102111.68999999999</v>
      </c>
      <c r="Q7" s="1379">
        <f t="shared" ref="Q7:Q11" si="0">P7*25%</f>
        <v>25527.922499999997</v>
      </c>
      <c r="R7" s="1380"/>
      <c r="S7" s="1378"/>
      <c r="T7" s="1378">
        <v>0.1</v>
      </c>
      <c r="U7" s="1378">
        <f t="shared" ref="U7:U25" si="1">(P7+Q7+S7)*T7</f>
        <v>12763.96125</v>
      </c>
      <c r="V7" s="1381"/>
      <c r="W7" s="1378"/>
      <c r="X7" s="1268">
        <f t="shared" ref="X7:X25" si="2">P7+S7+U7+W7+Q7</f>
        <v>140403.57374999998</v>
      </c>
      <c r="Y7" s="1268">
        <f t="shared" ref="Y7:Z24" si="3">R7+T7+V7</f>
        <v>0.1</v>
      </c>
      <c r="Z7" s="1268">
        <f t="shared" si="3"/>
        <v>12763.96125</v>
      </c>
      <c r="AA7" s="1264">
        <f t="shared" ref="AA7:AA71" si="4">X7*12</f>
        <v>1684842.8849999998</v>
      </c>
      <c r="AB7" s="1382">
        <f t="shared" ref="AB7:AB24" si="5">AA7/12/29.33*30</f>
        <v>143610.88348107738</v>
      </c>
      <c r="AH7" s="1388"/>
      <c r="AI7" s="1389"/>
    </row>
    <row r="8" spans="1:44" s="1396" customFormat="1" ht="15" customHeight="1">
      <c r="A8" s="1373">
        <v>3</v>
      </c>
      <c r="B8" s="1390" t="s">
        <v>36</v>
      </c>
      <c r="C8" s="1375" t="s">
        <v>32</v>
      </c>
      <c r="D8" s="1391" t="s">
        <v>25</v>
      </c>
      <c r="E8" s="1392" t="s">
        <v>265</v>
      </c>
      <c r="F8" s="1385" t="s">
        <v>34</v>
      </c>
      <c r="G8" s="1391">
        <v>1</v>
      </c>
      <c r="H8" s="1373" t="s">
        <v>28</v>
      </c>
      <c r="I8" s="1373" t="s">
        <v>35</v>
      </c>
      <c r="J8" s="1391">
        <v>3</v>
      </c>
      <c r="K8" s="1393">
        <v>17697</v>
      </c>
      <c r="L8" s="1393"/>
      <c r="M8" s="1394">
        <v>1</v>
      </c>
      <c r="N8" s="1378"/>
      <c r="O8" s="1395">
        <v>5.77</v>
      </c>
      <c r="P8" s="1378">
        <f>O8*K8</f>
        <v>102111.68999999999</v>
      </c>
      <c r="Q8" s="1379">
        <f t="shared" si="0"/>
        <v>25527.922499999997</v>
      </c>
      <c r="R8" s="1380"/>
      <c r="S8" s="1378"/>
      <c r="T8" s="1378">
        <v>0.1</v>
      </c>
      <c r="U8" s="1378">
        <f t="shared" si="1"/>
        <v>12763.96125</v>
      </c>
      <c r="V8" s="1381"/>
      <c r="W8" s="1378"/>
      <c r="X8" s="1268">
        <f t="shared" si="2"/>
        <v>140403.57374999998</v>
      </c>
      <c r="Y8" s="1268">
        <f t="shared" si="3"/>
        <v>0.1</v>
      </c>
      <c r="Z8" s="1268">
        <f t="shared" si="3"/>
        <v>12763.96125</v>
      </c>
      <c r="AA8" s="1264">
        <f t="shared" si="4"/>
        <v>1684842.8849999998</v>
      </c>
      <c r="AB8" s="1382">
        <f t="shared" si="5"/>
        <v>143610.88348107738</v>
      </c>
      <c r="AH8" s="1397"/>
      <c r="AI8" s="1398"/>
    </row>
    <row r="9" spans="1:44" s="1407" customFormat="1" ht="15">
      <c r="A9" s="1373">
        <v>4</v>
      </c>
      <c r="B9" s="1399" t="s">
        <v>38</v>
      </c>
      <c r="C9" s="1375" t="s">
        <v>32</v>
      </c>
      <c r="D9" s="1400" t="s">
        <v>25</v>
      </c>
      <c r="E9" s="1401" t="s">
        <v>774</v>
      </c>
      <c r="F9" s="1402" t="s">
        <v>40</v>
      </c>
      <c r="G9" s="1400">
        <v>1</v>
      </c>
      <c r="H9" s="1373" t="s">
        <v>28</v>
      </c>
      <c r="I9" s="1373" t="s">
        <v>35</v>
      </c>
      <c r="J9" s="1403">
        <v>3</v>
      </c>
      <c r="K9" s="1404">
        <v>17697</v>
      </c>
      <c r="L9" s="1404"/>
      <c r="M9" s="1405">
        <v>1</v>
      </c>
      <c r="N9" s="1404"/>
      <c r="O9" s="1395">
        <v>5.77</v>
      </c>
      <c r="P9" s="1404">
        <f t="shared" ref="P9:P23" si="6">O9*K9*M9</f>
        <v>102111.68999999999</v>
      </c>
      <c r="Q9" s="1379">
        <f>P9*25%</f>
        <v>25527.922499999997</v>
      </c>
      <c r="R9" s="1263">
        <v>0.25</v>
      </c>
      <c r="S9" s="1404">
        <v>31600</v>
      </c>
      <c r="T9" s="1378">
        <v>0.1</v>
      </c>
      <c r="U9" s="1378">
        <v>13073</v>
      </c>
      <c r="V9" s="1406"/>
      <c r="W9" s="1404"/>
      <c r="X9" s="1268">
        <f>P9+S9+U9+W9+Q9</f>
        <v>172312.61249999999</v>
      </c>
      <c r="Y9" s="1268">
        <f t="shared" si="3"/>
        <v>0.35</v>
      </c>
      <c r="Z9" s="1268">
        <f t="shared" si="3"/>
        <v>44673</v>
      </c>
      <c r="AA9" s="1264">
        <f t="shared" si="4"/>
        <v>2067751.3499999999</v>
      </c>
      <c r="AB9" s="1382">
        <f t="shared" si="5"/>
        <v>176248.83651551313</v>
      </c>
      <c r="AC9" s="1264"/>
      <c r="AD9" s="1264"/>
      <c r="AE9" s="1383"/>
      <c r="AF9" s="1383"/>
      <c r="AG9" s="1264"/>
      <c r="AL9" s="1408"/>
      <c r="AP9" s="1409"/>
      <c r="AQ9" s="1408">
        <f>P9+U9+S9+W9</f>
        <v>146784.69</v>
      </c>
    </row>
    <row r="10" spans="1:44" s="1265" customFormat="1" ht="15" customHeight="1">
      <c r="A10" s="1373">
        <v>5</v>
      </c>
      <c r="B10" s="1374" t="s">
        <v>91</v>
      </c>
      <c r="C10" s="1375" t="s">
        <v>783</v>
      </c>
      <c r="D10" s="1373" t="s">
        <v>25</v>
      </c>
      <c r="E10" s="1266" t="s">
        <v>677</v>
      </c>
      <c r="F10" s="1373" t="s">
        <v>367</v>
      </c>
      <c r="G10" s="1373">
        <v>1</v>
      </c>
      <c r="H10" s="1410" t="s">
        <v>28</v>
      </c>
      <c r="I10" s="1410" t="s">
        <v>29</v>
      </c>
      <c r="J10" s="1377" t="s">
        <v>44</v>
      </c>
      <c r="K10" s="1378">
        <v>17697</v>
      </c>
      <c r="L10" s="1378"/>
      <c r="M10" s="1268">
        <v>1</v>
      </c>
      <c r="N10" s="1378"/>
      <c r="O10" s="1411" t="s">
        <v>771</v>
      </c>
      <c r="P10" s="1404">
        <f>O10*K10*M10</f>
        <v>98926.23</v>
      </c>
      <c r="Q10" s="1379">
        <f t="shared" si="0"/>
        <v>24731.557499999999</v>
      </c>
      <c r="R10" s="1378"/>
      <c r="S10" s="1380"/>
      <c r="T10" s="1378">
        <v>0.1</v>
      </c>
      <c r="U10" s="1378">
        <f t="shared" si="1"/>
        <v>12365.778749999999</v>
      </c>
      <c r="V10" s="1378"/>
      <c r="W10" s="1381"/>
      <c r="X10" s="1268">
        <f t="shared" si="2"/>
        <v>136023.56625</v>
      </c>
      <c r="Y10" s="1268">
        <f t="shared" si="3"/>
        <v>0.1</v>
      </c>
      <c r="Z10" s="1268">
        <f t="shared" si="3"/>
        <v>12365.778749999999</v>
      </c>
      <c r="AA10" s="1264">
        <f t="shared" si="4"/>
        <v>1632282.7949999999</v>
      </c>
      <c r="AB10" s="1382">
        <f t="shared" si="5"/>
        <v>139130.82125809751</v>
      </c>
      <c r="AC10" s="1264"/>
      <c r="AD10" s="1264"/>
      <c r="AE10" s="1264"/>
      <c r="AF10" s="1264"/>
      <c r="AG10" s="1264"/>
      <c r="AH10" s="1264"/>
      <c r="AI10" s="1264"/>
      <c r="AJ10" s="1264"/>
      <c r="AK10" s="1264"/>
      <c r="AL10" s="1264"/>
      <c r="AM10" s="1264"/>
      <c r="AN10" s="1264"/>
    </row>
    <row r="11" spans="1:44" s="1265" customFormat="1" ht="15" customHeight="1">
      <c r="A11" s="1373">
        <v>6</v>
      </c>
      <c r="B11" s="1374" t="s">
        <v>45</v>
      </c>
      <c r="C11" s="1375" t="s">
        <v>46</v>
      </c>
      <c r="D11" s="1267" t="s">
        <v>25</v>
      </c>
      <c r="E11" s="1412" t="s">
        <v>727</v>
      </c>
      <c r="F11" s="1412" t="s">
        <v>34</v>
      </c>
      <c r="G11" s="1267">
        <v>1</v>
      </c>
      <c r="H11" s="1373" t="s">
        <v>28</v>
      </c>
      <c r="I11" s="1373" t="s">
        <v>29</v>
      </c>
      <c r="J11" s="1377" t="s">
        <v>44</v>
      </c>
      <c r="K11" s="1378">
        <v>17697</v>
      </c>
      <c r="L11" s="1378"/>
      <c r="M11" s="1268">
        <v>1</v>
      </c>
      <c r="N11" s="1378"/>
      <c r="O11" s="1268">
        <v>5.91</v>
      </c>
      <c r="P11" s="1404">
        <f t="shared" si="6"/>
        <v>104589.27</v>
      </c>
      <c r="Q11" s="1379">
        <f t="shared" si="0"/>
        <v>26147.317500000001</v>
      </c>
      <c r="R11" s="1263"/>
      <c r="S11" s="1378"/>
      <c r="T11" s="1378">
        <v>0.1</v>
      </c>
      <c r="U11" s="1378">
        <f t="shared" si="1"/>
        <v>13073.658750000002</v>
      </c>
      <c r="V11" s="1381"/>
      <c r="W11" s="1378"/>
      <c r="X11" s="1268">
        <f t="shared" si="2"/>
        <v>143810.24625</v>
      </c>
      <c r="Y11" s="1268">
        <f t="shared" si="3"/>
        <v>0.1</v>
      </c>
      <c r="Z11" s="1268">
        <f t="shared" si="3"/>
        <v>13073.658750000002</v>
      </c>
      <c r="AA11" s="1264">
        <f t="shared" si="4"/>
        <v>1725722.9550000001</v>
      </c>
      <c r="AB11" s="1382">
        <f t="shared" si="5"/>
        <v>147095.37632117287</v>
      </c>
    </row>
    <row r="12" spans="1:44" s="1265" customFormat="1" ht="15" customHeight="1">
      <c r="A12" s="1373">
        <v>7</v>
      </c>
      <c r="B12" s="1374" t="s">
        <v>48</v>
      </c>
      <c r="C12" s="1375" t="s">
        <v>49</v>
      </c>
      <c r="D12" s="1373" t="s">
        <v>25</v>
      </c>
      <c r="E12" s="1376" t="s">
        <v>777</v>
      </c>
      <c r="F12" s="1373" t="s">
        <v>51</v>
      </c>
      <c r="G12" s="1373">
        <v>1</v>
      </c>
      <c r="H12" s="1410" t="s">
        <v>28</v>
      </c>
      <c r="I12" s="1410" t="s">
        <v>35</v>
      </c>
      <c r="J12" s="1377" t="s">
        <v>30</v>
      </c>
      <c r="K12" s="1378">
        <v>17697</v>
      </c>
      <c r="L12" s="1378"/>
      <c r="M12" s="1268">
        <v>1</v>
      </c>
      <c r="N12" s="1378"/>
      <c r="O12" s="1411" t="s">
        <v>370</v>
      </c>
      <c r="P12" s="1404">
        <f t="shared" si="6"/>
        <v>99280.170000000013</v>
      </c>
      <c r="Q12" s="1379"/>
      <c r="R12" s="1378"/>
      <c r="S12" s="1380"/>
      <c r="T12" s="1378">
        <v>0.1</v>
      </c>
      <c r="U12" s="1378">
        <f t="shared" si="1"/>
        <v>9928.0170000000016</v>
      </c>
      <c r="V12" s="1378"/>
      <c r="W12" s="1381"/>
      <c r="X12" s="1268">
        <f t="shared" si="2"/>
        <v>109208.18700000002</v>
      </c>
      <c r="Y12" s="1268">
        <f t="shared" si="3"/>
        <v>0.1</v>
      </c>
      <c r="Z12" s="1268">
        <f t="shared" si="3"/>
        <v>9928.0170000000016</v>
      </c>
      <c r="AA12" s="1264">
        <f t="shared" si="4"/>
        <v>1310498.2440000002</v>
      </c>
      <c r="AB12" s="1382">
        <f t="shared" si="5"/>
        <v>111702.88475963179</v>
      </c>
      <c r="AC12" s="1264"/>
      <c r="AD12" s="1264"/>
      <c r="AE12" s="1264"/>
      <c r="AF12" s="1264"/>
      <c r="AG12" s="1264"/>
      <c r="AH12" s="1264"/>
      <c r="AI12" s="1264"/>
      <c r="AJ12" s="1264"/>
      <c r="AK12" s="1264"/>
      <c r="AL12" s="1264"/>
      <c r="AM12" s="1264"/>
      <c r="AN12" s="1264"/>
    </row>
    <row r="13" spans="1:44" s="1265" customFormat="1" ht="15" customHeight="1">
      <c r="A13" s="1373">
        <v>8</v>
      </c>
      <c r="B13" s="1413" t="s">
        <v>52</v>
      </c>
      <c r="C13" s="1375" t="s">
        <v>53</v>
      </c>
      <c r="D13" s="1373" t="s">
        <v>25</v>
      </c>
      <c r="E13" s="1376" t="s">
        <v>775</v>
      </c>
      <c r="F13" s="1373" t="s">
        <v>73</v>
      </c>
      <c r="G13" s="1373">
        <v>1</v>
      </c>
      <c r="H13" s="1410" t="s">
        <v>56</v>
      </c>
      <c r="I13" s="1410" t="s">
        <v>56</v>
      </c>
      <c r="J13" s="1377" t="s">
        <v>57</v>
      </c>
      <c r="K13" s="1378">
        <v>17697</v>
      </c>
      <c r="L13" s="1378"/>
      <c r="M13" s="1268">
        <v>1</v>
      </c>
      <c r="N13" s="1378"/>
      <c r="O13" s="1411" t="s">
        <v>639</v>
      </c>
      <c r="P13" s="1404">
        <f t="shared" si="6"/>
        <v>78397.709999999992</v>
      </c>
      <c r="Q13" s="1379"/>
      <c r="R13" s="1378"/>
      <c r="S13" s="1380"/>
      <c r="T13" s="1378">
        <v>0.1</v>
      </c>
      <c r="U13" s="1378">
        <f t="shared" si="1"/>
        <v>7839.7709999999997</v>
      </c>
      <c r="V13" s="1378"/>
      <c r="W13" s="1381"/>
      <c r="X13" s="1268">
        <f t="shared" si="2"/>
        <v>86237.480999999985</v>
      </c>
      <c r="Y13" s="1268">
        <f t="shared" si="3"/>
        <v>0.1</v>
      </c>
      <c r="Z13" s="1268">
        <f t="shared" si="3"/>
        <v>7839.7709999999997</v>
      </c>
      <c r="AA13" s="1264">
        <f t="shared" si="4"/>
        <v>1034849.7719999999</v>
      </c>
      <c r="AB13" s="1382">
        <f t="shared" si="5"/>
        <v>88207.447323559478</v>
      </c>
      <c r="AC13" s="1264"/>
      <c r="AD13" s="1264"/>
      <c r="AE13" s="1264"/>
      <c r="AF13" s="1264"/>
      <c r="AG13" s="1264"/>
      <c r="AH13" s="1264"/>
      <c r="AI13" s="1264"/>
      <c r="AJ13" s="1264"/>
      <c r="AK13" s="1264"/>
      <c r="AL13" s="1264"/>
      <c r="AM13" s="1264"/>
      <c r="AN13" s="1264"/>
    </row>
    <row r="14" spans="1:44" s="1265" customFormat="1" ht="15" customHeight="1">
      <c r="A14" s="1373">
        <v>9</v>
      </c>
      <c r="B14" s="1413" t="s">
        <v>399</v>
      </c>
      <c r="C14" s="1375" t="s">
        <v>621</v>
      </c>
      <c r="D14" s="1373" t="s">
        <v>25</v>
      </c>
      <c r="E14" s="1414" t="s">
        <v>776</v>
      </c>
      <c r="F14" s="1373" t="s">
        <v>77</v>
      </c>
      <c r="G14" s="1415">
        <v>1</v>
      </c>
      <c r="H14" s="1373" t="s">
        <v>61</v>
      </c>
      <c r="I14" s="1373" t="s">
        <v>61</v>
      </c>
      <c r="J14" s="1416">
        <v>1</v>
      </c>
      <c r="K14" s="1378">
        <v>17697</v>
      </c>
      <c r="L14" s="1378"/>
      <c r="M14" s="1268">
        <v>1</v>
      </c>
      <c r="N14" s="1417"/>
      <c r="O14" s="1411" t="s">
        <v>402</v>
      </c>
      <c r="P14" s="1404">
        <f t="shared" si="6"/>
        <v>53798.879999999997</v>
      </c>
      <c r="Q14" s="1379"/>
      <c r="R14" s="1378"/>
      <c r="S14" s="1380"/>
      <c r="T14" s="1378">
        <v>0.1</v>
      </c>
      <c r="U14" s="1378">
        <f t="shared" si="1"/>
        <v>5379.8879999999999</v>
      </c>
      <c r="V14" s="1378"/>
      <c r="W14" s="1381"/>
      <c r="X14" s="1268">
        <f t="shared" si="2"/>
        <v>59178.767999999996</v>
      </c>
      <c r="Y14" s="1268">
        <f t="shared" si="3"/>
        <v>0.1</v>
      </c>
      <c r="Z14" s="1268">
        <f t="shared" si="3"/>
        <v>5379.8879999999999</v>
      </c>
      <c r="AA14" s="1264">
        <f t="shared" si="4"/>
        <v>710145.21600000001</v>
      </c>
      <c r="AB14" s="1382">
        <f t="shared" si="5"/>
        <v>60530.618479372664</v>
      </c>
      <c r="AC14" s="1264"/>
      <c r="AD14" s="1264"/>
      <c r="AE14" s="1264"/>
      <c r="AF14" s="1264"/>
      <c r="AG14" s="1264"/>
      <c r="AH14" s="1264"/>
      <c r="AI14" s="1264"/>
      <c r="AJ14" s="1264"/>
      <c r="AK14" s="1264"/>
      <c r="AL14" s="1264"/>
      <c r="AM14" s="1264"/>
      <c r="AN14" s="1264"/>
    </row>
    <row r="15" spans="1:44" s="1265" customFormat="1" ht="15" customHeight="1">
      <c r="A15" s="1373">
        <v>10</v>
      </c>
      <c r="B15" s="1418" t="s">
        <v>767</v>
      </c>
      <c r="C15" s="1419" t="s">
        <v>768</v>
      </c>
      <c r="D15" s="1420" t="s">
        <v>25</v>
      </c>
      <c r="E15" s="1421" t="s">
        <v>769</v>
      </c>
      <c r="F15" s="1373" t="s">
        <v>77</v>
      </c>
      <c r="G15" s="1422">
        <v>1</v>
      </c>
      <c r="H15" s="1415" t="s">
        <v>56</v>
      </c>
      <c r="I15" s="1415" t="s">
        <v>56</v>
      </c>
      <c r="J15" s="1423" t="s">
        <v>57</v>
      </c>
      <c r="K15" s="1378">
        <v>17697</v>
      </c>
      <c r="L15" s="1379"/>
      <c r="M15" s="1269">
        <v>1</v>
      </c>
      <c r="N15" s="1424"/>
      <c r="O15" s="1425" t="s">
        <v>770</v>
      </c>
      <c r="P15" s="1426">
        <f t="shared" si="6"/>
        <v>74858.310000000012</v>
      </c>
      <c r="Q15" s="1379"/>
      <c r="R15" s="1379"/>
      <c r="S15" s="1427"/>
      <c r="T15" s="1378">
        <v>0.1</v>
      </c>
      <c r="U15" s="1378">
        <f t="shared" si="1"/>
        <v>7485.8310000000019</v>
      </c>
      <c r="V15" s="1379"/>
      <c r="W15" s="1428"/>
      <c r="X15" s="1268">
        <f t="shared" si="2"/>
        <v>82344.141000000018</v>
      </c>
      <c r="Y15" s="1269"/>
      <c r="Z15" s="1269"/>
      <c r="AA15" s="1264"/>
      <c r="AB15" s="1382"/>
      <c r="AC15" s="1264"/>
      <c r="AD15" s="1264"/>
      <c r="AE15" s="1264"/>
      <c r="AF15" s="1264"/>
      <c r="AG15" s="1264"/>
      <c r="AH15" s="1264"/>
      <c r="AI15" s="1264"/>
      <c r="AJ15" s="1264"/>
      <c r="AK15" s="1264"/>
      <c r="AL15" s="1264"/>
      <c r="AM15" s="1264"/>
      <c r="AN15" s="1264"/>
    </row>
    <row r="16" spans="1:44" s="1265" customFormat="1" ht="15" customHeight="1">
      <c r="A16" s="1373">
        <v>11</v>
      </c>
      <c r="B16" s="1413" t="s">
        <v>62</v>
      </c>
      <c r="C16" s="1390" t="s">
        <v>63</v>
      </c>
      <c r="D16" s="1373" t="s">
        <v>64</v>
      </c>
      <c r="E16" s="1376" t="s">
        <v>730</v>
      </c>
      <c r="F16" s="1373" t="s">
        <v>367</v>
      </c>
      <c r="G16" s="1373">
        <v>1</v>
      </c>
      <c r="H16" s="1410" t="s">
        <v>56</v>
      </c>
      <c r="I16" s="1410" t="s">
        <v>56</v>
      </c>
      <c r="J16" s="1416">
        <v>3</v>
      </c>
      <c r="K16" s="1378">
        <v>17697</v>
      </c>
      <c r="L16" s="1378"/>
      <c r="M16" s="1268">
        <v>1</v>
      </c>
      <c r="N16" s="1378"/>
      <c r="O16" s="1268">
        <v>3.61</v>
      </c>
      <c r="P16" s="1404">
        <f t="shared" si="6"/>
        <v>63886.17</v>
      </c>
      <c r="Q16" s="1379"/>
      <c r="R16" s="1378"/>
      <c r="S16" s="1380"/>
      <c r="T16" s="1378">
        <v>0.1</v>
      </c>
      <c r="U16" s="1378">
        <f t="shared" si="1"/>
        <v>6388.6170000000002</v>
      </c>
      <c r="V16" s="1378"/>
      <c r="W16" s="1381"/>
      <c r="X16" s="1268">
        <f t="shared" si="2"/>
        <v>70274.786999999997</v>
      </c>
      <c r="Y16" s="1268">
        <f t="shared" si="3"/>
        <v>0.1</v>
      </c>
      <c r="Z16" s="1268">
        <f t="shared" si="3"/>
        <v>6388.6170000000002</v>
      </c>
      <c r="AA16" s="1264">
        <f t="shared" si="4"/>
        <v>843297.4439999999</v>
      </c>
      <c r="AB16" s="1382">
        <f t="shared" si="5"/>
        <v>71880.109444255024</v>
      </c>
      <c r="AC16" s="1264"/>
      <c r="AD16" s="1264"/>
      <c r="AE16" s="1264"/>
      <c r="AF16" s="1264"/>
      <c r="AG16" s="1264"/>
      <c r="AH16" s="1264"/>
      <c r="AI16" s="1264"/>
      <c r="AJ16" s="1264"/>
      <c r="AK16" s="1264"/>
      <c r="AL16" s="1264"/>
      <c r="AM16" s="1264"/>
      <c r="AN16" s="1264"/>
    </row>
    <row r="17" spans="1:40" s="1265" customFormat="1" ht="15" customHeight="1">
      <c r="A17" s="1373">
        <v>12</v>
      </c>
      <c r="B17" s="1413" t="s">
        <v>400</v>
      </c>
      <c r="C17" s="1390" t="s">
        <v>63</v>
      </c>
      <c r="D17" s="1373" t="s">
        <v>64</v>
      </c>
      <c r="E17" s="1429" t="s">
        <v>121</v>
      </c>
      <c r="F17" s="1373" t="s">
        <v>122</v>
      </c>
      <c r="G17" s="1373">
        <v>1.5</v>
      </c>
      <c r="H17" s="1410" t="s">
        <v>69</v>
      </c>
      <c r="I17" s="1410" t="s">
        <v>69</v>
      </c>
      <c r="J17" s="1430" t="s">
        <v>30</v>
      </c>
      <c r="K17" s="1378">
        <v>17697</v>
      </c>
      <c r="L17" s="1378"/>
      <c r="M17" s="1268">
        <v>1.5</v>
      </c>
      <c r="N17" s="1378"/>
      <c r="O17" s="1387">
        <v>3.35</v>
      </c>
      <c r="P17" s="1404">
        <f>O17*K17*M17</f>
        <v>88927.425000000003</v>
      </c>
      <c r="Q17" s="1379"/>
      <c r="R17" s="1380"/>
      <c r="S17" s="1378"/>
      <c r="T17" s="1378">
        <v>0.1</v>
      </c>
      <c r="U17" s="1378">
        <f t="shared" si="1"/>
        <v>8892.7425000000003</v>
      </c>
      <c r="V17" s="1381"/>
      <c r="W17" s="1378"/>
      <c r="X17" s="1268">
        <f t="shared" si="2"/>
        <v>97820.16750000001</v>
      </c>
      <c r="Y17" s="1268">
        <f t="shared" si="3"/>
        <v>0.1</v>
      </c>
      <c r="Z17" s="1268">
        <f t="shared" si="3"/>
        <v>8892.7425000000003</v>
      </c>
      <c r="AA17" s="1264">
        <f t="shared" si="4"/>
        <v>1173842.0100000002</v>
      </c>
      <c r="AB17" s="1382">
        <f t="shared" si="5"/>
        <v>100054.72297988411</v>
      </c>
    </row>
    <row r="18" spans="1:40" s="1396" customFormat="1" ht="15.75" customHeight="1">
      <c r="A18" s="1373">
        <v>13</v>
      </c>
      <c r="B18" s="1390" t="s">
        <v>378</v>
      </c>
      <c r="C18" s="1390" t="s">
        <v>63</v>
      </c>
      <c r="D18" s="1373" t="s">
        <v>64</v>
      </c>
      <c r="E18" s="1392" t="s">
        <v>780</v>
      </c>
      <c r="F18" s="1373" t="s">
        <v>159</v>
      </c>
      <c r="G18" s="1373">
        <v>0.5</v>
      </c>
      <c r="H18" s="1393" t="s">
        <v>56</v>
      </c>
      <c r="I18" s="1393" t="s">
        <v>56</v>
      </c>
      <c r="J18" s="1391">
        <v>3</v>
      </c>
      <c r="K18" s="1393">
        <v>17697</v>
      </c>
      <c r="L18" s="1393"/>
      <c r="M18" s="1268">
        <v>0.5</v>
      </c>
      <c r="N18" s="1431"/>
      <c r="O18" s="1268">
        <v>3.31</v>
      </c>
      <c r="P18" s="1404">
        <f t="shared" si="6"/>
        <v>29288.535</v>
      </c>
      <c r="Q18" s="1379"/>
      <c r="R18" s="1380"/>
      <c r="S18" s="1378"/>
      <c r="T18" s="1378">
        <v>0.1</v>
      </c>
      <c r="U18" s="1378">
        <f t="shared" si="1"/>
        <v>2928.8535000000002</v>
      </c>
      <c r="V18" s="1381"/>
      <c r="W18" s="1378"/>
      <c r="X18" s="1268">
        <f t="shared" si="2"/>
        <v>32217.388500000001</v>
      </c>
      <c r="Y18" s="1268">
        <f t="shared" si="3"/>
        <v>0.1</v>
      </c>
      <c r="Z18" s="1268">
        <f t="shared" si="3"/>
        <v>2928.8535000000002</v>
      </c>
      <c r="AA18" s="1264">
        <f t="shared" si="4"/>
        <v>386608.66200000001</v>
      </c>
      <c r="AB18" s="1382">
        <f t="shared" si="5"/>
        <v>32953.346573474264</v>
      </c>
    </row>
    <row r="19" spans="1:40" s="1396" customFormat="1" ht="15.75" customHeight="1">
      <c r="A19" s="1373">
        <v>14</v>
      </c>
      <c r="B19" s="1390" t="s">
        <v>70</v>
      </c>
      <c r="C19" s="1390" t="s">
        <v>71</v>
      </c>
      <c r="D19" s="1373" t="s">
        <v>25</v>
      </c>
      <c r="E19" s="1392" t="s">
        <v>731</v>
      </c>
      <c r="F19" s="1373" t="s">
        <v>239</v>
      </c>
      <c r="G19" s="1373">
        <v>1</v>
      </c>
      <c r="H19" s="1432" t="s">
        <v>56</v>
      </c>
      <c r="I19" s="1432" t="s">
        <v>56</v>
      </c>
      <c r="J19" s="1432">
        <v>2</v>
      </c>
      <c r="K19" s="1393">
        <v>17697</v>
      </c>
      <c r="L19" s="1393"/>
      <c r="M19" s="1268">
        <v>0.5</v>
      </c>
      <c r="N19" s="1431"/>
      <c r="O19" s="1268">
        <v>4.46</v>
      </c>
      <c r="P19" s="1404">
        <f>O19*K19*M19</f>
        <v>39464.31</v>
      </c>
      <c r="Q19" s="1420"/>
      <c r="R19" s="1380"/>
      <c r="S19" s="1378"/>
      <c r="T19" s="1378">
        <v>0.1</v>
      </c>
      <c r="U19" s="1378">
        <f t="shared" si="1"/>
        <v>3946.431</v>
      </c>
      <c r="V19" s="1381">
        <v>0.2</v>
      </c>
      <c r="W19" s="1378">
        <f>V19*K19*50%</f>
        <v>1769.7</v>
      </c>
      <c r="X19" s="1268">
        <f>P19+S19+U19+W19+Q19</f>
        <v>45180.440999999992</v>
      </c>
      <c r="Y19" s="1268">
        <f>R19+T19+V19+X19</f>
        <v>45180.740999999995</v>
      </c>
      <c r="Z19" s="1268">
        <f>S19+U19+W19+Y19</f>
        <v>50896.871999999996</v>
      </c>
      <c r="AA19" s="1264">
        <f t="shared" si="4"/>
        <v>542165.2919999999</v>
      </c>
      <c r="AB19" s="1382">
        <f t="shared" si="5"/>
        <v>46212.520627344013</v>
      </c>
    </row>
    <row r="20" spans="1:40" s="1396" customFormat="1" ht="15.75" customHeight="1">
      <c r="A20" s="1373">
        <v>15</v>
      </c>
      <c r="B20" s="1390" t="s">
        <v>378</v>
      </c>
      <c r="C20" s="1390" t="s">
        <v>71</v>
      </c>
      <c r="D20" s="1373" t="s">
        <v>75</v>
      </c>
      <c r="E20" s="1392" t="s">
        <v>787</v>
      </c>
      <c r="F20" s="1373" t="s">
        <v>159</v>
      </c>
      <c r="G20" s="1373">
        <v>0.5</v>
      </c>
      <c r="H20" s="1393" t="s">
        <v>56</v>
      </c>
      <c r="I20" s="1393" t="s">
        <v>56</v>
      </c>
      <c r="J20" s="1391">
        <v>2</v>
      </c>
      <c r="K20" s="1393">
        <v>17697</v>
      </c>
      <c r="L20" s="1393"/>
      <c r="M20" s="1268">
        <v>0.5</v>
      </c>
      <c r="N20" s="1431"/>
      <c r="O20" s="1268">
        <v>4.0999999999999996</v>
      </c>
      <c r="P20" s="1404">
        <f>O20*K20*M20</f>
        <v>36278.85</v>
      </c>
      <c r="Q20" s="1420"/>
      <c r="R20" s="1380"/>
      <c r="S20" s="1378"/>
      <c r="T20" s="1378">
        <v>0.1</v>
      </c>
      <c r="U20" s="1378">
        <f t="shared" si="1"/>
        <v>3627.8850000000002</v>
      </c>
      <c r="V20" s="1381">
        <v>0.2</v>
      </c>
      <c r="W20" s="1378">
        <f>V20*K20*50%</f>
        <v>1769.7</v>
      </c>
      <c r="X20" s="1268">
        <f t="shared" si="2"/>
        <v>41676.434999999998</v>
      </c>
      <c r="Y20" s="1268">
        <f>R20+T20+V20+X20</f>
        <v>41676.735000000001</v>
      </c>
      <c r="Z20" s="1268">
        <f>S20+U20+W20+Y20</f>
        <v>47074.32</v>
      </c>
      <c r="AA20" s="1264">
        <f t="shared" si="4"/>
        <v>500117.22</v>
      </c>
      <c r="AB20" s="1382">
        <f t="shared" si="5"/>
        <v>42628.470848960111</v>
      </c>
    </row>
    <row r="21" spans="1:40" s="1265" customFormat="1" ht="15" customHeight="1">
      <c r="A21" s="1373">
        <v>16</v>
      </c>
      <c r="B21" s="1413" t="s">
        <v>619</v>
      </c>
      <c r="C21" s="1375" t="s">
        <v>622</v>
      </c>
      <c r="D21" s="1373" t="s">
        <v>75</v>
      </c>
      <c r="E21" s="1376" t="s">
        <v>778</v>
      </c>
      <c r="F21" s="1373" t="s">
        <v>779</v>
      </c>
      <c r="G21" s="1373">
        <v>1</v>
      </c>
      <c r="H21" s="1373" t="s">
        <v>56</v>
      </c>
      <c r="I21" s="1373" t="s">
        <v>56</v>
      </c>
      <c r="J21" s="1416">
        <v>3</v>
      </c>
      <c r="K21" s="1378">
        <v>17697</v>
      </c>
      <c r="L21" s="1378"/>
      <c r="M21" s="1268">
        <v>0.5</v>
      </c>
      <c r="N21" s="1433"/>
      <c r="O21" s="1268">
        <v>3.57</v>
      </c>
      <c r="P21" s="1404">
        <f t="shared" si="6"/>
        <v>31589.144999999997</v>
      </c>
      <c r="Q21" s="1420"/>
      <c r="R21" s="1378"/>
      <c r="S21" s="1380"/>
      <c r="T21" s="1378">
        <v>0.1</v>
      </c>
      <c r="U21" s="1378">
        <f t="shared" si="1"/>
        <v>3158.9144999999999</v>
      </c>
      <c r="V21" s="1378"/>
      <c r="W21" s="1381"/>
      <c r="X21" s="1268">
        <f t="shared" si="2"/>
        <v>34748.059499999996</v>
      </c>
      <c r="Y21" s="1268">
        <f t="shared" si="3"/>
        <v>0.1</v>
      </c>
      <c r="Z21" s="1268">
        <f t="shared" si="3"/>
        <v>3158.9144999999999</v>
      </c>
      <c r="AA21" s="1264">
        <f t="shared" si="4"/>
        <v>416976.71399999992</v>
      </c>
      <c r="AB21" s="1382">
        <f t="shared" si="5"/>
        <v>35541.82696897375</v>
      </c>
      <c r="AC21" s="1264"/>
      <c r="AD21" s="1264"/>
      <c r="AE21" s="1264"/>
      <c r="AF21" s="1264"/>
      <c r="AG21" s="1264"/>
      <c r="AH21" s="1264"/>
      <c r="AI21" s="1264"/>
      <c r="AJ21" s="1264"/>
      <c r="AK21" s="1264"/>
      <c r="AL21" s="1264"/>
      <c r="AM21" s="1264"/>
      <c r="AN21" s="1264"/>
    </row>
    <row r="22" spans="1:40" s="1437" customFormat="1" ht="15.75" customHeight="1">
      <c r="A22" s="1373">
        <v>17</v>
      </c>
      <c r="B22" s="1434" t="s">
        <v>81</v>
      </c>
      <c r="C22" s="1375" t="s">
        <v>82</v>
      </c>
      <c r="D22" s="1435" t="s">
        <v>64</v>
      </c>
      <c r="E22" s="1376" t="s">
        <v>773</v>
      </c>
      <c r="F22" s="1435" t="s">
        <v>84</v>
      </c>
      <c r="G22" s="1431">
        <v>1</v>
      </c>
      <c r="H22" s="1410" t="s">
        <v>56</v>
      </c>
      <c r="I22" s="1373" t="s">
        <v>56</v>
      </c>
      <c r="J22" s="1410">
        <v>3</v>
      </c>
      <c r="K22" s="1378">
        <v>17697</v>
      </c>
      <c r="L22" s="1378"/>
      <c r="M22" s="1268">
        <v>1</v>
      </c>
      <c r="N22" s="1378"/>
      <c r="O22" s="1268">
        <v>3.5</v>
      </c>
      <c r="P22" s="1404">
        <f t="shared" si="6"/>
        <v>61939.5</v>
      </c>
      <c r="Q22" s="1420"/>
      <c r="R22" s="1378"/>
      <c r="S22" s="1380"/>
      <c r="T22" s="1378">
        <v>0.1</v>
      </c>
      <c r="U22" s="1378">
        <f t="shared" si="1"/>
        <v>6193.9500000000007</v>
      </c>
      <c r="V22" s="1378"/>
      <c r="W22" s="1381"/>
      <c r="X22" s="1268">
        <f t="shared" si="2"/>
        <v>68133.45</v>
      </c>
      <c r="Y22" s="1268">
        <f t="shared" si="3"/>
        <v>0.1</v>
      </c>
      <c r="Z22" s="1268">
        <f t="shared" si="3"/>
        <v>6193.9500000000007</v>
      </c>
      <c r="AA22" s="1264">
        <f t="shared" si="4"/>
        <v>817601.39999999991</v>
      </c>
      <c r="AB22" s="1382">
        <f t="shared" si="5"/>
        <v>69689.856801909307</v>
      </c>
      <c r="AC22" s="1436"/>
      <c r="AD22" s="1436"/>
      <c r="AE22" s="1436"/>
      <c r="AF22" s="1436"/>
      <c r="AG22" s="1436"/>
      <c r="AH22" s="1436"/>
      <c r="AI22" s="1436"/>
      <c r="AJ22" s="1436"/>
      <c r="AK22" s="1436"/>
      <c r="AL22" s="1436"/>
      <c r="AM22" s="1436"/>
      <c r="AN22" s="1436"/>
    </row>
    <row r="23" spans="1:40" s="1265" customFormat="1" ht="18" customHeight="1">
      <c r="A23" s="1373">
        <v>18</v>
      </c>
      <c r="B23" s="1413" t="s">
        <v>85</v>
      </c>
      <c r="C23" s="1375" t="s">
        <v>86</v>
      </c>
      <c r="D23" s="1373" t="s">
        <v>25</v>
      </c>
      <c r="E23" s="1384" t="s">
        <v>733</v>
      </c>
      <c r="F23" s="1373" t="s">
        <v>249</v>
      </c>
      <c r="G23" s="1373">
        <v>1</v>
      </c>
      <c r="H23" s="1373" t="s">
        <v>56</v>
      </c>
      <c r="I23" s="1373" t="s">
        <v>56</v>
      </c>
      <c r="J23" s="1377" t="s">
        <v>57</v>
      </c>
      <c r="K23" s="1378">
        <v>17697</v>
      </c>
      <c r="L23" s="1378"/>
      <c r="M23" s="1268">
        <v>1</v>
      </c>
      <c r="N23" s="1378"/>
      <c r="O23" s="1268">
        <v>4.43</v>
      </c>
      <c r="P23" s="1404">
        <f t="shared" si="6"/>
        <v>78397.709999999992</v>
      </c>
      <c r="Q23" s="1420"/>
      <c r="R23" s="1380"/>
      <c r="S23" s="1438"/>
      <c r="T23" s="1378">
        <v>0.1</v>
      </c>
      <c r="U23" s="1378">
        <f t="shared" si="1"/>
        <v>7839.7709999999997</v>
      </c>
      <c r="V23" s="1439"/>
      <c r="W23" s="1438"/>
      <c r="X23" s="1268">
        <f t="shared" si="2"/>
        <v>86237.480999999985</v>
      </c>
      <c r="Y23" s="1268">
        <f t="shared" si="3"/>
        <v>0.1</v>
      </c>
      <c r="Z23" s="1268">
        <f t="shared" si="3"/>
        <v>7839.7709999999997</v>
      </c>
      <c r="AA23" s="1264">
        <f t="shared" si="4"/>
        <v>1034849.7719999999</v>
      </c>
      <c r="AB23" s="1382">
        <f t="shared" si="5"/>
        <v>88207.447323559478</v>
      </c>
    </row>
    <row r="24" spans="1:40" s="1265" customFormat="1" ht="17.25" customHeight="1">
      <c r="A24" s="1373">
        <v>19</v>
      </c>
      <c r="B24" s="1440" t="s">
        <v>732</v>
      </c>
      <c r="C24" s="1375" t="s">
        <v>86</v>
      </c>
      <c r="D24" s="1410" t="s">
        <v>25</v>
      </c>
      <c r="E24" s="1441" t="s">
        <v>707</v>
      </c>
      <c r="F24" s="1442" t="s">
        <v>159</v>
      </c>
      <c r="G24" s="1443">
        <v>1</v>
      </c>
      <c r="H24" s="1373" t="s">
        <v>56</v>
      </c>
      <c r="I24" s="1373" t="s">
        <v>56</v>
      </c>
      <c r="J24" s="1377" t="s">
        <v>57</v>
      </c>
      <c r="K24" s="1378">
        <v>17697</v>
      </c>
      <c r="L24" s="1444"/>
      <c r="M24" s="1445">
        <v>0.5</v>
      </c>
      <c r="N24" s="1444"/>
      <c r="O24" s="1445">
        <v>4.0999999999999996</v>
      </c>
      <c r="P24" s="1446">
        <f>O24*K24*M24</f>
        <v>36278.85</v>
      </c>
      <c r="Q24" s="1420"/>
      <c r="R24" s="1447"/>
      <c r="S24" s="1444"/>
      <c r="T24" s="1444">
        <v>0.1</v>
      </c>
      <c r="U24" s="1378">
        <f t="shared" si="1"/>
        <v>3627.8850000000002</v>
      </c>
      <c r="V24" s="1448"/>
      <c r="W24" s="1444"/>
      <c r="X24" s="1268">
        <f t="shared" si="2"/>
        <v>39906.735000000001</v>
      </c>
      <c r="Y24" s="1445">
        <f t="shared" si="3"/>
        <v>0.1</v>
      </c>
      <c r="Z24" s="1445">
        <f t="shared" si="3"/>
        <v>3627.8850000000002</v>
      </c>
      <c r="AA24" s="1264">
        <f t="shared" si="4"/>
        <v>478880.82</v>
      </c>
      <c r="AB24" s="1382">
        <f t="shared" si="5"/>
        <v>40818.344698261171</v>
      </c>
    </row>
    <row r="25" spans="1:40" s="1265" customFormat="1" ht="17.25" customHeight="1">
      <c r="A25" s="1420">
        <v>20</v>
      </c>
      <c r="B25" s="1561" t="s">
        <v>378</v>
      </c>
      <c r="C25" s="1419" t="s">
        <v>800</v>
      </c>
      <c r="D25" s="1562" t="s">
        <v>25</v>
      </c>
      <c r="E25" s="1441" t="s">
        <v>707</v>
      </c>
      <c r="F25" s="1563" t="s">
        <v>159</v>
      </c>
      <c r="G25" s="1443">
        <v>1</v>
      </c>
      <c r="H25" s="1373" t="s">
        <v>56</v>
      </c>
      <c r="I25" s="1373" t="s">
        <v>56</v>
      </c>
      <c r="J25" s="1377" t="s">
        <v>57</v>
      </c>
      <c r="K25" s="1378">
        <v>17697</v>
      </c>
      <c r="L25" s="1444"/>
      <c r="M25" s="1445">
        <v>0.5</v>
      </c>
      <c r="N25" s="1444"/>
      <c r="O25" s="1445">
        <v>4.0999999999999996</v>
      </c>
      <c r="P25" s="1446">
        <f>O25*K25*M25</f>
        <v>36278.85</v>
      </c>
      <c r="Q25" s="1420"/>
      <c r="R25" s="1566"/>
      <c r="S25" s="1564"/>
      <c r="T25" s="1444">
        <v>0.1</v>
      </c>
      <c r="U25" s="1378">
        <f t="shared" si="1"/>
        <v>3627.8850000000002</v>
      </c>
      <c r="V25" s="1567"/>
      <c r="W25" s="1564"/>
      <c r="X25" s="1268">
        <f t="shared" si="2"/>
        <v>39906.735000000001</v>
      </c>
      <c r="Y25" s="1565"/>
      <c r="Z25" s="1565"/>
      <c r="AA25" s="1264"/>
      <c r="AB25" s="1382"/>
    </row>
    <row r="26" spans="1:40" s="24" customFormat="1" ht="17.25" customHeight="1">
      <c r="A26" s="1507"/>
      <c r="B26" s="1518" t="s">
        <v>790</v>
      </c>
      <c r="C26" s="1508"/>
      <c r="D26" s="1507"/>
      <c r="E26" s="1509"/>
      <c r="F26" s="1507"/>
      <c r="G26" s="1507"/>
      <c r="H26" s="1507"/>
      <c r="I26" s="1507"/>
      <c r="J26" s="1510"/>
      <c r="K26" s="1509"/>
      <c r="L26" s="1509"/>
      <c r="M26" s="1511">
        <f>SUM(M6:M25)</f>
        <v>17.5</v>
      </c>
      <c r="N26" s="1509"/>
      <c r="O26" s="1509"/>
      <c r="P26" s="1512"/>
      <c r="Q26" s="1513"/>
      <c r="R26" s="1514"/>
      <c r="S26" s="1509"/>
      <c r="T26" s="1509"/>
      <c r="U26" s="1512"/>
      <c r="V26" s="1515"/>
      <c r="W26" s="1509"/>
      <c r="X26" s="1511"/>
      <c r="Y26" s="104"/>
      <c r="Z26" s="104"/>
      <c r="AA26" s="81">
        <f>SUM(AA6:AA24)</f>
        <v>19861518.546</v>
      </c>
      <c r="AB26" s="683">
        <f>SUM(AB6:AB24)</f>
        <v>1692935.436924651</v>
      </c>
      <c r="AC26" s="22">
        <f>SUM(X6:X24)</f>
        <v>1737470.6865000001</v>
      </c>
      <c r="AD26" s="683"/>
      <c r="AK26" s="22"/>
    </row>
    <row r="27" spans="1:40" s="377" customFormat="1" ht="17.25" customHeight="1">
      <c r="A27" s="1209">
        <v>1</v>
      </c>
      <c r="B27" s="1229" t="s">
        <v>98</v>
      </c>
      <c r="C27" s="1230" t="s">
        <v>99</v>
      </c>
      <c r="D27" s="1209" t="s">
        <v>25</v>
      </c>
      <c r="E27" s="1231" t="s">
        <v>647</v>
      </c>
      <c r="F27" s="1231" t="s">
        <v>463</v>
      </c>
      <c r="G27" s="1209">
        <v>1</v>
      </c>
      <c r="H27" s="1209" t="s">
        <v>102</v>
      </c>
      <c r="I27" s="1209" t="s">
        <v>103</v>
      </c>
      <c r="J27" s="1237">
        <v>1</v>
      </c>
      <c r="K27" s="1232">
        <v>17697</v>
      </c>
      <c r="L27" s="1238">
        <v>35</v>
      </c>
      <c r="M27" s="1166">
        <f t="shared" ref="M27:M80" si="7">L27/18</f>
        <v>1.9444444444444444</v>
      </c>
      <c r="N27" s="1233" t="s">
        <v>152</v>
      </c>
      <c r="O27" s="1234">
        <v>4.55</v>
      </c>
      <c r="P27" s="401">
        <f t="shared" ref="P27:P80" si="8">O27*K27/18*L27</f>
        <v>156569.29166666666</v>
      </c>
      <c r="Q27" s="401">
        <f>P27*25%</f>
        <v>39142.322916666664</v>
      </c>
      <c r="R27" s="1235"/>
      <c r="S27" s="1232"/>
      <c r="T27" s="1232">
        <v>0.1</v>
      </c>
      <c r="U27" s="401">
        <f>(P27+Q27)*T27</f>
        <v>19571.161458333332</v>
      </c>
      <c r="V27" s="1236"/>
      <c r="W27" s="1232"/>
      <c r="X27" s="1208">
        <f>P27+Q27+U27</f>
        <v>215282.77604166666</v>
      </c>
      <c r="Y27" s="363">
        <f>V27+R27</f>
        <v>0</v>
      </c>
      <c r="Z27" s="363">
        <f>W27+S27</f>
        <v>0</v>
      </c>
      <c r="AA27" s="375">
        <f t="shared" si="4"/>
        <v>2583393.3125</v>
      </c>
      <c r="AB27" s="377">
        <f>AA27/12/29.33*56</f>
        <v>411041.09984089102</v>
      </c>
      <c r="AC27" s="377">
        <f>AA27*1.25</f>
        <v>3229241.640625</v>
      </c>
      <c r="AD27" s="377">
        <f>AC27/12/29.33*56</f>
        <v>513801.37480111379</v>
      </c>
    </row>
    <row r="28" spans="1:40" s="377" customFormat="1" ht="17.25" customHeight="1">
      <c r="A28" s="423">
        <v>2</v>
      </c>
      <c r="B28" s="1239" t="s">
        <v>41</v>
      </c>
      <c r="C28" s="1240" t="s">
        <v>99</v>
      </c>
      <c r="D28" s="1158" t="s">
        <v>25</v>
      </c>
      <c r="E28" s="1241" t="s">
        <v>648</v>
      </c>
      <c r="F28" s="1241" t="s">
        <v>34</v>
      </c>
      <c r="G28" s="1209">
        <v>1</v>
      </c>
      <c r="H28" s="1242" t="s">
        <v>102</v>
      </c>
      <c r="I28" s="1242" t="s">
        <v>103</v>
      </c>
      <c r="J28" s="1243">
        <v>2</v>
      </c>
      <c r="K28" s="1173">
        <v>17697</v>
      </c>
      <c r="L28" s="1244">
        <v>9</v>
      </c>
      <c r="M28" s="1166">
        <f t="shared" si="7"/>
        <v>0.5</v>
      </c>
      <c r="N28" s="1190" t="s">
        <v>104</v>
      </c>
      <c r="O28" s="1206">
        <v>4.51</v>
      </c>
      <c r="P28" s="1171">
        <f t="shared" si="8"/>
        <v>39906.735000000001</v>
      </c>
      <c r="Q28" s="401">
        <f t="shared" ref="Q28:Q80" si="9">P28*25%</f>
        <v>9976.6837500000001</v>
      </c>
      <c r="R28" s="1203"/>
      <c r="S28" s="1166"/>
      <c r="T28" s="1166">
        <v>0.1</v>
      </c>
      <c r="U28" s="401">
        <f t="shared" ref="U28:U79" si="10">(P28+Q28)*T28</f>
        <v>4988.3418750000001</v>
      </c>
      <c r="V28" s="1207"/>
      <c r="W28" s="1166"/>
      <c r="X28" s="1208">
        <f t="shared" ref="X28:X80" si="11">P28+Q28+U28</f>
        <v>54871.760624999995</v>
      </c>
      <c r="Y28" s="406">
        <f t="shared" ref="Y28:Z72" si="12">V28+R28</f>
        <v>0</v>
      </c>
      <c r="Z28" s="406">
        <f t="shared" si="12"/>
        <v>0</v>
      </c>
      <c r="AA28" s="375">
        <f t="shared" si="4"/>
        <v>658461.12749999994</v>
      </c>
      <c r="AB28" s="377">
        <f t="shared" ref="AB28:AB85" si="13">AA28/12/29.33*56</f>
        <v>104767.08472553699</v>
      </c>
      <c r="AC28" s="377">
        <f t="shared" ref="AC28:AC85" si="14">AA28*1.25</f>
        <v>823076.40937499993</v>
      </c>
      <c r="AD28" s="377">
        <f t="shared" ref="AD28:AD85" si="15">AC28/12/29.33*56</f>
        <v>130958.85590692124</v>
      </c>
    </row>
    <row r="29" spans="1:40" s="80" customFormat="1" ht="15.75">
      <c r="A29" s="1209">
        <v>3</v>
      </c>
      <c r="B29" s="998" t="s">
        <v>445</v>
      </c>
      <c r="C29" s="873" t="s">
        <v>99</v>
      </c>
      <c r="D29" s="1002" t="s">
        <v>25</v>
      </c>
      <c r="E29" s="664" t="s">
        <v>593</v>
      </c>
      <c r="F29" s="562" t="s">
        <v>217</v>
      </c>
      <c r="G29" s="547">
        <v>1</v>
      </c>
      <c r="H29" s="560" t="s">
        <v>102</v>
      </c>
      <c r="I29" s="560" t="s">
        <v>103</v>
      </c>
      <c r="J29" s="572">
        <v>1</v>
      </c>
      <c r="K29" s="554">
        <v>17697</v>
      </c>
      <c r="L29" s="573">
        <v>10</v>
      </c>
      <c r="M29" s="554">
        <f t="shared" si="7"/>
        <v>0.55555555555555558</v>
      </c>
      <c r="N29" s="574" t="s">
        <v>152</v>
      </c>
      <c r="O29" s="1015">
        <v>4.6900000000000004</v>
      </c>
      <c r="P29" s="567">
        <f t="shared" si="8"/>
        <v>46110.51666666667</v>
      </c>
      <c r="Q29" s="556">
        <f t="shared" si="9"/>
        <v>11527.629166666668</v>
      </c>
      <c r="R29" s="568"/>
      <c r="S29" s="554"/>
      <c r="T29" s="554">
        <v>0.1</v>
      </c>
      <c r="U29" s="556">
        <f t="shared" si="10"/>
        <v>5763.8145833333338</v>
      </c>
      <c r="V29" s="569"/>
      <c r="W29" s="554"/>
      <c r="X29" s="559">
        <f t="shared" si="11"/>
        <v>63401.960416666669</v>
      </c>
      <c r="Y29" s="274">
        <f t="shared" si="12"/>
        <v>0</v>
      </c>
      <c r="Z29" s="274">
        <f t="shared" si="12"/>
        <v>0</v>
      </c>
      <c r="AA29" s="81">
        <f t="shared" si="4"/>
        <v>760823.52500000002</v>
      </c>
      <c r="AB29" s="80">
        <f t="shared" si="13"/>
        <v>121053.86237072396</v>
      </c>
      <c r="AC29" s="80">
        <f t="shared" si="14"/>
        <v>951029.40625</v>
      </c>
      <c r="AD29" s="80">
        <f t="shared" si="15"/>
        <v>151317.32796340494</v>
      </c>
    </row>
    <row r="30" spans="1:40" s="377" customFormat="1" ht="15.75">
      <c r="A30" s="423">
        <v>4</v>
      </c>
      <c r="B30" s="1220" t="s">
        <v>110</v>
      </c>
      <c r="C30" s="1197" t="s">
        <v>99</v>
      </c>
      <c r="D30" s="423" t="s">
        <v>25</v>
      </c>
      <c r="E30" s="1198" t="s">
        <v>650</v>
      </c>
      <c r="F30" s="1198" t="s">
        <v>77</v>
      </c>
      <c r="G30" s="1209">
        <v>1</v>
      </c>
      <c r="H30" s="1221" t="s">
        <v>102</v>
      </c>
      <c r="I30" s="1221" t="s">
        <v>103</v>
      </c>
      <c r="J30" s="1222">
        <v>3</v>
      </c>
      <c r="K30" s="1166">
        <v>17697</v>
      </c>
      <c r="L30" s="1205">
        <v>31</v>
      </c>
      <c r="M30" s="1166">
        <f t="shared" si="7"/>
        <v>1.7222222222222223</v>
      </c>
      <c r="N30" s="1211" t="s">
        <v>109</v>
      </c>
      <c r="O30" s="1213">
        <v>4</v>
      </c>
      <c r="P30" s="1171">
        <f t="shared" si="8"/>
        <v>121912.66666666666</v>
      </c>
      <c r="Q30" s="401">
        <f t="shared" si="9"/>
        <v>30478.166666666664</v>
      </c>
      <c r="R30" s="1203"/>
      <c r="S30" s="1166"/>
      <c r="T30" s="1166">
        <v>0.1</v>
      </c>
      <c r="U30" s="401">
        <f t="shared" si="10"/>
        <v>15239.083333333332</v>
      </c>
      <c r="V30" s="1207"/>
      <c r="W30" s="1166"/>
      <c r="X30" s="1208">
        <f t="shared" si="11"/>
        <v>167629.91666666666</v>
      </c>
      <c r="Y30" s="406"/>
      <c r="Z30" s="406"/>
      <c r="AA30" s="375">
        <f t="shared" si="4"/>
        <v>2011559</v>
      </c>
      <c r="AB30" s="377">
        <f t="shared" si="13"/>
        <v>320057.12012728717</v>
      </c>
      <c r="AC30" s="377">
        <f t="shared" si="14"/>
        <v>2514448.75</v>
      </c>
      <c r="AD30" s="377">
        <f t="shared" si="15"/>
        <v>400071.40015910903</v>
      </c>
    </row>
    <row r="31" spans="1:40" s="377" customFormat="1" ht="17.25" customHeight="1">
      <c r="A31" s="1209">
        <v>5</v>
      </c>
      <c r="B31" s="463" t="s">
        <v>106</v>
      </c>
      <c r="C31" s="1197" t="s">
        <v>99</v>
      </c>
      <c r="D31" s="423" t="s">
        <v>25</v>
      </c>
      <c r="E31" s="1198" t="s">
        <v>651</v>
      </c>
      <c r="F31" s="1198" t="s">
        <v>77</v>
      </c>
      <c r="G31" s="1209">
        <v>1</v>
      </c>
      <c r="H31" s="1164" t="s">
        <v>102</v>
      </c>
      <c r="I31" s="1164" t="s">
        <v>103</v>
      </c>
      <c r="J31" s="1165">
        <v>3</v>
      </c>
      <c r="K31" s="1166">
        <v>17697</v>
      </c>
      <c r="L31" s="1205">
        <v>12</v>
      </c>
      <c r="M31" s="1166">
        <f t="shared" si="7"/>
        <v>0.66666666666666663</v>
      </c>
      <c r="N31" s="1190" t="s">
        <v>109</v>
      </c>
      <c r="O31" s="1213">
        <v>4</v>
      </c>
      <c r="P31" s="1171">
        <f t="shared" si="8"/>
        <v>47192</v>
      </c>
      <c r="Q31" s="401">
        <f t="shared" si="9"/>
        <v>11798</v>
      </c>
      <c r="R31" s="1203"/>
      <c r="S31" s="1166"/>
      <c r="T31" s="1166">
        <v>0.1</v>
      </c>
      <c r="U31" s="401">
        <f t="shared" si="10"/>
        <v>5899</v>
      </c>
      <c r="V31" s="1207"/>
      <c r="W31" s="1166"/>
      <c r="X31" s="1208">
        <f t="shared" si="11"/>
        <v>64889</v>
      </c>
      <c r="Y31" s="406">
        <f t="shared" si="12"/>
        <v>0</v>
      </c>
      <c r="Z31" s="406">
        <f t="shared" si="12"/>
        <v>0</v>
      </c>
      <c r="AA31" s="375">
        <f t="shared" si="4"/>
        <v>778668</v>
      </c>
      <c r="AB31" s="377">
        <f t="shared" si="13"/>
        <v>123893.07875894989</v>
      </c>
      <c r="AC31" s="377">
        <f t="shared" si="14"/>
        <v>973335</v>
      </c>
      <c r="AD31" s="377">
        <f t="shared" si="15"/>
        <v>154866.34844868738</v>
      </c>
    </row>
    <row r="32" spans="1:40" s="377" customFormat="1" ht="15.75">
      <c r="A32" s="423">
        <v>6</v>
      </c>
      <c r="B32" s="463" t="s">
        <v>215</v>
      </c>
      <c r="C32" s="1197" t="s">
        <v>99</v>
      </c>
      <c r="D32" s="1164" t="s">
        <v>25</v>
      </c>
      <c r="E32" s="1198" t="s">
        <v>750</v>
      </c>
      <c r="F32" s="1198" t="s">
        <v>217</v>
      </c>
      <c r="G32" s="1209">
        <v>1</v>
      </c>
      <c r="H32" s="1200" t="s">
        <v>102</v>
      </c>
      <c r="I32" s="1200" t="s">
        <v>103</v>
      </c>
      <c r="J32" s="1183">
        <v>1</v>
      </c>
      <c r="K32" s="1166">
        <v>17697</v>
      </c>
      <c r="L32" s="1201">
        <v>6</v>
      </c>
      <c r="M32" s="1166">
        <f t="shared" si="7"/>
        <v>0.33333333333333331</v>
      </c>
      <c r="N32" s="1183" t="s">
        <v>152</v>
      </c>
      <c r="O32" s="1204">
        <v>4.6900000000000004</v>
      </c>
      <c r="P32" s="1171">
        <f t="shared" si="8"/>
        <v>27666.310000000005</v>
      </c>
      <c r="Q32" s="401">
        <f t="shared" si="9"/>
        <v>6916.5775000000012</v>
      </c>
      <c r="R32" s="1203"/>
      <c r="S32" s="1166"/>
      <c r="T32" s="1166">
        <v>0.1</v>
      </c>
      <c r="U32" s="401">
        <f t="shared" si="10"/>
        <v>3458.2887500000006</v>
      </c>
      <c r="V32" s="1207"/>
      <c r="W32" s="1166"/>
      <c r="X32" s="1208">
        <f t="shared" si="11"/>
        <v>38041.176250000004</v>
      </c>
      <c r="Y32" s="359">
        <f t="shared" si="12"/>
        <v>0</v>
      </c>
      <c r="Z32" s="359">
        <f t="shared" si="12"/>
        <v>0</v>
      </c>
      <c r="AA32" s="375">
        <f t="shared" si="4"/>
        <v>456494.11500000005</v>
      </c>
      <c r="AB32" s="377">
        <f t="shared" si="13"/>
        <v>72632.317422434382</v>
      </c>
      <c r="AC32" s="377">
        <f t="shared" si="14"/>
        <v>570617.64375000005</v>
      </c>
      <c r="AD32" s="377">
        <f t="shared" si="15"/>
        <v>90790.396778042967</v>
      </c>
    </row>
    <row r="33" spans="1:30" s="80" customFormat="1" ht="17.25" customHeight="1">
      <c r="A33" s="1209">
        <v>7</v>
      </c>
      <c r="B33" s="1060" t="s">
        <v>23</v>
      </c>
      <c r="C33" s="1055" t="s">
        <v>99</v>
      </c>
      <c r="D33" s="290" t="s">
        <v>25</v>
      </c>
      <c r="E33" s="1056" t="s">
        <v>656</v>
      </c>
      <c r="F33" s="1056" t="s">
        <v>114</v>
      </c>
      <c r="G33" s="1036">
        <v>1</v>
      </c>
      <c r="H33" s="1061" t="s">
        <v>102</v>
      </c>
      <c r="I33" s="1061" t="s">
        <v>103</v>
      </c>
      <c r="J33" s="1074">
        <v>1</v>
      </c>
      <c r="K33" s="1039">
        <v>17697</v>
      </c>
      <c r="L33" s="1058">
        <v>9</v>
      </c>
      <c r="M33" s="1039">
        <f t="shared" si="7"/>
        <v>0.5</v>
      </c>
      <c r="N33" s="1054" t="s">
        <v>152</v>
      </c>
      <c r="O33" s="1075">
        <v>4.75</v>
      </c>
      <c r="P33" s="1049">
        <f t="shared" si="8"/>
        <v>42030.375</v>
      </c>
      <c r="Q33" s="328">
        <f t="shared" si="9"/>
        <v>10507.59375</v>
      </c>
      <c r="R33" s="1050"/>
      <c r="S33" s="1039"/>
      <c r="T33" s="1039">
        <v>0.1</v>
      </c>
      <c r="U33" s="328">
        <f t="shared" si="10"/>
        <v>5253.796875</v>
      </c>
      <c r="V33" s="1051"/>
      <c r="W33" s="1039"/>
      <c r="X33" s="1040">
        <f t="shared" si="11"/>
        <v>57791.765625</v>
      </c>
      <c r="Y33" s="270">
        <f t="shared" si="12"/>
        <v>0</v>
      </c>
      <c r="Z33" s="270">
        <f t="shared" si="12"/>
        <v>0</v>
      </c>
      <c r="AA33" s="81">
        <f t="shared" si="4"/>
        <v>693501.1875</v>
      </c>
      <c r="AB33" s="80">
        <f t="shared" si="13"/>
        <v>110342.27326968974</v>
      </c>
      <c r="AC33" s="80">
        <f t="shared" si="14"/>
        <v>866876.484375</v>
      </c>
      <c r="AD33" s="80">
        <f t="shared" si="15"/>
        <v>137927.84158711217</v>
      </c>
    </row>
    <row r="34" spans="1:30" s="80" customFormat="1" ht="17.25" customHeight="1">
      <c r="A34" s="423">
        <v>8</v>
      </c>
      <c r="B34" s="1060" t="s">
        <v>631</v>
      </c>
      <c r="C34" s="1055" t="s">
        <v>525</v>
      </c>
      <c r="D34" s="290" t="s">
        <v>25</v>
      </c>
      <c r="E34" s="1076" t="s">
        <v>657</v>
      </c>
      <c r="F34" s="1056" t="s">
        <v>114</v>
      </c>
      <c r="G34" s="1036">
        <v>1</v>
      </c>
      <c r="H34" s="1061" t="s">
        <v>102</v>
      </c>
      <c r="I34" s="1061" t="s">
        <v>103</v>
      </c>
      <c r="J34" s="1074">
        <v>1</v>
      </c>
      <c r="K34" s="1039">
        <v>17697</v>
      </c>
      <c r="L34" s="1058">
        <v>27</v>
      </c>
      <c r="M34" s="1039">
        <f t="shared" si="7"/>
        <v>1.5</v>
      </c>
      <c r="N34" s="1054" t="s">
        <v>152</v>
      </c>
      <c r="O34" s="1075">
        <v>4.75</v>
      </c>
      <c r="P34" s="1049">
        <f>O34*K34/18*L34</f>
        <v>126091.12500000001</v>
      </c>
      <c r="Q34" s="328">
        <f t="shared" si="9"/>
        <v>31522.781250000004</v>
      </c>
      <c r="R34" s="1073"/>
      <c r="S34" s="1045"/>
      <c r="T34" s="1039">
        <v>0.1</v>
      </c>
      <c r="U34" s="328">
        <f t="shared" si="10"/>
        <v>15761.390625000004</v>
      </c>
      <c r="V34" s="1077"/>
      <c r="W34" s="1045"/>
      <c r="X34" s="1040">
        <f t="shared" si="11"/>
        <v>173375.29687500003</v>
      </c>
      <c r="Y34" s="994"/>
      <c r="Z34" s="994"/>
      <c r="AA34" s="81">
        <f t="shared" si="4"/>
        <v>2080503.5625000005</v>
      </c>
      <c r="AB34" s="80">
        <f t="shared" si="13"/>
        <v>331026.81980906927</v>
      </c>
      <c r="AC34" s="80">
        <f t="shared" si="14"/>
        <v>2600629.4531250005</v>
      </c>
      <c r="AD34" s="80">
        <f t="shared" si="15"/>
        <v>413783.52476133656</v>
      </c>
    </row>
    <row r="35" spans="1:30" s="80" customFormat="1" ht="17.25" customHeight="1">
      <c r="A35" s="1209">
        <v>9</v>
      </c>
      <c r="B35" s="1060" t="s">
        <v>124</v>
      </c>
      <c r="C35" s="1055" t="s">
        <v>125</v>
      </c>
      <c r="D35" s="290" t="s">
        <v>75</v>
      </c>
      <c r="E35" s="291" t="s">
        <v>503</v>
      </c>
      <c r="F35" s="1056" t="s">
        <v>77</v>
      </c>
      <c r="G35" s="1036">
        <v>1</v>
      </c>
      <c r="H35" s="1053" t="s">
        <v>102</v>
      </c>
      <c r="I35" s="1053" t="s">
        <v>118</v>
      </c>
      <c r="J35" s="1057">
        <v>3</v>
      </c>
      <c r="K35" s="1039">
        <v>17697</v>
      </c>
      <c r="L35" s="1058">
        <v>20.5</v>
      </c>
      <c r="M35" s="1039">
        <f t="shared" si="7"/>
        <v>1.1388888888888888</v>
      </c>
      <c r="N35" s="1078" t="s">
        <v>109</v>
      </c>
      <c r="O35" s="1075">
        <v>3.85</v>
      </c>
      <c r="P35" s="1070">
        <f>O35*K35/18*L35</f>
        <v>77596.429166666669</v>
      </c>
      <c r="Q35" s="328">
        <f t="shared" si="9"/>
        <v>19399.107291666667</v>
      </c>
      <c r="R35" s="1073"/>
      <c r="S35" s="1045"/>
      <c r="T35" s="1039">
        <v>0.1</v>
      </c>
      <c r="U35" s="328">
        <f t="shared" si="10"/>
        <v>9699.5536458333354</v>
      </c>
      <c r="V35" s="1077"/>
      <c r="W35" s="1045"/>
      <c r="X35" s="1040">
        <f t="shared" si="11"/>
        <v>106695.09010416668</v>
      </c>
      <c r="Y35" s="994"/>
      <c r="Z35" s="994"/>
      <c r="AA35" s="81">
        <f t="shared" si="4"/>
        <v>1280341.0812500003</v>
      </c>
      <c r="AB35" s="80">
        <f t="shared" si="13"/>
        <v>203713.77585521087</v>
      </c>
      <c r="AC35" s="80">
        <f t="shared" si="14"/>
        <v>1600426.3515625005</v>
      </c>
      <c r="AD35" s="80">
        <f t="shared" si="15"/>
        <v>254642.21981901361</v>
      </c>
    </row>
    <row r="36" spans="1:30" s="80" customFormat="1" ht="17.25" customHeight="1">
      <c r="A36" s="423">
        <v>10</v>
      </c>
      <c r="B36" s="153" t="s">
        <v>629</v>
      </c>
      <c r="C36" s="561" t="s">
        <v>99</v>
      </c>
      <c r="D36" s="560" t="s">
        <v>25</v>
      </c>
      <c r="E36" s="562" t="s">
        <v>633</v>
      </c>
      <c r="F36" s="562" t="s">
        <v>252</v>
      </c>
      <c r="G36" s="547">
        <v>1</v>
      </c>
      <c r="H36" s="563" t="s">
        <v>102</v>
      </c>
      <c r="I36" s="563" t="s">
        <v>103</v>
      </c>
      <c r="J36" s="581">
        <v>4</v>
      </c>
      <c r="K36" s="554">
        <v>17697</v>
      </c>
      <c r="L36" s="565">
        <v>16</v>
      </c>
      <c r="M36" s="554">
        <f t="shared" si="7"/>
        <v>0.88888888888888884</v>
      </c>
      <c r="N36" s="574" t="s">
        <v>112</v>
      </c>
      <c r="O36" s="1014">
        <v>3.78</v>
      </c>
      <c r="P36" s="567">
        <f t="shared" si="8"/>
        <v>59461.920000000006</v>
      </c>
      <c r="Q36" s="556">
        <f t="shared" si="9"/>
        <v>14865.480000000001</v>
      </c>
      <c r="R36" s="568"/>
      <c r="S36" s="554"/>
      <c r="T36" s="554">
        <v>0.1</v>
      </c>
      <c r="U36" s="556">
        <f t="shared" si="10"/>
        <v>7432.7400000000016</v>
      </c>
      <c r="V36" s="569"/>
      <c r="W36" s="554"/>
      <c r="X36" s="559">
        <f t="shared" si="11"/>
        <v>81760.140000000014</v>
      </c>
      <c r="Y36" s="274">
        <f t="shared" si="12"/>
        <v>0</v>
      </c>
      <c r="Z36" s="274">
        <f t="shared" si="12"/>
        <v>0</v>
      </c>
      <c r="AA36" s="81">
        <f t="shared" si="4"/>
        <v>981121.68000000017</v>
      </c>
      <c r="AB36" s="80">
        <f t="shared" si="13"/>
        <v>156105.27923627687</v>
      </c>
      <c r="AC36" s="80">
        <f t="shared" si="14"/>
        <v>1226402.1000000001</v>
      </c>
      <c r="AD36" s="80">
        <f t="shared" si="15"/>
        <v>195131.59904534608</v>
      </c>
    </row>
    <row r="37" spans="1:30" s="80" customFormat="1" ht="17.25" customHeight="1">
      <c r="A37" s="1209">
        <v>11</v>
      </c>
      <c r="B37" s="153" t="s">
        <v>116</v>
      </c>
      <c r="C37" s="561" t="s">
        <v>99</v>
      </c>
      <c r="D37" s="560" t="s">
        <v>64</v>
      </c>
      <c r="E37" s="583" t="s">
        <v>589</v>
      </c>
      <c r="F37" s="562" t="s">
        <v>114</v>
      </c>
      <c r="G37" s="547">
        <v>1</v>
      </c>
      <c r="H37" s="563" t="s">
        <v>102</v>
      </c>
      <c r="I37" s="563" t="s">
        <v>118</v>
      </c>
      <c r="J37" s="564">
        <v>1</v>
      </c>
      <c r="K37" s="554">
        <v>17697</v>
      </c>
      <c r="L37" s="565">
        <v>18</v>
      </c>
      <c r="M37" s="554">
        <f t="shared" si="7"/>
        <v>1</v>
      </c>
      <c r="N37" s="574" t="s">
        <v>152</v>
      </c>
      <c r="O37" s="1014">
        <v>4.5199999999999996</v>
      </c>
      <c r="P37" s="567">
        <f t="shared" si="8"/>
        <v>79990.439999999988</v>
      </c>
      <c r="Q37" s="556">
        <f t="shared" si="9"/>
        <v>19997.609999999997</v>
      </c>
      <c r="R37" s="568"/>
      <c r="S37" s="554"/>
      <c r="T37" s="554">
        <v>0.1</v>
      </c>
      <c r="U37" s="556">
        <f t="shared" si="10"/>
        <v>9998.8050000000003</v>
      </c>
      <c r="V37" s="569"/>
      <c r="W37" s="554"/>
      <c r="X37" s="559">
        <f t="shared" si="11"/>
        <v>109986.85499999998</v>
      </c>
      <c r="Y37" s="274">
        <f t="shared" si="12"/>
        <v>0</v>
      </c>
      <c r="Z37" s="274">
        <f t="shared" si="12"/>
        <v>0</v>
      </c>
      <c r="AA37" s="81">
        <f t="shared" si="4"/>
        <v>1319842.2599999998</v>
      </c>
      <c r="AB37" s="80">
        <f t="shared" si="13"/>
        <v>209998.76849642003</v>
      </c>
      <c r="AC37" s="80">
        <f t="shared" si="14"/>
        <v>1649802.8249999997</v>
      </c>
      <c r="AD37" s="80">
        <f t="shared" si="15"/>
        <v>262498.460620525</v>
      </c>
    </row>
    <row r="38" spans="1:30" s="80" customFormat="1" ht="17.25" customHeight="1">
      <c r="A38" s="423">
        <v>12</v>
      </c>
      <c r="B38" s="153" t="s">
        <v>626</v>
      </c>
      <c r="C38" s="561" t="s">
        <v>99</v>
      </c>
      <c r="D38" s="560" t="s">
        <v>25</v>
      </c>
      <c r="E38" s="999" t="s">
        <v>634</v>
      </c>
      <c r="F38" s="582" t="s">
        <v>34</v>
      </c>
      <c r="G38" s="547">
        <v>1</v>
      </c>
      <c r="H38" s="1000" t="s">
        <v>102</v>
      </c>
      <c r="I38" s="1000" t="s">
        <v>103</v>
      </c>
      <c r="J38" s="1001">
        <v>2</v>
      </c>
      <c r="K38" s="554">
        <v>17697</v>
      </c>
      <c r="L38" s="565">
        <v>22</v>
      </c>
      <c r="M38" s="554">
        <f t="shared" si="7"/>
        <v>1.2222222222222223</v>
      </c>
      <c r="N38" s="574" t="s">
        <v>104</v>
      </c>
      <c r="O38" s="1014">
        <v>4.51</v>
      </c>
      <c r="P38" s="567">
        <f t="shared" si="8"/>
        <v>97549.796666666676</v>
      </c>
      <c r="Q38" s="556">
        <f t="shared" si="9"/>
        <v>24387.449166666669</v>
      </c>
      <c r="R38" s="568"/>
      <c r="S38" s="554"/>
      <c r="T38" s="554">
        <v>0.1</v>
      </c>
      <c r="U38" s="556">
        <f t="shared" si="10"/>
        <v>12193.724583333336</v>
      </c>
      <c r="V38" s="569"/>
      <c r="W38" s="554"/>
      <c r="X38" s="559">
        <f t="shared" si="11"/>
        <v>134130.97041666668</v>
      </c>
      <c r="Y38" s="274">
        <f t="shared" si="12"/>
        <v>0</v>
      </c>
      <c r="Z38" s="274">
        <f t="shared" si="12"/>
        <v>0</v>
      </c>
      <c r="AA38" s="81">
        <f t="shared" si="4"/>
        <v>1609571.645</v>
      </c>
      <c r="AB38" s="80">
        <f t="shared" si="13"/>
        <v>256097.31821797937</v>
      </c>
      <c r="AC38" s="80">
        <f t="shared" si="14"/>
        <v>2011964.5562499999</v>
      </c>
      <c r="AD38" s="80">
        <f t="shared" si="15"/>
        <v>320121.64777247416</v>
      </c>
    </row>
    <row r="39" spans="1:30" s="80" customFormat="1" ht="17.25" customHeight="1">
      <c r="A39" s="1209">
        <v>13</v>
      </c>
      <c r="B39" s="153" t="s">
        <v>127</v>
      </c>
      <c r="C39" s="561" t="s">
        <v>99</v>
      </c>
      <c r="D39" s="560" t="s">
        <v>25</v>
      </c>
      <c r="E39" s="562" t="s">
        <v>587</v>
      </c>
      <c r="F39" s="562" t="s">
        <v>34</v>
      </c>
      <c r="G39" s="547">
        <v>1</v>
      </c>
      <c r="H39" s="563" t="s">
        <v>102</v>
      </c>
      <c r="I39" s="563" t="s">
        <v>103</v>
      </c>
      <c r="J39" s="564">
        <v>1</v>
      </c>
      <c r="K39" s="554">
        <v>17697</v>
      </c>
      <c r="L39" s="565">
        <v>23</v>
      </c>
      <c r="M39" s="554">
        <f t="shared" si="7"/>
        <v>1.2777777777777777</v>
      </c>
      <c r="N39" s="574" t="s">
        <v>152</v>
      </c>
      <c r="O39" s="1014">
        <v>4.75</v>
      </c>
      <c r="P39" s="567">
        <f t="shared" si="8"/>
        <v>107410.95833333334</v>
      </c>
      <c r="Q39" s="556">
        <f t="shared" si="9"/>
        <v>26852.739583333336</v>
      </c>
      <c r="R39" s="568"/>
      <c r="S39" s="554"/>
      <c r="T39" s="554">
        <v>0.1</v>
      </c>
      <c r="U39" s="556">
        <f t="shared" si="10"/>
        <v>13426.36979166667</v>
      </c>
      <c r="V39" s="569"/>
      <c r="W39" s="554"/>
      <c r="X39" s="559">
        <f t="shared" si="11"/>
        <v>147690.06770833334</v>
      </c>
      <c r="Y39" s="274"/>
      <c r="Z39" s="274"/>
      <c r="AA39" s="81">
        <f t="shared" si="4"/>
        <v>1772280.8125</v>
      </c>
      <c r="AB39" s="80">
        <f t="shared" si="13"/>
        <v>281985.80946698494</v>
      </c>
      <c r="AC39" s="80">
        <f t="shared" si="14"/>
        <v>2215351.015625</v>
      </c>
      <c r="AD39" s="80">
        <f t="shared" si="15"/>
        <v>352482.26183373109</v>
      </c>
    </row>
    <row r="40" spans="1:30" s="80" customFormat="1" ht="17.25" customHeight="1">
      <c r="A40" s="423">
        <v>14</v>
      </c>
      <c r="B40" s="1060" t="s">
        <v>386</v>
      </c>
      <c r="C40" s="1055" t="s">
        <v>99</v>
      </c>
      <c r="D40" s="290" t="s">
        <v>25</v>
      </c>
      <c r="E40" s="291" t="s">
        <v>662</v>
      </c>
      <c r="F40" s="291" t="s">
        <v>34</v>
      </c>
      <c r="G40" s="1036">
        <v>1</v>
      </c>
      <c r="H40" s="1061" t="s">
        <v>102</v>
      </c>
      <c r="I40" s="1061" t="s">
        <v>103</v>
      </c>
      <c r="J40" s="1074">
        <v>1</v>
      </c>
      <c r="K40" s="1039">
        <v>17697</v>
      </c>
      <c r="L40" s="1058">
        <v>20</v>
      </c>
      <c r="M40" s="1045">
        <f t="shared" si="7"/>
        <v>1.1111111111111112</v>
      </c>
      <c r="N40" s="1072" t="s">
        <v>152</v>
      </c>
      <c r="O40" s="1079">
        <v>4.75</v>
      </c>
      <c r="P40" s="1070">
        <f t="shared" si="8"/>
        <v>93400.833333333343</v>
      </c>
      <c r="Q40" s="328">
        <f t="shared" si="9"/>
        <v>23350.208333333336</v>
      </c>
      <c r="R40" s="1073"/>
      <c r="S40" s="1045"/>
      <c r="T40" s="1039">
        <v>0.1</v>
      </c>
      <c r="U40" s="328">
        <f t="shared" si="10"/>
        <v>11675.10416666667</v>
      </c>
      <c r="V40" s="1077"/>
      <c r="W40" s="1045"/>
      <c r="X40" s="1040">
        <f t="shared" si="11"/>
        <v>128426.14583333336</v>
      </c>
      <c r="Y40" s="688"/>
      <c r="Z40" s="688"/>
      <c r="AA40" s="81">
        <f t="shared" si="4"/>
        <v>1541113.7500000002</v>
      </c>
      <c r="AB40" s="80">
        <f t="shared" si="13"/>
        <v>245205.05171042171</v>
      </c>
      <c r="AC40" s="80">
        <f t="shared" si="14"/>
        <v>1926392.1875000002</v>
      </c>
      <c r="AD40" s="80">
        <f t="shared" si="15"/>
        <v>306506.31463802711</v>
      </c>
    </row>
    <row r="41" spans="1:30" s="80" customFormat="1" ht="17.25" customHeight="1">
      <c r="A41" s="1209">
        <v>15</v>
      </c>
      <c r="B41" s="1060" t="s">
        <v>130</v>
      </c>
      <c r="C41" s="1055" t="s">
        <v>99</v>
      </c>
      <c r="D41" s="290" t="s">
        <v>25</v>
      </c>
      <c r="E41" s="291" t="s">
        <v>665</v>
      </c>
      <c r="F41" s="291" t="s">
        <v>34</v>
      </c>
      <c r="G41" s="1036">
        <v>1</v>
      </c>
      <c r="H41" s="1061" t="s">
        <v>102</v>
      </c>
      <c r="I41" s="1061" t="s">
        <v>103</v>
      </c>
      <c r="J41" s="1062">
        <v>1</v>
      </c>
      <c r="K41" s="1039">
        <v>17697</v>
      </c>
      <c r="L41" s="1058">
        <v>9</v>
      </c>
      <c r="M41" s="1039">
        <f t="shared" si="7"/>
        <v>0.5</v>
      </c>
      <c r="N41" s="1080" t="s">
        <v>152</v>
      </c>
      <c r="O41" s="1048">
        <v>4.75</v>
      </c>
      <c r="P41" s="1049">
        <f t="shared" si="8"/>
        <v>42030.375</v>
      </c>
      <c r="Q41" s="328">
        <f t="shared" si="9"/>
        <v>10507.59375</v>
      </c>
      <c r="R41" s="1050"/>
      <c r="S41" s="1039"/>
      <c r="T41" s="1039">
        <v>0.1</v>
      </c>
      <c r="U41" s="328">
        <f t="shared" si="10"/>
        <v>5253.796875</v>
      </c>
      <c r="V41" s="1051"/>
      <c r="W41" s="1039"/>
      <c r="X41" s="1040">
        <f t="shared" si="11"/>
        <v>57791.765625</v>
      </c>
      <c r="Y41" s="270">
        <f t="shared" si="12"/>
        <v>0</v>
      </c>
      <c r="Z41" s="270">
        <f t="shared" si="12"/>
        <v>0</v>
      </c>
      <c r="AA41" s="81">
        <f t="shared" si="4"/>
        <v>693501.1875</v>
      </c>
      <c r="AB41" s="80">
        <f t="shared" si="13"/>
        <v>110342.27326968974</v>
      </c>
      <c r="AC41" s="80">
        <f t="shared" si="14"/>
        <v>866876.484375</v>
      </c>
      <c r="AD41" s="80">
        <f t="shared" si="15"/>
        <v>137927.84158711217</v>
      </c>
    </row>
    <row r="42" spans="1:30" s="993" customFormat="1" ht="17.25" customHeight="1">
      <c r="A42" s="423">
        <v>16</v>
      </c>
      <c r="B42" s="1060" t="s">
        <v>455</v>
      </c>
      <c r="C42" s="1055" t="s">
        <v>99</v>
      </c>
      <c r="D42" s="1061" t="s">
        <v>25</v>
      </c>
      <c r="E42" s="1081" t="s">
        <v>667</v>
      </c>
      <c r="F42" s="1056" t="s">
        <v>34</v>
      </c>
      <c r="G42" s="1036">
        <v>1</v>
      </c>
      <c r="H42" s="1061" t="s">
        <v>102</v>
      </c>
      <c r="I42" s="1061" t="s">
        <v>103</v>
      </c>
      <c r="J42" s="1062">
        <v>1</v>
      </c>
      <c r="K42" s="1039">
        <v>17697</v>
      </c>
      <c r="L42" s="1058">
        <v>8</v>
      </c>
      <c r="M42" s="1039">
        <f t="shared" si="7"/>
        <v>0.44444444444444442</v>
      </c>
      <c r="N42" s="1080" t="s">
        <v>152</v>
      </c>
      <c r="O42" s="1048">
        <v>4.75</v>
      </c>
      <c r="P42" s="1049">
        <f t="shared" si="8"/>
        <v>37360.333333333336</v>
      </c>
      <c r="Q42" s="328">
        <f t="shared" si="9"/>
        <v>9340.0833333333339</v>
      </c>
      <c r="R42" s="1050"/>
      <c r="S42" s="1039"/>
      <c r="T42" s="1039">
        <v>0.1</v>
      </c>
      <c r="U42" s="328">
        <f t="shared" si="10"/>
        <v>4670.041666666667</v>
      </c>
      <c r="V42" s="1051"/>
      <c r="W42" s="1039"/>
      <c r="X42" s="1040">
        <f t="shared" si="11"/>
        <v>51370.458333333336</v>
      </c>
      <c r="Y42" s="992">
        <f t="shared" si="12"/>
        <v>0</v>
      </c>
      <c r="Z42" s="992">
        <f t="shared" si="12"/>
        <v>0</v>
      </c>
      <c r="AA42" s="81">
        <f t="shared" si="4"/>
        <v>616445.5</v>
      </c>
      <c r="AB42" s="80">
        <f t="shared" si="13"/>
        <v>98082.020684168674</v>
      </c>
      <c r="AC42" s="80">
        <f t="shared" si="14"/>
        <v>770556.875</v>
      </c>
      <c r="AD42" s="80">
        <f t="shared" si="15"/>
        <v>122602.52585521083</v>
      </c>
    </row>
    <row r="43" spans="1:30" s="377" customFormat="1" ht="17.25" customHeight="1">
      <c r="A43" s="1209">
        <v>17</v>
      </c>
      <c r="B43" s="463" t="s">
        <v>227</v>
      </c>
      <c r="C43" s="1197" t="s">
        <v>99</v>
      </c>
      <c r="D43" s="423" t="s">
        <v>25</v>
      </c>
      <c r="E43" s="1198" t="s">
        <v>741</v>
      </c>
      <c r="F43" s="1198" t="s">
        <v>669</v>
      </c>
      <c r="G43" s="1199">
        <v>1</v>
      </c>
      <c r="H43" s="1200" t="s">
        <v>102</v>
      </c>
      <c r="I43" s="1200" t="s">
        <v>103</v>
      </c>
      <c r="J43" s="1186">
        <v>2</v>
      </c>
      <c r="K43" s="1166">
        <v>17697</v>
      </c>
      <c r="L43" s="1205">
        <v>6</v>
      </c>
      <c r="M43" s="1166">
        <f t="shared" si="7"/>
        <v>0.33333333333333331</v>
      </c>
      <c r="N43" s="1206" t="s">
        <v>104</v>
      </c>
      <c r="O43" s="1206">
        <v>4.09</v>
      </c>
      <c r="P43" s="1171">
        <f t="shared" si="8"/>
        <v>24126.91</v>
      </c>
      <c r="Q43" s="401">
        <f t="shared" si="9"/>
        <v>6031.7275</v>
      </c>
      <c r="R43" s="1203"/>
      <c r="S43" s="1166"/>
      <c r="T43" s="1166">
        <v>0.1</v>
      </c>
      <c r="U43" s="401">
        <f t="shared" si="10"/>
        <v>3015.8637500000004</v>
      </c>
      <c r="V43" s="1207"/>
      <c r="W43" s="1166"/>
      <c r="X43" s="1208">
        <f t="shared" si="11"/>
        <v>33174.501250000001</v>
      </c>
      <c r="Y43" s="406">
        <f t="shared" si="12"/>
        <v>0</v>
      </c>
      <c r="Z43" s="406">
        <f t="shared" si="12"/>
        <v>0</v>
      </c>
      <c r="AA43" s="375">
        <f t="shared" si="4"/>
        <v>398094.01500000001</v>
      </c>
      <c r="AB43" s="377">
        <f t="shared" si="13"/>
        <v>63340.336515513125</v>
      </c>
      <c r="AC43" s="377">
        <f t="shared" si="14"/>
        <v>497617.51875000005</v>
      </c>
      <c r="AD43" s="377">
        <f t="shared" si="15"/>
        <v>79175.420644391415</v>
      </c>
    </row>
    <row r="44" spans="1:30" s="377" customFormat="1" ht="17.25" customHeight="1">
      <c r="A44" s="423">
        <v>18</v>
      </c>
      <c r="B44" s="463" t="s">
        <v>138</v>
      </c>
      <c r="C44" s="1197" t="s">
        <v>99</v>
      </c>
      <c r="D44" s="1164" t="s">
        <v>25</v>
      </c>
      <c r="E44" s="1198" t="s">
        <v>671</v>
      </c>
      <c r="F44" s="1198" t="s">
        <v>476</v>
      </c>
      <c r="G44" s="1209">
        <v>1</v>
      </c>
      <c r="H44" s="1164" t="s">
        <v>102</v>
      </c>
      <c r="I44" s="1164" t="s">
        <v>103</v>
      </c>
      <c r="J44" s="1218">
        <v>3</v>
      </c>
      <c r="K44" s="1166">
        <v>17697</v>
      </c>
      <c r="L44" s="1205">
        <v>24</v>
      </c>
      <c r="M44" s="1166">
        <f t="shared" si="7"/>
        <v>1.3333333333333333</v>
      </c>
      <c r="N44" s="1219" t="s">
        <v>109</v>
      </c>
      <c r="O44" s="1206">
        <v>4.07</v>
      </c>
      <c r="P44" s="1171">
        <f t="shared" si="8"/>
        <v>96035.72</v>
      </c>
      <c r="Q44" s="401">
        <f t="shared" si="9"/>
        <v>24008.93</v>
      </c>
      <c r="R44" s="1203"/>
      <c r="S44" s="1166"/>
      <c r="T44" s="1166">
        <v>0.1</v>
      </c>
      <c r="U44" s="401">
        <f t="shared" si="10"/>
        <v>12004.465</v>
      </c>
      <c r="V44" s="1207"/>
      <c r="W44" s="1166"/>
      <c r="X44" s="1208">
        <f t="shared" si="11"/>
        <v>132049.11499999999</v>
      </c>
      <c r="Y44" s="359"/>
      <c r="Z44" s="359"/>
      <c r="AA44" s="375">
        <f t="shared" si="4"/>
        <v>1584589.38</v>
      </c>
      <c r="AB44" s="377">
        <f t="shared" si="13"/>
        <v>252122.41527446301</v>
      </c>
      <c r="AC44" s="377">
        <f t="shared" si="14"/>
        <v>1980736.7249999999</v>
      </c>
      <c r="AD44" s="377">
        <f t="shared" si="15"/>
        <v>315153.01909307879</v>
      </c>
    </row>
    <row r="45" spans="1:30" s="377" customFormat="1" ht="17.25" customHeight="1">
      <c r="A45" s="1209">
        <v>19</v>
      </c>
      <c r="B45" s="463" t="s">
        <v>58</v>
      </c>
      <c r="C45" s="1197" t="s">
        <v>99</v>
      </c>
      <c r="D45" s="1164" t="s">
        <v>25</v>
      </c>
      <c r="E45" s="1198" t="s">
        <v>608</v>
      </c>
      <c r="F45" s="1198" t="s">
        <v>366</v>
      </c>
      <c r="G45" s="1209">
        <v>1</v>
      </c>
      <c r="H45" s="1164" t="s">
        <v>102</v>
      </c>
      <c r="I45" s="1164" t="s">
        <v>103</v>
      </c>
      <c r="J45" s="1210">
        <v>2</v>
      </c>
      <c r="K45" s="1166">
        <v>17697</v>
      </c>
      <c r="L45" s="1205">
        <v>18</v>
      </c>
      <c r="M45" s="1166">
        <f t="shared" si="7"/>
        <v>1</v>
      </c>
      <c r="N45" s="1206" t="s">
        <v>104</v>
      </c>
      <c r="O45" s="1206">
        <v>4.4400000000000004</v>
      </c>
      <c r="P45" s="1171">
        <f t="shared" si="8"/>
        <v>78574.680000000008</v>
      </c>
      <c r="Q45" s="401">
        <f t="shared" si="9"/>
        <v>19643.670000000002</v>
      </c>
      <c r="R45" s="1203"/>
      <c r="S45" s="1166"/>
      <c r="T45" s="1166">
        <v>0.1</v>
      </c>
      <c r="U45" s="401">
        <f t="shared" si="10"/>
        <v>9821.8350000000009</v>
      </c>
      <c r="V45" s="1207"/>
      <c r="W45" s="1166"/>
      <c r="X45" s="1208">
        <f t="shared" si="11"/>
        <v>108040.18500000001</v>
      </c>
      <c r="Y45" s="406">
        <f t="shared" si="12"/>
        <v>0</v>
      </c>
      <c r="Z45" s="406">
        <f t="shared" si="12"/>
        <v>0</v>
      </c>
      <c r="AA45" s="375">
        <f t="shared" si="4"/>
        <v>1296482.2200000002</v>
      </c>
      <c r="AB45" s="377">
        <f t="shared" si="13"/>
        <v>206281.97613365157</v>
      </c>
      <c r="AC45" s="377">
        <f t="shared" si="14"/>
        <v>1620602.7750000004</v>
      </c>
      <c r="AD45" s="377">
        <f t="shared" si="15"/>
        <v>257852.47016706454</v>
      </c>
    </row>
    <row r="46" spans="1:30" s="377" customFormat="1" ht="17.25" customHeight="1">
      <c r="A46" s="423">
        <v>20</v>
      </c>
      <c r="B46" s="463" t="s">
        <v>145</v>
      </c>
      <c r="C46" s="1197" t="s">
        <v>99</v>
      </c>
      <c r="D46" s="1164" t="s">
        <v>25</v>
      </c>
      <c r="E46" s="1198" t="s">
        <v>672</v>
      </c>
      <c r="F46" s="1198" t="s">
        <v>476</v>
      </c>
      <c r="G46" s="1209">
        <v>1</v>
      </c>
      <c r="H46" s="1164" t="s">
        <v>102</v>
      </c>
      <c r="I46" s="1164" t="s">
        <v>103</v>
      </c>
      <c r="J46" s="1210">
        <v>2</v>
      </c>
      <c r="K46" s="1166">
        <v>17697</v>
      </c>
      <c r="L46" s="1205">
        <v>17</v>
      </c>
      <c r="M46" s="1166">
        <f t="shared" si="7"/>
        <v>0.94444444444444442</v>
      </c>
      <c r="N46" s="1211" t="s">
        <v>104</v>
      </c>
      <c r="O46" s="1206">
        <v>4.09</v>
      </c>
      <c r="P46" s="1171">
        <f t="shared" si="8"/>
        <v>68359.578333333338</v>
      </c>
      <c r="Q46" s="401">
        <f t="shared" si="9"/>
        <v>17089.894583333335</v>
      </c>
      <c r="R46" s="1203"/>
      <c r="S46" s="1166"/>
      <c r="T46" s="1166">
        <v>0.1</v>
      </c>
      <c r="U46" s="401">
        <f t="shared" si="10"/>
        <v>8544.9472916666691</v>
      </c>
      <c r="V46" s="1207"/>
      <c r="W46" s="1166"/>
      <c r="X46" s="1208">
        <f t="shared" si="11"/>
        <v>93994.420208333351</v>
      </c>
      <c r="Y46" s="406">
        <f t="shared" si="12"/>
        <v>0</v>
      </c>
      <c r="Z46" s="406">
        <f t="shared" si="12"/>
        <v>0</v>
      </c>
      <c r="AA46" s="375">
        <f t="shared" si="4"/>
        <v>1127933.0425000002</v>
      </c>
      <c r="AB46" s="377">
        <f t="shared" si="13"/>
        <v>179464.28679395388</v>
      </c>
      <c r="AC46" s="377">
        <f t="shared" si="14"/>
        <v>1409916.3031250003</v>
      </c>
      <c r="AD46" s="377">
        <f t="shared" si="15"/>
        <v>224330.35849244238</v>
      </c>
    </row>
    <row r="47" spans="1:30" s="80" customFormat="1" ht="17.25" customHeight="1">
      <c r="A47" s="1209">
        <v>21</v>
      </c>
      <c r="B47" s="1060" t="s">
        <v>143</v>
      </c>
      <c r="C47" s="1055" t="s">
        <v>99</v>
      </c>
      <c r="D47" s="1061" t="s">
        <v>25</v>
      </c>
      <c r="E47" s="1056" t="s">
        <v>674</v>
      </c>
      <c r="F47" s="1056" t="s">
        <v>239</v>
      </c>
      <c r="G47" s="1036">
        <v>1</v>
      </c>
      <c r="H47" s="1061" t="s">
        <v>102</v>
      </c>
      <c r="I47" s="1061" t="s">
        <v>103</v>
      </c>
      <c r="J47" s="1074">
        <v>1</v>
      </c>
      <c r="K47" s="1039">
        <v>17697</v>
      </c>
      <c r="L47" s="1058">
        <v>30</v>
      </c>
      <c r="M47" s="1039">
        <f t="shared" si="7"/>
        <v>1.6666666666666667</v>
      </c>
      <c r="N47" s="1054" t="s">
        <v>152</v>
      </c>
      <c r="O47" s="1048">
        <v>4.49</v>
      </c>
      <c r="P47" s="1049">
        <f t="shared" si="8"/>
        <v>132432.54999999999</v>
      </c>
      <c r="Q47" s="328">
        <f t="shared" si="9"/>
        <v>33108.137499999997</v>
      </c>
      <c r="R47" s="1050"/>
      <c r="S47" s="1039"/>
      <c r="T47" s="1039">
        <v>0.1</v>
      </c>
      <c r="U47" s="328">
        <f t="shared" si="10"/>
        <v>16554.068750000002</v>
      </c>
      <c r="V47" s="1051"/>
      <c r="W47" s="1039"/>
      <c r="X47" s="1040">
        <f t="shared" si="11"/>
        <v>182094.75625000001</v>
      </c>
      <c r="Y47" s="274">
        <f t="shared" si="12"/>
        <v>0</v>
      </c>
      <c r="Z47" s="274">
        <f t="shared" si="12"/>
        <v>0</v>
      </c>
      <c r="AA47" s="81">
        <f t="shared" si="4"/>
        <v>2185137.0750000002</v>
      </c>
      <c r="AB47" s="80">
        <f t="shared" si="13"/>
        <v>347674.95226730313</v>
      </c>
      <c r="AC47" s="80">
        <f t="shared" si="14"/>
        <v>2731421.34375</v>
      </c>
      <c r="AD47" s="80">
        <f t="shared" si="15"/>
        <v>434593.69033412891</v>
      </c>
    </row>
    <row r="48" spans="1:30" s="80" customFormat="1" ht="17.25" customHeight="1">
      <c r="A48" s="423">
        <v>22</v>
      </c>
      <c r="B48" s="1060" t="s">
        <v>447</v>
      </c>
      <c r="C48" s="1055" t="s">
        <v>99</v>
      </c>
      <c r="D48" s="1061" t="s">
        <v>75</v>
      </c>
      <c r="E48" s="1084" t="s">
        <v>675</v>
      </c>
      <c r="F48" s="1084" t="s">
        <v>602</v>
      </c>
      <c r="G48" s="1036">
        <v>1</v>
      </c>
      <c r="H48" s="1061" t="s">
        <v>102</v>
      </c>
      <c r="I48" s="1061" t="s">
        <v>118</v>
      </c>
      <c r="J48" s="1074">
        <v>4</v>
      </c>
      <c r="K48" s="1039">
        <v>17697</v>
      </c>
      <c r="L48" s="1058">
        <v>2</v>
      </c>
      <c r="M48" s="1039">
        <f t="shared" si="7"/>
        <v>0.1111111111111111</v>
      </c>
      <c r="N48" s="1054" t="s">
        <v>112</v>
      </c>
      <c r="O48" s="1048">
        <v>3.36</v>
      </c>
      <c r="P48" s="1049">
        <f t="shared" si="8"/>
        <v>6606.88</v>
      </c>
      <c r="Q48" s="328">
        <f t="shared" si="9"/>
        <v>1651.72</v>
      </c>
      <c r="R48" s="1050"/>
      <c r="S48" s="1039"/>
      <c r="T48" s="1039">
        <v>0.1</v>
      </c>
      <c r="U48" s="328">
        <f t="shared" si="10"/>
        <v>825.86000000000013</v>
      </c>
      <c r="V48" s="1051"/>
      <c r="W48" s="1039"/>
      <c r="X48" s="1040">
        <f t="shared" si="11"/>
        <v>9084.4600000000009</v>
      </c>
      <c r="Y48" s="274">
        <f t="shared" si="12"/>
        <v>0</v>
      </c>
      <c r="Z48" s="274">
        <f t="shared" si="12"/>
        <v>0</v>
      </c>
      <c r="AA48" s="81">
        <f t="shared" si="4"/>
        <v>109013.52000000002</v>
      </c>
      <c r="AB48" s="80">
        <f t="shared" si="13"/>
        <v>17345.031026252986</v>
      </c>
      <c r="AC48" s="80">
        <f t="shared" si="14"/>
        <v>136266.90000000002</v>
      </c>
      <c r="AD48" s="80">
        <f t="shared" si="15"/>
        <v>21681.288782816235</v>
      </c>
    </row>
    <row r="49" spans="1:30" s="80" customFormat="1" ht="17.25" customHeight="1">
      <c r="A49" s="1209">
        <v>23</v>
      </c>
      <c r="B49" s="1060" t="s">
        <v>147</v>
      </c>
      <c r="C49" s="1055" t="s">
        <v>148</v>
      </c>
      <c r="D49" s="1061" t="s">
        <v>25</v>
      </c>
      <c r="E49" s="1056" t="s">
        <v>676</v>
      </c>
      <c r="F49" s="1056" t="s">
        <v>51</v>
      </c>
      <c r="G49" s="1036">
        <v>1</v>
      </c>
      <c r="H49" s="1061" t="s">
        <v>102</v>
      </c>
      <c r="I49" s="1061" t="s">
        <v>103</v>
      </c>
      <c r="J49" s="1062">
        <v>3</v>
      </c>
      <c r="K49" s="1039">
        <v>17697</v>
      </c>
      <c r="L49" s="1058">
        <v>36</v>
      </c>
      <c r="M49" s="1039">
        <f t="shared" si="7"/>
        <v>2</v>
      </c>
      <c r="N49" s="1047" t="s">
        <v>109</v>
      </c>
      <c r="O49" s="1048">
        <v>4.43</v>
      </c>
      <c r="P49" s="1049">
        <f t="shared" si="8"/>
        <v>156795.41999999998</v>
      </c>
      <c r="Q49" s="328">
        <f t="shared" si="9"/>
        <v>39198.854999999996</v>
      </c>
      <c r="R49" s="1050"/>
      <c r="S49" s="1039"/>
      <c r="T49" s="1039">
        <v>0.1</v>
      </c>
      <c r="U49" s="328">
        <f t="shared" si="10"/>
        <v>19599.427499999998</v>
      </c>
      <c r="V49" s="1051"/>
      <c r="W49" s="1039"/>
      <c r="X49" s="1040">
        <f t="shared" si="11"/>
        <v>215593.70249999996</v>
      </c>
      <c r="Y49" s="274">
        <f t="shared" si="12"/>
        <v>0</v>
      </c>
      <c r="Z49" s="274">
        <f t="shared" si="12"/>
        <v>0</v>
      </c>
      <c r="AA49" s="81">
        <f t="shared" si="4"/>
        <v>2587124.4299999997</v>
      </c>
      <c r="AB49" s="80">
        <f t="shared" si="13"/>
        <v>411634.75417661096</v>
      </c>
      <c r="AC49" s="80">
        <f t="shared" si="14"/>
        <v>3233905.5374999996</v>
      </c>
      <c r="AD49" s="80">
        <f t="shared" si="15"/>
        <v>514543.44272076373</v>
      </c>
    </row>
    <row r="50" spans="1:30" s="80" customFormat="1" ht="17.25" customHeight="1">
      <c r="A50" s="423">
        <v>24</v>
      </c>
      <c r="B50" s="1060" t="s">
        <v>91</v>
      </c>
      <c r="C50" s="1055" t="s">
        <v>99</v>
      </c>
      <c r="D50" s="1061" t="s">
        <v>25</v>
      </c>
      <c r="E50" s="1056" t="s">
        <v>677</v>
      </c>
      <c r="F50" s="1056" t="s">
        <v>93</v>
      </c>
      <c r="G50" s="1036">
        <v>1</v>
      </c>
      <c r="H50" s="1061" t="s">
        <v>102</v>
      </c>
      <c r="I50" s="1061" t="s">
        <v>103</v>
      </c>
      <c r="J50" s="1074">
        <v>1</v>
      </c>
      <c r="K50" s="1039">
        <v>17697</v>
      </c>
      <c r="L50" s="1058">
        <v>36</v>
      </c>
      <c r="M50" s="1039">
        <f t="shared" si="7"/>
        <v>2</v>
      </c>
      <c r="N50" s="1054" t="s">
        <v>152</v>
      </c>
      <c r="O50" s="1048">
        <v>4.62</v>
      </c>
      <c r="P50" s="1049">
        <f t="shared" si="8"/>
        <v>163520.27999999997</v>
      </c>
      <c r="Q50" s="328">
        <f t="shared" si="9"/>
        <v>40880.069999999992</v>
      </c>
      <c r="R50" s="1050"/>
      <c r="S50" s="1039"/>
      <c r="T50" s="1039">
        <v>0.1</v>
      </c>
      <c r="U50" s="328">
        <f t="shared" si="10"/>
        <v>20440.035</v>
      </c>
      <c r="V50" s="1051"/>
      <c r="W50" s="1039"/>
      <c r="X50" s="1040">
        <f t="shared" si="11"/>
        <v>224840.38499999998</v>
      </c>
      <c r="Y50" s="274">
        <f t="shared" si="12"/>
        <v>0</v>
      </c>
      <c r="Z50" s="274">
        <f t="shared" si="12"/>
        <v>0</v>
      </c>
      <c r="AA50" s="81">
        <f t="shared" si="4"/>
        <v>2698084.6199999996</v>
      </c>
      <c r="AB50" s="80">
        <f t="shared" si="13"/>
        <v>429289.51789976133</v>
      </c>
      <c r="AC50" s="80">
        <f t="shared" si="14"/>
        <v>3372605.7749999994</v>
      </c>
      <c r="AD50" s="80">
        <f t="shared" si="15"/>
        <v>536611.89737470157</v>
      </c>
    </row>
    <row r="51" spans="1:30" s="80" customFormat="1" ht="17.25" customHeight="1">
      <c r="A51" s="1209">
        <v>25</v>
      </c>
      <c r="B51" s="1041" t="s">
        <v>678</v>
      </c>
      <c r="C51" s="1042" t="s">
        <v>99</v>
      </c>
      <c r="D51" s="1044" t="s">
        <v>64</v>
      </c>
      <c r="E51" s="1043" t="s">
        <v>679</v>
      </c>
      <c r="F51" s="1043" t="s">
        <v>602</v>
      </c>
      <c r="G51" s="1036">
        <v>1</v>
      </c>
      <c r="H51" s="1061" t="s">
        <v>102</v>
      </c>
      <c r="I51" s="1061" t="s">
        <v>118</v>
      </c>
      <c r="J51" s="1074">
        <v>4</v>
      </c>
      <c r="K51" s="1039">
        <v>17697</v>
      </c>
      <c r="L51" s="1046">
        <v>18</v>
      </c>
      <c r="M51" s="1045">
        <f t="shared" si="7"/>
        <v>1</v>
      </c>
      <c r="N51" s="1054" t="s">
        <v>112</v>
      </c>
      <c r="O51" s="1079">
        <v>3.36</v>
      </c>
      <c r="P51" s="1070">
        <f t="shared" si="8"/>
        <v>59461.919999999998</v>
      </c>
      <c r="Q51" s="328">
        <f t="shared" si="9"/>
        <v>14865.48</v>
      </c>
      <c r="R51" s="1073"/>
      <c r="S51" s="1045"/>
      <c r="T51" s="1039">
        <v>0.1</v>
      </c>
      <c r="U51" s="328">
        <f t="shared" si="10"/>
        <v>7432.74</v>
      </c>
      <c r="V51" s="1077"/>
      <c r="W51" s="1045"/>
      <c r="X51" s="1040">
        <f t="shared" si="11"/>
        <v>81760.14</v>
      </c>
      <c r="Y51" s="688"/>
      <c r="Z51" s="688"/>
      <c r="AA51" s="81"/>
    </row>
    <row r="52" spans="1:30" s="80" customFormat="1" ht="17.25" customHeight="1">
      <c r="A52" s="423">
        <v>26</v>
      </c>
      <c r="B52" s="1060" t="s">
        <v>150</v>
      </c>
      <c r="C52" s="1055" t="s">
        <v>99</v>
      </c>
      <c r="D52" s="1061" t="s">
        <v>25</v>
      </c>
      <c r="E52" s="1056" t="s">
        <v>680</v>
      </c>
      <c r="F52" s="1056" t="s">
        <v>34</v>
      </c>
      <c r="G52" s="1036">
        <v>1</v>
      </c>
      <c r="H52" s="1061" t="s">
        <v>102</v>
      </c>
      <c r="I52" s="1061" t="s">
        <v>103</v>
      </c>
      <c r="J52" s="1062">
        <v>1</v>
      </c>
      <c r="K52" s="1039">
        <v>17697</v>
      </c>
      <c r="L52" s="1058">
        <v>33</v>
      </c>
      <c r="M52" s="1039">
        <f t="shared" si="7"/>
        <v>1.8333333333333333</v>
      </c>
      <c r="N52" s="1080" t="s">
        <v>152</v>
      </c>
      <c r="O52" s="1048">
        <v>4.75</v>
      </c>
      <c r="P52" s="1049">
        <f t="shared" si="8"/>
        <v>154111.375</v>
      </c>
      <c r="Q52" s="328">
        <f t="shared" si="9"/>
        <v>38527.84375</v>
      </c>
      <c r="R52" s="1050"/>
      <c r="S52" s="1039"/>
      <c r="T52" s="1039">
        <v>0.1</v>
      </c>
      <c r="U52" s="328">
        <f t="shared" si="10"/>
        <v>19263.921875</v>
      </c>
      <c r="V52" s="1051"/>
      <c r="W52" s="1039"/>
      <c r="X52" s="1040">
        <f t="shared" si="11"/>
        <v>211903.140625</v>
      </c>
      <c r="Y52" s="270">
        <f t="shared" si="12"/>
        <v>0</v>
      </c>
      <c r="Z52" s="270">
        <f t="shared" si="12"/>
        <v>0</v>
      </c>
      <c r="AA52" s="81">
        <f t="shared" si="4"/>
        <v>2542837.6875</v>
      </c>
      <c r="AB52" s="80">
        <f t="shared" si="13"/>
        <v>404588.33532219572</v>
      </c>
      <c r="AC52" s="80">
        <f t="shared" si="14"/>
        <v>3178547.109375</v>
      </c>
      <c r="AD52" s="80">
        <f t="shared" si="15"/>
        <v>505735.4191527447</v>
      </c>
    </row>
    <row r="53" spans="1:30" s="80" customFormat="1" ht="17.25" customHeight="1">
      <c r="A53" s="1209">
        <v>27</v>
      </c>
      <c r="B53" s="1060" t="s">
        <v>157</v>
      </c>
      <c r="C53" s="1055" t="s">
        <v>99</v>
      </c>
      <c r="D53" s="1061" t="s">
        <v>75</v>
      </c>
      <c r="E53" s="1056" t="s">
        <v>681</v>
      </c>
      <c r="F53" s="1056" t="s">
        <v>108</v>
      </c>
      <c r="G53" s="1036">
        <v>1</v>
      </c>
      <c r="H53" s="1061" t="s">
        <v>102</v>
      </c>
      <c r="I53" s="1061" t="s">
        <v>118</v>
      </c>
      <c r="J53" s="1062">
        <v>4</v>
      </c>
      <c r="K53" s="1039">
        <v>17697</v>
      </c>
      <c r="L53" s="1058">
        <v>22</v>
      </c>
      <c r="M53" s="1039">
        <f t="shared" si="7"/>
        <v>1.2222222222222223</v>
      </c>
      <c r="N53" s="1080" t="s">
        <v>112</v>
      </c>
      <c r="O53" s="1048">
        <v>3.41</v>
      </c>
      <c r="P53" s="1049">
        <f t="shared" si="8"/>
        <v>73757.16333333333</v>
      </c>
      <c r="Q53" s="328">
        <f t="shared" si="9"/>
        <v>18439.290833333333</v>
      </c>
      <c r="R53" s="1050"/>
      <c r="S53" s="1039"/>
      <c r="T53" s="1039">
        <v>0.1</v>
      </c>
      <c r="U53" s="328">
        <f t="shared" si="10"/>
        <v>9219.6454166666663</v>
      </c>
      <c r="V53" s="1051"/>
      <c r="W53" s="1039"/>
      <c r="X53" s="1040">
        <f t="shared" si="11"/>
        <v>101416.09958333333</v>
      </c>
      <c r="Y53" s="274">
        <f t="shared" si="12"/>
        <v>0</v>
      </c>
      <c r="Z53" s="274">
        <f t="shared" si="12"/>
        <v>0</v>
      </c>
      <c r="AA53" s="81">
        <f t="shared" si="4"/>
        <v>1216993.1949999998</v>
      </c>
      <c r="AB53" s="80">
        <f t="shared" si="13"/>
        <v>193634.55767700871</v>
      </c>
      <c r="AC53" s="80">
        <f t="shared" si="14"/>
        <v>1521241.4937499999</v>
      </c>
      <c r="AD53" s="80">
        <f t="shared" si="15"/>
        <v>242043.19709626093</v>
      </c>
    </row>
    <row r="54" spans="1:30" s="80" customFormat="1" ht="17.25" customHeight="1">
      <c r="A54" s="423">
        <v>28</v>
      </c>
      <c r="B54" s="1060" t="s">
        <v>160</v>
      </c>
      <c r="C54" s="1055" t="s">
        <v>148</v>
      </c>
      <c r="D54" s="1061" t="s">
        <v>25</v>
      </c>
      <c r="E54" s="1056" t="s">
        <v>682</v>
      </c>
      <c r="F54" s="1056" t="s">
        <v>34</v>
      </c>
      <c r="G54" s="1036">
        <v>1</v>
      </c>
      <c r="H54" s="1061" t="s">
        <v>102</v>
      </c>
      <c r="I54" s="1061" t="s">
        <v>103</v>
      </c>
      <c r="J54" s="1062">
        <v>2</v>
      </c>
      <c r="K54" s="1039">
        <v>17697</v>
      </c>
      <c r="L54" s="1058">
        <v>24</v>
      </c>
      <c r="M54" s="1039">
        <f t="shared" si="7"/>
        <v>1.3333333333333333</v>
      </c>
      <c r="N54" s="1047" t="s">
        <v>104</v>
      </c>
      <c r="O54" s="1048">
        <v>4.51</v>
      </c>
      <c r="P54" s="1049">
        <f t="shared" si="8"/>
        <v>106417.96</v>
      </c>
      <c r="Q54" s="328">
        <f t="shared" si="9"/>
        <v>26604.49</v>
      </c>
      <c r="R54" s="1050"/>
      <c r="S54" s="1039"/>
      <c r="T54" s="1039">
        <v>0.1</v>
      </c>
      <c r="U54" s="328">
        <f t="shared" si="10"/>
        <v>13302.245000000003</v>
      </c>
      <c r="V54" s="1051"/>
      <c r="W54" s="1039"/>
      <c r="X54" s="1040">
        <f t="shared" si="11"/>
        <v>146324.69500000001</v>
      </c>
      <c r="Y54" s="274">
        <f>V54+R54</f>
        <v>0</v>
      </c>
      <c r="Z54" s="274">
        <f>W54+S54</f>
        <v>0</v>
      </c>
      <c r="AA54" s="81">
        <f t="shared" si="4"/>
        <v>1755896.34</v>
      </c>
      <c r="AB54" s="80">
        <f t="shared" si="13"/>
        <v>279378.89260143205</v>
      </c>
      <c r="AC54" s="80">
        <f t="shared" si="14"/>
        <v>2194870.4250000003</v>
      </c>
      <c r="AD54" s="80">
        <f t="shared" si="15"/>
        <v>349223.61575179</v>
      </c>
    </row>
    <row r="55" spans="1:30" s="80" customFormat="1" ht="17.25" customHeight="1">
      <c r="A55" s="1209">
        <v>29</v>
      </c>
      <c r="B55" s="1060" t="s">
        <v>162</v>
      </c>
      <c r="C55" s="1055" t="s">
        <v>99</v>
      </c>
      <c r="D55" s="1061" t="s">
        <v>25</v>
      </c>
      <c r="E55" s="291" t="s">
        <v>503</v>
      </c>
      <c r="F55" s="1056" t="s">
        <v>77</v>
      </c>
      <c r="G55" s="1036">
        <v>1</v>
      </c>
      <c r="H55" s="1061" t="s">
        <v>102</v>
      </c>
      <c r="I55" s="1061" t="s">
        <v>103</v>
      </c>
      <c r="J55" s="1074">
        <v>4</v>
      </c>
      <c r="K55" s="1039">
        <v>17697</v>
      </c>
      <c r="L55" s="1058">
        <v>10</v>
      </c>
      <c r="M55" s="1039">
        <f t="shared" si="7"/>
        <v>0.55555555555555558</v>
      </c>
      <c r="N55" s="1054" t="s">
        <v>112</v>
      </c>
      <c r="O55" s="1048">
        <v>3.71</v>
      </c>
      <c r="P55" s="1049">
        <f t="shared" si="8"/>
        <v>36475.48333333333</v>
      </c>
      <c r="Q55" s="328">
        <f t="shared" si="9"/>
        <v>9118.8708333333325</v>
      </c>
      <c r="R55" s="1050"/>
      <c r="S55" s="1039"/>
      <c r="T55" s="1039">
        <v>0.1</v>
      </c>
      <c r="U55" s="328">
        <f t="shared" si="10"/>
        <v>4559.4354166666662</v>
      </c>
      <c r="V55" s="1051"/>
      <c r="W55" s="1039"/>
      <c r="X55" s="1040">
        <f t="shared" si="11"/>
        <v>50153.789583333331</v>
      </c>
      <c r="Y55" s="274">
        <f t="shared" si="12"/>
        <v>0</v>
      </c>
      <c r="Z55" s="274">
        <f t="shared" si="12"/>
        <v>0</v>
      </c>
      <c r="AA55" s="81">
        <f t="shared" si="4"/>
        <v>601845.47499999998</v>
      </c>
      <c r="AB55" s="80">
        <f t="shared" si="13"/>
        <v>95759.025457438343</v>
      </c>
      <c r="AC55" s="80">
        <f t="shared" si="14"/>
        <v>752306.84375</v>
      </c>
      <c r="AD55" s="80">
        <f t="shared" si="15"/>
        <v>119698.78182179792</v>
      </c>
    </row>
    <row r="56" spans="1:30" s="80" customFormat="1" ht="17.25" customHeight="1">
      <c r="A56" s="423">
        <v>30</v>
      </c>
      <c r="B56" s="1060" t="s">
        <v>166</v>
      </c>
      <c r="C56" s="1055" t="s">
        <v>99</v>
      </c>
      <c r="D56" s="1061" t="s">
        <v>25</v>
      </c>
      <c r="E56" s="1056" t="s">
        <v>684</v>
      </c>
      <c r="F56" s="1056" t="s">
        <v>239</v>
      </c>
      <c r="G56" s="1036">
        <v>1</v>
      </c>
      <c r="H56" s="1061" t="s">
        <v>102</v>
      </c>
      <c r="I56" s="1061" t="s">
        <v>103</v>
      </c>
      <c r="J56" s="1074">
        <v>1</v>
      </c>
      <c r="K56" s="1039">
        <v>17697</v>
      </c>
      <c r="L56" s="1058">
        <v>33</v>
      </c>
      <c r="M56" s="1039">
        <f t="shared" si="7"/>
        <v>1.8333333333333333</v>
      </c>
      <c r="N56" s="1054" t="s">
        <v>152</v>
      </c>
      <c r="O56" s="1075">
        <v>4.49</v>
      </c>
      <c r="P56" s="1049">
        <f t="shared" si="8"/>
        <v>145675.80499999999</v>
      </c>
      <c r="Q56" s="328">
        <f t="shared" si="9"/>
        <v>36418.951249999998</v>
      </c>
      <c r="R56" s="1050"/>
      <c r="S56" s="1039"/>
      <c r="T56" s="1039">
        <v>0.1</v>
      </c>
      <c r="U56" s="328">
        <f t="shared" si="10"/>
        <v>18209.475624999999</v>
      </c>
      <c r="V56" s="1051"/>
      <c r="W56" s="1039"/>
      <c r="X56" s="1040">
        <f t="shared" si="11"/>
        <v>200304.23187499997</v>
      </c>
      <c r="Y56" s="274">
        <f t="shared" si="12"/>
        <v>0</v>
      </c>
      <c r="Z56" s="274">
        <f t="shared" si="12"/>
        <v>0</v>
      </c>
      <c r="AA56" s="81">
        <f t="shared" si="4"/>
        <v>2403650.7824999997</v>
      </c>
      <c r="AB56" s="80">
        <f t="shared" si="13"/>
        <v>382442.44749403337</v>
      </c>
      <c r="AC56" s="80">
        <f t="shared" si="14"/>
        <v>3004563.4781249994</v>
      </c>
      <c r="AD56" s="80">
        <f t="shared" si="15"/>
        <v>478053.05936754169</v>
      </c>
    </row>
    <row r="57" spans="1:30" s="80" customFormat="1" ht="17.25" customHeight="1">
      <c r="A57" s="1209">
        <v>31</v>
      </c>
      <c r="B57" s="1041" t="s">
        <v>688</v>
      </c>
      <c r="C57" s="1042" t="s">
        <v>99</v>
      </c>
      <c r="D57" s="1044" t="s">
        <v>75</v>
      </c>
      <c r="E57" s="1043" t="s">
        <v>689</v>
      </c>
      <c r="F57" s="1043" t="s">
        <v>159</v>
      </c>
      <c r="G57" s="1036"/>
      <c r="H57" s="1061" t="s">
        <v>102</v>
      </c>
      <c r="I57" s="1061" t="s">
        <v>118</v>
      </c>
      <c r="J57" s="1074">
        <v>4</v>
      </c>
      <c r="K57" s="1039">
        <v>17697</v>
      </c>
      <c r="L57" s="1046">
        <v>18</v>
      </c>
      <c r="M57" s="1045">
        <f t="shared" si="7"/>
        <v>1</v>
      </c>
      <c r="N57" s="1072" t="s">
        <v>112</v>
      </c>
      <c r="O57" s="1075">
        <v>3.32</v>
      </c>
      <c r="P57" s="1070">
        <f t="shared" si="8"/>
        <v>58754.039999999994</v>
      </c>
      <c r="Q57" s="328">
        <f t="shared" si="9"/>
        <v>14688.509999999998</v>
      </c>
      <c r="R57" s="1073"/>
      <c r="S57" s="1045"/>
      <c r="T57" s="1039">
        <v>0.1</v>
      </c>
      <c r="U57" s="328">
        <f t="shared" si="10"/>
        <v>7344.2549999999992</v>
      </c>
      <c r="V57" s="1077"/>
      <c r="W57" s="1045"/>
      <c r="X57" s="1040">
        <f t="shared" si="11"/>
        <v>80786.804999999993</v>
      </c>
      <c r="Y57" s="688"/>
      <c r="Z57" s="688"/>
      <c r="AA57" s="81"/>
    </row>
    <row r="58" spans="1:30" s="377" customFormat="1" ht="17.25" customHeight="1">
      <c r="A58" s="423">
        <v>32</v>
      </c>
      <c r="B58" s="463" t="s">
        <v>168</v>
      </c>
      <c r="C58" s="1197" t="s">
        <v>99</v>
      </c>
      <c r="D58" s="1164" t="s">
        <v>25</v>
      </c>
      <c r="E58" s="1198" t="s">
        <v>690</v>
      </c>
      <c r="F58" s="1198" t="s">
        <v>73</v>
      </c>
      <c r="G58" s="1209">
        <v>1</v>
      </c>
      <c r="H58" s="1164" t="s">
        <v>102</v>
      </c>
      <c r="I58" s="1164" t="s">
        <v>103</v>
      </c>
      <c r="J58" s="1165">
        <v>2</v>
      </c>
      <c r="K58" s="1166">
        <v>17697</v>
      </c>
      <c r="L58" s="1205">
        <v>31</v>
      </c>
      <c r="M58" s="1166">
        <f t="shared" si="7"/>
        <v>1.7222222222222223</v>
      </c>
      <c r="N58" s="1206" t="s">
        <v>104</v>
      </c>
      <c r="O58" s="1206">
        <v>4.16</v>
      </c>
      <c r="P58" s="1171">
        <f t="shared" si="8"/>
        <v>126789.17333333334</v>
      </c>
      <c r="Q58" s="401">
        <f t="shared" si="9"/>
        <v>31697.293333333335</v>
      </c>
      <c r="R58" s="1203"/>
      <c r="S58" s="1166"/>
      <c r="T58" s="1166">
        <v>0.1</v>
      </c>
      <c r="U58" s="401">
        <f t="shared" si="10"/>
        <v>15848.646666666667</v>
      </c>
      <c r="V58" s="1207"/>
      <c r="W58" s="1166"/>
      <c r="X58" s="1208">
        <f t="shared" si="11"/>
        <v>174335.11333333334</v>
      </c>
      <c r="Y58" s="359">
        <f t="shared" si="12"/>
        <v>0</v>
      </c>
      <c r="Z58" s="359">
        <f t="shared" si="12"/>
        <v>0</v>
      </c>
      <c r="AA58" s="375">
        <f t="shared" si="4"/>
        <v>2092021.36</v>
      </c>
      <c r="AB58" s="377">
        <f t="shared" si="13"/>
        <v>332859.40493237867</v>
      </c>
      <c r="AC58" s="377">
        <f t="shared" si="14"/>
        <v>2615026.7000000002</v>
      </c>
      <c r="AD58" s="377">
        <f t="shared" si="15"/>
        <v>416074.25616547343</v>
      </c>
    </row>
    <row r="59" spans="1:30" s="993" customFormat="1" ht="17.25" customHeight="1">
      <c r="A59" s="1209">
        <v>33</v>
      </c>
      <c r="B59" s="1086" t="s">
        <v>89</v>
      </c>
      <c r="C59" s="1087" t="s">
        <v>170</v>
      </c>
      <c r="D59" s="1088" t="s">
        <v>25</v>
      </c>
      <c r="E59" s="1089" t="s">
        <v>697</v>
      </c>
      <c r="F59" s="1089" t="s">
        <v>73</v>
      </c>
      <c r="G59" s="1085">
        <v>1</v>
      </c>
      <c r="H59" s="1088" t="s">
        <v>102</v>
      </c>
      <c r="I59" s="1088" t="s">
        <v>103</v>
      </c>
      <c r="J59" s="1090">
        <v>3</v>
      </c>
      <c r="K59" s="1091">
        <v>17697</v>
      </c>
      <c r="L59" s="1058">
        <v>22</v>
      </c>
      <c r="M59" s="1091">
        <f t="shared" si="7"/>
        <v>1.2222222222222223</v>
      </c>
      <c r="N59" s="1092" t="s">
        <v>109</v>
      </c>
      <c r="O59" s="1058">
        <v>4.21</v>
      </c>
      <c r="P59" s="1093">
        <f t="shared" si="8"/>
        <v>91060.896666666653</v>
      </c>
      <c r="Q59" s="1094">
        <f t="shared" si="9"/>
        <v>22765.224166666663</v>
      </c>
      <c r="R59" s="1095"/>
      <c r="S59" s="1091"/>
      <c r="T59" s="1091">
        <v>0.1</v>
      </c>
      <c r="U59" s="1094">
        <f t="shared" si="10"/>
        <v>11382.612083333333</v>
      </c>
      <c r="V59" s="1096"/>
      <c r="W59" s="1091"/>
      <c r="X59" s="1097">
        <f t="shared" si="11"/>
        <v>125208.73291666666</v>
      </c>
      <c r="Y59" s="1098">
        <f t="shared" si="12"/>
        <v>0</v>
      </c>
      <c r="Z59" s="1098">
        <f t="shared" si="12"/>
        <v>0</v>
      </c>
      <c r="AA59" s="1099">
        <f t="shared" si="4"/>
        <v>1502504.7949999999</v>
      </c>
      <c r="AB59" s="993">
        <f t="shared" si="13"/>
        <v>239062.01988862368</v>
      </c>
      <c r="AC59" s="993">
        <f t="shared" si="14"/>
        <v>1878130.9937499999</v>
      </c>
      <c r="AD59" s="993">
        <f t="shared" si="15"/>
        <v>298827.52486077964</v>
      </c>
    </row>
    <row r="60" spans="1:30" s="80" customFormat="1" ht="17.25" customHeight="1">
      <c r="A60" s="423">
        <v>34</v>
      </c>
      <c r="B60" s="1060" t="s">
        <v>171</v>
      </c>
      <c r="C60" s="1055" t="s">
        <v>99</v>
      </c>
      <c r="D60" s="1061" t="s">
        <v>25</v>
      </c>
      <c r="E60" s="1056" t="s">
        <v>691</v>
      </c>
      <c r="F60" s="1056" t="s">
        <v>34</v>
      </c>
      <c r="G60" s="1036">
        <v>1</v>
      </c>
      <c r="H60" s="1061" t="s">
        <v>102</v>
      </c>
      <c r="I60" s="1061" t="s">
        <v>103</v>
      </c>
      <c r="J60" s="1074">
        <v>1</v>
      </c>
      <c r="K60" s="1039">
        <v>17697</v>
      </c>
      <c r="L60" s="1058">
        <v>36</v>
      </c>
      <c r="M60" s="1039">
        <f t="shared" si="7"/>
        <v>2</v>
      </c>
      <c r="N60" s="1054" t="s">
        <v>152</v>
      </c>
      <c r="O60" s="1048">
        <v>4.75</v>
      </c>
      <c r="P60" s="1049">
        <f t="shared" si="8"/>
        <v>168121.5</v>
      </c>
      <c r="Q60" s="328">
        <f t="shared" si="9"/>
        <v>42030.375</v>
      </c>
      <c r="R60" s="1050"/>
      <c r="S60" s="1039"/>
      <c r="T60" s="1039">
        <v>0.1</v>
      </c>
      <c r="U60" s="328">
        <f t="shared" si="10"/>
        <v>21015.1875</v>
      </c>
      <c r="V60" s="1051"/>
      <c r="W60" s="1039"/>
      <c r="X60" s="1040">
        <f t="shared" si="11"/>
        <v>231167.0625</v>
      </c>
      <c r="Y60" s="274"/>
      <c r="Z60" s="274"/>
      <c r="AA60" s="81">
        <f t="shared" si="4"/>
        <v>2774004.75</v>
      </c>
      <c r="AB60" s="80">
        <f t="shared" si="13"/>
        <v>441369.09307875898</v>
      </c>
      <c r="AC60" s="80">
        <f t="shared" si="14"/>
        <v>3467505.9375</v>
      </c>
      <c r="AD60" s="80">
        <f t="shared" si="15"/>
        <v>551711.36634844868</v>
      </c>
    </row>
    <row r="61" spans="1:30" s="80" customFormat="1" ht="17.25" customHeight="1">
      <c r="A61" s="1209">
        <v>35</v>
      </c>
      <c r="B61" s="1060" t="s">
        <v>207</v>
      </c>
      <c r="C61" s="1055" t="s">
        <v>99</v>
      </c>
      <c r="D61" s="1061" t="s">
        <v>25</v>
      </c>
      <c r="E61" s="1056" t="s">
        <v>692</v>
      </c>
      <c r="F61" s="1052" t="s">
        <v>614</v>
      </c>
      <c r="G61" s="1036">
        <v>1</v>
      </c>
      <c r="H61" s="1061" t="s">
        <v>102</v>
      </c>
      <c r="I61" s="1061" t="s">
        <v>103</v>
      </c>
      <c r="J61" s="1074">
        <v>2</v>
      </c>
      <c r="K61" s="1039">
        <v>17697</v>
      </c>
      <c r="L61" s="1058">
        <v>4</v>
      </c>
      <c r="M61" s="1039">
        <f t="shared" si="7"/>
        <v>0.22222222222222221</v>
      </c>
      <c r="N61" s="1078" t="s">
        <v>104</v>
      </c>
      <c r="O61" s="1079">
        <v>4.3</v>
      </c>
      <c r="P61" s="1049">
        <f t="shared" si="8"/>
        <v>16910.466666666664</v>
      </c>
      <c r="Q61" s="328">
        <f t="shared" si="9"/>
        <v>4227.6166666666659</v>
      </c>
      <c r="R61" s="1073"/>
      <c r="S61" s="1045"/>
      <c r="T61" s="1039">
        <v>0.1</v>
      </c>
      <c r="U61" s="328">
        <f t="shared" si="10"/>
        <v>2113.8083333333329</v>
      </c>
      <c r="V61" s="1077"/>
      <c r="W61" s="1045"/>
      <c r="X61" s="1040">
        <f t="shared" si="11"/>
        <v>23251.891666666663</v>
      </c>
      <c r="Y61" s="688"/>
      <c r="Z61" s="688"/>
      <c r="AA61" s="81">
        <f t="shared" si="4"/>
        <v>279022.69999999995</v>
      </c>
      <c r="AB61" s="80">
        <f t="shared" si="13"/>
        <v>44395.019888623705</v>
      </c>
      <c r="AC61" s="80">
        <f t="shared" si="14"/>
        <v>348778.37499999994</v>
      </c>
      <c r="AD61" s="80">
        <f t="shared" si="15"/>
        <v>55493.774860779631</v>
      </c>
    </row>
    <row r="62" spans="1:30" s="80" customFormat="1" ht="16.5" customHeight="1">
      <c r="A62" s="423">
        <v>36</v>
      </c>
      <c r="B62" s="1060" t="s">
        <v>173</v>
      </c>
      <c r="C62" s="1055" t="s">
        <v>99</v>
      </c>
      <c r="D62" s="1061" t="s">
        <v>25</v>
      </c>
      <c r="E62" s="1056" t="s">
        <v>693</v>
      </c>
      <c r="F62" s="1056" t="s">
        <v>66</v>
      </c>
      <c r="G62" s="1036">
        <v>1</v>
      </c>
      <c r="H62" s="1061" t="s">
        <v>102</v>
      </c>
      <c r="I62" s="1061" t="s">
        <v>103</v>
      </c>
      <c r="J62" s="1074">
        <v>1</v>
      </c>
      <c r="K62" s="1039">
        <v>17697</v>
      </c>
      <c r="L62" s="1058">
        <v>31.5</v>
      </c>
      <c r="M62" s="1039">
        <f t="shared" si="7"/>
        <v>1.75</v>
      </c>
      <c r="N62" s="1054" t="s">
        <v>152</v>
      </c>
      <c r="O62" s="1100">
        <v>4.55</v>
      </c>
      <c r="P62" s="1049">
        <f t="shared" si="8"/>
        <v>140912.36249999999</v>
      </c>
      <c r="Q62" s="328">
        <f t="shared" si="9"/>
        <v>35228.090624999997</v>
      </c>
      <c r="R62" s="1050"/>
      <c r="S62" s="1039"/>
      <c r="T62" s="1039">
        <v>0.1</v>
      </c>
      <c r="U62" s="328">
        <f t="shared" si="10"/>
        <v>17614.045312500002</v>
      </c>
      <c r="V62" s="1051"/>
      <c r="W62" s="1039"/>
      <c r="X62" s="1040">
        <f t="shared" si="11"/>
        <v>193754.49843750001</v>
      </c>
      <c r="Y62" s="274">
        <f t="shared" si="12"/>
        <v>0</v>
      </c>
      <c r="Z62" s="274">
        <f t="shared" si="12"/>
        <v>0</v>
      </c>
      <c r="AA62" s="81">
        <f t="shared" si="4"/>
        <v>2325053.9812500002</v>
      </c>
      <c r="AB62" s="80">
        <f t="shared" si="13"/>
        <v>369936.98985680193</v>
      </c>
      <c r="AC62" s="80">
        <f t="shared" si="14"/>
        <v>2906317.4765625</v>
      </c>
      <c r="AD62" s="80">
        <f t="shared" si="15"/>
        <v>462421.23732100247</v>
      </c>
    </row>
    <row r="63" spans="1:30" s="80" customFormat="1" ht="17.25" customHeight="1">
      <c r="A63" s="1209">
        <v>37</v>
      </c>
      <c r="B63" s="153" t="s">
        <v>628</v>
      </c>
      <c r="C63" s="561" t="s">
        <v>99</v>
      </c>
      <c r="D63" s="563" t="s">
        <v>25</v>
      </c>
      <c r="E63" s="999" t="s">
        <v>632</v>
      </c>
      <c r="F63" s="1003" t="s">
        <v>252</v>
      </c>
      <c r="G63" s="547">
        <v>1</v>
      </c>
      <c r="H63" s="1000" t="s">
        <v>102</v>
      </c>
      <c r="I63" s="1000" t="s">
        <v>103</v>
      </c>
      <c r="J63" s="1001">
        <v>3</v>
      </c>
      <c r="K63" s="554">
        <v>17697</v>
      </c>
      <c r="L63" s="565">
        <v>11</v>
      </c>
      <c r="M63" s="554">
        <f t="shared" si="7"/>
        <v>0.61111111111111116</v>
      </c>
      <c r="N63" s="574" t="s">
        <v>109</v>
      </c>
      <c r="O63" s="1014">
        <v>4.07</v>
      </c>
      <c r="P63" s="567">
        <f t="shared" si="8"/>
        <v>44016.371666666673</v>
      </c>
      <c r="Q63" s="556">
        <f t="shared" si="9"/>
        <v>11004.092916666668</v>
      </c>
      <c r="R63" s="568"/>
      <c r="S63" s="554"/>
      <c r="T63" s="554">
        <v>0.1</v>
      </c>
      <c r="U63" s="556">
        <f t="shared" si="10"/>
        <v>5502.0464583333342</v>
      </c>
      <c r="V63" s="569"/>
      <c r="W63" s="554"/>
      <c r="X63" s="559">
        <f t="shared" si="11"/>
        <v>60522.511041666672</v>
      </c>
      <c r="Y63" s="274">
        <f t="shared" si="12"/>
        <v>0</v>
      </c>
      <c r="Z63" s="274">
        <f t="shared" si="12"/>
        <v>0</v>
      </c>
      <c r="AA63" s="81">
        <f t="shared" si="4"/>
        <v>726270.13250000007</v>
      </c>
      <c r="AB63" s="80">
        <f t="shared" si="13"/>
        <v>115556.10700079556</v>
      </c>
      <c r="AC63" s="80">
        <f t="shared" si="14"/>
        <v>907837.66562500014</v>
      </c>
      <c r="AD63" s="80">
        <f t="shared" si="15"/>
        <v>144445.13375099446</v>
      </c>
    </row>
    <row r="64" spans="1:30" s="80" customFormat="1" ht="17.25" customHeight="1">
      <c r="A64" s="423">
        <v>38</v>
      </c>
      <c r="B64" s="1060" t="s">
        <v>175</v>
      </c>
      <c r="C64" s="1055" t="s">
        <v>99</v>
      </c>
      <c r="D64" s="1061" t="s">
        <v>25</v>
      </c>
      <c r="E64" s="1056" t="s">
        <v>610</v>
      </c>
      <c r="F64" s="1056" t="s">
        <v>114</v>
      </c>
      <c r="G64" s="1036">
        <v>1</v>
      </c>
      <c r="H64" s="1061" t="s">
        <v>102</v>
      </c>
      <c r="I64" s="1061" t="s">
        <v>103</v>
      </c>
      <c r="J64" s="1062">
        <v>1</v>
      </c>
      <c r="K64" s="1039">
        <v>17697</v>
      </c>
      <c r="L64" s="1058">
        <v>9</v>
      </c>
      <c r="M64" s="1039">
        <f t="shared" si="7"/>
        <v>0.5</v>
      </c>
      <c r="N64" s="1080" t="s">
        <v>152</v>
      </c>
      <c r="O64" s="1048">
        <v>4.75</v>
      </c>
      <c r="P64" s="1049">
        <f t="shared" si="8"/>
        <v>42030.375</v>
      </c>
      <c r="Q64" s="328">
        <f t="shared" si="9"/>
        <v>10507.59375</v>
      </c>
      <c r="R64" s="1050"/>
      <c r="S64" s="1039"/>
      <c r="T64" s="1039">
        <v>0.1</v>
      </c>
      <c r="U64" s="328">
        <f t="shared" si="10"/>
        <v>5253.796875</v>
      </c>
      <c r="V64" s="1051"/>
      <c r="W64" s="1039"/>
      <c r="X64" s="1040">
        <f t="shared" si="11"/>
        <v>57791.765625</v>
      </c>
      <c r="Y64" s="270">
        <f t="shared" si="12"/>
        <v>0</v>
      </c>
      <c r="Z64" s="270">
        <f t="shared" si="12"/>
        <v>0</v>
      </c>
      <c r="AA64" s="81">
        <f t="shared" si="4"/>
        <v>693501.1875</v>
      </c>
      <c r="AB64" s="80">
        <f t="shared" si="13"/>
        <v>110342.27326968974</v>
      </c>
      <c r="AC64" s="80">
        <f t="shared" si="14"/>
        <v>866876.484375</v>
      </c>
      <c r="AD64" s="80">
        <f t="shared" si="15"/>
        <v>137927.84158711217</v>
      </c>
    </row>
    <row r="65" spans="1:30" s="125" customFormat="1" ht="17.25" customHeight="1">
      <c r="A65" s="1209">
        <v>39</v>
      </c>
      <c r="B65" s="153" t="s">
        <v>603</v>
      </c>
      <c r="C65" s="561" t="s">
        <v>99</v>
      </c>
      <c r="D65" s="563" t="s">
        <v>25</v>
      </c>
      <c r="E65" s="1000" t="s">
        <v>601</v>
      </c>
      <c r="F65" s="562" t="s">
        <v>159</v>
      </c>
      <c r="G65" s="547">
        <v>1</v>
      </c>
      <c r="H65" s="1000" t="s">
        <v>102</v>
      </c>
      <c r="I65" s="1000" t="s">
        <v>103</v>
      </c>
      <c r="J65" s="1001">
        <v>4</v>
      </c>
      <c r="K65" s="554">
        <v>17697</v>
      </c>
      <c r="L65" s="565">
        <v>6</v>
      </c>
      <c r="M65" s="554">
        <f t="shared" si="7"/>
        <v>0.33333333333333331</v>
      </c>
      <c r="N65" s="566" t="s">
        <v>112</v>
      </c>
      <c r="O65" s="1014">
        <v>3.52</v>
      </c>
      <c r="P65" s="567">
        <f t="shared" si="8"/>
        <v>20764.480000000003</v>
      </c>
      <c r="Q65" s="556">
        <f t="shared" si="9"/>
        <v>5191.1200000000008</v>
      </c>
      <c r="R65" s="568"/>
      <c r="S65" s="554"/>
      <c r="T65" s="554">
        <v>0.1</v>
      </c>
      <c r="U65" s="556">
        <f t="shared" si="10"/>
        <v>2595.5600000000009</v>
      </c>
      <c r="V65" s="569"/>
      <c r="W65" s="554"/>
      <c r="X65" s="559">
        <f t="shared" si="11"/>
        <v>28551.160000000007</v>
      </c>
      <c r="Y65" s="682">
        <f t="shared" si="12"/>
        <v>0</v>
      </c>
      <c r="Z65" s="682">
        <f t="shared" si="12"/>
        <v>0</v>
      </c>
      <c r="AA65" s="81">
        <f t="shared" si="4"/>
        <v>342613.9200000001</v>
      </c>
      <c r="AB65" s="80">
        <f t="shared" si="13"/>
        <v>54512.954653937966</v>
      </c>
      <c r="AC65" s="80">
        <f t="shared" si="14"/>
        <v>428267.40000000014</v>
      </c>
      <c r="AD65" s="80">
        <f t="shared" si="15"/>
        <v>68141.193317422454</v>
      </c>
    </row>
    <row r="66" spans="1:30" s="125" customFormat="1" ht="17.25" customHeight="1">
      <c r="A66" s="423">
        <v>40</v>
      </c>
      <c r="B66" s="1060" t="s">
        <v>177</v>
      </c>
      <c r="C66" s="1055" t="s">
        <v>99</v>
      </c>
      <c r="D66" s="1061" t="s">
        <v>178</v>
      </c>
      <c r="E66" s="1056" t="s">
        <v>695</v>
      </c>
      <c r="F66" s="1056" t="s">
        <v>366</v>
      </c>
      <c r="G66" s="1036">
        <v>1</v>
      </c>
      <c r="H66" s="1061" t="s">
        <v>102</v>
      </c>
      <c r="I66" s="1061" t="s">
        <v>103</v>
      </c>
      <c r="J66" s="1074">
        <v>2</v>
      </c>
      <c r="K66" s="1039">
        <v>17697</v>
      </c>
      <c r="L66" s="1058">
        <v>30</v>
      </c>
      <c r="M66" s="1045">
        <f t="shared" si="7"/>
        <v>1.6666666666666667</v>
      </c>
      <c r="N66" s="1078" t="s">
        <v>104</v>
      </c>
      <c r="O66" s="1079">
        <v>4.4400000000000004</v>
      </c>
      <c r="P66" s="1070">
        <f t="shared" si="8"/>
        <v>130957.8</v>
      </c>
      <c r="Q66" s="328">
        <f t="shared" si="9"/>
        <v>32739.45</v>
      </c>
      <c r="R66" s="1073"/>
      <c r="S66" s="1045"/>
      <c r="T66" s="1039">
        <v>0.1</v>
      </c>
      <c r="U66" s="328">
        <f t="shared" si="10"/>
        <v>16369.725</v>
      </c>
      <c r="V66" s="1077"/>
      <c r="W66" s="1045"/>
      <c r="X66" s="1040">
        <f t="shared" si="11"/>
        <v>180066.97500000001</v>
      </c>
      <c r="Y66" s="991"/>
      <c r="Z66" s="991"/>
      <c r="AA66" s="81">
        <f t="shared" si="4"/>
        <v>2160803.7000000002</v>
      </c>
      <c r="AB66" s="80">
        <f t="shared" si="13"/>
        <v>343803.2935560859</v>
      </c>
      <c r="AC66" s="80">
        <f t="shared" si="14"/>
        <v>2701004.625</v>
      </c>
      <c r="AD66" s="80">
        <f t="shared" si="15"/>
        <v>429754.11694510741</v>
      </c>
    </row>
    <row r="67" spans="1:30" s="125" customFormat="1" ht="17.25" customHeight="1">
      <c r="A67" s="1209">
        <v>41</v>
      </c>
      <c r="B67" s="1060" t="s">
        <v>182</v>
      </c>
      <c r="C67" s="1055" t="s">
        <v>99</v>
      </c>
      <c r="D67" s="1061" t="s">
        <v>25</v>
      </c>
      <c r="E67" s="1056" t="s">
        <v>701</v>
      </c>
      <c r="F67" s="1056" t="s">
        <v>51</v>
      </c>
      <c r="G67" s="1036">
        <v>1</v>
      </c>
      <c r="H67" s="1061" t="s">
        <v>102</v>
      </c>
      <c r="I67" s="1061" t="s">
        <v>103</v>
      </c>
      <c r="J67" s="1074">
        <v>1</v>
      </c>
      <c r="K67" s="1039">
        <v>17697</v>
      </c>
      <c r="L67" s="1058">
        <v>34</v>
      </c>
      <c r="M67" s="1039">
        <f t="shared" si="7"/>
        <v>1.8888888888888888</v>
      </c>
      <c r="N67" s="1054" t="s">
        <v>152</v>
      </c>
      <c r="O67" s="1048">
        <v>4.6900000000000004</v>
      </c>
      <c r="P67" s="1049">
        <f t="shared" si="8"/>
        <v>156775.75666666668</v>
      </c>
      <c r="Q67" s="328">
        <f t="shared" si="9"/>
        <v>39193.939166666671</v>
      </c>
      <c r="R67" s="1050"/>
      <c r="S67" s="1039"/>
      <c r="T67" s="1039">
        <v>0.1</v>
      </c>
      <c r="U67" s="328">
        <f t="shared" si="10"/>
        <v>19596.969583333335</v>
      </c>
      <c r="V67" s="1051"/>
      <c r="W67" s="1039"/>
      <c r="X67" s="1040">
        <f t="shared" si="11"/>
        <v>215566.66541666668</v>
      </c>
      <c r="Y67" s="682"/>
      <c r="Z67" s="682"/>
      <c r="AA67" s="81">
        <f t="shared" si="4"/>
        <v>2586799.9850000003</v>
      </c>
      <c r="AB67" s="80">
        <f t="shared" si="13"/>
        <v>411583.1320604615</v>
      </c>
      <c r="AC67" s="80">
        <f t="shared" si="14"/>
        <v>3233499.9812500002</v>
      </c>
      <c r="AD67" s="80">
        <f t="shared" si="15"/>
        <v>514478.91507557686</v>
      </c>
    </row>
    <row r="68" spans="1:30" s="80" customFormat="1" ht="17.25" customHeight="1">
      <c r="A68" s="423">
        <v>42</v>
      </c>
      <c r="B68" s="1060" t="s">
        <v>184</v>
      </c>
      <c r="C68" s="1055" t="s">
        <v>99</v>
      </c>
      <c r="D68" s="1061" t="s">
        <v>25</v>
      </c>
      <c r="E68" s="1065" t="s">
        <v>702</v>
      </c>
      <c r="F68" s="1056" t="s">
        <v>27</v>
      </c>
      <c r="G68" s="1036">
        <v>1</v>
      </c>
      <c r="H68" s="1061" t="s">
        <v>102</v>
      </c>
      <c r="I68" s="1061" t="s">
        <v>103</v>
      </c>
      <c r="J68" s="1074">
        <v>1</v>
      </c>
      <c r="K68" s="1039">
        <v>17697</v>
      </c>
      <c r="L68" s="1058">
        <v>29</v>
      </c>
      <c r="M68" s="1039">
        <f t="shared" si="7"/>
        <v>1.6111111111111112</v>
      </c>
      <c r="N68" s="1054" t="s">
        <v>152</v>
      </c>
      <c r="O68" s="1048">
        <v>4.75</v>
      </c>
      <c r="P68" s="1049">
        <f t="shared" si="8"/>
        <v>135431.20833333334</v>
      </c>
      <c r="Q68" s="328">
        <f t="shared" si="9"/>
        <v>33857.802083333336</v>
      </c>
      <c r="R68" s="1050"/>
      <c r="S68" s="1039"/>
      <c r="T68" s="1039">
        <v>0.1</v>
      </c>
      <c r="U68" s="328">
        <f t="shared" si="10"/>
        <v>16928.901041666668</v>
      </c>
      <c r="V68" s="1051"/>
      <c r="W68" s="1039"/>
      <c r="X68" s="1040">
        <f t="shared" si="11"/>
        <v>186217.91145833334</v>
      </c>
      <c r="Y68" s="274">
        <f t="shared" si="12"/>
        <v>0</v>
      </c>
      <c r="Z68" s="274">
        <f t="shared" si="12"/>
        <v>0</v>
      </c>
      <c r="AA68" s="81">
        <f t="shared" si="4"/>
        <v>2234614.9375</v>
      </c>
      <c r="AB68" s="80">
        <f t="shared" si="13"/>
        <v>355547.32498011144</v>
      </c>
      <c r="AC68" s="80">
        <f t="shared" si="14"/>
        <v>2793268.671875</v>
      </c>
      <c r="AD68" s="80">
        <f t="shared" si="15"/>
        <v>444434.15622513922</v>
      </c>
    </row>
    <row r="69" spans="1:30" s="80" customFormat="1" ht="17.25" customHeight="1">
      <c r="A69" s="1209">
        <v>43</v>
      </c>
      <c r="B69" s="1060" t="s">
        <v>186</v>
      </c>
      <c r="C69" s="1055" t="s">
        <v>99</v>
      </c>
      <c r="D69" s="1061" t="s">
        <v>25</v>
      </c>
      <c r="E69" s="1056" t="s">
        <v>703</v>
      </c>
      <c r="F69" s="1056" t="s">
        <v>27</v>
      </c>
      <c r="G69" s="1036">
        <v>1</v>
      </c>
      <c r="H69" s="1061" t="s">
        <v>102</v>
      </c>
      <c r="I69" s="1061" t="s">
        <v>103</v>
      </c>
      <c r="J69" s="1074">
        <v>1</v>
      </c>
      <c r="K69" s="1039">
        <v>17697</v>
      </c>
      <c r="L69" s="1058">
        <v>25</v>
      </c>
      <c r="M69" s="1039">
        <f t="shared" si="7"/>
        <v>1.3888888888888888</v>
      </c>
      <c r="N69" s="1054" t="s">
        <v>152</v>
      </c>
      <c r="O69" s="1048">
        <v>4.75</v>
      </c>
      <c r="P69" s="1049">
        <f t="shared" si="8"/>
        <v>116751.04166666667</v>
      </c>
      <c r="Q69" s="328">
        <f t="shared" si="9"/>
        <v>29187.760416666668</v>
      </c>
      <c r="R69" s="1050"/>
      <c r="S69" s="1039"/>
      <c r="T69" s="1039">
        <v>0.1</v>
      </c>
      <c r="U69" s="328">
        <f t="shared" si="10"/>
        <v>14593.880208333336</v>
      </c>
      <c r="V69" s="1051"/>
      <c r="W69" s="1039"/>
      <c r="X69" s="1040">
        <f t="shared" si="11"/>
        <v>160532.68229166669</v>
      </c>
      <c r="Y69" s="274">
        <f t="shared" si="12"/>
        <v>0</v>
      </c>
      <c r="Z69" s="274">
        <f t="shared" si="12"/>
        <v>0</v>
      </c>
      <c r="AA69" s="81">
        <f t="shared" si="4"/>
        <v>1926392.1875000002</v>
      </c>
      <c r="AB69" s="80">
        <f t="shared" si="13"/>
        <v>306506.31463802711</v>
      </c>
      <c r="AC69" s="80">
        <f t="shared" si="14"/>
        <v>2407990.2343750005</v>
      </c>
      <c r="AD69" s="80">
        <f t="shared" si="15"/>
        <v>383132.89329753391</v>
      </c>
    </row>
    <row r="70" spans="1:30" s="80" customFormat="1" ht="17.25" customHeight="1">
      <c r="A70" s="423">
        <v>44</v>
      </c>
      <c r="B70" s="1102" t="s">
        <v>188</v>
      </c>
      <c r="C70" s="1103" t="s">
        <v>99</v>
      </c>
      <c r="D70" s="1104" t="s">
        <v>25</v>
      </c>
      <c r="E70" s="1105" t="s">
        <v>708</v>
      </c>
      <c r="F70" s="1106" t="s">
        <v>51</v>
      </c>
      <c r="G70" s="1036">
        <v>1</v>
      </c>
      <c r="H70" s="1104" t="s">
        <v>102</v>
      </c>
      <c r="I70" s="1104" t="s">
        <v>103</v>
      </c>
      <c r="J70" s="1074">
        <v>1</v>
      </c>
      <c r="K70" s="1107">
        <v>17697</v>
      </c>
      <c r="L70" s="1108">
        <v>33</v>
      </c>
      <c r="M70" s="1039">
        <f t="shared" si="7"/>
        <v>1.8333333333333333</v>
      </c>
      <c r="N70" s="1054" t="s">
        <v>152</v>
      </c>
      <c r="O70" s="1109">
        <v>4.6900000000000004</v>
      </c>
      <c r="P70" s="1110">
        <f t="shared" si="8"/>
        <v>152164.70500000002</v>
      </c>
      <c r="Q70" s="328">
        <f t="shared" si="9"/>
        <v>38041.176250000004</v>
      </c>
      <c r="R70" s="1111"/>
      <c r="S70" s="1107"/>
      <c r="T70" s="1107">
        <v>0.1</v>
      </c>
      <c r="U70" s="328">
        <f t="shared" si="10"/>
        <v>19020.588125000006</v>
      </c>
      <c r="V70" s="1112"/>
      <c r="W70" s="1107"/>
      <c r="X70" s="1040">
        <f t="shared" si="11"/>
        <v>209226.46937500004</v>
      </c>
      <c r="Y70" s="274">
        <f t="shared" si="12"/>
        <v>0</v>
      </c>
      <c r="Z70" s="274">
        <f t="shared" si="12"/>
        <v>0</v>
      </c>
      <c r="AA70" s="81">
        <f t="shared" si="4"/>
        <v>2510717.6325000003</v>
      </c>
      <c r="AB70" s="80">
        <f t="shared" si="13"/>
        <v>399477.74582338904</v>
      </c>
      <c r="AC70" s="80">
        <f t="shared" si="14"/>
        <v>3138397.0406250004</v>
      </c>
      <c r="AD70" s="80">
        <f t="shared" si="15"/>
        <v>499347.18227923638</v>
      </c>
    </row>
    <row r="71" spans="1:30" s="80" customFormat="1" ht="17.25" customHeight="1">
      <c r="A71" s="1209">
        <v>45</v>
      </c>
      <c r="B71" s="587" t="s">
        <v>450</v>
      </c>
      <c r="C71" s="588" t="s">
        <v>99</v>
      </c>
      <c r="D71" s="589" t="s">
        <v>25</v>
      </c>
      <c r="E71" s="590" t="s">
        <v>611</v>
      </c>
      <c r="F71" s="591" t="s">
        <v>34</v>
      </c>
      <c r="G71" s="547">
        <v>1</v>
      </c>
      <c r="H71" s="589" t="s">
        <v>102</v>
      </c>
      <c r="I71" s="589" t="s">
        <v>103</v>
      </c>
      <c r="J71" s="564">
        <v>1</v>
      </c>
      <c r="K71" s="593">
        <v>17697</v>
      </c>
      <c r="L71" s="594">
        <v>27</v>
      </c>
      <c r="M71" s="700">
        <f t="shared" si="7"/>
        <v>1.5</v>
      </c>
      <c r="N71" s="1004" t="s">
        <v>152</v>
      </c>
      <c r="O71" s="1020">
        <v>4.75</v>
      </c>
      <c r="P71" s="1005">
        <f t="shared" si="8"/>
        <v>126091.12500000001</v>
      </c>
      <c r="Q71" s="556">
        <f t="shared" si="9"/>
        <v>31522.781250000004</v>
      </c>
      <c r="R71" s="1006"/>
      <c r="S71" s="887"/>
      <c r="T71" s="887">
        <v>0.1</v>
      </c>
      <c r="U71" s="556">
        <f t="shared" si="10"/>
        <v>15761.390625000004</v>
      </c>
      <c r="V71" s="1007"/>
      <c r="W71" s="887"/>
      <c r="X71" s="559">
        <f t="shared" si="11"/>
        <v>173375.29687500003</v>
      </c>
      <c r="Y71" s="270">
        <f t="shared" si="12"/>
        <v>0</v>
      </c>
      <c r="Z71" s="270">
        <f t="shared" si="12"/>
        <v>0</v>
      </c>
      <c r="AA71" s="81">
        <f t="shared" si="4"/>
        <v>2080503.5625000005</v>
      </c>
      <c r="AB71" s="80">
        <f t="shared" si="13"/>
        <v>331026.81980906927</v>
      </c>
      <c r="AC71" s="80">
        <f t="shared" si="14"/>
        <v>2600629.4531250005</v>
      </c>
      <c r="AD71" s="80">
        <f t="shared" si="15"/>
        <v>413783.52476133656</v>
      </c>
    </row>
    <row r="72" spans="1:30" s="80" customFormat="1" ht="17.25" customHeight="1">
      <c r="A72" s="423">
        <v>46</v>
      </c>
      <c r="B72" s="1102" t="s">
        <v>454</v>
      </c>
      <c r="C72" s="1103" t="s">
        <v>99</v>
      </c>
      <c r="D72" s="1104" t="s">
        <v>189</v>
      </c>
      <c r="E72" s="1105" t="s">
        <v>709</v>
      </c>
      <c r="F72" s="1106" t="s">
        <v>77</v>
      </c>
      <c r="G72" s="1036">
        <v>1</v>
      </c>
      <c r="H72" s="1104" t="s">
        <v>102</v>
      </c>
      <c r="I72" s="1104" t="s">
        <v>103</v>
      </c>
      <c r="J72" s="1062">
        <v>4</v>
      </c>
      <c r="K72" s="1107">
        <v>17697</v>
      </c>
      <c r="L72" s="1108">
        <v>30</v>
      </c>
      <c r="M72" s="1045">
        <f t="shared" si="7"/>
        <v>1.6666666666666667</v>
      </c>
      <c r="N72" s="1113" t="s">
        <v>112</v>
      </c>
      <c r="O72" s="1114">
        <v>3.71</v>
      </c>
      <c r="P72" s="1115">
        <f t="shared" si="8"/>
        <v>109426.45</v>
      </c>
      <c r="Q72" s="328">
        <f t="shared" si="9"/>
        <v>27356.612499999999</v>
      </c>
      <c r="R72" s="1116"/>
      <c r="S72" s="1117"/>
      <c r="T72" s="1117">
        <v>0.1</v>
      </c>
      <c r="U72" s="328">
        <f t="shared" si="10"/>
        <v>13678.306250000001</v>
      </c>
      <c r="V72" s="1118"/>
      <c r="W72" s="1117"/>
      <c r="X72" s="1040">
        <f t="shared" si="11"/>
        <v>150461.36874999999</v>
      </c>
      <c r="Y72" s="270">
        <f t="shared" si="12"/>
        <v>0</v>
      </c>
      <c r="Z72" s="270">
        <f t="shared" si="12"/>
        <v>0</v>
      </c>
      <c r="AA72" s="81">
        <f t="shared" ref="AA72:AA137" si="16">X72*12</f>
        <v>1805536.4249999998</v>
      </c>
      <c r="AB72" s="80">
        <f t="shared" si="13"/>
        <v>287277.076372315</v>
      </c>
      <c r="AC72" s="80">
        <f t="shared" si="14"/>
        <v>2256920.53125</v>
      </c>
      <c r="AD72" s="80">
        <f t="shared" si="15"/>
        <v>359096.3454653938</v>
      </c>
    </row>
    <row r="73" spans="1:30" s="80" customFormat="1" ht="15.75">
      <c r="A73" s="1209">
        <v>47</v>
      </c>
      <c r="B73" s="1060" t="s">
        <v>193</v>
      </c>
      <c r="C73" s="1055" t="s">
        <v>99</v>
      </c>
      <c r="D73" s="1061" t="s">
        <v>64</v>
      </c>
      <c r="E73" s="1081" t="s">
        <v>716</v>
      </c>
      <c r="F73" s="1056" t="s">
        <v>403</v>
      </c>
      <c r="G73" s="1036">
        <v>1</v>
      </c>
      <c r="H73" s="1061" t="s">
        <v>102</v>
      </c>
      <c r="I73" s="1061" t="s">
        <v>118</v>
      </c>
      <c r="J73" s="1074">
        <v>3</v>
      </c>
      <c r="K73" s="1039">
        <v>17697</v>
      </c>
      <c r="L73" s="1058">
        <v>33</v>
      </c>
      <c r="M73" s="1045">
        <f t="shared" si="7"/>
        <v>1.8333333333333333</v>
      </c>
      <c r="N73" s="1078" t="s">
        <v>109</v>
      </c>
      <c r="O73" s="1079">
        <v>3.97</v>
      </c>
      <c r="P73" s="1070">
        <f t="shared" si="8"/>
        <v>128804.66499999999</v>
      </c>
      <c r="Q73" s="328">
        <f t="shared" si="9"/>
        <v>32201.166249999998</v>
      </c>
      <c r="R73" s="1073"/>
      <c r="S73" s="1045"/>
      <c r="T73" s="1045">
        <v>0.1</v>
      </c>
      <c r="U73" s="328">
        <f t="shared" si="10"/>
        <v>16100.583124999999</v>
      </c>
      <c r="V73" s="1077"/>
      <c r="W73" s="1045"/>
      <c r="X73" s="1040">
        <f t="shared" si="11"/>
        <v>177106.41437499999</v>
      </c>
      <c r="Y73" s="304"/>
      <c r="Z73" s="304"/>
      <c r="AA73" s="81">
        <f t="shared" si="16"/>
        <v>2125276.9725000001</v>
      </c>
      <c r="AB73" s="80">
        <f t="shared" si="13"/>
        <v>338150.67183770891</v>
      </c>
      <c r="AC73" s="80">
        <f t="shared" si="14"/>
        <v>2656596.2156250002</v>
      </c>
      <c r="AD73" s="80">
        <f t="shared" si="15"/>
        <v>422688.33979713608</v>
      </c>
    </row>
    <row r="74" spans="1:30" s="80" customFormat="1" ht="15.75">
      <c r="A74" s="423">
        <v>48</v>
      </c>
      <c r="B74" s="1060" t="s">
        <v>197</v>
      </c>
      <c r="C74" s="1055" t="s">
        <v>99</v>
      </c>
      <c r="D74" s="1061" t="s">
        <v>25</v>
      </c>
      <c r="E74" s="1081" t="s">
        <v>717</v>
      </c>
      <c r="F74" s="1056" t="s">
        <v>34</v>
      </c>
      <c r="G74" s="1036">
        <v>1</v>
      </c>
      <c r="H74" s="1061" t="s">
        <v>102</v>
      </c>
      <c r="I74" s="1061" t="s">
        <v>103</v>
      </c>
      <c r="J74" s="1062">
        <v>1</v>
      </c>
      <c r="K74" s="1039">
        <v>17697</v>
      </c>
      <c r="L74" s="1058">
        <v>30</v>
      </c>
      <c r="M74" s="1045">
        <f t="shared" si="7"/>
        <v>1.6666666666666667</v>
      </c>
      <c r="N74" s="1113" t="s">
        <v>152</v>
      </c>
      <c r="O74" s="1079">
        <v>4.75</v>
      </c>
      <c r="P74" s="1070">
        <f t="shared" si="8"/>
        <v>140101.25</v>
      </c>
      <c r="Q74" s="328">
        <f t="shared" si="9"/>
        <v>35025.3125</v>
      </c>
      <c r="R74" s="1073"/>
      <c r="S74" s="1045"/>
      <c r="T74" s="1045">
        <v>0.1</v>
      </c>
      <c r="U74" s="328">
        <f t="shared" si="10"/>
        <v>17512.65625</v>
      </c>
      <c r="V74" s="1077"/>
      <c r="W74" s="1045"/>
      <c r="X74" s="1040">
        <f t="shared" si="11"/>
        <v>192639.21875</v>
      </c>
      <c r="Y74" s="303">
        <f t="shared" ref="Y74:Z77" si="17">V74+R74</f>
        <v>0</v>
      </c>
      <c r="Z74" s="303">
        <f t="shared" si="17"/>
        <v>0</v>
      </c>
      <c r="AA74" s="81">
        <f t="shared" si="16"/>
        <v>2311670.625</v>
      </c>
      <c r="AB74" s="80">
        <f t="shared" si="13"/>
        <v>367807.57756563247</v>
      </c>
      <c r="AC74" s="80">
        <f t="shared" si="14"/>
        <v>2889588.28125</v>
      </c>
      <c r="AD74" s="80">
        <f t="shared" si="15"/>
        <v>459759.4719570406</v>
      </c>
    </row>
    <row r="75" spans="1:30" s="80" customFormat="1" ht="17.25" customHeight="1">
      <c r="A75" s="1209">
        <v>49</v>
      </c>
      <c r="B75" s="1008" t="s">
        <v>627</v>
      </c>
      <c r="C75" s="1009" t="s">
        <v>99</v>
      </c>
      <c r="D75" s="563" t="s">
        <v>152</v>
      </c>
      <c r="E75" s="999" t="s">
        <v>636</v>
      </c>
      <c r="F75" s="562" t="s">
        <v>34</v>
      </c>
      <c r="G75" s="547">
        <v>1</v>
      </c>
      <c r="H75" s="1000" t="s">
        <v>102</v>
      </c>
      <c r="I75" s="1000" t="s">
        <v>103</v>
      </c>
      <c r="J75" s="1001">
        <v>1</v>
      </c>
      <c r="K75" s="888">
        <v>17697</v>
      </c>
      <c r="L75" s="1010">
        <v>10</v>
      </c>
      <c r="M75" s="554">
        <f t="shared" si="7"/>
        <v>0.55555555555555558</v>
      </c>
      <c r="N75" s="1004" t="s">
        <v>152</v>
      </c>
      <c r="O75" s="1021">
        <v>4.75</v>
      </c>
      <c r="P75" s="607">
        <f t="shared" si="8"/>
        <v>46700.416666666672</v>
      </c>
      <c r="Q75" s="556">
        <f t="shared" si="9"/>
        <v>11675.104166666668</v>
      </c>
      <c r="R75" s="1011"/>
      <c r="S75" s="888"/>
      <c r="T75" s="605">
        <v>0.1</v>
      </c>
      <c r="U75" s="556">
        <f t="shared" si="10"/>
        <v>5837.5520833333348</v>
      </c>
      <c r="V75" s="1012"/>
      <c r="W75" s="888"/>
      <c r="X75" s="559">
        <f t="shared" si="11"/>
        <v>64213.072916666679</v>
      </c>
      <c r="Y75" s="980"/>
      <c r="Z75" s="980"/>
      <c r="AA75" s="81">
        <f t="shared" si="16"/>
        <v>770556.87500000012</v>
      </c>
      <c r="AB75" s="80">
        <f t="shared" si="13"/>
        <v>122602.52585521086</v>
      </c>
      <c r="AC75" s="80">
        <f t="shared" si="14"/>
        <v>963196.09375000012</v>
      </c>
      <c r="AD75" s="80">
        <f t="shared" si="15"/>
        <v>153253.15731901355</v>
      </c>
    </row>
    <row r="76" spans="1:30" s="80" customFormat="1" ht="17.25" customHeight="1">
      <c r="A76" s="423">
        <v>50</v>
      </c>
      <c r="B76" s="1120" t="s">
        <v>199</v>
      </c>
      <c r="C76" s="1121" t="s">
        <v>99</v>
      </c>
      <c r="D76" s="1061" t="s">
        <v>25</v>
      </c>
      <c r="E76" s="1081" t="s">
        <v>721</v>
      </c>
      <c r="F76" s="1056" t="s">
        <v>722</v>
      </c>
      <c r="G76" s="1036">
        <v>1</v>
      </c>
      <c r="H76" s="1061" t="s">
        <v>102</v>
      </c>
      <c r="I76" s="1061" t="s">
        <v>118</v>
      </c>
      <c r="J76" s="1074">
        <v>4</v>
      </c>
      <c r="K76" s="1126">
        <v>17697</v>
      </c>
      <c r="L76" s="1133">
        <v>13</v>
      </c>
      <c r="M76" s="1039">
        <f t="shared" si="7"/>
        <v>0.72222222222222221</v>
      </c>
      <c r="N76" s="1072" t="s">
        <v>112</v>
      </c>
      <c r="O76" s="1135">
        <v>3.41</v>
      </c>
      <c r="P76" s="1134">
        <f t="shared" si="8"/>
        <v>43583.778333333335</v>
      </c>
      <c r="Q76" s="328">
        <f t="shared" si="9"/>
        <v>10895.944583333334</v>
      </c>
      <c r="R76" s="1131"/>
      <c r="S76" s="1126"/>
      <c r="T76" s="1129">
        <v>0.1</v>
      </c>
      <c r="U76" s="328">
        <f t="shared" si="10"/>
        <v>5447.9722916666669</v>
      </c>
      <c r="V76" s="1136"/>
      <c r="W76" s="1126"/>
      <c r="X76" s="1040">
        <f t="shared" si="11"/>
        <v>59927.695208333331</v>
      </c>
      <c r="Y76" s="980"/>
      <c r="Z76" s="980"/>
      <c r="AA76" s="81">
        <f t="shared" si="16"/>
        <v>719132.34250000003</v>
      </c>
      <c r="AB76" s="80">
        <f t="shared" si="13"/>
        <v>114420.42044550518</v>
      </c>
      <c r="AC76" s="80">
        <f t="shared" si="14"/>
        <v>898915.42812500009</v>
      </c>
      <c r="AD76" s="80">
        <f t="shared" si="15"/>
        <v>143025.52555688148</v>
      </c>
    </row>
    <row r="77" spans="1:30" s="80" customFormat="1" ht="17.25" customHeight="1">
      <c r="A77" s="1209">
        <v>51</v>
      </c>
      <c r="B77" s="1008" t="s">
        <v>630</v>
      </c>
      <c r="C77" s="1009" t="s">
        <v>99</v>
      </c>
      <c r="D77" s="563" t="s">
        <v>25</v>
      </c>
      <c r="E77" s="1000" t="s">
        <v>635</v>
      </c>
      <c r="F77" s="562" t="s">
        <v>77</v>
      </c>
      <c r="G77" s="547">
        <v>1</v>
      </c>
      <c r="H77" s="1000" t="s">
        <v>102</v>
      </c>
      <c r="I77" s="1000" t="s">
        <v>103</v>
      </c>
      <c r="J77" s="1001">
        <v>3</v>
      </c>
      <c r="K77" s="888">
        <v>17697</v>
      </c>
      <c r="L77" s="1010">
        <v>11</v>
      </c>
      <c r="M77" s="554">
        <f t="shared" si="7"/>
        <v>0.61111111111111116</v>
      </c>
      <c r="N77" s="997" t="s">
        <v>109</v>
      </c>
      <c r="O77" s="1016">
        <v>4</v>
      </c>
      <c r="P77" s="607">
        <f t="shared" si="8"/>
        <v>43259.333333333328</v>
      </c>
      <c r="Q77" s="556">
        <f t="shared" si="9"/>
        <v>10814.833333333332</v>
      </c>
      <c r="R77" s="608"/>
      <c r="S77" s="605"/>
      <c r="T77" s="605">
        <v>0.1</v>
      </c>
      <c r="U77" s="556">
        <f t="shared" si="10"/>
        <v>5407.4166666666661</v>
      </c>
      <c r="V77" s="609"/>
      <c r="W77" s="605"/>
      <c r="X77" s="559">
        <f t="shared" si="11"/>
        <v>59481.583333333321</v>
      </c>
      <c r="Y77" s="304">
        <f t="shared" si="17"/>
        <v>0</v>
      </c>
      <c r="Z77" s="304">
        <f t="shared" si="17"/>
        <v>0</v>
      </c>
      <c r="AA77" s="81">
        <f t="shared" si="16"/>
        <v>713778.99999999988</v>
      </c>
      <c r="AB77" s="80">
        <f t="shared" si="13"/>
        <v>113568.65552903737</v>
      </c>
      <c r="AC77" s="80">
        <f t="shared" si="14"/>
        <v>892223.74999999988</v>
      </c>
      <c r="AD77" s="80">
        <f t="shared" si="15"/>
        <v>141960.81941129672</v>
      </c>
    </row>
    <row r="78" spans="1:30" s="80" customFormat="1" ht="17.25" customHeight="1">
      <c r="A78" s="423">
        <v>52</v>
      </c>
      <c r="B78" s="1008" t="s">
        <v>439</v>
      </c>
      <c r="C78" s="1009" t="s">
        <v>99</v>
      </c>
      <c r="D78" s="563" t="s">
        <v>75</v>
      </c>
      <c r="E78" s="562" t="s">
        <v>612</v>
      </c>
      <c r="F78" s="562" t="s">
        <v>159</v>
      </c>
      <c r="G78" s="547">
        <v>1</v>
      </c>
      <c r="H78" s="580" t="s">
        <v>102</v>
      </c>
      <c r="I78" s="580" t="s">
        <v>118</v>
      </c>
      <c r="J78" s="574">
        <v>4</v>
      </c>
      <c r="K78" s="554">
        <v>17697</v>
      </c>
      <c r="L78" s="1010">
        <v>25</v>
      </c>
      <c r="M78" s="554">
        <f t="shared" si="7"/>
        <v>1.3888888888888888</v>
      </c>
      <c r="N78" s="574" t="s">
        <v>112</v>
      </c>
      <c r="O78" s="1016">
        <v>3.32</v>
      </c>
      <c r="P78" s="607">
        <f t="shared" si="8"/>
        <v>81602.833333333314</v>
      </c>
      <c r="Q78" s="556">
        <f t="shared" si="9"/>
        <v>20400.708333333328</v>
      </c>
      <c r="R78" s="608"/>
      <c r="S78" s="605"/>
      <c r="T78" s="605">
        <v>0.1</v>
      </c>
      <c r="U78" s="556">
        <f t="shared" si="10"/>
        <v>10200.354166666664</v>
      </c>
      <c r="V78" s="609"/>
      <c r="W78" s="605"/>
      <c r="X78" s="559">
        <f t="shared" si="11"/>
        <v>112203.89583333331</v>
      </c>
      <c r="Y78" s="304"/>
      <c r="Z78" s="304"/>
      <c r="AA78" s="81">
        <f t="shared" si="16"/>
        <v>1346446.7499999998</v>
      </c>
      <c r="AB78" s="80">
        <f t="shared" si="13"/>
        <v>214231.78202068413</v>
      </c>
      <c r="AC78" s="80">
        <f t="shared" si="14"/>
        <v>1683058.4374999998</v>
      </c>
      <c r="AD78" s="80">
        <f t="shared" si="15"/>
        <v>267789.72752585524</v>
      </c>
    </row>
    <row r="79" spans="1:30" s="80" customFormat="1" ht="17.25" customHeight="1">
      <c r="A79" s="1209">
        <v>53</v>
      </c>
      <c r="B79" s="1008" t="s">
        <v>625</v>
      </c>
      <c r="C79" s="1009" t="s">
        <v>99</v>
      </c>
      <c r="D79" s="563" t="s">
        <v>25</v>
      </c>
      <c r="E79" s="1000" t="s">
        <v>637</v>
      </c>
      <c r="F79" s="562" t="s">
        <v>34</v>
      </c>
      <c r="G79" s="547">
        <v>1</v>
      </c>
      <c r="H79" s="1000" t="s">
        <v>102</v>
      </c>
      <c r="I79" s="1000" t="s">
        <v>103</v>
      </c>
      <c r="J79" s="1001">
        <v>2</v>
      </c>
      <c r="K79" s="554">
        <v>17697</v>
      </c>
      <c r="L79" s="1010">
        <v>19</v>
      </c>
      <c r="M79" s="700">
        <f t="shared" si="7"/>
        <v>1.0555555555555556</v>
      </c>
      <c r="N79" s="698" t="s">
        <v>104</v>
      </c>
      <c r="O79" s="1021">
        <v>4.51</v>
      </c>
      <c r="P79" s="1013">
        <f t="shared" si="8"/>
        <v>84247.551666666666</v>
      </c>
      <c r="Q79" s="556">
        <f t="shared" si="9"/>
        <v>21061.887916666667</v>
      </c>
      <c r="R79" s="1011"/>
      <c r="S79" s="888"/>
      <c r="T79" s="605">
        <v>0.1</v>
      </c>
      <c r="U79" s="556">
        <f t="shared" si="10"/>
        <v>10530.943958333333</v>
      </c>
      <c r="V79" s="1012"/>
      <c r="W79" s="888"/>
      <c r="X79" s="559">
        <f t="shared" si="11"/>
        <v>115840.38354166666</v>
      </c>
      <c r="Y79" s="981"/>
      <c r="Z79" s="981"/>
      <c r="AA79" s="81">
        <f t="shared" si="16"/>
        <v>1390084.6024999998</v>
      </c>
      <c r="AB79" s="80">
        <f t="shared" si="13"/>
        <v>221174.9566428003</v>
      </c>
      <c r="AC79" s="80">
        <f t="shared" si="14"/>
        <v>1737605.7531249998</v>
      </c>
      <c r="AD79" s="80">
        <f t="shared" si="15"/>
        <v>276468.69580350036</v>
      </c>
    </row>
    <row r="80" spans="1:30" s="377" customFormat="1" ht="17.25" customHeight="1">
      <c r="A80" s="423">
        <v>54</v>
      </c>
      <c r="B80" s="463" t="s">
        <v>202</v>
      </c>
      <c r="C80" s="1197" t="s">
        <v>99</v>
      </c>
      <c r="D80" s="1164" t="s">
        <v>75</v>
      </c>
      <c r="E80" s="508" t="s">
        <v>720</v>
      </c>
      <c r="F80" s="1198" t="s">
        <v>66</v>
      </c>
      <c r="G80" s="1209">
        <v>1</v>
      </c>
      <c r="H80" s="1164" t="s">
        <v>102</v>
      </c>
      <c r="I80" s="1164" t="s">
        <v>103</v>
      </c>
      <c r="J80" s="1210">
        <v>2</v>
      </c>
      <c r="K80" s="1166">
        <v>17697</v>
      </c>
      <c r="L80" s="1212">
        <v>33</v>
      </c>
      <c r="M80" s="1166">
        <f t="shared" si="7"/>
        <v>1.8333333333333333</v>
      </c>
      <c r="N80" s="1206" t="s">
        <v>742</v>
      </c>
      <c r="O80" s="1213">
        <v>4.37</v>
      </c>
      <c r="P80" s="1214">
        <f t="shared" si="8"/>
        <v>141782.465</v>
      </c>
      <c r="Q80" s="401">
        <f t="shared" si="9"/>
        <v>35445.616249999999</v>
      </c>
      <c r="R80" s="1215"/>
      <c r="S80" s="1216"/>
      <c r="T80" s="1216">
        <v>0.1</v>
      </c>
      <c r="U80" s="401">
        <f>(P80+Q80)*T80</f>
        <v>17722.808125</v>
      </c>
      <c r="V80" s="1217"/>
      <c r="W80" s="1216"/>
      <c r="X80" s="1208">
        <f t="shared" si="11"/>
        <v>194950.889375</v>
      </c>
      <c r="Y80" s="437"/>
      <c r="Z80" s="437"/>
      <c r="AA80" s="375">
        <f t="shared" si="16"/>
        <v>2339410.6724999999</v>
      </c>
      <c r="AB80" s="377">
        <f t="shared" si="13"/>
        <v>372221.26849642006</v>
      </c>
      <c r="AC80" s="377">
        <f t="shared" si="14"/>
        <v>2924263.3406249997</v>
      </c>
      <c r="AD80" s="377">
        <f t="shared" si="15"/>
        <v>465276.58562052506</v>
      </c>
    </row>
    <row r="81" spans="1:44" s="112" customFormat="1" ht="17.25" customHeight="1">
      <c r="A81" s="613"/>
      <c r="B81" s="1517" t="s">
        <v>789</v>
      </c>
      <c r="C81" s="614"/>
      <c r="D81" s="615"/>
      <c r="E81" s="616"/>
      <c r="F81" s="616"/>
      <c r="G81" s="617"/>
      <c r="H81" s="615"/>
      <c r="I81" s="615"/>
      <c r="J81" s="618"/>
      <c r="K81" s="619"/>
      <c r="L81" s="620">
        <f>SUM(L27:L80)</f>
        <v>1135</v>
      </c>
      <c r="M81" s="619"/>
      <c r="N81" s="621"/>
      <c r="O81" s="622"/>
      <c r="P81" s="623"/>
      <c r="Q81" s="1030"/>
      <c r="R81" s="624"/>
      <c r="S81" s="619"/>
      <c r="T81" s="619"/>
      <c r="U81" s="623"/>
      <c r="V81" s="625"/>
      <c r="W81" s="619"/>
      <c r="X81" s="626"/>
      <c r="Y81" s="104"/>
      <c r="Z81" s="104"/>
      <c r="AA81" s="81">
        <f t="shared" si="16"/>
        <v>0</v>
      </c>
      <c r="AB81" s="80">
        <f t="shared" si="13"/>
        <v>0</v>
      </c>
      <c r="AC81" s="80">
        <f t="shared" si="14"/>
        <v>0</v>
      </c>
      <c r="AD81" s="80">
        <f t="shared" si="15"/>
        <v>0</v>
      </c>
      <c r="AE81" s="24"/>
      <c r="AF81" s="24"/>
      <c r="AG81" s="24"/>
      <c r="AH81" s="24"/>
      <c r="AI81" s="24"/>
      <c r="AJ81" s="24"/>
      <c r="AK81" s="22"/>
      <c r="AL81" s="24"/>
      <c r="AM81" s="24"/>
      <c r="AN81" s="24"/>
      <c r="AO81" s="24"/>
      <c r="AP81" s="24"/>
      <c r="AQ81" s="24"/>
      <c r="AR81" s="24"/>
    </row>
    <row r="82" spans="1:44" s="377" customFormat="1" ht="15.75">
      <c r="A82" s="423">
        <v>1</v>
      </c>
      <c r="B82" s="463" t="s">
        <v>215</v>
      </c>
      <c r="C82" s="1197" t="s">
        <v>99</v>
      </c>
      <c r="D82" s="1164" t="s">
        <v>25</v>
      </c>
      <c r="E82" s="1198" t="s">
        <v>653</v>
      </c>
      <c r="F82" s="1198" t="s">
        <v>217</v>
      </c>
      <c r="G82" s="1199">
        <v>1</v>
      </c>
      <c r="H82" s="1200" t="s">
        <v>102</v>
      </c>
      <c r="I82" s="1200" t="s">
        <v>103</v>
      </c>
      <c r="J82" s="1186">
        <v>1</v>
      </c>
      <c r="K82" s="1166">
        <v>17697</v>
      </c>
      <c r="L82" s="1201">
        <v>20</v>
      </c>
      <c r="M82" s="1166">
        <f>L82/18</f>
        <v>1.1111111111111112</v>
      </c>
      <c r="N82" s="1186" t="s">
        <v>152</v>
      </c>
      <c r="O82" s="1204">
        <v>4.6900000000000004</v>
      </c>
      <c r="P82" s="1171">
        <f t="shared" ref="P82:P102" si="18">O82*K82/18*L82</f>
        <v>92221.03333333334</v>
      </c>
      <c r="Q82" s="1168"/>
      <c r="R82" s="1203"/>
      <c r="S82" s="1166"/>
      <c r="T82" s="1166">
        <v>0.1</v>
      </c>
      <c r="U82" s="1171">
        <f>(P82+Q82)*T82</f>
        <v>9222.1033333333344</v>
      </c>
      <c r="V82" s="416"/>
      <c r="W82" s="1166"/>
      <c r="X82" s="1174">
        <f>P82+Q82+U82</f>
        <v>101443.13666666667</v>
      </c>
      <c r="Y82" s="406">
        <f t="shared" ref="Y82:Z84" si="19">V82+R82</f>
        <v>0</v>
      </c>
      <c r="Z82" s="406">
        <f t="shared" si="19"/>
        <v>0</v>
      </c>
      <c r="AA82" s="375">
        <f t="shared" si="16"/>
        <v>1217317.6400000001</v>
      </c>
      <c r="AB82" s="377">
        <f t="shared" si="13"/>
        <v>193686.17979315834</v>
      </c>
      <c r="AC82" s="377">
        <f t="shared" si="14"/>
        <v>1521647.0500000003</v>
      </c>
      <c r="AD82" s="377">
        <f t="shared" si="15"/>
        <v>242107.72474144795</v>
      </c>
    </row>
    <row r="83" spans="1:44" s="377" customFormat="1" ht="16.5" customHeight="1">
      <c r="A83" s="423">
        <v>2</v>
      </c>
      <c r="B83" s="463" t="s">
        <v>222</v>
      </c>
      <c r="C83" s="1197" t="s">
        <v>148</v>
      </c>
      <c r="D83" s="1164" t="s">
        <v>25</v>
      </c>
      <c r="E83" s="1198" t="s">
        <v>654</v>
      </c>
      <c r="F83" s="1198" t="s">
        <v>224</v>
      </c>
      <c r="G83" s="1199">
        <v>1</v>
      </c>
      <c r="H83" s="1200" t="s">
        <v>102</v>
      </c>
      <c r="I83" s="1200" t="s">
        <v>103</v>
      </c>
      <c r="J83" s="1186">
        <v>2</v>
      </c>
      <c r="K83" s="1166">
        <v>17697</v>
      </c>
      <c r="L83" s="1201">
        <v>31</v>
      </c>
      <c r="M83" s="1166">
        <f t="shared" ref="M83:M102" si="20">L83/18</f>
        <v>1.7222222222222223</v>
      </c>
      <c r="N83" s="1190" t="s">
        <v>104</v>
      </c>
      <c r="O83" s="1204">
        <v>4.16</v>
      </c>
      <c r="P83" s="1171">
        <f t="shared" si="18"/>
        <v>126789.17333333334</v>
      </c>
      <c r="Q83" s="1168"/>
      <c r="R83" s="1203"/>
      <c r="S83" s="1166"/>
      <c r="T83" s="1166">
        <v>0.1</v>
      </c>
      <c r="U83" s="1171">
        <f t="shared" ref="U83:U102" si="21">(P83+Q83)*T83</f>
        <v>12678.917333333335</v>
      </c>
      <c r="V83" s="416"/>
      <c r="W83" s="1166"/>
      <c r="X83" s="1174">
        <f t="shared" ref="X83:X93" si="22">P83+Q83+U83</f>
        <v>139468.09066666669</v>
      </c>
      <c r="Y83" s="406">
        <f t="shared" si="19"/>
        <v>0</v>
      </c>
      <c r="Z83" s="406">
        <f t="shared" si="19"/>
        <v>0</v>
      </c>
      <c r="AA83" s="375">
        <f t="shared" si="16"/>
        <v>1673617.0880000002</v>
      </c>
      <c r="AB83" s="377">
        <f t="shared" si="13"/>
        <v>266287.523945903</v>
      </c>
      <c r="AC83" s="377">
        <f t="shared" si="14"/>
        <v>2092021.3600000003</v>
      </c>
      <c r="AD83" s="377">
        <f t="shared" si="15"/>
        <v>332859.40493237873</v>
      </c>
    </row>
    <row r="84" spans="1:44" s="377" customFormat="1" ht="17.25" customHeight="1">
      <c r="A84" s="423">
        <v>3</v>
      </c>
      <c r="B84" s="463" t="s">
        <v>124</v>
      </c>
      <c r="C84" s="1197" t="s">
        <v>125</v>
      </c>
      <c r="D84" s="423" t="s">
        <v>75</v>
      </c>
      <c r="E84" s="424" t="s">
        <v>590</v>
      </c>
      <c r="F84" s="1198" t="s">
        <v>108</v>
      </c>
      <c r="G84" s="423">
        <v>1</v>
      </c>
      <c r="H84" s="1164" t="s">
        <v>102</v>
      </c>
      <c r="I84" s="1164" t="s">
        <v>118</v>
      </c>
      <c r="J84" s="1210">
        <v>3</v>
      </c>
      <c r="K84" s="1166">
        <v>17697</v>
      </c>
      <c r="L84" s="1205">
        <v>11</v>
      </c>
      <c r="M84" s="1166">
        <f t="shared" si="20"/>
        <v>0.61111111111111116</v>
      </c>
      <c r="N84" s="1186" t="s">
        <v>109</v>
      </c>
      <c r="O84" s="1206">
        <v>3.85</v>
      </c>
      <c r="P84" s="1171">
        <f t="shared" si="18"/>
        <v>41637.10833333333</v>
      </c>
      <c r="Q84" s="1168"/>
      <c r="R84" s="1203"/>
      <c r="S84" s="1166"/>
      <c r="T84" s="1166">
        <v>0.1</v>
      </c>
      <c r="U84" s="1171">
        <f t="shared" si="21"/>
        <v>4163.7108333333335</v>
      </c>
      <c r="V84" s="416"/>
      <c r="W84" s="1166"/>
      <c r="X84" s="1174">
        <f t="shared" si="22"/>
        <v>45800.819166666661</v>
      </c>
      <c r="Y84" s="406">
        <f t="shared" si="19"/>
        <v>0</v>
      </c>
      <c r="Z84" s="406">
        <f t="shared" si="19"/>
        <v>0</v>
      </c>
      <c r="AA84" s="375">
        <f t="shared" si="16"/>
        <v>549609.82999999996</v>
      </c>
      <c r="AB84" s="377">
        <f t="shared" si="13"/>
        <v>87447.86475735878</v>
      </c>
      <c r="AC84" s="377">
        <f t="shared" si="14"/>
        <v>687012.28749999998</v>
      </c>
      <c r="AD84" s="377">
        <f t="shared" si="15"/>
        <v>109309.83094669849</v>
      </c>
    </row>
    <row r="85" spans="1:44" s="377" customFormat="1" ht="17.25" customHeight="1">
      <c r="A85" s="423">
        <v>4</v>
      </c>
      <c r="B85" s="463" t="s">
        <v>618</v>
      </c>
      <c r="C85" s="1197" t="s">
        <v>99</v>
      </c>
      <c r="D85" s="423" t="s">
        <v>25</v>
      </c>
      <c r="E85" s="1231" t="s">
        <v>794</v>
      </c>
      <c r="F85" s="1198" t="s">
        <v>795</v>
      </c>
      <c r="G85" s="423">
        <v>1</v>
      </c>
      <c r="H85" s="1200" t="s">
        <v>102</v>
      </c>
      <c r="I85" s="1200" t="s">
        <v>103</v>
      </c>
      <c r="J85" s="1186">
        <v>3</v>
      </c>
      <c r="K85" s="1166">
        <v>17697</v>
      </c>
      <c r="L85" s="1205">
        <v>27</v>
      </c>
      <c r="M85" s="1166">
        <f t="shared" si="20"/>
        <v>1.5</v>
      </c>
      <c r="N85" s="1169" t="s">
        <v>109</v>
      </c>
      <c r="O85" s="1519">
        <v>4.3600000000000003</v>
      </c>
      <c r="P85" s="1171">
        <f t="shared" si="18"/>
        <v>115738.38000000002</v>
      </c>
      <c r="Q85" s="1168"/>
      <c r="R85" s="1248"/>
      <c r="S85" s="1173"/>
      <c r="T85" s="1166">
        <v>0.1</v>
      </c>
      <c r="U85" s="1171">
        <f t="shared" si="21"/>
        <v>11573.838000000003</v>
      </c>
      <c r="V85" s="416"/>
      <c r="W85" s="1166"/>
      <c r="X85" s="1174">
        <f t="shared" si="22"/>
        <v>127312.21800000002</v>
      </c>
      <c r="Y85" s="919"/>
      <c r="Z85" s="919"/>
      <c r="AA85" s="375">
        <f t="shared" si="16"/>
        <v>1527746.6160000004</v>
      </c>
      <c r="AB85" s="377">
        <f t="shared" si="13"/>
        <v>243078.22052505976</v>
      </c>
      <c r="AC85" s="377">
        <f t="shared" si="14"/>
        <v>1909683.2700000005</v>
      </c>
      <c r="AD85" s="377">
        <f t="shared" si="15"/>
        <v>303847.77565632469</v>
      </c>
    </row>
    <row r="86" spans="1:44" s="377" customFormat="1" ht="17.25" customHeight="1">
      <c r="A86" s="423">
        <v>5</v>
      </c>
      <c r="B86" s="463" t="s">
        <v>127</v>
      </c>
      <c r="C86" s="1197" t="s">
        <v>99</v>
      </c>
      <c r="D86" s="423" t="s">
        <v>25</v>
      </c>
      <c r="E86" s="1198" t="s">
        <v>661</v>
      </c>
      <c r="F86" s="1198" t="s">
        <v>34</v>
      </c>
      <c r="G86" s="423">
        <v>1</v>
      </c>
      <c r="H86" s="1164" t="s">
        <v>102</v>
      </c>
      <c r="I86" s="1164" t="s">
        <v>103</v>
      </c>
      <c r="J86" s="1165">
        <v>1</v>
      </c>
      <c r="K86" s="1166">
        <v>17697</v>
      </c>
      <c r="L86" s="1205">
        <v>4</v>
      </c>
      <c r="M86" s="1166">
        <f t="shared" si="20"/>
        <v>0.22222222222222221</v>
      </c>
      <c r="N86" s="1186" t="s">
        <v>152</v>
      </c>
      <c r="O86" s="1206">
        <v>4.75</v>
      </c>
      <c r="P86" s="1171">
        <f t="shared" si="18"/>
        <v>18680.166666666668</v>
      </c>
      <c r="Q86" s="1168"/>
      <c r="R86" s="1203"/>
      <c r="S86" s="1166"/>
      <c r="T86" s="1166">
        <v>0.1</v>
      </c>
      <c r="U86" s="1171">
        <f t="shared" si="21"/>
        <v>1868.0166666666669</v>
      </c>
      <c r="V86" s="416"/>
      <c r="W86" s="1166"/>
      <c r="X86" s="1174">
        <f t="shared" si="22"/>
        <v>20548.183333333334</v>
      </c>
      <c r="Y86" s="406">
        <f>V86+R86</f>
        <v>0</v>
      </c>
      <c r="Z86" s="406">
        <f>W86+S86</f>
        <v>0</v>
      </c>
      <c r="AA86" s="375">
        <f>X86*12</f>
        <v>246578.2</v>
      </c>
      <c r="AB86" s="377">
        <f>AA86/12/29.33*56</f>
        <v>39232.80827366747</v>
      </c>
      <c r="AC86" s="377">
        <f>AA86*1.25</f>
        <v>308222.75</v>
      </c>
      <c r="AD86" s="377">
        <f>AC86/12/29.33*56</f>
        <v>49041.010342084337</v>
      </c>
    </row>
    <row r="87" spans="1:44" s="377" customFormat="1" ht="17.25" customHeight="1">
      <c r="A87" s="423">
        <v>6</v>
      </c>
      <c r="B87" s="1239" t="s">
        <v>791</v>
      </c>
      <c r="C87" s="1240" t="s">
        <v>99</v>
      </c>
      <c r="D87" s="1158" t="s">
        <v>75</v>
      </c>
      <c r="E87" s="1520" t="s">
        <v>796</v>
      </c>
      <c r="F87" s="1241" t="s">
        <v>797</v>
      </c>
      <c r="G87" s="1158"/>
      <c r="H87" s="1200" t="s">
        <v>102</v>
      </c>
      <c r="I87" s="1200" t="s">
        <v>118</v>
      </c>
      <c r="J87" s="1186">
        <v>3</v>
      </c>
      <c r="K87" s="1166">
        <v>17697</v>
      </c>
      <c r="L87" s="1244">
        <v>21</v>
      </c>
      <c r="M87" s="1173">
        <f t="shared" si="20"/>
        <v>1.1666666666666667</v>
      </c>
      <c r="N87" s="1169" t="s">
        <v>109</v>
      </c>
      <c r="O87" s="1519">
        <v>3.97</v>
      </c>
      <c r="P87" s="1171">
        <f t="shared" si="18"/>
        <v>81966.604999999996</v>
      </c>
      <c r="Q87" s="1168"/>
      <c r="R87" s="1248"/>
      <c r="S87" s="1173"/>
      <c r="T87" s="1166">
        <v>0.1</v>
      </c>
      <c r="U87" s="1171">
        <f t="shared" si="21"/>
        <v>8196.6605</v>
      </c>
      <c r="V87" s="1172"/>
      <c r="W87" s="1173"/>
      <c r="X87" s="1174">
        <f t="shared" si="22"/>
        <v>90163.265499999994</v>
      </c>
      <c r="Y87" s="919"/>
      <c r="Z87" s="919"/>
      <c r="AA87" s="375"/>
    </row>
    <row r="88" spans="1:44" s="377" customFormat="1" ht="17.25" customHeight="1">
      <c r="A88" s="423">
        <v>7</v>
      </c>
      <c r="B88" s="463" t="s">
        <v>227</v>
      </c>
      <c r="C88" s="1197" t="s">
        <v>99</v>
      </c>
      <c r="D88" s="423" t="s">
        <v>25</v>
      </c>
      <c r="E88" s="1198" t="s">
        <v>741</v>
      </c>
      <c r="F88" s="1198" t="s">
        <v>669</v>
      </c>
      <c r="G88" s="1199">
        <v>1</v>
      </c>
      <c r="H88" s="1200" t="s">
        <v>102</v>
      </c>
      <c r="I88" s="1200" t="s">
        <v>103</v>
      </c>
      <c r="J88" s="1186">
        <v>2</v>
      </c>
      <c r="K88" s="1166">
        <v>17697</v>
      </c>
      <c r="L88" s="1201">
        <v>20</v>
      </c>
      <c r="M88" s="1166">
        <f t="shared" si="20"/>
        <v>1.1111111111111112</v>
      </c>
      <c r="N88" s="1190" t="s">
        <v>104</v>
      </c>
      <c r="O88" s="1204">
        <v>4.09</v>
      </c>
      <c r="P88" s="1171">
        <f t="shared" si="18"/>
        <v>80423.033333333326</v>
      </c>
      <c r="Q88" s="1168"/>
      <c r="R88" s="1203"/>
      <c r="S88" s="1166"/>
      <c r="T88" s="1166">
        <v>0.1</v>
      </c>
      <c r="U88" s="1171">
        <f t="shared" si="21"/>
        <v>8042.3033333333333</v>
      </c>
      <c r="V88" s="416"/>
      <c r="W88" s="1166"/>
      <c r="X88" s="1174">
        <f t="shared" si="22"/>
        <v>88465.336666666655</v>
      </c>
      <c r="Y88" s="406">
        <f>V88+R88</f>
        <v>0</v>
      </c>
      <c r="Z88" s="406">
        <f>W88+S88</f>
        <v>0</v>
      </c>
      <c r="AA88" s="375">
        <f>X88*12</f>
        <v>1061584.0399999998</v>
      </c>
      <c r="AB88" s="377">
        <f>AA88/12/29.33*56</f>
        <v>168907.56404136831</v>
      </c>
      <c r="AC88" s="377">
        <f>AA88*1.25</f>
        <v>1326980.0499999998</v>
      </c>
      <c r="AD88" s="377">
        <f>AC88/12/29.33*56</f>
        <v>211134.45505171042</v>
      </c>
    </row>
    <row r="89" spans="1:44" s="377" customFormat="1" ht="17.25" customHeight="1">
      <c r="A89" s="423">
        <v>8</v>
      </c>
      <c r="B89" s="463" t="s">
        <v>230</v>
      </c>
      <c r="C89" s="1197" t="s">
        <v>99</v>
      </c>
      <c r="D89" s="423" t="s">
        <v>25</v>
      </c>
      <c r="E89" s="424" t="s">
        <v>736</v>
      </c>
      <c r="F89" s="1198" t="s">
        <v>217</v>
      </c>
      <c r="G89" s="1521">
        <v>1</v>
      </c>
      <c r="H89" s="1200" t="s">
        <v>232</v>
      </c>
      <c r="I89" s="1200" t="s">
        <v>233</v>
      </c>
      <c r="J89" s="1186">
        <v>1</v>
      </c>
      <c r="K89" s="1166">
        <v>17697</v>
      </c>
      <c r="L89" s="1201">
        <v>36</v>
      </c>
      <c r="M89" s="1166">
        <f t="shared" si="20"/>
        <v>2</v>
      </c>
      <c r="N89" s="1186" t="s">
        <v>152</v>
      </c>
      <c r="O89" s="1206">
        <v>4.75</v>
      </c>
      <c r="P89" s="1171">
        <f t="shared" si="18"/>
        <v>168121.5</v>
      </c>
      <c r="Q89" s="1168"/>
      <c r="R89" s="1203"/>
      <c r="S89" s="1166"/>
      <c r="T89" s="1166">
        <v>0.1</v>
      </c>
      <c r="U89" s="1171">
        <f t="shared" si="21"/>
        <v>16812.150000000001</v>
      </c>
      <c r="V89" s="416"/>
      <c r="W89" s="1166"/>
      <c r="X89" s="1174">
        <f t="shared" si="22"/>
        <v>184933.65</v>
      </c>
      <c r="Y89" s="406">
        <f>V89+R89</f>
        <v>0</v>
      </c>
      <c r="Z89" s="406">
        <f>W89+S89</f>
        <v>0</v>
      </c>
      <c r="AA89" s="375">
        <f>X89*12</f>
        <v>2219203.7999999998</v>
      </c>
      <c r="AB89" s="377">
        <f>AA89/12/29.33*56</f>
        <v>353095.27446300717</v>
      </c>
      <c r="AC89" s="377">
        <f>AA89*1.25</f>
        <v>2774004.75</v>
      </c>
      <c r="AD89" s="377">
        <f>AC89/12/29.33*56</f>
        <v>441369.09307875898</v>
      </c>
    </row>
    <row r="90" spans="1:44" s="377" customFormat="1" ht="15.75">
      <c r="A90" s="423">
        <v>9</v>
      </c>
      <c r="B90" s="463" t="s">
        <v>360</v>
      </c>
      <c r="C90" s="1197" t="s">
        <v>99</v>
      </c>
      <c r="D90" s="1164" t="s">
        <v>25</v>
      </c>
      <c r="E90" s="1198" t="s">
        <v>683</v>
      </c>
      <c r="F90" s="1198" t="s">
        <v>362</v>
      </c>
      <c r="G90" s="1199">
        <v>1</v>
      </c>
      <c r="H90" s="1200" t="s">
        <v>102</v>
      </c>
      <c r="I90" s="1200" t="s">
        <v>103</v>
      </c>
      <c r="J90" s="1186">
        <v>1</v>
      </c>
      <c r="K90" s="1166">
        <v>17697</v>
      </c>
      <c r="L90" s="1201">
        <v>24</v>
      </c>
      <c r="M90" s="1166">
        <f t="shared" si="20"/>
        <v>1.3333333333333333</v>
      </c>
      <c r="N90" s="1190" t="s">
        <v>152</v>
      </c>
      <c r="O90" s="1204">
        <v>4.55</v>
      </c>
      <c r="P90" s="1171">
        <f t="shared" si="18"/>
        <v>107361.79999999999</v>
      </c>
      <c r="Q90" s="1168"/>
      <c r="R90" s="1203"/>
      <c r="S90" s="1166"/>
      <c r="T90" s="1166">
        <v>0.1</v>
      </c>
      <c r="U90" s="1171">
        <f t="shared" si="21"/>
        <v>10736.18</v>
      </c>
      <c r="V90" s="416"/>
      <c r="W90" s="1166"/>
      <c r="X90" s="1174">
        <f t="shared" si="22"/>
        <v>118097.97999999998</v>
      </c>
      <c r="Y90" s="406"/>
      <c r="Z90" s="406"/>
      <c r="AA90" s="375">
        <f>X90*12</f>
        <v>1417175.7599999998</v>
      </c>
      <c r="AB90" s="377">
        <f>AA90/12/29.33*56</f>
        <v>225485.40334128877</v>
      </c>
      <c r="AC90" s="377">
        <f>AA90*1.25</f>
        <v>1771469.6999999997</v>
      </c>
      <c r="AD90" s="377">
        <f>AC90/12/29.33*56</f>
        <v>281856.75417661096</v>
      </c>
    </row>
    <row r="91" spans="1:44" s="377" customFormat="1" ht="17.25" customHeight="1">
      <c r="A91" s="423">
        <v>10</v>
      </c>
      <c r="B91" s="463" t="s">
        <v>743</v>
      </c>
      <c r="C91" s="1197" t="s">
        <v>744</v>
      </c>
      <c r="D91" s="1223" t="s">
        <v>25</v>
      </c>
      <c r="E91" s="1224" t="s">
        <v>745</v>
      </c>
      <c r="F91" s="1198" t="s">
        <v>403</v>
      </c>
      <c r="G91" s="423">
        <v>1</v>
      </c>
      <c r="H91" s="1164" t="s">
        <v>102</v>
      </c>
      <c r="I91" s="1164" t="s">
        <v>103</v>
      </c>
      <c r="J91" s="1225">
        <v>3</v>
      </c>
      <c r="K91" s="1166">
        <v>17697</v>
      </c>
      <c r="L91" s="1201">
        <v>24</v>
      </c>
      <c r="M91" s="1166">
        <f t="shared" si="20"/>
        <v>1.3333333333333333</v>
      </c>
      <c r="N91" s="1186" t="s">
        <v>109</v>
      </c>
      <c r="O91" s="1204">
        <v>4.1399999999999997</v>
      </c>
      <c r="P91" s="1171">
        <f t="shared" si="18"/>
        <v>97687.439999999988</v>
      </c>
      <c r="Q91" s="1168"/>
      <c r="R91" s="1203"/>
      <c r="S91" s="1166"/>
      <c r="T91" s="1166">
        <v>0.1</v>
      </c>
      <c r="U91" s="1171">
        <f t="shared" si="21"/>
        <v>9768.7439999999988</v>
      </c>
      <c r="V91" s="416"/>
      <c r="W91" s="1166"/>
      <c r="X91" s="1174">
        <f t="shared" si="22"/>
        <v>107456.18399999998</v>
      </c>
      <c r="Y91" s="406"/>
      <c r="Z91" s="406"/>
      <c r="AA91" s="375"/>
    </row>
    <row r="92" spans="1:44" s="377" customFormat="1" ht="15.75">
      <c r="A92" s="423">
        <v>11</v>
      </c>
      <c r="B92" s="1239" t="s">
        <v>678</v>
      </c>
      <c r="C92" s="1240" t="s">
        <v>99</v>
      </c>
      <c r="D92" s="1242" t="s">
        <v>75</v>
      </c>
      <c r="E92" s="1520" t="s">
        <v>738</v>
      </c>
      <c r="F92" s="1241" t="s">
        <v>602</v>
      </c>
      <c r="G92" s="1522">
        <v>1</v>
      </c>
      <c r="H92" s="1200" t="s">
        <v>102</v>
      </c>
      <c r="I92" s="1200" t="s">
        <v>118</v>
      </c>
      <c r="J92" s="1186">
        <v>4</v>
      </c>
      <c r="K92" s="1166">
        <v>17697</v>
      </c>
      <c r="L92" s="1523">
        <v>11</v>
      </c>
      <c r="M92" s="1173">
        <f t="shared" si="20"/>
        <v>0.61111111111111116</v>
      </c>
      <c r="N92" s="1188" t="s">
        <v>112</v>
      </c>
      <c r="O92" s="1524">
        <v>3.36</v>
      </c>
      <c r="P92" s="1168">
        <f t="shared" si="18"/>
        <v>36337.840000000004</v>
      </c>
      <c r="Q92" s="1168"/>
      <c r="R92" s="1248"/>
      <c r="S92" s="1173"/>
      <c r="T92" s="1166">
        <v>0.1</v>
      </c>
      <c r="U92" s="1171">
        <f t="shared" si="21"/>
        <v>3633.7840000000006</v>
      </c>
      <c r="V92" s="1172"/>
      <c r="W92" s="1173"/>
      <c r="X92" s="1174">
        <f t="shared" si="22"/>
        <v>39971.624000000003</v>
      </c>
      <c r="Y92" s="919"/>
      <c r="Z92" s="919"/>
      <c r="AA92" s="375"/>
    </row>
    <row r="93" spans="1:44" s="377" customFormat="1" ht="17.25" customHeight="1">
      <c r="A93" s="423">
        <v>12</v>
      </c>
      <c r="B93" s="463" t="s">
        <v>237</v>
      </c>
      <c r="C93" s="1197" t="s">
        <v>99</v>
      </c>
      <c r="D93" s="1164" t="s">
        <v>25</v>
      </c>
      <c r="E93" s="1198" t="s">
        <v>588</v>
      </c>
      <c r="F93" s="1198" t="s">
        <v>362</v>
      </c>
      <c r="G93" s="1199">
        <v>1</v>
      </c>
      <c r="H93" s="1200" t="s">
        <v>102</v>
      </c>
      <c r="I93" s="1200" t="s">
        <v>103</v>
      </c>
      <c r="J93" s="1186">
        <v>1</v>
      </c>
      <c r="K93" s="1166">
        <v>17697</v>
      </c>
      <c r="L93" s="1201">
        <v>26</v>
      </c>
      <c r="M93" s="1166">
        <f t="shared" si="20"/>
        <v>1.4444444444444444</v>
      </c>
      <c r="N93" s="1190" t="s">
        <v>152</v>
      </c>
      <c r="O93" s="1204">
        <v>4.55</v>
      </c>
      <c r="P93" s="1171">
        <f t="shared" si="18"/>
        <v>116308.61666666665</v>
      </c>
      <c r="Q93" s="1168"/>
      <c r="R93" s="1203"/>
      <c r="S93" s="1166"/>
      <c r="T93" s="1166">
        <v>0.1</v>
      </c>
      <c r="U93" s="1171">
        <f t="shared" si="21"/>
        <v>11630.861666666666</v>
      </c>
      <c r="V93" s="416"/>
      <c r="W93" s="1166"/>
      <c r="X93" s="1174">
        <f t="shared" si="22"/>
        <v>127939.47833333332</v>
      </c>
      <c r="Y93" s="406">
        <f t="shared" ref="Y93:Z95" si="23">V93+R93</f>
        <v>0</v>
      </c>
      <c r="Z93" s="406">
        <f t="shared" si="23"/>
        <v>0</v>
      </c>
      <c r="AA93" s="375">
        <f t="shared" ref="AA93:AA98" si="24">X93*12</f>
        <v>1535273.7399999998</v>
      </c>
      <c r="AB93" s="377">
        <f t="shared" ref="AB93:AB98" si="25">AA93/12/29.33*56</f>
        <v>244275.85361972952</v>
      </c>
      <c r="AC93" s="377">
        <f t="shared" ref="AC93:AC98" si="26">AA93*1.25</f>
        <v>1919092.1749999998</v>
      </c>
      <c r="AD93" s="377">
        <f t="shared" ref="AD93:AD98" si="27">AC93/12/29.33*56</f>
        <v>305344.81702466193</v>
      </c>
    </row>
    <row r="94" spans="1:44" s="377" customFormat="1" ht="17.25" customHeight="1">
      <c r="A94" s="423">
        <v>13</v>
      </c>
      <c r="B94" s="463" t="s">
        <v>281</v>
      </c>
      <c r="C94" s="1197" t="s">
        <v>99</v>
      </c>
      <c r="D94" s="1223" t="s">
        <v>25</v>
      </c>
      <c r="E94" s="1224" t="s">
        <v>698</v>
      </c>
      <c r="F94" s="1198" t="s">
        <v>40</v>
      </c>
      <c r="G94" s="423">
        <v>1</v>
      </c>
      <c r="H94" s="1164" t="s">
        <v>102</v>
      </c>
      <c r="I94" s="1164" t="s">
        <v>103</v>
      </c>
      <c r="J94" s="1225">
        <v>1</v>
      </c>
      <c r="K94" s="1166">
        <v>17697</v>
      </c>
      <c r="L94" s="1201">
        <v>6</v>
      </c>
      <c r="M94" s="1166">
        <f t="shared" si="20"/>
        <v>0.33333333333333331</v>
      </c>
      <c r="N94" s="1186" t="s">
        <v>152</v>
      </c>
      <c r="O94" s="1204">
        <v>4.75</v>
      </c>
      <c r="P94" s="1171">
        <f t="shared" si="18"/>
        <v>28020.25</v>
      </c>
      <c r="Q94" s="1168"/>
      <c r="R94" s="1203"/>
      <c r="S94" s="1166"/>
      <c r="T94" s="1166">
        <v>0.1</v>
      </c>
      <c r="U94" s="1171">
        <f t="shared" si="21"/>
        <v>2802.0250000000001</v>
      </c>
      <c r="V94" s="416"/>
      <c r="W94" s="1166"/>
      <c r="X94" s="1174">
        <f>P94+Q94+U94</f>
        <v>30822.275000000001</v>
      </c>
      <c r="Y94" s="406">
        <f t="shared" si="23"/>
        <v>0</v>
      </c>
      <c r="Z94" s="406">
        <f t="shared" si="23"/>
        <v>0</v>
      </c>
      <c r="AA94" s="375">
        <f t="shared" si="24"/>
        <v>369867.30000000005</v>
      </c>
      <c r="AB94" s="377">
        <f t="shared" si="25"/>
        <v>58849.212410501212</v>
      </c>
      <c r="AC94" s="377">
        <f t="shared" si="26"/>
        <v>462334.12500000006</v>
      </c>
      <c r="AD94" s="377">
        <f t="shared" si="27"/>
        <v>73561.515513126506</v>
      </c>
    </row>
    <row r="95" spans="1:44" s="377" customFormat="1" ht="17.25" customHeight="1">
      <c r="A95" s="423">
        <v>14</v>
      </c>
      <c r="B95" s="463" t="s">
        <v>243</v>
      </c>
      <c r="C95" s="1197" t="s">
        <v>99</v>
      </c>
      <c r="D95" s="1164" t="s">
        <v>25</v>
      </c>
      <c r="E95" s="1198" t="s">
        <v>705</v>
      </c>
      <c r="F95" s="1198" t="s">
        <v>239</v>
      </c>
      <c r="G95" s="1199">
        <v>1</v>
      </c>
      <c r="H95" s="1200" t="s">
        <v>102</v>
      </c>
      <c r="I95" s="1200" t="s">
        <v>103</v>
      </c>
      <c r="J95" s="1186">
        <v>2</v>
      </c>
      <c r="K95" s="1166">
        <v>17697</v>
      </c>
      <c r="L95" s="1201">
        <v>32</v>
      </c>
      <c r="M95" s="1166">
        <f t="shared" si="20"/>
        <v>1.7777777777777777</v>
      </c>
      <c r="N95" s="1190" t="s">
        <v>596</v>
      </c>
      <c r="O95" s="1204">
        <v>4.2300000000000004</v>
      </c>
      <c r="P95" s="1171">
        <f t="shared" si="18"/>
        <v>133081.44000000003</v>
      </c>
      <c r="Q95" s="1168"/>
      <c r="R95" s="1203"/>
      <c r="S95" s="1166"/>
      <c r="T95" s="1166">
        <v>0.1</v>
      </c>
      <c r="U95" s="1171">
        <f t="shared" si="21"/>
        <v>13308.144000000004</v>
      </c>
      <c r="V95" s="416"/>
      <c r="W95" s="1166"/>
      <c r="X95" s="1174">
        <f>P95+Q95+U95</f>
        <v>146389.58400000003</v>
      </c>
      <c r="Y95" s="406">
        <f t="shared" si="23"/>
        <v>0</v>
      </c>
      <c r="Z95" s="406">
        <f t="shared" si="23"/>
        <v>0</v>
      </c>
      <c r="AA95" s="375">
        <f t="shared" si="24"/>
        <v>1756675.0080000004</v>
      </c>
      <c r="AB95" s="377">
        <f t="shared" si="25"/>
        <v>279502.78568019101</v>
      </c>
      <c r="AC95" s="377">
        <f t="shared" si="26"/>
        <v>2195843.7600000007</v>
      </c>
      <c r="AD95" s="377">
        <f t="shared" si="27"/>
        <v>349378.48210023879</v>
      </c>
    </row>
    <row r="96" spans="1:44" s="377" customFormat="1" ht="17.25" customHeight="1">
      <c r="A96" s="423">
        <v>15</v>
      </c>
      <c r="B96" s="463" t="s">
        <v>245</v>
      </c>
      <c r="C96" s="1197" t="s">
        <v>99</v>
      </c>
      <c r="D96" s="1164" t="s">
        <v>25</v>
      </c>
      <c r="E96" s="1198" t="s">
        <v>461</v>
      </c>
      <c r="F96" s="1525" t="s">
        <v>40</v>
      </c>
      <c r="G96" s="1199">
        <v>1</v>
      </c>
      <c r="H96" s="1200" t="s">
        <v>102</v>
      </c>
      <c r="I96" s="1200" t="s">
        <v>103</v>
      </c>
      <c r="J96" s="1186">
        <v>1</v>
      </c>
      <c r="K96" s="1166">
        <v>17697</v>
      </c>
      <c r="L96" s="1201">
        <v>36</v>
      </c>
      <c r="M96" s="1166">
        <f t="shared" si="20"/>
        <v>2</v>
      </c>
      <c r="N96" s="1186" t="s">
        <v>152</v>
      </c>
      <c r="O96" s="1524">
        <v>4.75</v>
      </c>
      <c r="P96" s="1171">
        <f t="shared" si="18"/>
        <v>168121.5</v>
      </c>
      <c r="Q96" s="1168"/>
      <c r="R96" s="1248"/>
      <c r="S96" s="1173"/>
      <c r="T96" s="1166">
        <v>0.1</v>
      </c>
      <c r="U96" s="1171">
        <f t="shared" si="21"/>
        <v>16812.150000000001</v>
      </c>
      <c r="V96" s="416"/>
      <c r="W96" s="1166"/>
      <c r="X96" s="1174">
        <f>P96+Q96+U96</f>
        <v>184933.65</v>
      </c>
      <c r="Y96" s="919"/>
      <c r="Z96" s="919"/>
      <c r="AA96" s="375">
        <f t="shared" si="24"/>
        <v>2219203.7999999998</v>
      </c>
      <c r="AB96" s="377">
        <f t="shared" si="25"/>
        <v>353095.27446300717</v>
      </c>
      <c r="AC96" s="377">
        <f t="shared" si="26"/>
        <v>2774004.75</v>
      </c>
      <c r="AD96" s="377">
        <f t="shared" si="27"/>
        <v>441369.09307875898</v>
      </c>
    </row>
    <row r="97" spans="1:37" s="377" customFormat="1" ht="17.25" customHeight="1">
      <c r="A97" s="423">
        <v>16</v>
      </c>
      <c r="B97" s="463" t="s">
        <v>586</v>
      </c>
      <c r="C97" s="1197" t="s">
        <v>99</v>
      </c>
      <c r="D97" s="1164" t="s">
        <v>25</v>
      </c>
      <c r="E97" s="1526" t="s">
        <v>710</v>
      </c>
      <c r="F97" s="1198" t="s">
        <v>259</v>
      </c>
      <c r="G97" s="1199">
        <v>1</v>
      </c>
      <c r="H97" s="1200" t="s">
        <v>102</v>
      </c>
      <c r="I97" s="1200" t="s">
        <v>103</v>
      </c>
      <c r="J97" s="1186">
        <v>3</v>
      </c>
      <c r="K97" s="1166">
        <v>17697</v>
      </c>
      <c r="L97" s="1201">
        <v>32</v>
      </c>
      <c r="M97" s="1166">
        <f t="shared" si="20"/>
        <v>1.7777777777777777</v>
      </c>
      <c r="N97" s="1190" t="s">
        <v>109</v>
      </c>
      <c r="O97" s="1204">
        <v>4.1399999999999997</v>
      </c>
      <c r="P97" s="1171">
        <f t="shared" si="18"/>
        <v>130249.91999999998</v>
      </c>
      <c r="Q97" s="1168"/>
      <c r="R97" s="1203"/>
      <c r="S97" s="1166"/>
      <c r="T97" s="1166">
        <v>0.1</v>
      </c>
      <c r="U97" s="1171">
        <f t="shared" si="21"/>
        <v>13024.991999999998</v>
      </c>
      <c r="V97" s="416"/>
      <c r="W97" s="1166"/>
      <c r="X97" s="1174">
        <f>P97+Q97+U97</f>
        <v>143274.91199999998</v>
      </c>
      <c r="Y97" s="406">
        <f>V97+R97</f>
        <v>0</v>
      </c>
      <c r="Z97" s="406">
        <f>W97+S97</f>
        <v>0</v>
      </c>
      <c r="AA97" s="375">
        <f t="shared" si="24"/>
        <v>1719298.9439999997</v>
      </c>
      <c r="AB97" s="377">
        <f t="shared" si="25"/>
        <v>273555.91789976135</v>
      </c>
      <c r="AC97" s="377">
        <f t="shared" si="26"/>
        <v>2149123.6799999997</v>
      </c>
      <c r="AD97" s="377">
        <f t="shared" si="27"/>
        <v>341944.89737470163</v>
      </c>
    </row>
    <row r="98" spans="1:37" s="377" customFormat="1" ht="17.25" customHeight="1">
      <c r="A98" s="423">
        <v>17</v>
      </c>
      <c r="B98" s="463" t="s">
        <v>253</v>
      </c>
      <c r="C98" s="1197" t="s">
        <v>148</v>
      </c>
      <c r="D98" s="1164" t="s">
        <v>25</v>
      </c>
      <c r="E98" s="1198" t="s">
        <v>712</v>
      </c>
      <c r="F98" s="1198" t="s">
        <v>40</v>
      </c>
      <c r="G98" s="1199">
        <v>1</v>
      </c>
      <c r="H98" s="1200" t="s">
        <v>102</v>
      </c>
      <c r="I98" s="1200" t="s">
        <v>103</v>
      </c>
      <c r="J98" s="1186">
        <v>1</v>
      </c>
      <c r="K98" s="1166">
        <v>17697</v>
      </c>
      <c r="L98" s="1201">
        <v>28</v>
      </c>
      <c r="M98" s="1166">
        <f t="shared" si="20"/>
        <v>1.5555555555555556</v>
      </c>
      <c r="N98" s="1190" t="s">
        <v>152</v>
      </c>
      <c r="O98" s="1204">
        <v>4.75</v>
      </c>
      <c r="P98" s="1171">
        <f t="shared" si="18"/>
        <v>130761.16666666667</v>
      </c>
      <c r="Q98" s="1168"/>
      <c r="R98" s="1203"/>
      <c r="S98" s="1166"/>
      <c r="T98" s="1166">
        <v>0.1</v>
      </c>
      <c r="U98" s="1171">
        <f t="shared" si="21"/>
        <v>13076.116666666669</v>
      </c>
      <c r="V98" s="416"/>
      <c r="W98" s="1166"/>
      <c r="X98" s="1174">
        <f>P98+Q98+U98</f>
        <v>143837.28333333333</v>
      </c>
      <c r="Y98" s="406">
        <f>V98+R98</f>
        <v>0</v>
      </c>
      <c r="Z98" s="406">
        <f>W98+S98</f>
        <v>0</v>
      </c>
      <c r="AA98" s="375">
        <f t="shared" si="24"/>
        <v>1726047.4</v>
      </c>
      <c r="AB98" s="377">
        <f t="shared" si="25"/>
        <v>274629.65791567223</v>
      </c>
      <c r="AC98" s="377">
        <f t="shared" si="26"/>
        <v>2157559.25</v>
      </c>
      <c r="AD98" s="377">
        <f t="shared" si="27"/>
        <v>343287.0723945903</v>
      </c>
    </row>
    <row r="99" spans="1:37" s="377" customFormat="1" ht="17.25" customHeight="1">
      <c r="A99" s="423">
        <v>18</v>
      </c>
      <c r="B99" s="1239" t="s">
        <v>792</v>
      </c>
      <c r="C99" s="1240" t="s">
        <v>99</v>
      </c>
      <c r="D99" s="1242" t="s">
        <v>25</v>
      </c>
      <c r="E99" s="1527" t="s">
        <v>793</v>
      </c>
      <c r="F99" s="1241" t="s">
        <v>463</v>
      </c>
      <c r="G99" s="1522">
        <v>1</v>
      </c>
      <c r="H99" s="1200" t="s">
        <v>102</v>
      </c>
      <c r="I99" s="1200" t="s">
        <v>103</v>
      </c>
      <c r="J99" s="1186">
        <v>3</v>
      </c>
      <c r="K99" s="1166">
        <v>17697</v>
      </c>
      <c r="L99" s="1523">
        <v>18</v>
      </c>
      <c r="M99" s="1173">
        <f t="shared" si="20"/>
        <v>1</v>
      </c>
      <c r="N99" s="1188" t="s">
        <v>109</v>
      </c>
      <c r="O99" s="1524">
        <v>4.28</v>
      </c>
      <c r="P99" s="1168">
        <f t="shared" si="18"/>
        <v>75743.16</v>
      </c>
      <c r="Q99" s="1168"/>
      <c r="R99" s="1248"/>
      <c r="S99" s="1173"/>
      <c r="T99" s="1166">
        <v>0.1</v>
      </c>
      <c r="U99" s="1171">
        <f t="shared" si="21"/>
        <v>7574.3160000000007</v>
      </c>
      <c r="V99" s="1172"/>
      <c r="W99" s="1173"/>
      <c r="X99" s="1174">
        <f t="shared" ref="X99:X102" si="28">P99+Q99+U99</f>
        <v>83317.47600000001</v>
      </c>
      <c r="Y99" s="919"/>
      <c r="Z99" s="919"/>
      <c r="AA99" s="375"/>
    </row>
    <row r="100" spans="1:37" s="377" customFormat="1" ht="16.5" customHeight="1">
      <c r="A100" s="423">
        <v>19</v>
      </c>
      <c r="B100" s="1528" t="s">
        <v>255</v>
      </c>
      <c r="C100" s="1529" t="s">
        <v>99</v>
      </c>
      <c r="D100" s="1530" t="s">
        <v>25</v>
      </c>
      <c r="E100" s="1525" t="s">
        <v>714</v>
      </c>
      <c r="F100" s="1525" t="s">
        <v>40</v>
      </c>
      <c r="G100" s="1531">
        <v>1</v>
      </c>
      <c r="H100" s="1532" t="s">
        <v>102</v>
      </c>
      <c r="I100" s="1532" t="s">
        <v>103</v>
      </c>
      <c r="J100" s="1533">
        <v>1</v>
      </c>
      <c r="K100" s="1534">
        <v>17697</v>
      </c>
      <c r="L100" s="1535">
        <v>34</v>
      </c>
      <c r="M100" s="1166">
        <f t="shared" si="20"/>
        <v>1.8888888888888888</v>
      </c>
      <c r="N100" s="1186" t="s">
        <v>152</v>
      </c>
      <c r="O100" s="1213">
        <v>4.75</v>
      </c>
      <c r="P100" s="1171">
        <f t="shared" si="18"/>
        <v>158781.41666666669</v>
      </c>
      <c r="Q100" s="1168"/>
      <c r="R100" s="1215"/>
      <c r="S100" s="1216"/>
      <c r="T100" s="1166">
        <v>0.1</v>
      </c>
      <c r="U100" s="1171">
        <f t="shared" si="21"/>
        <v>15878.14166666667</v>
      </c>
      <c r="V100" s="416"/>
      <c r="W100" s="1166"/>
      <c r="X100" s="1174">
        <f t="shared" si="28"/>
        <v>174659.55833333335</v>
      </c>
      <c r="Y100" s="437">
        <f>V100+R100</f>
        <v>0</v>
      </c>
      <c r="Z100" s="437">
        <f>W100+S100</f>
        <v>0</v>
      </c>
      <c r="AA100" s="375">
        <f>X100*12</f>
        <v>2095914.7000000002</v>
      </c>
      <c r="AB100" s="377">
        <f>AA100/12/29.33*56</f>
        <v>333478.87032617349</v>
      </c>
      <c r="AC100" s="377">
        <f>AA100*1.25</f>
        <v>2619893.375</v>
      </c>
      <c r="AD100" s="377">
        <f>AC100/12/29.33*56</f>
        <v>416848.58790771681</v>
      </c>
    </row>
    <row r="101" spans="1:37" s="377" customFormat="1" ht="16.5" customHeight="1">
      <c r="A101" s="423">
        <v>20</v>
      </c>
      <c r="B101" s="463" t="s">
        <v>257</v>
      </c>
      <c r="C101" s="1197" t="s">
        <v>99</v>
      </c>
      <c r="D101" s="1164" t="s">
        <v>25</v>
      </c>
      <c r="E101" s="1198" t="s">
        <v>715</v>
      </c>
      <c r="F101" s="1198" t="s">
        <v>239</v>
      </c>
      <c r="G101" s="1199">
        <v>1</v>
      </c>
      <c r="H101" s="1200" t="s">
        <v>102</v>
      </c>
      <c r="I101" s="1200" t="s">
        <v>103</v>
      </c>
      <c r="J101" s="1186">
        <v>2</v>
      </c>
      <c r="K101" s="1534">
        <v>17697</v>
      </c>
      <c r="L101" s="1535">
        <v>27</v>
      </c>
      <c r="M101" s="1166">
        <f t="shared" si="20"/>
        <v>1.5</v>
      </c>
      <c r="N101" s="1188" t="s">
        <v>104</v>
      </c>
      <c r="O101" s="1536">
        <v>4.2300000000000004</v>
      </c>
      <c r="P101" s="1171">
        <f t="shared" si="18"/>
        <v>112287.46500000003</v>
      </c>
      <c r="Q101" s="1168"/>
      <c r="R101" s="1537"/>
      <c r="S101" s="1534"/>
      <c r="T101" s="1166">
        <v>0.1</v>
      </c>
      <c r="U101" s="1171">
        <f t="shared" si="21"/>
        <v>11228.746500000003</v>
      </c>
      <c r="V101" s="416"/>
      <c r="W101" s="1166"/>
      <c r="X101" s="1174">
        <f t="shared" si="28"/>
        <v>123516.21150000003</v>
      </c>
      <c r="Y101" s="1544"/>
      <c r="Z101" s="1544"/>
      <c r="AA101" s="375">
        <f>X101*12</f>
        <v>1482194.5380000004</v>
      </c>
      <c r="AB101" s="377">
        <f>AA101/12/29.33*56</f>
        <v>235830.47541766116</v>
      </c>
      <c r="AC101" s="377">
        <f>AA101*1.25</f>
        <v>1852743.1725000006</v>
      </c>
      <c r="AD101" s="377">
        <f>AC101/12/29.33*56</f>
        <v>294788.0942720765</v>
      </c>
    </row>
    <row r="102" spans="1:37" s="486" customFormat="1" ht="17.25" customHeight="1">
      <c r="A102" s="423">
        <v>21</v>
      </c>
      <c r="B102" s="463" t="s">
        <v>388</v>
      </c>
      <c r="C102" s="1197" t="s">
        <v>99</v>
      </c>
      <c r="D102" s="1164" t="s">
        <v>189</v>
      </c>
      <c r="E102" s="1198" t="s">
        <v>718</v>
      </c>
      <c r="F102" s="1198" t="s">
        <v>34</v>
      </c>
      <c r="G102" s="1199">
        <v>1</v>
      </c>
      <c r="H102" s="1200" t="s">
        <v>102</v>
      </c>
      <c r="I102" s="1200" t="s">
        <v>103</v>
      </c>
      <c r="J102" s="1186">
        <v>1</v>
      </c>
      <c r="K102" s="1166">
        <v>17697</v>
      </c>
      <c r="L102" s="1201">
        <v>9</v>
      </c>
      <c r="M102" s="1166">
        <f t="shared" si="20"/>
        <v>0.5</v>
      </c>
      <c r="N102" s="1186" t="s">
        <v>152</v>
      </c>
      <c r="O102" s="1204">
        <v>4.75</v>
      </c>
      <c r="P102" s="1171">
        <f t="shared" si="18"/>
        <v>42030.375</v>
      </c>
      <c r="Q102" s="1168"/>
      <c r="R102" s="1203"/>
      <c r="S102" s="1166"/>
      <c r="T102" s="1216">
        <v>0.1</v>
      </c>
      <c r="U102" s="1171">
        <f t="shared" si="21"/>
        <v>4203.0375000000004</v>
      </c>
      <c r="V102" s="416"/>
      <c r="W102" s="1166"/>
      <c r="X102" s="1174">
        <f t="shared" si="28"/>
        <v>46233.412499999999</v>
      </c>
      <c r="Y102" s="406">
        <f>V102+R102</f>
        <v>0</v>
      </c>
      <c r="Z102" s="1545">
        <f>W102+S102</f>
        <v>0</v>
      </c>
      <c r="AA102" s="375">
        <f>X102*12</f>
        <v>554800.94999999995</v>
      </c>
      <c r="AB102" s="377">
        <f>AA102/12/29.33*56</f>
        <v>88273.818615751792</v>
      </c>
      <c r="AC102" s="377">
        <f>AA102*1.25</f>
        <v>693501.1875</v>
      </c>
      <c r="AD102" s="377">
        <f>AC102/12/29.33*56</f>
        <v>110342.27326968974</v>
      </c>
      <c r="AE102" s="375"/>
      <c r="AF102" s="375"/>
      <c r="AG102" s="375"/>
      <c r="AH102" s="375"/>
      <c r="AI102" s="375"/>
      <c r="AJ102" s="375"/>
      <c r="AK102" s="1546"/>
    </row>
    <row r="103" spans="1:37" s="24" customFormat="1" ht="17.25" customHeight="1">
      <c r="A103" s="874"/>
      <c r="B103" s="998" t="s">
        <v>798</v>
      </c>
      <c r="C103" s="873"/>
      <c r="D103" s="874"/>
      <c r="E103" s="583"/>
      <c r="F103" s="1539"/>
      <c r="G103" s="874"/>
      <c r="H103" s="1543"/>
      <c r="I103" s="1543"/>
      <c r="J103" s="698"/>
      <c r="K103" s="700"/>
      <c r="L103" s="1540">
        <f>SUM(L82:L102)</f>
        <v>477</v>
      </c>
      <c r="M103" s="700"/>
      <c r="N103" s="698"/>
      <c r="O103" s="1157"/>
      <c r="P103" s="697"/>
      <c r="Q103" s="697"/>
      <c r="R103" s="1538"/>
      <c r="S103" s="700"/>
      <c r="T103" s="700"/>
      <c r="U103" s="697"/>
      <c r="V103" s="1541"/>
      <c r="W103" s="700"/>
      <c r="X103" s="1542"/>
      <c r="Y103" s="1547"/>
      <c r="Z103" s="1547"/>
      <c r="AA103" s="23"/>
    </row>
    <row r="104" spans="1:37" s="979" customFormat="1" ht="17.25" customHeight="1">
      <c r="A104" s="966"/>
      <c r="B104" s="1516" t="s">
        <v>788</v>
      </c>
      <c r="C104" s="968"/>
      <c r="D104" s="969"/>
      <c r="E104" s="970"/>
      <c r="F104" s="970"/>
      <c r="G104" s="971"/>
      <c r="H104" s="972"/>
      <c r="I104" s="972"/>
      <c r="J104" s="973"/>
      <c r="K104" s="974"/>
      <c r="L104" s="975"/>
      <c r="M104" s="974"/>
      <c r="N104" s="973"/>
      <c r="O104" s="976"/>
      <c r="P104" s="977"/>
      <c r="Q104" s="1031"/>
      <c r="R104" s="977"/>
      <c r="S104" s="977"/>
      <c r="T104" s="977"/>
      <c r="U104" s="977"/>
      <c r="V104" s="977"/>
      <c r="W104" s="977"/>
      <c r="X104" s="977"/>
      <c r="Y104" s="978"/>
      <c r="Z104" s="978"/>
      <c r="AA104" s="81">
        <f t="shared" si="16"/>
        <v>0</v>
      </c>
      <c r="AB104" s="80">
        <f t="shared" ref="AB104:AB143" si="29">AA104/12/29.33*56</f>
        <v>0</v>
      </c>
      <c r="AC104" s="80">
        <f t="shared" ref="AC104:AC143" si="30">AA104*1.25</f>
        <v>0</v>
      </c>
      <c r="AD104" s="80">
        <f t="shared" ref="AD104:AD143" si="31">AC104/12/29.33*56</f>
        <v>0</v>
      </c>
    </row>
    <row r="105" spans="1:37" s="377" customFormat="1" ht="17.25" customHeight="1">
      <c r="A105" s="1209">
        <v>1</v>
      </c>
      <c r="B105" s="1548" t="s">
        <v>36</v>
      </c>
      <c r="C105" s="1549" t="s">
        <v>99</v>
      </c>
      <c r="D105" s="1550" t="s">
        <v>25</v>
      </c>
      <c r="E105" s="1551" t="s">
        <v>649</v>
      </c>
      <c r="F105" s="1520" t="s">
        <v>40</v>
      </c>
      <c r="G105" s="1209">
        <v>1</v>
      </c>
      <c r="H105" s="1221" t="s">
        <v>102</v>
      </c>
      <c r="I105" s="1221" t="s">
        <v>103</v>
      </c>
      <c r="J105" s="1552">
        <v>1</v>
      </c>
      <c r="K105" s="1232">
        <v>17697</v>
      </c>
      <c r="L105" s="1245">
        <v>9</v>
      </c>
      <c r="M105" s="1232">
        <f t="shared" ref="M105:M125" si="32">L105/18</f>
        <v>0.5</v>
      </c>
      <c r="N105" s="1186" t="s">
        <v>152</v>
      </c>
      <c r="O105" s="1553">
        <v>4.75</v>
      </c>
      <c r="P105" s="401">
        <f t="shared" ref="P105:P125" si="33">O105*K105/18*L105</f>
        <v>42030.375</v>
      </c>
      <c r="Q105" s="401"/>
      <c r="R105" s="1235"/>
      <c r="S105" s="1232"/>
      <c r="T105" s="1232">
        <v>0.1</v>
      </c>
      <c r="U105" s="401">
        <f>(P105+Q105)*T105</f>
        <v>4203.0375000000004</v>
      </c>
      <c r="V105" s="416"/>
      <c r="W105" s="1232"/>
      <c r="X105" s="1208">
        <f>P105+Q105+U105</f>
        <v>46233.412499999999</v>
      </c>
      <c r="Y105" s="363">
        <f t="shared" ref="Y105:Z120" si="34">V105+R105</f>
        <v>0</v>
      </c>
      <c r="Z105" s="363">
        <f t="shared" si="34"/>
        <v>0</v>
      </c>
      <c r="AA105" s="375">
        <f t="shared" si="16"/>
        <v>554800.94999999995</v>
      </c>
      <c r="AB105" s="377">
        <f t="shared" si="29"/>
        <v>88273.818615751792</v>
      </c>
      <c r="AC105" s="377">
        <f t="shared" si="30"/>
        <v>693501.1875</v>
      </c>
      <c r="AD105" s="377">
        <f t="shared" si="31"/>
        <v>110342.27326968974</v>
      </c>
    </row>
    <row r="106" spans="1:37" s="377" customFormat="1" ht="17.25" customHeight="1">
      <c r="A106" s="1209">
        <v>2</v>
      </c>
      <c r="B106" s="1554" t="s">
        <v>261</v>
      </c>
      <c r="C106" s="1177" t="s">
        <v>99</v>
      </c>
      <c r="D106" s="1223" t="s">
        <v>25</v>
      </c>
      <c r="E106" s="1224" t="s">
        <v>652</v>
      </c>
      <c r="F106" s="1198" t="s">
        <v>614</v>
      </c>
      <c r="G106" s="423">
        <v>1</v>
      </c>
      <c r="H106" s="1164" t="s">
        <v>102</v>
      </c>
      <c r="I106" s="1164" t="s">
        <v>103</v>
      </c>
      <c r="J106" s="1225">
        <v>1</v>
      </c>
      <c r="K106" s="1166">
        <v>17697</v>
      </c>
      <c r="L106" s="1245">
        <v>31</v>
      </c>
      <c r="M106" s="1232">
        <f t="shared" si="32"/>
        <v>1.7222222222222223</v>
      </c>
      <c r="N106" s="1186" t="s">
        <v>152</v>
      </c>
      <c r="O106" s="1246">
        <v>4.55</v>
      </c>
      <c r="P106" s="401">
        <f t="shared" si="33"/>
        <v>138675.65833333333</v>
      </c>
      <c r="Q106" s="401"/>
      <c r="R106" s="1203"/>
      <c r="S106" s="1166"/>
      <c r="T106" s="1166">
        <v>0.1</v>
      </c>
      <c r="U106" s="401">
        <f t="shared" ref="U106:U125" si="35">(P106+Q106)*T106</f>
        <v>13867.565833333334</v>
      </c>
      <c r="V106" s="416"/>
      <c r="W106" s="1232"/>
      <c r="X106" s="1208">
        <f t="shared" ref="X106:X125" si="36">P106+Q106+U106</f>
        <v>152543.22416666665</v>
      </c>
      <c r="Y106" s="406">
        <f t="shared" si="34"/>
        <v>0</v>
      </c>
      <c r="Z106" s="406">
        <f t="shared" si="34"/>
        <v>0</v>
      </c>
      <c r="AA106" s="375">
        <f t="shared" si="16"/>
        <v>1830518.69</v>
      </c>
      <c r="AB106" s="377">
        <f t="shared" si="29"/>
        <v>291251.97931583133</v>
      </c>
      <c r="AC106" s="377">
        <f t="shared" si="30"/>
        <v>2288148.3624999998</v>
      </c>
      <c r="AD106" s="377">
        <f t="shared" si="31"/>
        <v>364064.97414478916</v>
      </c>
    </row>
    <row r="107" spans="1:37" s="377" customFormat="1" ht="17.25" customHeight="1">
      <c r="A107" s="1209">
        <v>3</v>
      </c>
      <c r="B107" s="1555" t="s">
        <v>760</v>
      </c>
      <c r="C107" s="1160" t="s">
        <v>99</v>
      </c>
      <c r="D107" s="1556" t="s">
        <v>25</v>
      </c>
      <c r="E107" s="1251" t="s">
        <v>761</v>
      </c>
      <c r="F107" s="1241" t="s">
        <v>403</v>
      </c>
      <c r="G107" s="423">
        <v>1</v>
      </c>
      <c r="H107" s="1164" t="s">
        <v>102</v>
      </c>
      <c r="I107" s="1164" t="s">
        <v>103</v>
      </c>
      <c r="J107" s="1225">
        <v>3</v>
      </c>
      <c r="K107" s="1166">
        <v>17697</v>
      </c>
      <c r="L107" s="1245">
        <v>26</v>
      </c>
      <c r="M107" s="1232">
        <f t="shared" si="32"/>
        <v>1.4444444444444444</v>
      </c>
      <c r="N107" s="1169" t="s">
        <v>109</v>
      </c>
      <c r="O107" s="1557">
        <v>4.1399999999999997</v>
      </c>
      <c r="P107" s="401">
        <f t="shared" si="33"/>
        <v>105828.05999999998</v>
      </c>
      <c r="Q107" s="401"/>
      <c r="R107" s="1248"/>
      <c r="S107" s="1173"/>
      <c r="T107" s="1166">
        <v>0.1</v>
      </c>
      <c r="U107" s="401">
        <f t="shared" si="35"/>
        <v>10582.805999999999</v>
      </c>
      <c r="V107" s="1172"/>
      <c r="W107" s="1232"/>
      <c r="X107" s="1208">
        <f t="shared" si="36"/>
        <v>116410.86599999998</v>
      </c>
      <c r="Y107" s="919"/>
      <c r="Z107" s="919"/>
      <c r="AA107" s="375"/>
    </row>
    <row r="108" spans="1:37" s="377" customFormat="1" ht="17.25" customHeight="1">
      <c r="A108" s="1209">
        <v>4</v>
      </c>
      <c r="B108" s="1555" t="s">
        <v>263</v>
      </c>
      <c r="C108" s="1160" t="s">
        <v>99</v>
      </c>
      <c r="D108" s="1556" t="s">
        <v>25</v>
      </c>
      <c r="E108" s="1251" t="s">
        <v>655</v>
      </c>
      <c r="F108" s="424" t="s">
        <v>271</v>
      </c>
      <c r="G108" s="1158">
        <v>1</v>
      </c>
      <c r="H108" s="1164" t="s">
        <v>102</v>
      </c>
      <c r="I108" s="1164" t="s">
        <v>103</v>
      </c>
      <c r="J108" s="1225">
        <v>2</v>
      </c>
      <c r="K108" s="1166">
        <v>17697</v>
      </c>
      <c r="L108" s="1245">
        <v>18</v>
      </c>
      <c r="M108" s="1232">
        <f>L108/18</f>
        <v>1</v>
      </c>
      <c r="N108" s="1169" t="s">
        <v>104</v>
      </c>
      <c r="O108" s="1557">
        <v>4.37</v>
      </c>
      <c r="P108" s="401">
        <f>O108*K108/18*L108</f>
        <v>77335.89</v>
      </c>
      <c r="Q108" s="401"/>
      <c r="R108" s="1248"/>
      <c r="S108" s="1173"/>
      <c r="T108" s="1166">
        <v>0.1</v>
      </c>
      <c r="U108" s="401">
        <f>(P108+Q108)*T108</f>
        <v>7733.5889999999999</v>
      </c>
      <c r="V108" s="1172"/>
      <c r="W108" s="1232"/>
      <c r="X108" s="1208">
        <f t="shared" si="36"/>
        <v>85069.478999999992</v>
      </c>
      <c r="Y108" s="919"/>
      <c r="Z108" s="919"/>
      <c r="AA108" s="375"/>
    </row>
    <row r="109" spans="1:37" s="377" customFormat="1" ht="16.5" customHeight="1">
      <c r="A109" s="1209">
        <v>5</v>
      </c>
      <c r="B109" s="1177" t="s">
        <v>264</v>
      </c>
      <c r="C109" s="1177" t="s">
        <v>99</v>
      </c>
      <c r="D109" s="1223" t="s">
        <v>25</v>
      </c>
      <c r="E109" s="1224" t="s">
        <v>658</v>
      </c>
      <c r="F109" s="1198" t="s">
        <v>40</v>
      </c>
      <c r="G109" s="423">
        <v>1</v>
      </c>
      <c r="H109" s="1164" t="s">
        <v>102</v>
      </c>
      <c r="I109" s="1164" t="s">
        <v>103</v>
      </c>
      <c r="J109" s="1225">
        <v>1</v>
      </c>
      <c r="K109" s="1166">
        <v>17697</v>
      </c>
      <c r="L109" s="1245">
        <v>32</v>
      </c>
      <c r="M109" s="1232">
        <f t="shared" si="32"/>
        <v>1.7777777777777777</v>
      </c>
      <c r="N109" s="1186" t="s">
        <v>152</v>
      </c>
      <c r="O109" s="1246">
        <v>4.75</v>
      </c>
      <c r="P109" s="401">
        <f t="shared" si="33"/>
        <v>149441.33333333334</v>
      </c>
      <c r="Q109" s="401"/>
      <c r="R109" s="1203"/>
      <c r="S109" s="1166"/>
      <c r="T109" s="1166">
        <v>0.1</v>
      </c>
      <c r="U109" s="401">
        <f t="shared" si="35"/>
        <v>14944.133333333335</v>
      </c>
      <c r="V109" s="416"/>
      <c r="W109" s="1232"/>
      <c r="X109" s="1208">
        <f t="shared" si="36"/>
        <v>164385.46666666667</v>
      </c>
      <c r="Y109" s="406">
        <f t="shared" si="34"/>
        <v>0</v>
      </c>
      <c r="Z109" s="406">
        <f t="shared" si="34"/>
        <v>0</v>
      </c>
      <c r="AA109" s="375">
        <f t="shared" si="16"/>
        <v>1972625.6</v>
      </c>
      <c r="AB109" s="377">
        <f t="shared" si="29"/>
        <v>313862.46618933976</v>
      </c>
      <c r="AC109" s="377">
        <f t="shared" si="30"/>
        <v>2465782</v>
      </c>
      <c r="AD109" s="377">
        <f t="shared" si="31"/>
        <v>392328.0827366747</v>
      </c>
    </row>
    <row r="110" spans="1:37" s="377" customFormat="1" ht="17.25" customHeight="1">
      <c r="A110" s="1209">
        <v>6</v>
      </c>
      <c r="B110" s="1177" t="s">
        <v>268</v>
      </c>
      <c r="C110" s="1177" t="s">
        <v>99</v>
      </c>
      <c r="D110" s="1223" t="s">
        <v>25</v>
      </c>
      <c r="E110" s="1224" t="s">
        <v>664</v>
      </c>
      <c r="F110" s="1198" t="s">
        <v>40</v>
      </c>
      <c r="G110" s="423">
        <v>1</v>
      </c>
      <c r="H110" s="1164" t="s">
        <v>102</v>
      </c>
      <c r="I110" s="1164" t="s">
        <v>103</v>
      </c>
      <c r="J110" s="1225">
        <v>1</v>
      </c>
      <c r="K110" s="1166">
        <v>17697</v>
      </c>
      <c r="L110" s="1245">
        <v>32</v>
      </c>
      <c r="M110" s="1232">
        <f t="shared" si="32"/>
        <v>1.7777777777777777</v>
      </c>
      <c r="N110" s="1186" t="s">
        <v>152</v>
      </c>
      <c r="O110" s="1246">
        <v>4.75</v>
      </c>
      <c r="P110" s="401">
        <f t="shared" si="33"/>
        <v>149441.33333333334</v>
      </c>
      <c r="Q110" s="401"/>
      <c r="R110" s="1203"/>
      <c r="S110" s="1166"/>
      <c r="T110" s="1166">
        <v>0.1</v>
      </c>
      <c r="U110" s="401">
        <f t="shared" si="35"/>
        <v>14944.133333333335</v>
      </c>
      <c r="V110" s="416"/>
      <c r="W110" s="1232"/>
      <c r="X110" s="1208">
        <f t="shared" si="36"/>
        <v>164385.46666666667</v>
      </c>
      <c r="Y110" s="406">
        <f t="shared" si="34"/>
        <v>0</v>
      </c>
      <c r="Z110" s="406">
        <f t="shared" si="34"/>
        <v>0</v>
      </c>
      <c r="AA110" s="375">
        <f t="shared" si="16"/>
        <v>1972625.6</v>
      </c>
      <c r="AB110" s="377">
        <f t="shared" si="29"/>
        <v>313862.46618933976</v>
      </c>
      <c r="AC110" s="377">
        <f t="shared" si="30"/>
        <v>2465782</v>
      </c>
      <c r="AD110" s="377">
        <f t="shared" si="31"/>
        <v>392328.0827366747</v>
      </c>
    </row>
    <row r="111" spans="1:37" s="377" customFormat="1" ht="16.5" customHeight="1">
      <c r="A111" s="1209">
        <v>7</v>
      </c>
      <c r="B111" s="1177" t="s">
        <v>269</v>
      </c>
      <c r="C111" s="1177" t="s">
        <v>99</v>
      </c>
      <c r="D111" s="1223" t="s">
        <v>25</v>
      </c>
      <c r="E111" s="1224" t="s">
        <v>670</v>
      </c>
      <c r="F111" s="424" t="s">
        <v>271</v>
      </c>
      <c r="G111" s="423">
        <v>1</v>
      </c>
      <c r="H111" s="1164" t="s">
        <v>102</v>
      </c>
      <c r="I111" s="1164" t="s">
        <v>103</v>
      </c>
      <c r="J111" s="1225">
        <v>1</v>
      </c>
      <c r="K111" s="1166">
        <v>17697</v>
      </c>
      <c r="L111" s="1245">
        <v>34</v>
      </c>
      <c r="M111" s="1232">
        <f t="shared" si="32"/>
        <v>1.8888888888888888</v>
      </c>
      <c r="N111" s="1186" t="s">
        <v>152</v>
      </c>
      <c r="O111" s="1246">
        <v>4.62</v>
      </c>
      <c r="P111" s="401">
        <f t="shared" si="33"/>
        <v>154435.81999999998</v>
      </c>
      <c r="Q111" s="401"/>
      <c r="R111" s="1203"/>
      <c r="S111" s="1166"/>
      <c r="T111" s="1166">
        <v>0.1</v>
      </c>
      <c r="U111" s="401">
        <f t="shared" si="35"/>
        <v>15443.581999999999</v>
      </c>
      <c r="V111" s="416"/>
      <c r="W111" s="1232"/>
      <c r="X111" s="1208">
        <f t="shared" si="36"/>
        <v>169879.40199999997</v>
      </c>
      <c r="Y111" s="406">
        <f t="shared" si="34"/>
        <v>0</v>
      </c>
      <c r="Z111" s="406">
        <f t="shared" si="34"/>
        <v>0</v>
      </c>
      <c r="AA111" s="375">
        <f t="shared" si="16"/>
        <v>2038552.8239999996</v>
      </c>
      <c r="AB111" s="377">
        <f t="shared" si="29"/>
        <v>324352.08019093075</v>
      </c>
      <c r="AC111" s="377">
        <f t="shared" si="30"/>
        <v>2548191.0299999993</v>
      </c>
      <c r="AD111" s="377">
        <f t="shared" si="31"/>
        <v>405440.10023866344</v>
      </c>
    </row>
    <row r="112" spans="1:37" s="377" customFormat="1" ht="17.25" customHeight="1">
      <c r="A112" s="1209">
        <v>8</v>
      </c>
      <c r="B112" s="1177" t="s">
        <v>391</v>
      </c>
      <c r="C112" s="1177" t="s">
        <v>99</v>
      </c>
      <c r="D112" s="1164" t="s">
        <v>25</v>
      </c>
      <c r="E112" s="1224" t="s">
        <v>673</v>
      </c>
      <c r="F112" s="424" t="s">
        <v>77</v>
      </c>
      <c r="G112" s="423">
        <v>1</v>
      </c>
      <c r="H112" s="1164" t="s">
        <v>102</v>
      </c>
      <c r="I112" s="1164" t="s">
        <v>103</v>
      </c>
      <c r="J112" s="1225">
        <v>4</v>
      </c>
      <c r="K112" s="1166">
        <v>17697</v>
      </c>
      <c r="L112" s="1245">
        <v>24</v>
      </c>
      <c r="M112" s="1232">
        <f t="shared" si="32"/>
        <v>1.3333333333333333</v>
      </c>
      <c r="N112" s="1250" t="s">
        <v>112</v>
      </c>
      <c r="O112" s="1249">
        <v>3.71</v>
      </c>
      <c r="P112" s="401">
        <f t="shared" si="33"/>
        <v>87541.16</v>
      </c>
      <c r="Q112" s="401"/>
      <c r="R112" s="1203"/>
      <c r="S112" s="1166"/>
      <c r="T112" s="1166">
        <v>0.1</v>
      </c>
      <c r="U112" s="401">
        <f t="shared" si="35"/>
        <v>8754.116</v>
      </c>
      <c r="V112" s="416"/>
      <c r="W112" s="1232"/>
      <c r="X112" s="1208">
        <f t="shared" si="36"/>
        <v>96295.275999999998</v>
      </c>
      <c r="Y112" s="406">
        <f t="shared" si="34"/>
        <v>0</v>
      </c>
      <c r="Z112" s="406">
        <f t="shared" si="34"/>
        <v>0</v>
      </c>
      <c r="AA112" s="375">
        <f>X112*12</f>
        <v>1155543.3119999999</v>
      </c>
      <c r="AB112" s="377">
        <f>AA112/12/29.33*56</f>
        <v>183857.32887828161</v>
      </c>
      <c r="AC112" s="377">
        <f>AA112*1.25</f>
        <v>1444429.14</v>
      </c>
      <c r="AD112" s="377">
        <f>AC112/12/29.33*56</f>
        <v>229821.66109785202</v>
      </c>
    </row>
    <row r="113" spans="1:30" s="377" customFormat="1" ht="17.25" customHeight="1">
      <c r="A113" s="1209">
        <v>9</v>
      </c>
      <c r="B113" s="1177" t="s">
        <v>272</v>
      </c>
      <c r="C113" s="1177" t="s">
        <v>617</v>
      </c>
      <c r="D113" s="1223" t="s">
        <v>25</v>
      </c>
      <c r="E113" s="1224" t="s">
        <v>685</v>
      </c>
      <c r="F113" s="424" t="s">
        <v>434</v>
      </c>
      <c r="G113" s="423">
        <v>1</v>
      </c>
      <c r="H113" s="1164" t="s">
        <v>102</v>
      </c>
      <c r="I113" s="1164" t="s">
        <v>103</v>
      </c>
      <c r="J113" s="1225">
        <v>1</v>
      </c>
      <c r="K113" s="1166">
        <v>17697</v>
      </c>
      <c r="L113" s="1245">
        <v>32</v>
      </c>
      <c r="M113" s="1232">
        <f t="shared" si="32"/>
        <v>1.7777777777777777</v>
      </c>
      <c r="N113" s="1186" t="s">
        <v>152</v>
      </c>
      <c r="O113" s="1246">
        <v>4.6900000000000004</v>
      </c>
      <c r="P113" s="401">
        <f t="shared" si="33"/>
        <v>147553.65333333335</v>
      </c>
      <c r="Q113" s="401"/>
      <c r="R113" s="1203"/>
      <c r="S113" s="1166"/>
      <c r="T113" s="1166">
        <v>0.1</v>
      </c>
      <c r="U113" s="401">
        <f t="shared" si="35"/>
        <v>14755.365333333335</v>
      </c>
      <c r="V113" s="416"/>
      <c r="W113" s="1232"/>
      <c r="X113" s="1208">
        <f t="shared" si="36"/>
        <v>162309.0186666667</v>
      </c>
      <c r="Y113" s="406"/>
      <c r="Z113" s="406"/>
      <c r="AA113" s="375">
        <f t="shared" si="16"/>
        <v>1947708.2240000004</v>
      </c>
      <c r="AB113" s="377">
        <f t="shared" si="29"/>
        <v>309897.88766905339</v>
      </c>
      <c r="AC113" s="377">
        <f t="shared" si="30"/>
        <v>2434635.2800000003</v>
      </c>
      <c r="AD113" s="377">
        <f t="shared" si="31"/>
        <v>387372.35958631668</v>
      </c>
    </row>
    <row r="114" spans="1:30" s="377" customFormat="1" ht="17.25" customHeight="1">
      <c r="A114" s="1209">
        <v>10</v>
      </c>
      <c r="B114" s="1554" t="s">
        <v>274</v>
      </c>
      <c r="C114" s="1177" t="s">
        <v>99</v>
      </c>
      <c r="D114" s="1223" t="s">
        <v>25</v>
      </c>
      <c r="E114" s="1224" t="s">
        <v>686</v>
      </c>
      <c r="F114" s="1198" t="s">
        <v>239</v>
      </c>
      <c r="G114" s="423">
        <v>1</v>
      </c>
      <c r="H114" s="1164" t="s">
        <v>102</v>
      </c>
      <c r="I114" s="1164" t="s">
        <v>103</v>
      </c>
      <c r="J114" s="1225">
        <v>2</v>
      </c>
      <c r="K114" s="1166">
        <v>17697</v>
      </c>
      <c r="L114" s="1245">
        <v>23</v>
      </c>
      <c r="M114" s="1232">
        <f t="shared" si="32"/>
        <v>1.2777777777777777</v>
      </c>
      <c r="N114" s="1169" t="s">
        <v>104</v>
      </c>
      <c r="O114" s="1246">
        <v>4.2300000000000004</v>
      </c>
      <c r="P114" s="401">
        <f t="shared" si="33"/>
        <v>95652.285000000018</v>
      </c>
      <c r="Q114" s="401"/>
      <c r="R114" s="1203"/>
      <c r="S114" s="1166"/>
      <c r="T114" s="1166">
        <v>0.1</v>
      </c>
      <c r="U114" s="401">
        <f t="shared" si="35"/>
        <v>9565.2285000000029</v>
      </c>
      <c r="V114" s="416"/>
      <c r="W114" s="1232"/>
      <c r="X114" s="1208">
        <f t="shared" si="36"/>
        <v>105217.51350000002</v>
      </c>
      <c r="Y114" s="406">
        <f t="shared" ref="Y114:Z114" si="37">V114+R114</f>
        <v>0</v>
      </c>
      <c r="Z114" s="406">
        <f t="shared" si="37"/>
        <v>0</v>
      </c>
      <c r="AA114" s="375">
        <f>X114*12</f>
        <v>1262610.1620000002</v>
      </c>
      <c r="AB114" s="377">
        <f>AA114/12/29.33*56</f>
        <v>200892.62720763727</v>
      </c>
      <c r="AC114" s="377">
        <f>AA114*1.25</f>
        <v>1578262.7025000004</v>
      </c>
      <c r="AD114" s="377">
        <f>AC114/12/29.33*56</f>
        <v>251115.78400954659</v>
      </c>
    </row>
    <row r="115" spans="1:30" s="377" customFormat="1" ht="17.25" customHeight="1">
      <c r="A115" s="1209">
        <v>11</v>
      </c>
      <c r="B115" s="1554" t="s">
        <v>420</v>
      </c>
      <c r="C115" s="1177" t="s">
        <v>99</v>
      </c>
      <c r="D115" s="1223" t="s">
        <v>25</v>
      </c>
      <c r="E115" s="1224" t="s">
        <v>687</v>
      </c>
      <c r="F115" s="1198" t="s">
        <v>239</v>
      </c>
      <c r="G115" s="423">
        <v>1</v>
      </c>
      <c r="H115" s="1164" t="s">
        <v>102</v>
      </c>
      <c r="I115" s="1164" t="s">
        <v>103</v>
      </c>
      <c r="J115" s="1225">
        <v>3</v>
      </c>
      <c r="K115" s="1166">
        <v>17697</v>
      </c>
      <c r="L115" s="1245">
        <v>20</v>
      </c>
      <c r="M115" s="1232">
        <f t="shared" si="32"/>
        <v>1.1111111111111112</v>
      </c>
      <c r="N115" s="1250" t="s">
        <v>109</v>
      </c>
      <c r="O115" s="1246">
        <v>4.21</v>
      </c>
      <c r="P115" s="401">
        <f t="shared" si="33"/>
        <v>82782.633333333331</v>
      </c>
      <c r="Q115" s="401"/>
      <c r="R115" s="1203"/>
      <c r="S115" s="1166"/>
      <c r="T115" s="1166">
        <v>0.1</v>
      </c>
      <c r="U115" s="401">
        <f t="shared" si="35"/>
        <v>8278.2633333333342</v>
      </c>
      <c r="V115" s="416"/>
      <c r="W115" s="1232"/>
      <c r="X115" s="1208">
        <f t="shared" si="36"/>
        <v>91060.896666666667</v>
      </c>
      <c r="Y115" s="406">
        <f>V115+R115</f>
        <v>0</v>
      </c>
      <c r="Z115" s="406">
        <f>W115+S115</f>
        <v>0</v>
      </c>
      <c r="AA115" s="375">
        <f>X115*12</f>
        <v>1092730.76</v>
      </c>
      <c r="AB115" s="377">
        <f>AA115/12/29.33*56</f>
        <v>173863.28719172633</v>
      </c>
      <c r="AC115" s="377">
        <f>AA115*1.25</f>
        <v>1365913.45</v>
      </c>
      <c r="AD115" s="377">
        <f>AC115/12/29.33*56</f>
        <v>217329.10898965795</v>
      </c>
    </row>
    <row r="116" spans="1:30" s="377" customFormat="1" ht="17.25" customHeight="1">
      <c r="A116" s="1209">
        <v>12</v>
      </c>
      <c r="B116" s="463" t="s">
        <v>175</v>
      </c>
      <c r="C116" s="1177" t="s">
        <v>617</v>
      </c>
      <c r="D116" s="1164" t="s">
        <v>25</v>
      </c>
      <c r="E116" s="1198" t="s">
        <v>737</v>
      </c>
      <c r="F116" s="1198" t="s">
        <v>114</v>
      </c>
      <c r="G116" s="423">
        <v>1</v>
      </c>
      <c r="H116" s="1164" t="s">
        <v>102</v>
      </c>
      <c r="I116" s="1164" t="s">
        <v>103</v>
      </c>
      <c r="J116" s="1165">
        <v>1</v>
      </c>
      <c r="K116" s="1166">
        <v>17697</v>
      </c>
      <c r="L116" s="1245">
        <v>16</v>
      </c>
      <c r="M116" s="1232">
        <f t="shared" si="32"/>
        <v>0.88888888888888884</v>
      </c>
      <c r="N116" s="1186" t="s">
        <v>152</v>
      </c>
      <c r="O116" s="1206">
        <v>4.75</v>
      </c>
      <c r="P116" s="401">
        <f t="shared" si="33"/>
        <v>74720.666666666672</v>
      </c>
      <c r="Q116" s="401"/>
      <c r="R116" s="1203"/>
      <c r="S116" s="1166"/>
      <c r="T116" s="1166">
        <v>0.1</v>
      </c>
      <c r="U116" s="401">
        <f t="shared" si="35"/>
        <v>7472.0666666666675</v>
      </c>
      <c r="V116" s="416"/>
      <c r="W116" s="1232"/>
      <c r="X116" s="1208">
        <f t="shared" si="36"/>
        <v>82192.733333333337</v>
      </c>
      <c r="Y116" s="359">
        <f t="shared" si="34"/>
        <v>0</v>
      </c>
      <c r="Z116" s="359">
        <f t="shared" si="34"/>
        <v>0</v>
      </c>
      <c r="AA116" s="375">
        <f t="shared" si="16"/>
        <v>986312.8</v>
      </c>
      <c r="AB116" s="377">
        <f t="shared" si="29"/>
        <v>156931.23309466988</v>
      </c>
      <c r="AC116" s="377">
        <f t="shared" si="30"/>
        <v>1232891</v>
      </c>
      <c r="AD116" s="377">
        <f t="shared" si="31"/>
        <v>196164.04136833735</v>
      </c>
    </row>
    <row r="117" spans="1:30" s="377" customFormat="1" ht="17.25" customHeight="1">
      <c r="A117" s="1209">
        <v>13</v>
      </c>
      <c r="B117" s="1177" t="s">
        <v>281</v>
      </c>
      <c r="C117" s="1177" t="s">
        <v>99</v>
      </c>
      <c r="D117" s="1223" t="s">
        <v>25</v>
      </c>
      <c r="E117" s="1224" t="s">
        <v>694</v>
      </c>
      <c r="F117" s="1198" t="s">
        <v>40</v>
      </c>
      <c r="G117" s="423">
        <v>1</v>
      </c>
      <c r="H117" s="1164" t="s">
        <v>102</v>
      </c>
      <c r="I117" s="1164" t="s">
        <v>103</v>
      </c>
      <c r="J117" s="1247">
        <v>1</v>
      </c>
      <c r="K117" s="1166">
        <v>17697</v>
      </c>
      <c r="L117" s="1245">
        <v>12</v>
      </c>
      <c r="M117" s="1232">
        <f t="shared" si="32"/>
        <v>0.66666666666666663</v>
      </c>
      <c r="N117" s="1186" t="s">
        <v>152</v>
      </c>
      <c r="O117" s="1246">
        <v>4.75</v>
      </c>
      <c r="P117" s="401">
        <f t="shared" si="33"/>
        <v>56040.5</v>
      </c>
      <c r="Q117" s="401"/>
      <c r="R117" s="1203"/>
      <c r="S117" s="1166"/>
      <c r="T117" s="1166">
        <v>0.1</v>
      </c>
      <c r="U117" s="401">
        <f t="shared" si="35"/>
        <v>5604.05</v>
      </c>
      <c r="V117" s="416"/>
      <c r="W117" s="1232"/>
      <c r="X117" s="1208">
        <f t="shared" si="36"/>
        <v>61644.55</v>
      </c>
      <c r="Y117" s="359"/>
      <c r="Z117" s="359"/>
      <c r="AA117" s="375">
        <f t="shared" si="16"/>
        <v>739734.60000000009</v>
      </c>
      <c r="AB117" s="377">
        <f t="shared" si="29"/>
        <v>117698.42482100242</v>
      </c>
      <c r="AC117" s="377">
        <f t="shared" si="30"/>
        <v>924668.25000000012</v>
      </c>
      <c r="AD117" s="377">
        <f t="shared" si="31"/>
        <v>147123.03102625301</v>
      </c>
    </row>
    <row r="118" spans="1:30" s="377" customFormat="1" ht="17.25" customHeight="1">
      <c r="A118" s="1209">
        <v>14</v>
      </c>
      <c r="B118" s="1160" t="s">
        <v>762</v>
      </c>
      <c r="C118" s="1160" t="s">
        <v>763</v>
      </c>
      <c r="D118" s="1242" t="s">
        <v>152</v>
      </c>
      <c r="E118" s="1251" t="s">
        <v>764</v>
      </c>
      <c r="F118" s="1241" t="s">
        <v>367</v>
      </c>
      <c r="G118" s="1158"/>
      <c r="H118" s="1164" t="s">
        <v>102</v>
      </c>
      <c r="I118" s="1164" t="s">
        <v>103</v>
      </c>
      <c r="J118" s="1247">
        <v>3</v>
      </c>
      <c r="K118" s="1166">
        <v>17697</v>
      </c>
      <c r="L118" s="1245">
        <v>26</v>
      </c>
      <c r="M118" s="1232">
        <f t="shared" si="32"/>
        <v>1.4444444444444444</v>
      </c>
      <c r="N118" s="1327" t="s">
        <v>109</v>
      </c>
      <c r="O118" s="1252">
        <v>4.3600000000000003</v>
      </c>
      <c r="P118" s="401">
        <f>O118*K118/18*L118</f>
        <v>111451.77333333336</v>
      </c>
      <c r="Q118" s="401"/>
      <c r="R118" s="1248"/>
      <c r="S118" s="1173"/>
      <c r="T118" s="1166">
        <v>0.1</v>
      </c>
      <c r="U118" s="401">
        <f>(P118+Q118)*T118</f>
        <v>11145.177333333337</v>
      </c>
      <c r="V118" s="1172"/>
      <c r="W118" s="1232"/>
      <c r="X118" s="1208">
        <f t="shared" si="36"/>
        <v>122596.9506666667</v>
      </c>
      <c r="Y118" s="919"/>
      <c r="Z118" s="919"/>
      <c r="AA118" s="375"/>
    </row>
    <row r="119" spans="1:30" s="377" customFormat="1" ht="16.5" customHeight="1">
      <c r="A119" s="1209">
        <v>15</v>
      </c>
      <c r="B119" s="1177" t="s">
        <v>282</v>
      </c>
      <c r="C119" s="1177" t="s">
        <v>617</v>
      </c>
      <c r="D119" s="1223" t="s">
        <v>25</v>
      </c>
      <c r="E119" s="1224" t="s">
        <v>699</v>
      </c>
      <c r="F119" s="1198" t="s">
        <v>40</v>
      </c>
      <c r="G119" s="423">
        <v>1</v>
      </c>
      <c r="H119" s="1164" t="s">
        <v>102</v>
      </c>
      <c r="I119" s="1164" t="s">
        <v>103</v>
      </c>
      <c r="J119" s="1247">
        <v>1</v>
      </c>
      <c r="K119" s="1166">
        <v>17697</v>
      </c>
      <c r="L119" s="1245">
        <v>34</v>
      </c>
      <c r="M119" s="1232">
        <f t="shared" si="32"/>
        <v>1.8888888888888888</v>
      </c>
      <c r="N119" s="1186" t="s">
        <v>152</v>
      </c>
      <c r="O119" s="1246">
        <v>4.75</v>
      </c>
      <c r="P119" s="401">
        <f t="shared" si="33"/>
        <v>158781.41666666669</v>
      </c>
      <c r="Q119" s="401"/>
      <c r="R119" s="1203"/>
      <c r="S119" s="1166"/>
      <c r="T119" s="1166">
        <v>0.1</v>
      </c>
      <c r="U119" s="401">
        <f t="shared" si="35"/>
        <v>15878.14166666667</v>
      </c>
      <c r="V119" s="416"/>
      <c r="W119" s="1232"/>
      <c r="X119" s="1208">
        <f t="shared" si="36"/>
        <v>174659.55833333335</v>
      </c>
      <c r="Y119" s="359">
        <f t="shared" si="34"/>
        <v>0</v>
      </c>
      <c r="Z119" s="359">
        <f t="shared" si="34"/>
        <v>0</v>
      </c>
      <c r="AA119" s="375">
        <f t="shared" si="16"/>
        <v>2095914.7000000002</v>
      </c>
      <c r="AB119" s="377">
        <f t="shared" si="29"/>
        <v>333478.87032617349</v>
      </c>
      <c r="AC119" s="377">
        <f t="shared" si="30"/>
        <v>2619893.375</v>
      </c>
      <c r="AD119" s="377">
        <f t="shared" si="31"/>
        <v>416848.58790771681</v>
      </c>
    </row>
    <row r="120" spans="1:30" s="377" customFormat="1" ht="17.25" customHeight="1">
      <c r="A120" s="1209">
        <v>16</v>
      </c>
      <c r="B120" s="1177" t="s">
        <v>392</v>
      </c>
      <c r="C120" s="1177" t="s">
        <v>99</v>
      </c>
      <c r="D120" s="1223" t="s">
        <v>25</v>
      </c>
      <c r="E120" s="1224" t="s">
        <v>700</v>
      </c>
      <c r="F120" s="424" t="s">
        <v>434</v>
      </c>
      <c r="G120" s="423">
        <v>1</v>
      </c>
      <c r="H120" s="1164" t="s">
        <v>102</v>
      </c>
      <c r="I120" s="1164" t="s">
        <v>103</v>
      </c>
      <c r="J120" s="1218">
        <v>2</v>
      </c>
      <c r="K120" s="1166">
        <v>17697</v>
      </c>
      <c r="L120" s="1245">
        <v>24</v>
      </c>
      <c r="M120" s="1232">
        <f t="shared" si="32"/>
        <v>1.3333333333333333</v>
      </c>
      <c r="N120" s="1169" t="s">
        <v>104</v>
      </c>
      <c r="O120" s="1249">
        <v>4.4400000000000004</v>
      </c>
      <c r="P120" s="401">
        <f t="shared" si="33"/>
        <v>104766.24</v>
      </c>
      <c r="Q120" s="401"/>
      <c r="R120" s="1203"/>
      <c r="S120" s="1166"/>
      <c r="T120" s="1166">
        <v>0.1</v>
      </c>
      <c r="U120" s="401">
        <f t="shared" si="35"/>
        <v>10476.624000000002</v>
      </c>
      <c r="V120" s="416"/>
      <c r="W120" s="1232"/>
      <c r="X120" s="1208">
        <f t="shared" si="36"/>
        <v>115242.864</v>
      </c>
      <c r="Y120" s="359">
        <f t="shared" si="34"/>
        <v>0</v>
      </c>
      <c r="Z120" s="359">
        <f t="shared" si="34"/>
        <v>0</v>
      </c>
      <c r="AA120" s="375">
        <f>X120*12</f>
        <v>1382914.368</v>
      </c>
      <c r="AB120" s="377">
        <f>AA120/12/29.33*56</f>
        <v>220034.10787589499</v>
      </c>
      <c r="AC120" s="377">
        <f>AA120*1.25</f>
        <v>1728642.96</v>
      </c>
      <c r="AD120" s="377">
        <f>AC120/12/29.33*56</f>
        <v>275042.63484486868</v>
      </c>
    </row>
    <row r="121" spans="1:30" s="377" customFormat="1" ht="17.25" customHeight="1">
      <c r="A121" s="1209">
        <v>17</v>
      </c>
      <c r="B121" s="1177" t="s">
        <v>184</v>
      </c>
      <c r="C121" s="1177" t="s">
        <v>99</v>
      </c>
      <c r="D121" s="1223" t="s">
        <v>25</v>
      </c>
      <c r="E121" s="1224" t="s">
        <v>265</v>
      </c>
      <c r="F121" s="1198" t="s">
        <v>40</v>
      </c>
      <c r="G121" s="423">
        <v>1</v>
      </c>
      <c r="H121" s="1164" t="s">
        <v>102</v>
      </c>
      <c r="I121" s="1164" t="s">
        <v>103</v>
      </c>
      <c r="J121" s="1225">
        <v>1</v>
      </c>
      <c r="K121" s="1166">
        <v>17697</v>
      </c>
      <c r="L121" s="1245">
        <v>4</v>
      </c>
      <c r="M121" s="1232">
        <f t="shared" si="32"/>
        <v>0.22222222222222221</v>
      </c>
      <c r="N121" s="1186" t="s">
        <v>152</v>
      </c>
      <c r="O121" s="1557">
        <v>4.75</v>
      </c>
      <c r="P121" s="401">
        <f t="shared" si="33"/>
        <v>18680.166666666668</v>
      </c>
      <c r="Q121" s="401"/>
      <c r="R121" s="1248"/>
      <c r="S121" s="1173"/>
      <c r="T121" s="1173">
        <v>0.1</v>
      </c>
      <c r="U121" s="401">
        <f t="shared" si="35"/>
        <v>1868.0166666666669</v>
      </c>
      <c r="V121" s="1172"/>
      <c r="W121" s="1232"/>
      <c r="X121" s="1208">
        <f t="shared" si="36"/>
        <v>20548.183333333334</v>
      </c>
      <c r="Y121" s="1175"/>
      <c r="Z121" s="1175"/>
      <c r="AA121" s="375">
        <f t="shared" si="16"/>
        <v>246578.2</v>
      </c>
      <c r="AB121" s="377">
        <f t="shared" si="29"/>
        <v>39232.80827366747</v>
      </c>
      <c r="AC121" s="377">
        <f t="shared" si="30"/>
        <v>308222.75</v>
      </c>
      <c r="AD121" s="377">
        <f t="shared" si="31"/>
        <v>49041.010342084337</v>
      </c>
    </row>
    <row r="122" spans="1:30" s="377" customFormat="1" ht="17.25" customHeight="1">
      <c r="A122" s="1209">
        <v>18</v>
      </c>
      <c r="B122" s="1160" t="s">
        <v>706</v>
      </c>
      <c r="C122" s="1160" t="s">
        <v>99</v>
      </c>
      <c r="D122" s="1242" t="s">
        <v>75</v>
      </c>
      <c r="E122" s="1251" t="s">
        <v>707</v>
      </c>
      <c r="F122" s="1241" t="s">
        <v>159</v>
      </c>
      <c r="G122" s="1158">
        <v>1</v>
      </c>
      <c r="H122" s="1242" t="s">
        <v>102</v>
      </c>
      <c r="I122" s="1164" t="s">
        <v>118</v>
      </c>
      <c r="J122" s="1247">
        <v>4</v>
      </c>
      <c r="K122" s="1166">
        <v>17697</v>
      </c>
      <c r="L122" s="1245">
        <v>15</v>
      </c>
      <c r="M122" s="1232">
        <f>L122/18</f>
        <v>0.83333333333333337</v>
      </c>
      <c r="N122" s="1250" t="s">
        <v>112</v>
      </c>
      <c r="O122" s="1252">
        <v>3.32</v>
      </c>
      <c r="P122" s="401">
        <f>O122*K122/18*L122</f>
        <v>48961.69999999999</v>
      </c>
      <c r="Q122" s="401"/>
      <c r="R122" s="1248"/>
      <c r="S122" s="1173"/>
      <c r="T122" s="1166">
        <v>0.1</v>
      </c>
      <c r="U122" s="401">
        <f>(P122+Q122)*T122</f>
        <v>4896.1699999999992</v>
      </c>
      <c r="V122" s="1172"/>
      <c r="W122" s="1232"/>
      <c r="X122" s="1208">
        <f t="shared" si="36"/>
        <v>53857.869999999988</v>
      </c>
      <c r="Y122" s="919"/>
      <c r="Z122" s="919"/>
      <c r="AA122" s="375"/>
    </row>
    <row r="123" spans="1:30" s="377" customFormat="1" ht="17.25" customHeight="1">
      <c r="A123" s="1209">
        <v>19</v>
      </c>
      <c r="B123" s="1177" t="s">
        <v>799</v>
      </c>
      <c r="C123" s="1177" t="s">
        <v>99</v>
      </c>
      <c r="D123" s="1164" t="s">
        <v>25</v>
      </c>
      <c r="E123" s="1224" t="s">
        <v>704</v>
      </c>
      <c r="F123" s="1198" t="s">
        <v>40</v>
      </c>
      <c r="G123" s="423">
        <v>1</v>
      </c>
      <c r="H123" s="1164" t="s">
        <v>102</v>
      </c>
      <c r="I123" s="1164" t="s">
        <v>103</v>
      </c>
      <c r="J123" s="1247">
        <v>1</v>
      </c>
      <c r="K123" s="1166">
        <v>17697</v>
      </c>
      <c r="L123" s="1245">
        <v>6</v>
      </c>
      <c r="M123" s="1232">
        <f t="shared" si="32"/>
        <v>0.33333333333333331</v>
      </c>
      <c r="N123" s="1186" t="s">
        <v>152</v>
      </c>
      <c r="O123" s="1249">
        <v>4.75</v>
      </c>
      <c r="P123" s="401">
        <f t="shared" si="33"/>
        <v>28020.25</v>
      </c>
      <c r="Q123" s="401"/>
      <c r="R123" s="1203"/>
      <c r="S123" s="1166"/>
      <c r="T123" s="1166">
        <v>0.1</v>
      </c>
      <c r="U123" s="401">
        <f t="shared" si="35"/>
        <v>2802.0250000000001</v>
      </c>
      <c r="V123" s="416"/>
      <c r="W123" s="1232"/>
      <c r="X123" s="1208">
        <f t="shared" si="36"/>
        <v>30822.275000000001</v>
      </c>
      <c r="Y123" s="406">
        <f t="shared" ref="Y123:Z124" si="38">V123+R123</f>
        <v>0</v>
      </c>
      <c r="Z123" s="406">
        <f t="shared" si="38"/>
        <v>0</v>
      </c>
      <c r="AA123" s="375">
        <f t="shared" si="16"/>
        <v>369867.30000000005</v>
      </c>
      <c r="AB123" s="377">
        <f t="shared" si="29"/>
        <v>58849.212410501212</v>
      </c>
      <c r="AC123" s="377">
        <f t="shared" si="30"/>
        <v>462334.12500000006</v>
      </c>
      <c r="AD123" s="377">
        <f t="shared" si="31"/>
        <v>73561.515513126506</v>
      </c>
    </row>
    <row r="124" spans="1:30" s="377" customFormat="1" ht="17.25" customHeight="1">
      <c r="A124" s="1209">
        <v>20</v>
      </c>
      <c r="B124" s="1177" t="s">
        <v>287</v>
      </c>
      <c r="C124" s="1177" t="s">
        <v>99</v>
      </c>
      <c r="D124" s="1223" t="s">
        <v>25</v>
      </c>
      <c r="E124" s="1224" t="s">
        <v>711</v>
      </c>
      <c r="F124" s="1198" t="s">
        <v>40</v>
      </c>
      <c r="G124" s="423">
        <v>1</v>
      </c>
      <c r="H124" s="1164" t="s">
        <v>102</v>
      </c>
      <c r="I124" s="1164" t="s">
        <v>103</v>
      </c>
      <c r="J124" s="1247">
        <v>1</v>
      </c>
      <c r="K124" s="1166">
        <v>17697</v>
      </c>
      <c r="L124" s="1245">
        <v>24</v>
      </c>
      <c r="M124" s="1232">
        <f t="shared" si="32"/>
        <v>1.3333333333333333</v>
      </c>
      <c r="N124" s="1186" t="s">
        <v>152</v>
      </c>
      <c r="O124" s="1246">
        <v>4.75</v>
      </c>
      <c r="P124" s="401">
        <f t="shared" si="33"/>
        <v>112081</v>
      </c>
      <c r="Q124" s="401"/>
      <c r="R124" s="1203"/>
      <c r="S124" s="1166"/>
      <c r="T124" s="1166">
        <v>0.1</v>
      </c>
      <c r="U124" s="401">
        <f t="shared" si="35"/>
        <v>11208.1</v>
      </c>
      <c r="V124" s="416"/>
      <c r="W124" s="1232"/>
      <c r="X124" s="1208">
        <f t="shared" si="36"/>
        <v>123289.1</v>
      </c>
      <c r="Y124" s="359">
        <f t="shared" si="38"/>
        <v>0</v>
      </c>
      <c r="Z124" s="359">
        <f t="shared" si="38"/>
        <v>0</v>
      </c>
      <c r="AA124" s="375">
        <f t="shared" si="16"/>
        <v>1479469.2000000002</v>
      </c>
      <c r="AB124" s="377">
        <f t="shared" si="29"/>
        <v>235396.84964200485</v>
      </c>
      <c r="AC124" s="377">
        <f t="shared" si="30"/>
        <v>1849336.5000000002</v>
      </c>
      <c r="AD124" s="377">
        <f t="shared" si="31"/>
        <v>294246.06205250602</v>
      </c>
    </row>
    <row r="125" spans="1:30" s="377" customFormat="1" ht="17.25" customHeight="1">
      <c r="A125" s="1209">
        <v>21</v>
      </c>
      <c r="B125" s="1177" t="s">
        <v>289</v>
      </c>
      <c r="C125" s="1177" t="s">
        <v>99</v>
      </c>
      <c r="D125" s="1164" t="s">
        <v>64</v>
      </c>
      <c r="E125" s="1224" t="s">
        <v>713</v>
      </c>
      <c r="F125" s="424" t="s">
        <v>77</v>
      </c>
      <c r="G125" s="423">
        <v>1</v>
      </c>
      <c r="H125" s="1164" t="s">
        <v>102</v>
      </c>
      <c r="I125" s="1164" t="s">
        <v>118</v>
      </c>
      <c r="J125" s="1247">
        <v>4</v>
      </c>
      <c r="K125" s="1166">
        <v>17697</v>
      </c>
      <c r="L125" s="1245">
        <v>18</v>
      </c>
      <c r="M125" s="1232">
        <f t="shared" si="32"/>
        <v>1</v>
      </c>
      <c r="N125" s="1250" t="s">
        <v>112</v>
      </c>
      <c r="O125" s="1249">
        <v>3.45</v>
      </c>
      <c r="P125" s="401">
        <f t="shared" si="33"/>
        <v>61054.65</v>
      </c>
      <c r="Q125" s="401"/>
      <c r="R125" s="1203"/>
      <c r="S125" s="1166"/>
      <c r="T125" s="1166">
        <v>0.1</v>
      </c>
      <c r="U125" s="401">
        <f t="shared" si="35"/>
        <v>6105.4650000000001</v>
      </c>
      <c r="V125" s="416"/>
      <c r="W125" s="1232"/>
      <c r="X125" s="1208">
        <f t="shared" si="36"/>
        <v>67160.115000000005</v>
      </c>
      <c r="Y125" s="359">
        <f>V125+R125</f>
        <v>0</v>
      </c>
      <c r="Z125" s="359">
        <f>W125+S125</f>
        <v>0</v>
      </c>
      <c r="AA125" s="375">
        <f>X125*12</f>
        <v>805921.38000000012</v>
      </c>
      <c r="AB125" s="377">
        <f>AA125/12/29.33*56</f>
        <v>128229.33651551316</v>
      </c>
      <c r="AC125" s="377">
        <f>AA125*1.25</f>
        <v>1007401.7250000001</v>
      </c>
      <c r="AD125" s="377">
        <f>AC125/12/29.33*56</f>
        <v>160286.67064439144</v>
      </c>
    </row>
    <row r="126" spans="1:30" s="1346" customFormat="1" ht="17.25" customHeight="1">
      <c r="A126" s="1253"/>
      <c r="B126" s="1258"/>
      <c r="C126" s="1258"/>
      <c r="D126" s="1348"/>
      <c r="E126" s="1259"/>
      <c r="F126" s="1349"/>
      <c r="G126" s="1350"/>
      <c r="H126" s="1348"/>
      <c r="I126" s="1348"/>
      <c r="J126" s="1351"/>
      <c r="K126" s="1261"/>
      <c r="L126" s="1255">
        <f>SUM(L105:L125)</f>
        <v>460</v>
      </c>
      <c r="M126" s="1254"/>
      <c r="N126" s="1352"/>
      <c r="O126" s="1353"/>
      <c r="P126" s="1256"/>
      <c r="Q126" s="1256"/>
      <c r="R126" s="1260"/>
      <c r="S126" s="1261"/>
      <c r="T126" s="1261"/>
      <c r="U126" s="1256"/>
      <c r="V126" s="1262"/>
      <c r="W126" s="1254"/>
      <c r="X126" s="1257"/>
      <c r="Y126" s="1347"/>
      <c r="Z126" s="1347"/>
      <c r="AA126" s="1345"/>
    </row>
    <row r="127" spans="1:30" s="986" customFormat="1" ht="17.25" customHeight="1">
      <c r="A127" s="560">
        <v>115</v>
      </c>
      <c r="B127" s="661" t="s">
        <v>291</v>
      </c>
      <c r="C127" s="647" t="s">
        <v>99</v>
      </c>
      <c r="D127" s="663" t="s">
        <v>25</v>
      </c>
      <c r="E127" s="664" t="s">
        <v>592</v>
      </c>
      <c r="F127" s="664" t="s">
        <v>40</v>
      </c>
      <c r="G127" s="177">
        <v>1</v>
      </c>
      <c r="H127" s="177" t="s">
        <v>102</v>
      </c>
      <c r="I127" s="177" t="s">
        <v>103</v>
      </c>
      <c r="J127" s="178">
        <v>1</v>
      </c>
      <c r="K127" s="554">
        <v>17697</v>
      </c>
      <c r="L127" s="665">
        <v>31</v>
      </c>
      <c r="M127" s="567">
        <f t="shared" ref="M127:M143" si="39">L127/18</f>
        <v>1.7222222222222223</v>
      </c>
      <c r="N127" s="574" t="s">
        <v>152</v>
      </c>
      <c r="O127" s="567">
        <v>4.75</v>
      </c>
      <c r="P127" s="567">
        <f t="shared" ref="P127:P143" si="40">K127*O127/18*L127</f>
        <v>144771.29166666669</v>
      </c>
      <c r="Q127" s="697">
        <f>P127*25%</f>
        <v>36192.822916666672</v>
      </c>
      <c r="R127" s="666">
        <v>0.25</v>
      </c>
      <c r="S127" s="554">
        <f>(P127+Q127)*R127</f>
        <v>45241.028645833343</v>
      </c>
      <c r="T127" s="554">
        <v>0.1</v>
      </c>
      <c r="U127" s="567">
        <v>22325.27</v>
      </c>
      <c r="V127" s="19"/>
      <c r="W127" s="554"/>
      <c r="X127" s="570">
        <f>P127+Q127+S127+U127</f>
        <v>248530.4132291667</v>
      </c>
      <c r="Y127" s="985">
        <f>V127+T127+R127</f>
        <v>0.35</v>
      </c>
      <c r="Z127" s="985">
        <f>W127+U127+S127</f>
        <v>67566.298645833347</v>
      </c>
      <c r="AA127" s="81">
        <f t="shared" si="16"/>
        <v>2982364.9587500002</v>
      </c>
      <c r="AB127" s="80">
        <f t="shared" si="29"/>
        <v>474521.07537788397</v>
      </c>
      <c r="AC127" s="80">
        <f t="shared" si="30"/>
        <v>3727956.1984375003</v>
      </c>
      <c r="AD127" s="80">
        <f t="shared" si="31"/>
        <v>593151.34422235494</v>
      </c>
    </row>
    <row r="128" spans="1:30" s="225" customFormat="1" ht="17.25" customHeight="1">
      <c r="A128" s="1355">
        <v>116</v>
      </c>
      <c r="B128" s="1356" t="s">
        <v>517</v>
      </c>
      <c r="C128" s="1357" t="s">
        <v>99</v>
      </c>
      <c r="D128" s="1358" t="s">
        <v>25</v>
      </c>
      <c r="E128" s="1359" t="s">
        <v>766</v>
      </c>
      <c r="F128" s="1359" t="s">
        <v>366</v>
      </c>
      <c r="G128" s="1360">
        <v>1</v>
      </c>
      <c r="H128" s="1360" t="s">
        <v>102</v>
      </c>
      <c r="I128" s="1360" t="s">
        <v>103</v>
      </c>
      <c r="J128" s="1361">
        <v>1</v>
      </c>
      <c r="K128" s="1362">
        <v>17697</v>
      </c>
      <c r="L128" s="1363">
        <v>0</v>
      </c>
      <c r="M128" s="1364">
        <f t="shared" si="39"/>
        <v>0</v>
      </c>
      <c r="N128" s="1365" t="s">
        <v>152</v>
      </c>
      <c r="O128" s="1364">
        <v>4.6900000000000004</v>
      </c>
      <c r="P128" s="1364">
        <f t="shared" si="40"/>
        <v>0</v>
      </c>
      <c r="Q128" s="1366">
        <f t="shared" ref="Q128:Q143" si="41">P128*25%</f>
        <v>0</v>
      </c>
      <c r="R128" s="1367">
        <v>0.25</v>
      </c>
      <c r="S128" s="1362">
        <f t="shared" ref="S128:S143" si="42">(P128+Q128)*R128</f>
        <v>0</v>
      </c>
      <c r="T128" s="1362">
        <v>0.1</v>
      </c>
      <c r="U128" s="1364">
        <f t="shared" ref="U128:U143" si="43">(P128+Q128+S128)*T128</f>
        <v>0</v>
      </c>
      <c r="V128" s="1368"/>
      <c r="W128" s="1362"/>
      <c r="X128" s="1369">
        <f t="shared" ref="X128:X142" si="44">P128+Q128+S128+U128</f>
        <v>0</v>
      </c>
      <c r="Y128" s="238"/>
      <c r="Z128" s="238"/>
      <c r="AA128" s="1370">
        <f t="shared" si="16"/>
        <v>0</v>
      </c>
      <c r="AB128" s="225">
        <f t="shared" si="29"/>
        <v>0</v>
      </c>
      <c r="AC128" s="225">
        <f t="shared" si="30"/>
        <v>0</v>
      </c>
      <c r="AD128" s="225">
        <f t="shared" si="31"/>
        <v>0</v>
      </c>
    </row>
    <row r="129" spans="1:30" s="225" customFormat="1" ht="17.25" customHeight="1">
      <c r="A129" s="1355">
        <v>117</v>
      </c>
      <c r="B129" s="1371" t="s">
        <v>516</v>
      </c>
      <c r="C129" s="1357" t="s">
        <v>99</v>
      </c>
      <c r="D129" s="1358" t="s">
        <v>25</v>
      </c>
      <c r="E129" s="1359" t="s">
        <v>594</v>
      </c>
      <c r="F129" s="1359" t="s">
        <v>40</v>
      </c>
      <c r="G129" s="1360">
        <v>1</v>
      </c>
      <c r="H129" s="1360" t="s">
        <v>102</v>
      </c>
      <c r="I129" s="1360" t="s">
        <v>103</v>
      </c>
      <c r="J129" s="1361">
        <v>1</v>
      </c>
      <c r="K129" s="1362">
        <v>17697</v>
      </c>
      <c r="L129" s="1363">
        <v>18</v>
      </c>
      <c r="M129" s="1364">
        <f t="shared" si="39"/>
        <v>1</v>
      </c>
      <c r="N129" s="1365" t="s">
        <v>152</v>
      </c>
      <c r="O129" s="1372">
        <v>4.75</v>
      </c>
      <c r="P129" s="1364">
        <f t="shared" si="40"/>
        <v>84060.75</v>
      </c>
      <c r="Q129" s="1366">
        <f t="shared" si="41"/>
        <v>21015.1875</v>
      </c>
      <c r="R129" s="1367">
        <v>0.25</v>
      </c>
      <c r="S129" s="1362">
        <f t="shared" si="42"/>
        <v>26268.984375</v>
      </c>
      <c r="T129" s="1362">
        <v>0.1</v>
      </c>
      <c r="U129" s="1364">
        <f t="shared" si="43"/>
        <v>13134.4921875</v>
      </c>
      <c r="V129" s="1368"/>
      <c r="W129" s="1362"/>
      <c r="X129" s="1369">
        <f t="shared" si="44"/>
        <v>144479.4140625</v>
      </c>
      <c r="Y129" s="238"/>
      <c r="Z129" s="238"/>
      <c r="AA129" s="1370">
        <f t="shared" si="16"/>
        <v>1733752.96875</v>
      </c>
      <c r="AB129" s="225">
        <f t="shared" si="29"/>
        <v>275855.68317422434</v>
      </c>
      <c r="AC129" s="225">
        <f t="shared" si="30"/>
        <v>2167191.2109375</v>
      </c>
      <c r="AD129" s="225">
        <f t="shared" si="31"/>
        <v>344819.60396778048</v>
      </c>
    </row>
    <row r="130" spans="1:30" s="377" customFormat="1" ht="17.25" customHeight="1">
      <c r="A130" s="423">
        <v>118</v>
      </c>
      <c r="B130" s="1187" t="s">
        <v>298</v>
      </c>
      <c r="C130" s="1177" t="s">
        <v>99</v>
      </c>
      <c r="D130" s="1178" t="s">
        <v>300</v>
      </c>
      <c r="E130" s="1196" t="s">
        <v>740</v>
      </c>
      <c r="F130" s="1179" t="s">
        <v>40</v>
      </c>
      <c r="G130" s="1180">
        <v>1</v>
      </c>
      <c r="H130" s="1180" t="s">
        <v>102</v>
      </c>
      <c r="I130" s="1180" t="s">
        <v>118</v>
      </c>
      <c r="J130" s="1181">
        <v>2</v>
      </c>
      <c r="K130" s="1166">
        <v>17697</v>
      </c>
      <c r="L130" s="1182">
        <v>9</v>
      </c>
      <c r="M130" s="1171">
        <f t="shared" si="39"/>
        <v>0.5</v>
      </c>
      <c r="N130" s="1190" t="s">
        <v>104</v>
      </c>
      <c r="O130" s="1191">
        <v>4.3899999999999997</v>
      </c>
      <c r="P130" s="1171">
        <f t="shared" si="40"/>
        <v>38844.914999999994</v>
      </c>
      <c r="Q130" s="1168">
        <f t="shared" si="41"/>
        <v>9711.2287499999984</v>
      </c>
      <c r="R130" s="1170">
        <v>0.25</v>
      </c>
      <c r="S130" s="1166">
        <f t="shared" si="42"/>
        <v>12139.035937499997</v>
      </c>
      <c r="T130" s="1166">
        <v>0.1</v>
      </c>
      <c r="U130" s="1171">
        <f t="shared" si="43"/>
        <v>6069.5179687499985</v>
      </c>
      <c r="V130" s="416"/>
      <c r="W130" s="1166"/>
      <c r="X130" s="1174">
        <f t="shared" si="44"/>
        <v>66764.697656249977</v>
      </c>
      <c r="Y130" s="406"/>
      <c r="Z130" s="406"/>
      <c r="AA130" s="375">
        <f t="shared" si="16"/>
        <v>801176.37187499972</v>
      </c>
      <c r="AB130" s="377">
        <f t="shared" si="29"/>
        <v>127474.36306682572</v>
      </c>
      <c r="AC130" s="377">
        <f t="shared" si="30"/>
        <v>1001470.4648437497</v>
      </c>
      <c r="AD130" s="377">
        <f t="shared" si="31"/>
        <v>159342.95383353217</v>
      </c>
    </row>
    <row r="131" spans="1:30" s="80" customFormat="1" ht="17.25" customHeight="1">
      <c r="A131" s="560">
        <v>119</v>
      </c>
      <c r="B131" s="153" t="s">
        <v>624</v>
      </c>
      <c r="C131" s="561" t="s">
        <v>99</v>
      </c>
      <c r="D131" s="560" t="s">
        <v>64</v>
      </c>
      <c r="E131" s="583" t="s">
        <v>660</v>
      </c>
      <c r="F131" s="562" t="s">
        <v>114</v>
      </c>
      <c r="G131" s="560">
        <v>1</v>
      </c>
      <c r="H131" s="563" t="s">
        <v>102</v>
      </c>
      <c r="I131" s="563" t="s">
        <v>118</v>
      </c>
      <c r="J131" s="564">
        <v>1</v>
      </c>
      <c r="K131" s="554">
        <v>17697</v>
      </c>
      <c r="L131" s="565">
        <v>12</v>
      </c>
      <c r="M131" s="567">
        <f t="shared" si="39"/>
        <v>0.66666666666666663</v>
      </c>
      <c r="N131" s="698" t="s">
        <v>152</v>
      </c>
      <c r="O131" s="1157">
        <v>4.5199999999999996</v>
      </c>
      <c r="P131" s="567">
        <f t="shared" si="40"/>
        <v>53326.959999999992</v>
      </c>
      <c r="Q131" s="697">
        <f t="shared" si="41"/>
        <v>13331.739999999998</v>
      </c>
      <c r="R131" s="666">
        <v>0.25</v>
      </c>
      <c r="S131" s="554">
        <f t="shared" si="42"/>
        <v>16664.674999999996</v>
      </c>
      <c r="T131" s="554">
        <v>0.1</v>
      </c>
      <c r="U131" s="567">
        <f t="shared" si="43"/>
        <v>8332.3374999999978</v>
      </c>
      <c r="V131" s="19"/>
      <c r="W131" s="554"/>
      <c r="X131" s="570">
        <f t="shared" si="44"/>
        <v>91655.712499999965</v>
      </c>
      <c r="Y131" s="688"/>
      <c r="Z131" s="688"/>
      <c r="AA131" s="81">
        <f t="shared" si="16"/>
        <v>1099868.5499999996</v>
      </c>
      <c r="AB131" s="80">
        <f t="shared" si="29"/>
        <v>174998.97374701663</v>
      </c>
      <c r="AC131" s="80">
        <f t="shared" si="30"/>
        <v>1374835.6874999995</v>
      </c>
      <c r="AD131" s="80">
        <f t="shared" si="31"/>
        <v>218748.71718377082</v>
      </c>
    </row>
    <row r="132" spans="1:30" s="377" customFormat="1" ht="15.75">
      <c r="A132" s="423">
        <v>120</v>
      </c>
      <c r="B132" s="1176" t="s">
        <v>38</v>
      </c>
      <c r="C132" s="1177" t="s">
        <v>99</v>
      </c>
      <c r="D132" s="1178" t="s">
        <v>25</v>
      </c>
      <c r="E132" s="1179" t="s">
        <v>663</v>
      </c>
      <c r="F132" s="1179" t="s">
        <v>40</v>
      </c>
      <c r="G132" s="1180">
        <v>1</v>
      </c>
      <c r="H132" s="1180" t="s">
        <v>102</v>
      </c>
      <c r="I132" s="1180" t="s">
        <v>103</v>
      </c>
      <c r="J132" s="1181">
        <v>1</v>
      </c>
      <c r="K132" s="1166">
        <v>17697</v>
      </c>
      <c r="L132" s="1182">
        <v>9</v>
      </c>
      <c r="M132" s="1171">
        <f t="shared" si="39"/>
        <v>0.5</v>
      </c>
      <c r="N132" s="1183" t="s">
        <v>152</v>
      </c>
      <c r="O132" s="1184">
        <v>4.75</v>
      </c>
      <c r="P132" s="1171">
        <f t="shared" si="40"/>
        <v>42030.375</v>
      </c>
      <c r="Q132" s="1168">
        <f t="shared" si="41"/>
        <v>10507.59375</v>
      </c>
      <c r="R132" s="1170">
        <v>0.25</v>
      </c>
      <c r="S132" s="1166">
        <f t="shared" si="42"/>
        <v>13134.4921875</v>
      </c>
      <c r="T132" s="1166">
        <v>0.1</v>
      </c>
      <c r="U132" s="1171">
        <f t="shared" si="43"/>
        <v>6567.24609375</v>
      </c>
      <c r="V132" s="416"/>
      <c r="W132" s="1166"/>
      <c r="X132" s="1174">
        <f t="shared" si="44"/>
        <v>72239.70703125</v>
      </c>
      <c r="Y132" s="406">
        <f t="shared" ref="Y132:Z143" si="45">V132+T132+R132</f>
        <v>0.35</v>
      </c>
      <c r="Z132" s="406">
        <f t="shared" si="45"/>
        <v>19701.73828125</v>
      </c>
      <c r="AA132" s="375">
        <f t="shared" si="16"/>
        <v>866876.484375</v>
      </c>
      <c r="AB132" s="377">
        <f t="shared" si="29"/>
        <v>137927.84158711217</v>
      </c>
      <c r="AC132" s="377">
        <f t="shared" si="30"/>
        <v>1083595.60546875</v>
      </c>
      <c r="AD132" s="377">
        <f t="shared" si="31"/>
        <v>172409.80198389024</v>
      </c>
    </row>
    <row r="133" spans="1:30" s="377" customFormat="1" ht="17.25" customHeight="1">
      <c r="A133" s="423">
        <v>121</v>
      </c>
      <c r="B133" s="1193" t="s">
        <v>306</v>
      </c>
      <c r="C133" s="1177" t="s">
        <v>99</v>
      </c>
      <c r="D133" s="1178" t="s">
        <v>25</v>
      </c>
      <c r="E133" s="1194" t="s">
        <v>666</v>
      </c>
      <c r="F133" s="1195" t="s">
        <v>68</v>
      </c>
      <c r="G133" s="1192">
        <v>1</v>
      </c>
      <c r="H133" s="1180" t="s">
        <v>102</v>
      </c>
      <c r="I133" s="1180" t="s">
        <v>103</v>
      </c>
      <c r="J133" s="1192">
        <v>4</v>
      </c>
      <c r="K133" s="1166">
        <v>17697</v>
      </c>
      <c r="L133" s="1182">
        <v>20</v>
      </c>
      <c r="M133" s="1171">
        <f t="shared" si="39"/>
        <v>1.1111111111111112</v>
      </c>
      <c r="N133" s="1183" t="s">
        <v>112</v>
      </c>
      <c r="O133" s="1191">
        <v>3.41</v>
      </c>
      <c r="P133" s="1171">
        <f t="shared" si="40"/>
        <v>67051.966666666674</v>
      </c>
      <c r="Q133" s="1168">
        <f t="shared" si="41"/>
        <v>16762.991666666669</v>
      </c>
      <c r="R133" s="1170">
        <v>0.25</v>
      </c>
      <c r="S133" s="1166">
        <f t="shared" si="42"/>
        <v>20953.739583333336</v>
      </c>
      <c r="T133" s="1166">
        <v>0.1</v>
      </c>
      <c r="U133" s="1171">
        <f t="shared" si="43"/>
        <v>10476.86979166667</v>
      </c>
      <c r="V133" s="416"/>
      <c r="W133" s="1166"/>
      <c r="X133" s="1174">
        <f t="shared" si="44"/>
        <v>115245.56770833336</v>
      </c>
      <c r="Y133" s="406">
        <f>V133+R133</f>
        <v>0.25</v>
      </c>
      <c r="Z133" s="406">
        <f>W133+S133</f>
        <v>20953.739583333336</v>
      </c>
      <c r="AA133" s="375">
        <f t="shared" si="16"/>
        <v>1382946.8125000002</v>
      </c>
      <c r="AB133" s="377">
        <f t="shared" si="29"/>
        <v>220039.27008751</v>
      </c>
      <c r="AC133" s="377">
        <f t="shared" si="30"/>
        <v>1728683.5156250002</v>
      </c>
      <c r="AD133" s="377">
        <f t="shared" si="31"/>
        <v>275049.08760938753</v>
      </c>
    </row>
    <row r="134" spans="1:30" s="377" customFormat="1" ht="17.25" customHeight="1">
      <c r="A134" s="423">
        <v>122</v>
      </c>
      <c r="B134" s="1176" t="s">
        <v>309</v>
      </c>
      <c r="C134" s="1177" t="s">
        <v>99</v>
      </c>
      <c r="D134" s="1178" t="s">
        <v>25</v>
      </c>
      <c r="E134" s="1179" t="s">
        <v>668</v>
      </c>
      <c r="F134" s="1179" t="s">
        <v>40</v>
      </c>
      <c r="G134" s="1180">
        <v>1</v>
      </c>
      <c r="H134" s="1180" t="s">
        <v>102</v>
      </c>
      <c r="I134" s="1180" t="s">
        <v>103</v>
      </c>
      <c r="J134" s="1181">
        <v>1</v>
      </c>
      <c r="K134" s="1166">
        <v>17697</v>
      </c>
      <c r="L134" s="1182">
        <v>26</v>
      </c>
      <c r="M134" s="1171">
        <f t="shared" si="39"/>
        <v>1.4444444444444444</v>
      </c>
      <c r="N134" s="1183" t="s">
        <v>152</v>
      </c>
      <c r="O134" s="1184">
        <v>4.75</v>
      </c>
      <c r="P134" s="1171">
        <f t="shared" si="40"/>
        <v>121421.08333333334</v>
      </c>
      <c r="Q134" s="1168">
        <f t="shared" si="41"/>
        <v>30355.270833333336</v>
      </c>
      <c r="R134" s="1170">
        <v>0.25</v>
      </c>
      <c r="S134" s="1166">
        <f t="shared" si="42"/>
        <v>37944.088541666672</v>
      </c>
      <c r="T134" s="1166">
        <v>0.1</v>
      </c>
      <c r="U134" s="1171">
        <f t="shared" si="43"/>
        <v>18972.044270833339</v>
      </c>
      <c r="V134" s="416"/>
      <c r="W134" s="1166"/>
      <c r="X134" s="1174">
        <f t="shared" si="44"/>
        <v>208692.48697916672</v>
      </c>
      <c r="Y134" s="359">
        <f t="shared" si="45"/>
        <v>0.35</v>
      </c>
      <c r="Z134" s="359">
        <f t="shared" si="45"/>
        <v>56916.132812500015</v>
      </c>
      <c r="AA134" s="375">
        <f t="shared" si="16"/>
        <v>2504309.8437500005</v>
      </c>
      <c r="AB134" s="377">
        <f t="shared" si="29"/>
        <v>398458.20902943524</v>
      </c>
      <c r="AC134" s="377">
        <f t="shared" si="30"/>
        <v>3130387.3046875005</v>
      </c>
      <c r="AD134" s="377">
        <f t="shared" si="31"/>
        <v>498072.76128679409</v>
      </c>
    </row>
    <row r="135" spans="1:30" s="986" customFormat="1" ht="17.25" customHeight="1">
      <c r="A135" s="560">
        <v>123</v>
      </c>
      <c r="B135" s="153" t="s">
        <v>623</v>
      </c>
      <c r="C135" s="561" t="s">
        <v>99</v>
      </c>
      <c r="D135" s="563" t="s">
        <v>25</v>
      </c>
      <c r="E135" s="562" t="s">
        <v>609</v>
      </c>
      <c r="F135" s="562" t="s">
        <v>476</v>
      </c>
      <c r="G135" s="560">
        <v>1</v>
      </c>
      <c r="H135" s="563" t="s">
        <v>102</v>
      </c>
      <c r="I135" s="563" t="s">
        <v>103</v>
      </c>
      <c r="J135" s="581">
        <v>4</v>
      </c>
      <c r="K135" s="554">
        <v>17697</v>
      </c>
      <c r="L135" s="665">
        <v>10</v>
      </c>
      <c r="M135" s="567">
        <f t="shared" si="39"/>
        <v>0.55555555555555558</v>
      </c>
      <c r="N135" s="574" t="s">
        <v>385</v>
      </c>
      <c r="O135" s="567">
        <v>3.78</v>
      </c>
      <c r="P135" s="567">
        <f t="shared" si="40"/>
        <v>37163.700000000004</v>
      </c>
      <c r="Q135" s="697">
        <f t="shared" si="41"/>
        <v>9290.9250000000011</v>
      </c>
      <c r="R135" s="666">
        <v>0.25</v>
      </c>
      <c r="S135" s="554">
        <f t="shared" si="42"/>
        <v>11613.656250000002</v>
      </c>
      <c r="T135" s="554">
        <v>0.1</v>
      </c>
      <c r="U135" s="567">
        <f t="shared" si="43"/>
        <v>5806.8281250000009</v>
      </c>
      <c r="V135" s="19"/>
      <c r="W135" s="554"/>
      <c r="X135" s="570">
        <f t="shared" si="44"/>
        <v>63875.109375000007</v>
      </c>
      <c r="Y135" s="984">
        <f t="shared" si="45"/>
        <v>0.35</v>
      </c>
      <c r="Z135" s="984">
        <f t="shared" si="45"/>
        <v>17420.484375000004</v>
      </c>
      <c r="AA135" s="81">
        <f t="shared" si="16"/>
        <v>766501.31250000012</v>
      </c>
      <c r="AB135" s="80">
        <f t="shared" si="29"/>
        <v>121957.24940334131</v>
      </c>
      <c r="AC135" s="80">
        <f t="shared" si="30"/>
        <v>958126.64062500012</v>
      </c>
      <c r="AD135" s="80">
        <f t="shared" si="31"/>
        <v>152446.56175417666</v>
      </c>
    </row>
    <row r="136" spans="1:30" s="377" customFormat="1" ht="17.25" customHeight="1">
      <c r="A136" s="423">
        <v>124</v>
      </c>
      <c r="B136" s="492" t="s">
        <v>447</v>
      </c>
      <c r="C136" s="1177" t="s">
        <v>99</v>
      </c>
      <c r="D136" s="1178" t="s">
        <v>300</v>
      </c>
      <c r="E136" s="1179" t="s">
        <v>738</v>
      </c>
      <c r="F136" s="1179" t="s">
        <v>602</v>
      </c>
      <c r="G136" s="1180">
        <v>1</v>
      </c>
      <c r="H136" s="1180" t="s">
        <v>102</v>
      </c>
      <c r="I136" s="1180" t="s">
        <v>118</v>
      </c>
      <c r="J136" s="1181">
        <v>4</v>
      </c>
      <c r="K136" s="1166">
        <v>17697</v>
      </c>
      <c r="L136" s="1182">
        <v>19</v>
      </c>
      <c r="M136" s="1171">
        <f t="shared" si="39"/>
        <v>1.0555555555555556</v>
      </c>
      <c r="N136" s="1183" t="s">
        <v>112</v>
      </c>
      <c r="O136" s="1184">
        <v>3.36</v>
      </c>
      <c r="P136" s="1171">
        <f t="shared" si="40"/>
        <v>62765.36</v>
      </c>
      <c r="Q136" s="1168">
        <f t="shared" si="41"/>
        <v>15691.34</v>
      </c>
      <c r="R136" s="1170">
        <v>0.25</v>
      </c>
      <c r="S136" s="1166">
        <f t="shared" si="42"/>
        <v>19614.174999999999</v>
      </c>
      <c r="T136" s="1166">
        <v>0.1</v>
      </c>
      <c r="U136" s="1171">
        <f t="shared" si="43"/>
        <v>9807.0874999999996</v>
      </c>
      <c r="V136" s="416"/>
      <c r="W136" s="1166"/>
      <c r="X136" s="1174">
        <f t="shared" si="44"/>
        <v>107877.96249999999</v>
      </c>
      <c r="Y136" s="359">
        <f t="shared" si="45"/>
        <v>0.35</v>
      </c>
      <c r="Z136" s="359">
        <f t="shared" si="45"/>
        <v>29421.262499999997</v>
      </c>
      <c r="AA136" s="375">
        <f t="shared" si="16"/>
        <v>1294535.5499999998</v>
      </c>
      <c r="AB136" s="377">
        <f t="shared" si="29"/>
        <v>205972.24343675413</v>
      </c>
      <c r="AC136" s="377">
        <f t="shared" si="30"/>
        <v>1618169.4374999998</v>
      </c>
      <c r="AD136" s="377">
        <f t="shared" si="31"/>
        <v>257465.30429594265</v>
      </c>
    </row>
    <row r="137" spans="1:30" s="377" customFormat="1" ht="17.25" customHeight="1">
      <c r="A137" s="423">
        <v>125</v>
      </c>
      <c r="B137" s="1187" t="s">
        <v>319</v>
      </c>
      <c r="C137" s="1177" t="s">
        <v>99</v>
      </c>
      <c r="D137" s="1178" t="s">
        <v>25</v>
      </c>
      <c r="E137" s="1179" t="s">
        <v>684</v>
      </c>
      <c r="F137" s="1179" t="s">
        <v>239</v>
      </c>
      <c r="G137" s="1180">
        <v>1</v>
      </c>
      <c r="H137" s="1180" t="s">
        <v>232</v>
      </c>
      <c r="I137" s="1180" t="s">
        <v>233</v>
      </c>
      <c r="J137" s="1181">
        <v>3</v>
      </c>
      <c r="K137" s="1166">
        <v>17697</v>
      </c>
      <c r="L137" s="1182">
        <v>27</v>
      </c>
      <c r="M137" s="1171">
        <f t="shared" si="39"/>
        <v>1.5</v>
      </c>
      <c r="N137" s="1188" t="s">
        <v>109</v>
      </c>
      <c r="O137" s="1189">
        <v>4.21</v>
      </c>
      <c r="P137" s="1171">
        <f t="shared" si="40"/>
        <v>111756.55499999999</v>
      </c>
      <c r="Q137" s="1168">
        <f t="shared" si="41"/>
        <v>27939.138749999998</v>
      </c>
      <c r="R137" s="1170">
        <v>0.25</v>
      </c>
      <c r="S137" s="1166">
        <f t="shared" si="42"/>
        <v>34923.923437499994</v>
      </c>
      <c r="T137" s="1166">
        <v>0.1</v>
      </c>
      <c r="U137" s="1171">
        <f t="shared" si="43"/>
        <v>17461.961718749997</v>
      </c>
      <c r="V137" s="416"/>
      <c r="W137" s="1166"/>
      <c r="X137" s="1174">
        <f t="shared" si="44"/>
        <v>192081.57890624995</v>
      </c>
      <c r="Y137" s="919"/>
      <c r="Z137" s="919"/>
      <c r="AA137" s="375">
        <f t="shared" si="16"/>
        <v>2304978.9468749994</v>
      </c>
      <c r="AB137" s="377">
        <f t="shared" si="29"/>
        <v>366742.87142004771</v>
      </c>
      <c r="AC137" s="377">
        <f t="shared" si="30"/>
        <v>2881223.6835937491</v>
      </c>
      <c r="AD137" s="377">
        <f t="shared" si="31"/>
        <v>458428.58927505952</v>
      </c>
    </row>
    <row r="138" spans="1:30" s="377" customFormat="1" ht="17.25" customHeight="1">
      <c r="A138" s="423"/>
      <c r="B138" s="1187" t="s">
        <v>739</v>
      </c>
      <c r="C138" s="1177" t="s">
        <v>99</v>
      </c>
      <c r="D138" s="1178" t="s">
        <v>25</v>
      </c>
      <c r="E138" s="1179" t="s">
        <v>503</v>
      </c>
      <c r="F138" s="1179" t="s">
        <v>77</v>
      </c>
      <c r="G138" s="1180">
        <v>1</v>
      </c>
      <c r="H138" s="1180" t="s">
        <v>102</v>
      </c>
      <c r="I138" s="1180" t="s">
        <v>103</v>
      </c>
      <c r="J138" s="1192">
        <v>4</v>
      </c>
      <c r="K138" s="1166">
        <v>17697</v>
      </c>
      <c r="L138" s="1182">
        <v>18</v>
      </c>
      <c r="M138" s="1171">
        <v>1</v>
      </c>
      <c r="N138" s="1183" t="s">
        <v>112</v>
      </c>
      <c r="O138" s="1191">
        <v>3.71</v>
      </c>
      <c r="P138" s="1171">
        <f t="shared" si="40"/>
        <v>65655.87</v>
      </c>
      <c r="Q138" s="1168">
        <f t="shared" si="41"/>
        <v>16413.967499999999</v>
      </c>
      <c r="R138" s="1170">
        <v>0.25</v>
      </c>
      <c r="S138" s="1166">
        <f t="shared" si="42"/>
        <v>20517.459374999999</v>
      </c>
      <c r="T138" s="1166">
        <v>0.1</v>
      </c>
      <c r="U138" s="1171">
        <f t="shared" si="43"/>
        <v>10258.729687500001</v>
      </c>
      <c r="V138" s="416"/>
      <c r="W138" s="1166"/>
      <c r="X138" s="1174">
        <f t="shared" si="44"/>
        <v>112846.0265625</v>
      </c>
      <c r="Y138" s="406"/>
      <c r="Z138" s="406"/>
      <c r="AA138" s="375"/>
    </row>
    <row r="139" spans="1:30" s="377" customFormat="1" ht="17.25" customHeight="1">
      <c r="A139" s="423">
        <v>126</v>
      </c>
      <c r="B139" s="463" t="s">
        <v>274</v>
      </c>
      <c r="C139" s="1177" t="s">
        <v>136</v>
      </c>
      <c r="D139" s="1178" t="s">
        <v>25</v>
      </c>
      <c r="E139" s="1224" t="s">
        <v>686</v>
      </c>
      <c r="F139" s="1198" t="s">
        <v>239</v>
      </c>
      <c r="G139" s="1180">
        <v>1</v>
      </c>
      <c r="H139" s="1180" t="s">
        <v>102</v>
      </c>
      <c r="I139" s="1180" t="s">
        <v>103</v>
      </c>
      <c r="J139" s="1181">
        <v>2</v>
      </c>
      <c r="K139" s="1166">
        <v>17697</v>
      </c>
      <c r="L139" s="1182">
        <v>10</v>
      </c>
      <c r="M139" s="1171">
        <f t="shared" si="39"/>
        <v>0.55555555555555558</v>
      </c>
      <c r="N139" s="1169" t="s">
        <v>104</v>
      </c>
      <c r="O139" s="1167">
        <v>4.2300000000000004</v>
      </c>
      <c r="P139" s="1171">
        <f t="shared" si="40"/>
        <v>41587.950000000012</v>
      </c>
      <c r="Q139" s="1168">
        <f>P139*25%</f>
        <v>10396.987500000003</v>
      </c>
      <c r="R139" s="1170">
        <v>0.25</v>
      </c>
      <c r="S139" s="1166">
        <f t="shared" si="42"/>
        <v>12996.234375000004</v>
      </c>
      <c r="T139" s="1166">
        <v>0.1</v>
      </c>
      <c r="U139" s="1171">
        <f t="shared" si="43"/>
        <v>6498.1171875000018</v>
      </c>
      <c r="V139" s="416"/>
      <c r="W139" s="1166"/>
      <c r="X139" s="1174">
        <f t="shared" si="44"/>
        <v>71479.289062500015</v>
      </c>
      <c r="Y139" s="919"/>
      <c r="Z139" s="919"/>
      <c r="AA139" s="375">
        <f t="shared" ref="AA139:AA170" si="46">X139*12</f>
        <v>857751.46875000023</v>
      </c>
      <c r="AB139" s="377">
        <f t="shared" si="29"/>
        <v>136475.96957040575</v>
      </c>
      <c r="AC139" s="377">
        <f t="shared" si="30"/>
        <v>1072189.3359375002</v>
      </c>
      <c r="AD139" s="377">
        <f t="shared" si="31"/>
        <v>170594.9619630072</v>
      </c>
    </row>
    <row r="140" spans="1:30" s="986" customFormat="1" ht="17.25" customHeight="1">
      <c r="A140" s="560">
        <v>127</v>
      </c>
      <c r="B140" s="1018" t="s">
        <v>519</v>
      </c>
      <c r="C140" s="647" t="s">
        <v>99</v>
      </c>
      <c r="D140" s="663" t="s">
        <v>25</v>
      </c>
      <c r="E140" s="664" t="s">
        <v>288</v>
      </c>
      <c r="F140" s="664" t="s">
        <v>366</v>
      </c>
      <c r="G140" s="177">
        <v>1</v>
      </c>
      <c r="H140" s="177" t="s">
        <v>102</v>
      </c>
      <c r="I140" s="177" t="s">
        <v>103</v>
      </c>
      <c r="J140" s="178">
        <v>1</v>
      </c>
      <c r="K140" s="554">
        <v>17697</v>
      </c>
      <c r="L140" s="665">
        <v>18</v>
      </c>
      <c r="M140" s="567">
        <f t="shared" si="39"/>
        <v>1</v>
      </c>
      <c r="N140" s="698" t="s">
        <v>152</v>
      </c>
      <c r="O140" s="697">
        <v>4.75</v>
      </c>
      <c r="P140" s="567">
        <f t="shared" si="40"/>
        <v>84060.75</v>
      </c>
      <c r="Q140" s="697">
        <f t="shared" si="41"/>
        <v>21015.1875</v>
      </c>
      <c r="R140" s="666">
        <v>0.25</v>
      </c>
      <c r="S140" s="554">
        <f t="shared" si="42"/>
        <v>26268.984375</v>
      </c>
      <c r="T140" s="554">
        <v>0.1</v>
      </c>
      <c r="U140" s="567">
        <f t="shared" si="43"/>
        <v>13134.4921875</v>
      </c>
      <c r="V140" s="19"/>
      <c r="W140" s="554"/>
      <c r="X140" s="570">
        <f t="shared" si="44"/>
        <v>144479.4140625</v>
      </c>
      <c r="Y140" s="988"/>
      <c r="Z140" s="988"/>
      <c r="AA140" s="81">
        <f t="shared" si="46"/>
        <v>1733752.96875</v>
      </c>
      <c r="AB140" s="80">
        <f t="shared" si="29"/>
        <v>275855.68317422434</v>
      </c>
      <c r="AC140" s="80">
        <f t="shared" si="30"/>
        <v>2167191.2109375</v>
      </c>
      <c r="AD140" s="80">
        <f t="shared" si="31"/>
        <v>344819.60396778048</v>
      </c>
    </row>
    <row r="141" spans="1:30" s="377" customFormat="1" ht="17.25" customHeight="1">
      <c r="A141" s="1158"/>
      <c r="B141" s="1159" t="s">
        <v>329</v>
      </c>
      <c r="C141" s="1160" t="s">
        <v>99</v>
      </c>
      <c r="D141" s="1161" t="s">
        <v>75</v>
      </c>
      <c r="E141" s="1162" t="s">
        <v>684</v>
      </c>
      <c r="F141" s="1162" t="s">
        <v>239</v>
      </c>
      <c r="G141" s="1163">
        <v>1</v>
      </c>
      <c r="H141" s="1164" t="s">
        <v>102</v>
      </c>
      <c r="I141" s="1164" t="s">
        <v>118</v>
      </c>
      <c r="J141" s="1165">
        <v>3</v>
      </c>
      <c r="K141" s="1166">
        <v>17697</v>
      </c>
      <c r="L141" s="1167">
        <v>18</v>
      </c>
      <c r="M141" s="1168">
        <v>1</v>
      </c>
      <c r="N141" s="1169" t="s">
        <v>109</v>
      </c>
      <c r="O141" s="1185">
        <v>4.03</v>
      </c>
      <c r="P141" s="1168">
        <f t="shared" si="40"/>
        <v>71318.91</v>
      </c>
      <c r="Q141" s="1168">
        <f t="shared" si="41"/>
        <v>17829.727500000001</v>
      </c>
      <c r="R141" s="1170">
        <v>0.25</v>
      </c>
      <c r="S141" s="1166">
        <f>(P141+Q141)*R141</f>
        <v>22287.159375000003</v>
      </c>
      <c r="T141" s="1166">
        <v>0.1</v>
      </c>
      <c r="U141" s="1171">
        <f t="shared" si="43"/>
        <v>11143.579687500001</v>
      </c>
      <c r="V141" s="1172"/>
      <c r="W141" s="1173"/>
      <c r="X141" s="1174">
        <f>P141+Q141+S141+U141</f>
        <v>122579.37656250002</v>
      </c>
      <c r="Y141" s="1175"/>
      <c r="Z141" s="1175"/>
      <c r="AA141" s="375"/>
    </row>
    <row r="142" spans="1:30" s="986" customFormat="1" ht="17.25" customHeight="1">
      <c r="A142" s="560">
        <v>128</v>
      </c>
      <c r="B142" s="661" t="s">
        <v>324</v>
      </c>
      <c r="C142" s="647" t="s">
        <v>99</v>
      </c>
      <c r="D142" s="663" t="s">
        <v>25</v>
      </c>
      <c r="E142" s="664" t="s">
        <v>613</v>
      </c>
      <c r="F142" s="664" t="s">
        <v>40</v>
      </c>
      <c r="G142" s="177">
        <v>1</v>
      </c>
      <c r="H142" s="177" t="s">
        <v>102</v>
      </c>
      <c r="I142" s="177" t="s">
        <v>103</v>
      </c>
      <c r="J142" s="178">
        <v>1</v>
      </c>
      <c r="K142" s="554">
        <v>17697</v>
      </c>
      <c r="L142" s="665">
        <v>14</v>
      </c>
      <c r="M142" s="567">
        <f t="shared" si="39"/>
        <v>0.77777777777777779</v>
      </c>
      <c r="N142" s="574" t="s">
        <v>152</v>
      </c>
      <c r="O142" s="567">
        <v>4.75</v>
      </c>
      <c r="P142" s="567">
        <f t="shared" si="40"/>
        <v>65380.583333333336</v>
      </c>
      <c r="Q142" s="697">
        <f t="shared" si="41"/>
        <v>16345.145833333334</v>
      </c>
      <c r="R142" s="666">
        <v>0.25</v>
      </c>
      <c r="S142" s="554">
        <f t="shared" si="42"/>
        <v>20431.432291666668</v>
      </c>
      <c r="T142" s="554">
        <v>0.1</v>
      </c>
      <c r="U142" s="567">
        <f t="shared" si="43"/>
        <v>10215.716145833336</v>
      </c>
      <c r="V142" s="19"/>
      <c r="W142" s="554"/>
      <c r="X142" s="570">
        <f t="shared" si="44"/>
        <v>112372.87760416669</v>
      </c>
      <c r="Y142" s="984">
        <f t="shared" si="45"/>
        <v>0.35</v>
      </c>
      <c r="Z142" s="984">
        <f t="shared" si="45"/>
        <v>30647.148437500004</v>
      </c>
      <c r="AA142" s="81">
        <f t="shared" si="46"/>
        <v>1348474.5312500002</v>
      </c>
      <c r="AB142" s="80">
        <f t="shared" si="29"/>
        <v>214554.42024661897</v>
      </c>
      <c r="AC142" s="80">
        <f t="shared" si="30"/>
        <v>1685593.1640625002</v>
      </c>
      <c r="AD142" s="80">
        <f t="shared" si="31"/>
        <v>268193.02530827373</v>
      </c>
    </row>
    <row r="143" spans="1:30" s="986" customFormat="1" ht="17.25" customHeight="1">
      <c r="A143" s="560">
        <v>129</v>
      </c>
      <c r="B143" s="662" t="s">
        <v>524</v>
      </c>
      <c r="C143" s="647" t="s">
        <v>525</v>
      </c>
      <c r="D143" s="663" t="s">
        <v>25</v>
      </c>
      <c r="E143" s="664" t="s">
        <v>595</v>
      </c>
      <c r="F143" s="664" t="s">
        <v>366</v>
      </c>
      <c r="G143" s="177">
        <v>1</v>
      </c>
      <c r="H143" s="177" t="s">
        <v>102</v>
      </c>
      <c r="I143" s="177" t="s">
        <v>103</v>
      </c>
      <c r="J143" s="178">
        <v>1</v>
      </c>
      <c r="K143" s="554">
        <v>17697</v>
      </c>
      <c r="L143" s="665">
        <v>18</v>
      </c>
      <c r="M143" s="567">
        <f t="shared" si="39"/>
        <v>1</v>
      </c>
      <c r="N143" s="997" t="s">
        <v>152</v>
      </c>
      <c r="O143" s="567">
        <v>4.6900000000000004</v>
      </c>
      <c r="P143" s="567">
        <f t="shared" si="40"/>
        <v>82998.930000000008</v>
      </c>
      <c r="Q143" s="697">
        <f t="shared" si="41"/>
        <v>20749.732500000002</v>
      </c>
      <c r="R143" s="666">
        <v>0.25</v>
      </c>
      <c r="S143" s="554">
        <f t="shared" si="42"/>
        <v>25937.165625000001</v>
      </c>
      <c r="T143" s="554">
        <v>0.1</v>
      </c>
      <c r="U143" s="567">
        <f t="shared" si="43"/>
        <v>12968.582812500001</v>
      </c>
      <c r="V143" s="19"/>
      <c r="W143" s="554"/>
      <c r="X143" s="570">
        <f>P143+Q143+S143+U143</f>
        <v>142654.41093750001</v>
      </c>
      <c r="Y143" s="985">
        <f t="shared" si="45"/>
        <v>0.35</v>
      </c>
      <c r="Z143" s="985">
        <f t="shared" si="45"/>
        <v>38905.748437500006</v>
      </c>
      <c r="AA143" s="81">
        <f t="shared" si="46"/>
        <v>1711852.9312500001</v>
      </c>
      <c r="AB143" s="80">
        <f t="shared" si="29"/>
        <v>272371.19033412891</v>
      </c>
      <c r="AC143" s="80">
        <f t="shared" si="30"/>
        <v>2139816.1640625</v>
      </c>
      <c r="AD143" s="80">
        <f t="shared" si="31"/>
        <v>340463.98791766108</v>
      </c>
    </row>
    <row r="144" spans="1:30" s="24" customFormat="1" ht="17.25" customHeight="1">
      <c r="A144" s="1494"/>
      <c r="B144" s="1495"/>
      <c r="C144" s="1495"/>
      <c r="D144" s="1496"/>
      <c r="E144" s="1496"/>
      <c r="F144" s="1495"/>
      <c r="G144" s="1497"/>
      <c r="H144" s="1497"/>
      <c r="I144" s="1497"/>
      <c r="J144" s="1498"/>
      <c r="K144" s="1499"/>
      <c r="L144" s="1500">
        <f>SUM(L127:L143)</f>
        <v>277</v>
      </c>
      <c r="M144" s="1501"/>
      <c r="N144" s="1502"/>
      <c r="O144" s="1496"/>
      <c r="P144" s="1501"/>
      <c r="Q144" s="1503"/>
      <c r="R144" s="1504"/>
      <c r="S144" s="1499"/>
      <c r="T144" s="1499"/>
      <c r="U144" s="1501"/>
      <c r="V144" s="1505"/>
      <c r="W144" s="1499"/>
      <c r="X144" s="1506"/>
      <c r="Y144" s="104"/>
      <c r="Z144" s="104"/>
      <c r="AA144" s="81">
        <f>SUM(AA27:AA143)</f>
        <v>144797704.34837505</v>
      </c>
      <c r="AC144" s="24">
        <f>SUM(AC27:AC143)</f>
        <v>180997130.4354687</v>
      </c>
      <c r="AD144" s="24">
        <f>SUM(AD27:AD143)</f>
        <v>28798270.554569405</v>
      </c>
    </row>
    <row r="145" spans="1:40" s="1459" customFormat="1" ht="18" customHeight="1">
      <c r="A145" s="1449">
        <v>130</v>
      </c>
      <c r="B145" s="1450" t="s">
        <v>605</v>
      </c>
      <c r="C145" s="1280" t="s">
        <v>338</v>
      </c>
      <c r="D145" s="1270" t="s">
        <v>64</v>
      </c>
      <c r="E145" s="1451"/>
      <c r="F145" s="1452"/>
      <c r="G145" s="1453">
        <v>1.5</v>
      </c>
      <c r="H145" s="1271"/>
      <c r="I145" s="1454"/>
      <c r="J145" s="1271">
        <v>2</v>
      </c>
      <c r="K145" s="1272">
        <v>17697</v>
      </c>
      <c r="L145" s="1272"/>
      <c r="M145" s="1273">
        <v>1.5</v>
      </c>
      <c r="N145" s="1272"/>
      <c r="O145" s="1272">
        <v>2.81</v>
      </c>
      <c r="P145" s="1455">
        <f>K145*O145*M145</f>
        <v>74592.854999999996</v>
      </c>
      <c r="Q145" s="1273"/>
      <c r="R145" s="1272">
        <f>K145*P146*N145</f>
        <v>0</v>
      </c>
      <c r="S145" s="1274"/>
      <c r="T145" s="1456">
        <v>0.1</v>
      </c>
      <c r="U145" s="1272">
        <f t="shared" ref="U145:U170" si="47">T145*P145</f>
        <v>7459.2855</v>
      </c>
      <c r="V145" s="1272"/>
      <c r="W145" s="1457"/>
      <c r="X145" s="1275">
        <f>P145+U145+W145</f>
        <v>82052.140499999994</v>
      </c>
      <c r="Y145" s="1276">
        <f t="shared" ref="Y145:Z159" si="48">R145+V145+X145</f>
        <v>82052.140499999994</v>
      </c>
      <c r="Z145" s="1276">
        <f t="shared" si="48"/>
        <v>82052.140499999994</v>
      </c>
      <c r="AA145" s="1277">
        <f t="shared" si="46"/>
        <v>984625.68599999999</v>
      </c>
      <c r="AB145" s="1458">
        <f>AA145/12/29.33*24</f>
        <v>67141.199181725198</v>
      </c>
      <c r="AC145" s="1458"/>
      <c r="AD145" s="1458"/>
      <c r="AE145" s="1458"/>
      <c r="AF145" s="1458"/>
      <c r="AG145" s="1458"/>
      <c r="AH145" s="1458"/>
      <c r="AI145" s="1458"/>
      <c r="AJ145" s="1458"/>
      <c r="AK145" s="1458"/>
      <c r="AL145" s="1458"/>
      <c r="AM145" s="1458"/>
      <c r="AN145" s="1458"/>
    </row>
    <row r="146" spans="1:40" s="1459" customFormat="1" ht="15.75" customHeight="1">
      <c r="A146" s="1460">
        <v>131</v>
      </c>
      <c r="B146" s="1354" t="s">
        <v>332</v>
      </c>
      <c r="C146" s="1280" t="s">
        <v>338</v>
      </c>
      <c r="D146" s="1282" t="s">
        <v>64</v>
      </c>
      <c r="E146" s="1461"/>
      <c r="F146" s="1462"/>
      <c r="G146" s="1463">
        <v>0.5</v>
      </c>
      <c r="H146" s="1283"/>
      <c r="I146" s="1464"/>
      <c r="J146" s="1283">
        <v>2</v>
      </c>
      <c r="K146" s="1284">
        <v>17697</v>
      </c>
      <c r="L146" s="1284"/>
      <c r="M146" s="1272">
        <v>0.5</v>
      </c>
      <c r="N146" s="1284"/>
      <c r="O146" s="1272">
        <v>2.81</v>
      </c>
      <c r="P146" s="1455">
        <f t="shared" ref="P146:P170" si="49">K146*O146*M146</f>
        <v>24864.285</v>
      </c>
      <c r="Q146" s="1273"/>
      <c r="R146" s="1272">
        <f>K146*P147*N146</f>
        <v>0</v>
      </c>
      <c r="S146" s="1285"/>
      <c r="T146" s="1456">
        <v>0.1</v>
      </c>
      <c r="U146" s="1272">
        <f t="shared" si="47"/>
        <v>2486.4285</v>
      </c>
      <c r="V146" s="1284"/>
      <c r="W146" s="1284"/>
      <c r="X146" s="1275">
        <f t="shared" ref="X146:X170" si="50">P146+U146+W146</f>
        <v>27350.713499999998</v>
      </c>
      <c r="Y146" s="1276">
        <f t="shared" si="48"/>
        <v>27350.713499999998</v>
      </c>
      <c r="Z146" s="1276">
        <f t="shared" si="48"/>
        <v>27350.713499999998</v>
      </c>
      <c r="AA146" s="1277">
        <f t="shared" si="46"/>
        <v>328208.56199999998</v>
      </c>
      <c r="AB146" s="1458">
        <f t="shared" ref="AB146:AB170" si="51">AA146/12/29.33*24</f>
        <v>22380.399727241733</v>
      </c>
      <c r="AC146" s="1458"/>
      <c r="AD146" s="1458"/>
      <c r="AE146" s="1458"/>
      <c r="AF146" s="1458"/>
      <c r="AG146" s="1458"/>
      <c r="AH146" s="1458"/>
      <c r="AI146" s="1458"/>
      <c r="AJ146" s="1458"/>
      <c r="AK146" s="1458"/>
      <c r="AL146" s="1458"/>
      <c r="AM146" s="1458"/>
      <c r="AN146" s="1458"/>
    </row>
    <row r="147" spans="1:40" s="1278" customFormat="1" ht="15.75">
      <c r="A147" s="1449">
        <v>132</v>
      </c>
      <c r="B147" s="1354" t="s">
        <v>735</v>
      </c>
      <c r="C147" s="1280" t="s">
        <v>338</v>
      </c>
      <c r="D147" s="1282" t="s">
        <v>64</v>
      </c>
      <c r="E147" s="1461"/>
      <c r="F147" s="1282"/>
      <c r="G147" s="1463">
        <v>0.5</v>
      </c>
      <c r="H147" s="1283"/>
      <c r="I147" s="1464"/>
      <c r="J147" s="1283">
        <v>2</v>
      </c>
      <c r="K147" s="1284">
        <v>17697</v>
      </c>
      <c r="L147" s="1284"/>
      <c r="M147" s="1284">
        <v>0.5</v>
      </c>
      <c r="N147" s="1284"/>
      <c r="O147" s="1284">
        <v>2.81</v>
      </c>
      <c r="P147" s="1455">
        <f t="shared" si="49"/>
        <v>24864.285</v>
      </c>
      <c r="Q147" s="1273"/>
      <c r="R147" s="1272">
        <f>K147*P148*N147</f>
        <v>0</v>
      </c>
      <c r="S147" s="1284"/>
      <c r="T147" s="1456">
        <v>0.1</v>
      </c>
      <c r="U147" s="1272">
        <f t="shared" si="47"/>
        <v>2486.4285</v>
      </c>
      <c r="V147" s="1284"/>
      <c r="W147" s="1284"/>
      <c r="X147" s="1275">
        <f t="shared" si="50"/>
        <v>27350.713499999998</v>
      </c>
      <c r="Y147" s="1276">
        <f t="shared" si="48"/>
        <v>27350.713499999998</v>
      </c>
      <c r="Z147" s="1276">
        <f t="shared" si="48"/>
        <v>27350.713499999998</v>
      </c>
      <c r="AA147" s="1277">
        <f t="shared" si="46"/>
        <v>328208.56199999998</v>
      </c>
      <c r="AB147" s="1458">
        <f t="shared" si="51"/>
        <v>22380.399727241733</v>
      </c>
    </row>
    <row r="148" spans="1:40" s="1278" customFormat="1" ht="19.5" customHeight="1">
      <c r="A148" s="1460">
        <v>133</v>
      </c>
      <c r="B148" s="1354" t="s">
        <v>335</v>
      </c>
      <c r="C148" s="1465" t="s">
        <v>336</v>
      </c>
      <c r="D148" s="1282" t="s">
        <v>64</v>
      </c>
      <c r="E148" s="1461"/>
      <c r="F148" s="1282"/>
      <c r="G148" s="1463">
        <v>1.5</v>
      </c>
      <c r="H148" s="1283"/>
      <c r="I148" s="1464"/>
      <c r="J148" s="1283">
        <v>4</v>
      </c>
      <c r="K148" s="1284">
        <v>17697</v>
      </c>
      <c r="L148" s="1284"/>
      <c r="M148" s="1284">
        <v>1.5</v>
      </c>
      <c r="N148" s="1284"/>
      <c r="O148" s="1284">
        <v>2.89</v>
      </c>
      <c r="P148" s="1455">
        <f t="shared" si="49"/>
        <v>76716.494999999995</v>
      </c>
      <c r="Q148" s="1273"/>
      <c r="R148" s="1272">
        <f>K148*P149*N148</f>
        <v>0</v>
      </c>
      <c r="S148" s="1284"/>
      <c r="T148" s="1456">
        <v>0.1</v>
      </c>
      <c r="U148" s="1272">
        <f t="shared" si="47"/>
        <v>7671.6494999999995</v>
      </c>
      <c r="V148" s="1284"/>
      <c r="W148" s="1284"/>
      <c r="X148" s="1275">
        <f t="shared" si="50"/>
        <v>84388.144499999995</v>
      </c>
      <c r="Y148" s="1276">
        <f t="shared" si="48"/>
        <v>84388.144499999995</v>
      </c>
      <c r="Z148" s="1276">
        <f t="shared" si="48"/>
        <v>84388.144499999995</v>
      </c>
      <c r="AA148" s="1277">
        <f t="shared" si="46"/>
        <v>1012657.7339999999</v>
      </c>
      <c r="AB148" s="1458">
        <f t="shared" si="51"/>
        <v>69052.692396863276</v>
      </c>
      <c r="AL148" s="1569"/>
      <c r="AM148" s="1569"/>
    </row>
    <row r="149" spans="1:40" s="1469" customFormat="1" ht="15.75">
      <c r="A149" s="1449">
        <v>134</v>
      </c>
      <c r="B149" s="1279" t="s">
        <v>337</v>
      </c>
      <c r="C149" s="1280" t="s">
        <v>338</v>
      </c>
      <c r="D149" s="1281" t="s">
        <v>64</v>
      </c>
      <c r="E149" s="1466"/>
      <c r="F149" s="1281"/>
      <c r="G149" s="1281">
        <v>0.5</v>
      </c>
      <c r="H149" s="1467"/>
      <c r="I149" s="1468"/>
      <c r="J149" s="1281">
        <v>2</v>
      </c>
      <c r="K149" s="1468">
        <v>17697</v>
      </c>
      <c r="L149" s="1468"/>
      <c r="M149" s="1284">
        <v>0.5</v>
      </c>
      <c r="N149" s="1284"/>
      <c r="O149" s="1272">
        <v>2.81</v>
      </c>
      <c r="P149" s="1455">
        <f t="shared" si="49"/>
        <v>24864.285</v>
      </c>
      <c r="Q149" s="1273"/>
      <c r="R149" s="1272">
        <f>K149*P150*N149</f>
        <v>0</v>
      </c>
      <c r="S149" s="1284"/>
      <c r="T149" s="1456">
        <v>0.1</v>
      </c>
      <c r="U149" s="1272">
        <f t="shared" si="47"/>
        <v>2486.4285</v>
      </c>
      <c r="V149" s="1284"/>
      <c r="W149" s="1284"/>
      <c r="X149" s="1275">
        <f t="shared" si="50"/>
        <v>27350.713499999998</v>
      </c>
      <c r="Y149" s="1276">
        <f t="shared" si="48"/>
        <v>27350.713499999998</v>
      </c>
      <c r="Z149" s="1276">
        <f t="shared" si="48"/>
        <v>27350.713499999998</v>
      </c>
      <c r="AA149" s="1277">
        <f t="shared" si="46"/>
        <v>328208.56199999998</v>
      </c>
      <c r="AB149" s="1458">
        <f t="shared" si="51"/>
        <v>22380.399727241733</v>
      </c>
    </row>
    <row r="150" spans="1:40" s="1469" customFormat="1" ht="15.75">
      <c r="A150" s="1460">
        <v>135</v>
      </c>
      <c r="B150" s="1279" t="s">
        <v>382</v>
      </c>
      <c r="C150" s="1280" t="s">
        <v>338</v>
      </c>
      <c r="D150" s="1282" t="s">
        <v>64</v>
      </c>
      <c r="E150" s="1466"/>
      <c r="F150" s="1279"/>
      <c r="G150" s="1281">
        <v>0.5</v>
      </c>
      <c r="H150" s="1467"/>
      <c r="I150" s="1468"/>
      <c r="J150" s="1281">
        <v>2</v>
      </c>
      <c r="K150" s="1468">
        <v>17697</v>
      </c>
      <c r="L150" s="1468"/>
      <c r="M150" s="1284">
        <v>0.5</v>
      </c>
      <c r="N150" s="1284"/>
      <c r="O150" s="1272">
        <v>2.81</v>
      </c>
      <c r="P150" s="1455">
        <f t="shared" si="49"/>
        <v>24864.285</v>
      </c>
      <c r="Q150" s="1273"/>
      <c r="R150" s="1272">
        <f>K150*P152*N150</f>
        <v>0</v>
      </c>
      <c r="S150" s="1284"/>
      <c r="T150" s="1456">
        <v>0.1</v>
      </c>
      <c r="U150" s="1272">
        <f t="shared" si="47"/>
        <v>2486.4285</v>
      </c>
      <c r="V150" s="1284"/>
      <c r="W150" s="1284"/>
      <c r="X150" s="1275">
        <f t="shared" si="50"/>
        <v>27350.713499999998</v>
      </c>
      <c r="Y150" s="1276">
        <f t="shared" si="48"/>
        <v>27350.713499999998</v>
      </c>
      <c r="Z150" s="1276">
        <f t="shared" si="48"/>
        <v>27350.713499999998</v>
      </c>
      <c r="AA150" s="1277">
        <f t="shared" si="46"/>
        <v>328208.56199999998</v>
      </c>
      <c r="AB150" s="1458">
        <f t="shared" si="51"/>
        <v>22380.399727241733</v>
      </c>
    </row>
    <row r="151" spans="1:40" s="1469" customFormat="1" ht="15.75">
      <c r="A151" s="1449">
        <v>136</v>
      </c>
      <c r="B151" s="1279" t="s">
        <v>383</v>
      </c>
      <c r="C151" s="1280" t="s">
        <v>338</v>
      </c>
      <c r="D151" s="1282" t="s">
        <v>75</v>
      </c>
      <c r="E151" s="1466"/>
      <c r="F151" s="1470"/>
      <c r="G151" s="1281">
        <v>1</v>
      </c>
      <c r="H151" s="1467"/>
      <c r="I151" s="1468"/>
      <c r="J151" s="1281">
        <v>2</v>
      </c>
      <c r="K151" s="1468">
        <v>17697</v>
      </c>
      <c r="L151" s="1468"/>
      <c r="M151" s="1284">
        <v>1</v>
      </c>
      <c r="N151" s="1284"/>
      <c r="O151" s="1272">
        <v>2.81</v>
      </c>
      <c r="P151" s="1455">
        <f t="shared" si="49"/>
        <v>49728.57</v>
      </c>
      <c r="Q151" s="1273"/>
      <c r="R151" s="1272">
        <f>K151*P153*N151</f>
        <v>0</v>
      </c>
      <c r="S151" s="1284"/>
      <c r="T151" s="1456">
        <v>0.1</v>
      </c>
      <c r="U151" s="1272">
        <f t="shared" si="47"/>
        <v>4972.857</v>
      </c>
      <c r="V151" s="1284"/>
      <c r="W151" s="1284"/>
      <c r="X151" s="1275">
        <f t="shared" si="50"/>
        <v>54701.426999999996</v>
      </c>
      <c r="Y151" s="1276">
        <f>R151+V151+X151</f>
        <v>54701.426999999996</v>
      </c>
      <c r="Z151" s="1276">
        <f>S151+W151+Y151</f>
        <v>54701.426999999996</v>
      </c>
      <c r="AA151" s="1277">
        <f t="shared" si="46"/>
        <v>656417.12399999995</v>
      </c>
      <c r="AB151" s="1458">
        <f t="shared" si="51"/>
        <v>44760.799454483466</v>
      </c>
    </row>
    <row r="152" spans="1:40" s="1459" customFormat="1" ht="15.75">
      <c r="A152" s="1460">
        <v>137</v>
      </c>
      <c r="B152" s="1354" t="s">
        <v>339</v>
      </c>
      <c r="C152" s="1280" t="s">
        <v>340</v>
      </c>
      <c r="D152" s="1282" t="s">
        <v>64</v>
      </c>
      <c r="E152" s="1283"/>
      <c r="F152" s="1462"/>
      <c r="G152" s="1471">
        <v>1</v>
      </c>
      <c r="H152" s="1283"/>
      <c r="I152" s="1464"/>
      <c r="J152" s="1283">
        <v>2</v>
      </c>
      <c r="K152" s="1284">
        <v>17697</v>
      </c>
      <c r="L152" s="1284"/>
      <c r="M152" s="1284">
        <v>1</v>
      </c>
      <c r="N152" s="1284"/>
      <c r="O152" s="1272">
        <v>2.81</v>
      </c>
      <c r="P152" s="1455">
        <f t="shared" si="49"/>
        <v>49728.57</v>
      </c>
      <c r="Q152" s="1273"/>
      <c r="R152" s="1272">
        <f t="shared" ref="R152:R170" si="52">K152*P153*N152</f>
        <v>0</v>
      </c>
      <c r="S152" s="1285"/>
      <c r="T152" s="1456">
        <v>0.1</v>
      </c>
      <c r="U152" s="1272">
        <f t="shared" si="47"/>
        <v>4972.857</v>
      </c>
      <c r="V152" s="1472">
        <v>0.3</v>
      </c>
      <c r="W152" s="1284">
        <f t="shared" ref="W152:W155" si="53">V152*K152</f>
        <v>5309.0999999999995</v>
      </c>
      <c r="X152" s="1275">
        <f t="shared" si="50"/>
        <v>60010.526999999995</v>
      </c>
      <c r="Y152" s="1276">
        <f t="shared" si="48"/>
        <v>60010.826999999997</v>
      </c>
      <c r="Z152" s="1276">
        <f t="shared" si="48"/>
        <v>65319.926999999996</v>
      </c>
      <c r="AA152" s="1277">
        <f t="shared" si="46"/>
        <v>720126.32399999991</v>
      </c>
      <c r="AB152" s="1458">
        <f t="shared" si="51"/>
        <v>49105.102216160922</v>
      </c>
      <c r="AC152" s="1458"/>
      <c r="AD152" s="1458"/>
      <c r="AE152" s="1458"/>
      <c r="AF152" s="1458"/>
      <c r="AG152" s="1458"/>
      <c r="AH152" s="1458"/>
      <c r="AI152" s="1458"/>
      <c r="AJ152" s="1458"/>
      <c r="AK152" s="1458"/>
      <c r="AL152" s="1458"/>
      <c r="AM152" s="1458"/>
      <c r="AN152" s="1458"/>
    </row>
    <row r="153" spans="1:40" s="1459" customFormat="1" ht="15.75">
      <c r="A153" s="1449">
        <v>138</v>
      </c>
      <c r="B153" s="1354" t="s">
        <v>341</v>
      </c>
      <c r="C153" s="1280" t="s">
        <v>340</v>
      </c>
      <c r="D153" s="1282" t="s">
        <v>64</v>
      </c>
      <c r="E153" s="1283"/>
      <c r="F153" s="1462"/>
      <c r="G153" s="1471">
        <v>1</v>
      </c>
      <c r="H153" s="1283"/>
      <c r="I153" s="1464"/>
      <c r="J153" s="1283">
        <v>2</v>
      </c>
      <c r="K153" s="1284">
        <v>17697</v>
      </c>
      <c r="L153" s="1284"/>
      <c r="M153" s="1284">
        <v>1</v>
      </c>
      <c r="N153" s="1284"/>
      <c r="O153" s="1272">
        <v>2.81</v>
      </c>
      <c r="P153" s="1455">
        <f t="shared" si="49"/>
        <v>49728.57</v>
      </c>
      <c r="Q153" s="1273"/>
      <c r="R153" s="1272">
        <f t="shared" si="52"/>
        <v>0</v>
      </c>
      <c r="S153" s="1285"/>
      <c r="T153" s="1456">
        <v>0.1</v>
      </c>
      <c r="U153" s="1272">
        <f t="shared" si="47"/>
        <v>4972.857</v>
      </c>
      <c r="V153" s="1472">
        <v>0.3</v>
      </c>
      <c r="W153" s="1284">
        <f t="shared" si="53"/>
        <v>5309.0999999999995</v>
      </c>
      <c r="X153" s="1275">
        <f t="shared" si="50"/>
        <v>60010.526999999995</v>
      </c>
      <c r="Y153" s="1276">
        <f t="shared" si="48"/>
        <v>60010.826999999997</v>
      </c>
      <c r="Z153" s="1276">
        <f t="shared" si="48"/>
        <v>65319.926999999996</v>
      </c>
      <c r="AA153" s="1277">
        <f t="shared" si="46"/>
        <v>720126.32399999991</v>
      </c>
      <c r="AB153" s="1458">
        <f t="shared" si="51"/>
        <v>49105.102216160922</v>
      </c>
      <c r="AC153" s="1458"/>
      <c r="AD153" s="1458"/>
      <c r="AE153" s="1458"/>
      <c r="AF153" s="1458"/>
      <c r="AG153" s="1458"/>
      <c r="AH153" s="1458"/>
      <c r="AI153" s="1458"/>
      <c r="AJ153" s="1458"/>
      <c r="AK153" s="1458"/>
      <c r="AL153" s="1458"/>
      <c r="AM153" s="1458"/>
      <c r="AN153" s="1458"/>
    </row>
    <row r="154" spans="1:40" s="1459" customFormat="1" ht="15.75">
      <c r="A154" s="1460">
        <v>139</v>
      </c>
      <c r="B154" s="1354" t="s">
        <v>342</v>
      </c>
      <c r="C154" s="1280" t="s">
        <v>340</v>
      </c>
      <c r="D154" s="1282" t="s">
        <v>64</v>
      </c>
      <c r="E154" s="1283"/>
      <c r="F154" s="1462"/>
      <c r="G154" s="1471">
        <v>1</v>
      </c>
      <c r="H154" s="1283"/>
      <c r="I154" s="1464"/>
      <c r="J154" s="1283">
        <v>2</v>
      </c>
      <c r="K154" s="1284">
        <v>17697</v>
      </c>
      <c r="L154" s="1284"/>
      <c r="M154" s="1284">
        <v>1</v>
      </c>
      <c r="N154" s="1284"/>
      <c r="O154" s="1272">
        <v>2.81</v>
      </c>
      <c r="P154" s="1455">
        <f t="shared" si="49"/>
        <v>49728.57</v>
      </c>
      <c r="Q154" s="1273"/>
      <c r="R154" s="1272">
        <f t="shared" si="52"/>
        <v>0</v>
      </c>
      <c r="S154" s="1285"/>
      <c r="T154" s="1456">
        <v>0.1</v>
      </c>
      <c r="U154" s="1272">
        <f t="shared" si="47"/>
        <v>4972.857</v>
      </c>
      <c r="V154" s="1472">
        <v>0.3</v>
      </c>
      <c r="W154" s="1284">
        <f t="shared" si="53"/>
        <v>5309.0999999999995</v>
      </c>
      <c r="X154" s="1275">
        <f t="shared" si="50"/>
        <v>60010.526999999995</v>
      </c>
      <c r="Y154" s="1276">
        <f t="shared" si="48"/>
        <v>60010.826999999997</v>
      </c>
      <c r="Z154" s="1276">
        <f t="shared" si="48"/>
        <v>65319.926999999996</v>
      </c>
      <c r="AA154" s="1277">
        <f t="shared" si="46"/>
        <v>720126.32399999991</v>
      </c>
      <c r="AB154" s="1458">
        <f t="shared" si="51"/>
        <v>49105.102216160922</v>
      </c>
      <c r="AC154" s="1458"/>
      <c r="AD154" s="1458"/>
      <c r="AE154" s="1458"/>
      <c r="AF154" s="1458"/>
      <c r="AG154" s="1458"/>
      <c r="AH154" s="1458"/>
      <c r="AI154" s="1458"/>
      <c r="AJ154" s="1458"/>
      <c r="AK154" s="1458"/>
      <c r="AL154" s="1458"/>
      <c r="AM154" s="1458"/>
      <c r="AN154" s="1458"/>
    </row>
    <row r="155" spans="1:40" s="1459" customFormat="1" ht="15.75">
      <c r="A155" s="1449">
        <v>140</v>
      </c>
      <c r="B155" s="1354" t="s">
        <v>343</v>
      </c>
      <c r="C155" s="1280" t="s">
        <v>340</v>
      </c>
      <c r="D155" s="1282" t="s">
        <v>64</v>
      </c>
      <c r="E155" s="1283"/>
      <c r="F155" s="1462"/>
      <c r="G155" s="1471">
        <v>1</v>
      </c>
      <c r="H155" s="1283"/>
      <c r="I155" s="1464"/>
      <c r="J155" s="1283">
        <v>2</v>
      </c>
      <c r="K155" s="1284">
        <v>17697</v>
      </c>
      <c r="L155" s="1284"/>
      <c r="M155" s="1284">
        <v>1</v>
      </c>
      <c r="N155" s="1284"/>
      <c r="O155" s="1272">
        <v>2.81</v>
      </c>
      <c r="P155" s="1455">
        <f t="shared" si="49"/>
        <v>49728.57</v>
      </c>
      <c r="Q155" s="1273"/>
      <c r="R155" s="1272">
        <f t="shared" si="52"/>
        <v>0</v>
      </c>
      <c r="S155" s="1285"/>
      <c r="T155" s="1456">
        <v>0.1</v>
      </c>
      <c r="U155" s="1272">
        <f t="shared" si="47"/>
        <v>4972.857</v>
      </c>
      <c r="V155" s="1472">
        <v>0.3</v>
      </c>
      <c r="W155" s="1284">
        <f t="shared" si="53"/>
        <v>5309.0999999999995</v>
      </c>
      <c r="X155" s="1275">
        <f t="shared" si="50"/>
        <v>60010.526999999995</v>
      </c>
      <c r="Y155" s="1276">
        <f t="shared" si="48"/>
        <v>60010.826999999997</v>
      </c>
      <c r="Z155" s="1276">
        <f t="shared" si="48"/>
        <v>65319.926999999996</v>
      </c>
      <c r="AA155" s="1277">
        <f t="shared" si="46"/>
        <v>720126.32399999991</v>
      </c>
      <c r="AB155" s="1458">
        <f t="shared" si="51"/>
        <v>49105.102216160922</v>
      </c>
      <c r="AC155" s="1458"/>
      <c r="AD155" s="1458"/>
      <c r="AE155" s="1458"/>
      <c r="AF155" s="1458"/>
      <c r="AG155" s="1458"/>
      <c r="AH155" s="1458"/>
      <c r="AI155" s="1458"/>
      <c r="AJ155" s="1458"/>
      <c r="AK155" s="1458"/>
      <c r="AL155" s="1458"/>
      <c r="AM155" s="1458"/>
      <c r="AN155" s="1458"/>
    </row>
    <row r="156" spans="1:40" s="1278" customFormat="1" ht="15.75">
      <c r="A156" s="1460">
        <v>141</v>
      </c>
      <c r="B156" s="1354" t="s">
        <v>734</v>
      </c>
      <c r="C156" s="1280" t="s">
        <v>340</v>
      </c>
      <c r="D156" s="1282" t="s">
        <v>64</v>
      </c>
      <c r="E156" s="1283"/>
      <c r="F156" s="1463"/>
      <c r="G156" s="1471" t="s">
        <v>409</v>
      </c>
      <c r="H156" s="1283"/>
      <c r="I156" s="1464"/>
      <c r="J156" s="1283">
        <v>2</v>
      </c>
      <c r="K156" s="1284">
        <v>17697</v>
      </c>
      <c r="L156" s="1284"/>
      <c r="M156" s="1284">
        <v>1</v>
      </c>
      <c r="N156" s="1284"/>
      <c r="O156" s="1272">
        <v>2.81</v>
      </c>
      <c r="P156" s="1455">
        <f>K156*O156*M156*G156</f>
        <v>74592.854999999996</v>
      </c>
      <c r="Q156" s="1273"/>
      <c r="R156" s="1272">
        <f t="shared" si="52"/>
        <v>0</v>
      </c>
      <c r="S156" s="1284"/>
      <c r="T156" s="1456">
        <v>0.1</v>
      </c>
      <c r="U156" s="1272">
        <f t="shared" si="47"/>
        <v>7459.2855</v>
      </c>
      <c r="V156" s="1472">
        <v>0.3</v>
      </c>
      <c r="W156" s="1284">
        <f>V156*K156*1.5</f>
        <v>7963.65</v>
      </c>
      <c r="X156" s="1275">
        <f t="shared" si="50"/>
        <v>90015.790499999988</v>
      </c>
      <c r="Y156" s="1276">
        <f t="shared" si="48"/>
        <v>90016.090499999991</v>
      </c>
      <c r="Z156" s="1276">
        <f t="shared" si="48"/>
        <v>97979.740499999985</v>
      </c>
      <c r="AA156" s="1277">
        <f t="shared" si="46"/>
        <v>1080189.4859999998</v>
      </c>
      <c r="AB156" s="1458">
        <f t="shared" si="51"/>
        <v>73657.653324241386</v>
      </c>
    </row>
    <row r="157" spans="1:40" s="1278" customFormat="1" ht="15.75">
      <c r="A157" s="1460">
        <v>143</v>
      </c>
      <c r="B157" s="1354" t="s">
        <v>506</v>
      </c>
      <c r="C157" s="1280" t="s">
        <v>340</v>
      </c>
      <c r="D157" s="1282" t="s">
        <v>64</v>
      </c>
      <c r="E157" s="1283"/>
      <c r="F157" s="1462"/>
      <c r="G157" s="1471" t="s">
        <v>409</v>
      </c>
      <c r="H157" s="1283"/>
      <c r="I157" s="1464"/>
      <c r="J157" s="1283">
        <v>2</v>
      </c>
      <c r="K157" s="1284">
        <v>17697</v>
      </c>
      <c r="L157" s="1284"/>
      <c r="M157" s="1284">
        <v>1</v>
      </c>
      <c r="N157" s="1284"/>
      <c r="O157" s="1272">
        <v>2.81</v>
      </c>
      <c r="P157" s="1455">
        <f>K157*O157*M157*G157</f>
        <v>74592.854999999996</v>
      </c>
      <c r="Q157" s="1273"/>
      <c r="R157" s="1272">
        <f t="shared" si="52"/>
        <v>0</v>
      </c>
      <c r="S157" s="1284"/>
      <c r="T157" s="1456">
        <v>0.1</v>
      </c>
      <c r="U157" s="1272">
        <f t="shared" si="47"/>
        <v>7459.2855</v>
      </c>
      <c r="V157" s="1472">
        <v>0.3</v>
      </c>
      <c r="W157" s="1284">
        <f>V157*K157*1.5</f>
        <v>7963.65</v>
      </c>
      <c r="X157" s="1275">
        <f t="shared" si="50"/>
        <v>90015.790499999988</v>
      </c>
      <c r="Y157" s="1276">
        <f t="shared" si="48"/>
        <v>90016.090499999991</v>
      </c>
      <c r="Z157" s="1276">
        <f t="shared" si="48"/>
        <v>97979.740499999985</v>
      </c>
      <c r="AA157" s="1277">
        <f t="shared" si="46"/>
        <v>1080189.4859999998</v>
      </c>
      <c r="AB157" s="1458">
        <f t="shared" si="51"/>
        <v>73657.653324241386</v>
      </c>
    </row>
    <row r="158" spans="1:40" s="1469" customFormat="1" ht="15.75">
      <c r="A158" s="1449">
        <v>144</v>
      </c>
      <c r="B158" s="1279" t="s">
        <v>507</v>
      </c>
      <c r="C158" s="1280" t="s">
        <v>340</v>
      </c>
      <c r="D158" s="1282" t="s">
        <v>64</v>
      </c>
      <c r="E158" s="1466"/>
      <c r="F158" s="1281"/>
      <c r="G158" s="1471" t="s">
        <v>563</v>
      </c>
      <c r="H158" s="1467"/>
      <c r="I158" s="1468"/>
      <c r="J158" s="1283">
        <v>2</v>
      </c>
      <c r="K158" s="1468">
        <v>17697</v>
      </c>
      <c r="L158" s="1468"/>
      <c r="M158" s="1284">
        <v>1.3</v>
      </c>
      <c r="N158" s="1284"/>
      <c r="O158" s="1272">
        <v>2.81</v>
      </c>
      <c r="P158" s="1455">
        <f t="shared" si="49"/>
        <v>64647.141000000003</v>
      </c>
      <c r="Q158" s="1273"/>
      <c r="R158" s="1272">
        <f t="shared" si="52"/>
        <v>0</v>
      </c>
      <c r="S158" s="1284"/>
      <c r="T158" s="1456">
        <v>0.1</v>
      </c>
      <c r="U158" s="1272">
        <f t="shared" si="47"/>
        <v>6464.7141000000011</v>
      </c>
      <c r="V158" s="1472">
        <v>0.3</v>
      </c>
      <c r="W158" s="1284">
        <f>V158*K158/1*1.3</f>
        <v>6901.83</v>
      </c>
      <c r="X158" s="1275">
        <f t="shared" si="50"/>
        <v>78013.685100000002</v>
      </c>
      <c r="Y158" s="1276">
        <f t="shared" si="48"/>
        <v>78013.985100000005</v>
      </c>
      <c r="Z158" s="1276">
        <f t="shared" si="48"/>
        <v>84915.815100000007</v>
      </c>
      <c r="AA158" s="1277">
        <f t="shared" si="46"/>
        <v>936164.22120000003</v>
      </c>
      <c r="AB158" s="1458">
        <f t="shared" si="51"/>
        <v>63836.632881009216</v>
      </c>
    </row>
    <row r="159" spans="1:40" s="1278" customFormat="1" ht="15.75">
      <c r="A159" s="1460">
        <v>145</v>
      </c>
      <c r="B159" s="1473" t="s">
        <v>508</v>
      </c>
      <c r="C159" s="1474" t="s">
        <v>340</v>
      </c>
      <c r="D159" s="1475" t="s">
        <v>75</v>
      </c>
      <c r="E159" s="1475"/>
      <c r="F159" s="1476"/>
      <c r="G159" s="1475">
        <v>1</v>
      </c>
      <c r="H159" s="1477"/>
      <c r="I159" s="1477"/>
      <c r="J159" s="1478">
        <v>2</v>
      </c>
      <c r="K159" s="1479">
        <v>17697</v>
      </c>
      <c r="L159" s="1479"/>
      <c r="M159" s="1284">
        <v>1</v>
      </c>
      <c r="N159" s="1479"/>
      <c r="O159" s="1272">
        <v>2.81</v>
      </c>
      <c r="P159" s="1455">
        <f t="shared" si="49"/>
        <v>49728.57</v>
      </c>
      <c r="Q159" s="1273"/>
      <c r="R159" s="1272">
        <f t="shared" si="52"/>
        <v>0</v>
      </c>
      <c r="S159" s="1479"/>
      <c r="T159" s="1456">
        <v>0.1</v>
      </c>
      <c r="U159" s="1272">
        <f t="shared" si="47"/>
        <v>4972.857</v>
      </c>
      <c r="V159" s="1480">
        <v>0.3</v>
      </c>
      <c r="W159" s="1481">
        <f>V159*K159</f>
        <v>5309.0999999999995</v>
      </c>
      <c r="X159" s="1275">
        <f t="shared" si="50"/>
        <v>60010.526999999995</v>
      </c>
      <c r="Y159" s="1276">
        <f t="shared" si="48"/>
        <v>60010.826999999997</v>
      </c>
      <c r="Z159" s="1276">
        <f t="shared" si="48"/>
        <v>65319.926999999996</v>
      </c>
      <c r="AA159" s="1277">
        <f t="shared" si="46"/>
        <v>720126.32399999991</v>
      </c>
      <c r="AB159" s="1458">
        <f t="shared" si="51"/>
        <v>49105.102216160922</v>
      </c>
      <c r="AC159" s="1277"/>
      <c r="AD159" s="1277"/>
      <c r="AE159" s="1482"/>
      <c r="AF159" s="1483"/>
      <c r="AG159" s="1277"/>
    </row>
    <row r="160" spans="1:40" s="1459" customFormat="1" ht="15.75">
      <c r="A160" s="1449">
        <v>146</v>
      </c>
      <c r="B160" s="1354" t="s">
        <v>345</v>
      </c>
      <c r="C160" s="1465" t="s">
        <v>784</v>
      </c>
      <c r="D160" s="1282" t="s">
        <v>64</v>
      </c>
      <c r="E160" s="1283"/>
      <c r="F160" s="1462"/>
      <c r="G160" s="1471">
        <v>1</v>
      </c>
      <c r="H160" s="1283"/>
      <c r="I160" s="1464"/>
      <c r="J160" s="1283">
        <v>1</v>
      </c>
      <c r="K160" s="1284">
        <v>17697</v>
      </c>
      <c r="L160" s="1284"/>
      <c r="M160" s="1479">
        <v>1</v>
      </c>
      <c r="N160" s="1284"/>
      <c r="O160" s="1284">
        <v>2.77</v>
      </c>
      <c r="P160" s="1455">
        <f t="shared" si="49"/>
        <v>49020.69</v>
      </c>
      <c r="Q160" s="1273"/>
      <c r="R160" s="1272">
        <f t="shared" si="52"/>
        <v>0</v>
      </c>
      <c r="S160" s="1285"/>
      <c r="T160" s="1456">
        <v>0.1</v>
      </c>
      <c r="U160" s="1272">
        <f t="shared" si="47"/>
        <v>4902.0690000000004</v>
      </c>
      <c r="V160" s="1484">
        <v>0.5</v>
      </c>
      <c r="W160" s="1485">
        <v>12439.34</v>
      </c>
      <c r="X160" s="1275">
        <f t="shared" si="50"/>
        <v>66362.099000000002</v>
      </c>
      <c r="Y160" s="1276">
        <f>R160+V160+X160</f>
        <v>66362.599000000002</v>
      </c>
      <c r="Z160" s="1276">
        <f>S160+W160+Y160</f>
        <v>78801.938999999998</v>
      </c>
      <c r="AA160" s="1277">
        <f t="shared" si="46"/>
        <v>796345.18800000008</v>
      </c>
      <c r="AB160" s="1458">
        <f t="shared" si="51"/>
        <v>54302.433549266971</v>
      </c>
      <c r="AC160" s="1458"/>
      <c r="AD160" s="1458"/>
      <c r="AE160" s="1458"/>
      <c r="AF160" s="1458"/>
      <c r="AG160" s="1458"/>
      <c r="AH160" s="1458"/>
      <c r="AI160" s="1458"/>
      <c r="AJ160" s="1458"/>
      <c r="AK160" s="1458"/>
      <c r="AL160" s="1458"/>
      <c r="AM160" s="1458"/>
      <c r="AN160" s="1458"/>
    </row>
    <row r="161" spans="1:44" s="1459" customFormat="1" ht="15.75">
      <c r="A161" s="1460">
        <v>147</v>
      </c>
      <c r="B161" s="1354" t="s">
        <v>347</v>
      </c>
      <c r="C161" s="1465" t="s">
        <v>784</v>
      </c>
      <c r="D161" s="1282" t="s">
        <v>25</v>
      </c>
      <c r="E161" s="1283"/>
      <c r="F161" s="1282"/>
      <c r="G161" s="1471">
        <v>1</v>
      </c>
      <c r="H161" s="1283"/>
      <c r="I161" s="1464"/>
      <c r="J161" s="1283">
        <v>1</v>
      </c>
      <c r="K161" s="1284">
        <v>17697</v>
      </c>
      <c r="L161" s="1284"/>
      <c r="M161" s="1284">
        <v>1</v>
      </c>
      <c r="N161" s="1284"/>
      <c r="O161" s="1284">
        <v>2.77</v>
      </c>
      <c r="P161" s="1455">
        <f t="shared" si="49"/>
        <v>49020.69</v>
      </c>
      <c r="Q161" s="1273"/>
      <c r="R161" s="1272">
        <f t="shared" si="52"/>
        <v>0</v>
      </c>
      <c r="S161" s="1285"/>
      <c r="T161" s="1456">
        <v>0.1</v>
      </c>
      <c r="U161" s="1272">
        <f t="shared" si="47"/>
        <v>4902.0690000000004</v>
      </c>
      <c r="V161" s="1484">
        <v>0.5</v>
      </c>
      <c r="W161" s="1485">
        <v>12439.34</v>
      </c>
      <c r="X161" s="1275">
        <f t="shared" si="50"/>
        <v>66362.099000000002</v>
      </c>
      <c r="Y161" s="1276">
        <f t="shared" ref="Y161:Z170" si="54">R161+V161+X161</f>
        <v>66362.599000000002</v>
      </c>
      <c r="Z161" s="1276">
        <f t="shared" si="54"/>
        <v>78801.938999999998</v>
      </c>
      <c r="AA161" s="1277">
        <f t="shared" si="46"/>
        <v>796345.18800000008</v>
      </c>
      <c r="AB161" s="1458">
        <f t="shared" si="51"/>
        <v>54302.433549266971</v>
      </c>
      <c r="AC161" s="1458"/>
      <c r="AD161" s="1458"/>
      <c r="AE161" s="1458"/>
      <c r="AF161" s="1458"/>
      <c r="AG161" s="1458"/>
      <c r="AH161" s="1458"/>
      <c r="AI161" s="1458"/>
      <c r="AJ161" s="1458"/>
      <c r="AK161" s="1458"/>
      <c r="AL161" s="1458"/>
      <c r="AM161" s="1458"/>
      <c r="AN161" s="1458"/>
    </row>
    <row r="162" spans="1:44" s="1459" customFormat="1" ht="15.75">
      <c r="A162" s="1449">
        <v>148</v>
      </c>
      <c r="B162" s="1354" t="s">
        <v>606</v>
      </c>
      <c r="C162" s="1465" t="s">
        <v>784</v>
      </c>
      <c r="D162" s="1282" t="s">
        <v>64</v>
      </c>
      <c r="E162" s="1283"/>
      <c r="F162" s="1282"/>
      <c r="G162" s="1471">
        <v>1</v>
      </c>
      <c r="H162" s="1283"/>
      <c r="I162" s="1464"/>
      <c r="J162" s="1283">
        <v>1</v>
      </c>
      <c r="K162" s="1284">
        <v>17697</v>
      </c>
      <c r="L162" s="1284"/>
      <c r="M162" s="1284">
        <v>1</v>
      </c>
      <c r="N162" s="1284"/>
      <c r="O162" s="1284">
        <v>2.77</v>
      </c>
      <c r="P162" s="1455">
        <f t="shared" si="49"/>
        <v>49020.69</v>
      </c>
      <c r="Q162" s="1273"/>
      <c r="R162" s="1272">
        <f t="shared" si="52"/>
        <v>0</v>
      </c>
      <c r="S162" s="1285"/>
      <c r="T162" s="1456">
        <v>0.1</v>
      </c>
      <c r="U162" s="1272">
        <f t="shared" si="47"/>
        <v>4902.0690000000004</v>
      </c>
      <c r="V162" s="1484">
        <v>0.5</v>
      </c>
      <c r="W162" s="1485">
        <v>12439.34</v>
      </c>
      <c r="X162" s="1275">
        <f t="shared" si="50"/>
        <v>66362.099000000002</v>
      </c>
      <c r="Y162" s="1276">
        <f t="shared" si="54"/>
        <v>66362.599000000002</v>
      </c>
      <c r="Z162" s="1276">
        <f t="shared" si="54"/>
        <v>78801.938999999998</v>
      </c>
      <c r="AA162" s="1277">
        <f t="shared" si="46"/>
        <v>796345.18800000008</v>
      </c>
      <c r="AB162" s="1458">
        <f t="shared" si="51"/>
        <v>54302.433549266971</v>
      </c>
      <c r="AC162" s="1458"/>
      <c r="AD162" s="1458"/>
      <c r="AE162" s="1458"/>
      <c r="AF162" s="1458"/>
      <c r="AG162" s="1458"/>
      <c r="AH162" s="1458"/>
      <c r="AI162" s="1458"/>
      <c r="AJ162" s="1458"/>
      <c r="AK162" s="1458"/>
      <c r="AL162" s="1458"/>
      <c r="AM162" s="1458"/>
      <c r="AN162" s="1458"/>
    </row>
    <row r="163" spans="1:44" s="1278" customFormat="1" ht="15.75">
      <c r="A163" s="1460">
        <v>149</v>
      </c>
      <c r="B163" s="1354" t="s">
        <v>735</v>
      </c>
      <c r="C163" s="1486" t="s">
        <v>785</v>
      </c>
      <c r="D163" s="1282" t="s">
        <v>64</v>
      </c>
      <c r="E163" s="1283"/>
      <c r="F163" s="1282"/>
      <c r="G163" s="1471">
        <v>1</v>
      </c>
      <c r="H163" s="1283"/>
      <c r="I163" s="1464"/>
      <c r="J163" s="1283">
        <v>1</v>
      </c>
      <c r="K163" s="1284">
        <v>17697</v>
      </c>
      <c r="L163" s="1284"/>
      <c r="M163" s="1284">
        <v>1</v>
      </c>
      <c r="N163" s="1284"/>
      <c r="O163" s="1284">
        <v>2.77</v>
      </c>
      <c r="P163" s="1455">
        <f t="shared" si="49"/>
        <v>49020.69</v>
      </c>
      <c r="Q163" s="1273"/>
      <c r="R163" s="1272">
        <f t="shared" si="52"/>
        <v>0</v>
      </c>
      <c r="S163" s="1284"/>
      <c r="T163" s="1456">
        <v>0.1</v>
      </c>
      <c r="U163" s="1272">
        <f t="shared" si="47"/>
        <v>4902.0690000000004</v>
      </c>
      <c r="V163" s="1484">
        <v>0.5</v>
      </c>
      <c r="W163" s="1485">
        <v>12439.34</v>
      </c>
      <c r="X163" s="1275">
        <f t="shared" si="50"/>
        <v>66362.099000000002</v>
      </c>
      <c r="Y163" s="1276">
        <f t="shared" si="54"/>
        <v>66362.599000000002</v>
      </c>
      <c r="Z163" s="1276">
        <f t="shared" si="54"/>
        <v>78801.938999999998</v>
      </c>
      <c r="AA163" s="1277">
        <f t="shared" si="46"/>
        <v>796345.18800000008</v>
      </c>
      <c r="AB163" s="1458">
        <f t="shared" si="51"/>
        <v>54302.433549266971</v>
      </c>
    </row>
    <row r="164" spans="1:44" s="1278" customFormat="1" ht="15.75">
      <c r="A164" s="1449">
        <v>150</v>
      </c>
      <c r="B164" s="1354" t="s">
        <v>333</v>
      </c>
      <c r="C164" s="1486" t="s">
        <v>785</v>
      </c>
      <c r="D164" s="1282" t="s">
        <v>64</v>
      </c>
      <c r="E164" s="1283"/>
      <c r="F164" s="1282"/>
      <c r="G164" s="1471">
        <v>1</v>
      </c>
      <c r="H164" s="1283"/>
      <c r="I164" s="1464"/>
      <c r="J164" s="1283">
        <v>1</v>
      </c>
      <c r="K164" s="1284">
        <v>17697</v>
      </c>
      <c r="L164" s="1284"/>
      <c r="M164" s="1284">
        <v>1</v>
      </c>
      <c r="N164" s="1284"/>
      <c r="O164" s="1284">
        <v>2.77</v>
      </c>
      <c r="P164" s="1455">
        <f t="shared" si="49"/>
        <v>49020.69</v>
      </c>
      <c r="Q164" s="1273"/>
      <c r="R164" s="1272">
        <f t="shared" si="52"/>
        <v>0</v>
      </c>
      <c r="S164" s="1284"/>
      <c r="T164" s="1456">
        <v>0.1</v>
      </c>
      <c r="U164" s="1272">
        <f t="shared" si="47"/>
        <v>4902.0690000000004</v>
      </c>
      <c r="V164" s="1484">
        <v>0.5</v>
      </c>
      <c r="W164" s="1485">
        <v>12439.34</v>
      </c>
      <c r="X164" s="1275">
        <f t="shared" si="50"/>
        <v>66362.099000000002</v>
      </c>
      <c r="Y164" s="1276">
        <f t="shared" si="54"/>
        <v>66362.599000000002</v>
      </c>
      <c r="Z164" s="1276">
        <f t="shared" si="54"/>
        <v>78801.938999999998</v>
      </c>
      <c r="AA164" s="1277">
        <f t="shared" si="46"/>
        <v>796345.18800000008</v>
      </c>
      <c r="AB164" s="1458">
        <f t="shared" si="51"/>
        <v>54302.433549266971</v>
      </c>
      <c r="AM164" s="1569"/>
      <c r="AN164" s="1569"/>
    </row>
    <row r="165" spans="1:44" s="1278" customFormat="1" ht="15.75">
      <c r="A165" s="1460">
        <v>151</v>
      </c>
      <c r="B165" s="1354" t="s">
        <v>350</v>
      </c>
      <c r="C165" s="1486" t="s">
        <v>785</v>
      </c>
      <c r="D165" s="1282" t="s">
        <v>64</v>
      </c>
      <c r="E165" s="1283"/>
      <c r="F165" s="1282"/>
      <c r="G165" s="1471">
        <v>1</v>
      </c>
      <c r="H165" s="1283"/>
      <c r="I165" s="1464"/>
      <c r="J165" s="1283">
        <v>1</v>
      </c>
      <c r="K165" s="1284">
        <v>17697</v>
      </c>
      <c r="L165" s="1284"/>
      <c r="M165" s="1284">
        <v>1</v>
      </c>
      <c r="N165" s="1284"/>
      <c r="O165" s="1284">
        <v>2.77</v>
      </c>
      <c r="P165" s="1455">
        <f t="shared" si="49"/>
        <v>49020.69</v>
      </c>
      <c r="Q165" s="1273"/>
      <c r="R165" s="1272">
        <f t="shared" si="52"/>
        <v>0</v>
      </c>
      <c r="S165" s="1284"/>
      <c r="T165" s="1456">
        <v>0.1</v>
      </c>
      <c r="U165" s="1272">
        <f t="shared" si="47"/>
        <v>4902.0690000000004</v>
      </c>
      <c r="V165" s="1484">
        <v>0.5</v>
      </c>
      <c r="W165" s="1485">
        <v>12439.34</v>
      </c>
      <c r="X165" s="1275">
        <f t="shared" si="50"/>
        <v>66362.099000000002</v>
      </c>
      <c r="Y165" s="1276">
        <f t="shared" si="54"/>
        <v>66362.599000000002</v>
      </c>
      <c r="Z165" s="1276">
        <f t="shared" si="54"/>
        <v>78801.938999999998</v>
      </c>
      <c r="AA165" s="1277">
        <f t="shared" si="46"/>
        <v>796345.18800000008</v>
      </c>
      <c r="AB165" s="1458">
        <f t="shared" si="51"/>
        <v>54302.433549266971</v>
      </c>
      <c r="AM165" s="1569"/>
    </row>
    <row r="166" spans="1:44" s="1278" customFormat="1" ht="15.75">
      <c r="A166" s="1449">
        <v>152</v>
      </c>
      <c r="B166" s="1487" t="s">
        <v>351</v>
      </c>
      <c r="C166" s="1488" t="s">
        <v>786</v>
      </c>
      <c r="D166" s="1489" t="s">
        <v>75</v>
      </c>
      <c r="E166" s="1489"/>
      <c r="F166" s="1490"/>
      <c r="G166" s="1489">
        <v>1</v>
      </c>
      <c r="H166" s="1491"/>
      <c r="I166" s="1491"/>
      <c r="J166" s="1489">
        <v>1</v>
      </c>
      <c r="K166" s="1455">
        <v>17697</v>
      </c>
      <c r="L166" s="1455"/>
      <c r="M166" s="1284">
        <v>1</v>
      </c>
      <c r="N166" s="1455"/>
      <c r="O166" s="1284">
        <v>2.77</v>
      </c>
      <c r="P166" s="1455">
        <f t="shared" si="49"/>
        <v>49020.69</v>
      </c>
      <c r="Q166" s="1273"/>
      <c r="R166" s="1272">
        <f t="shared" si="52"/>
        <v>0</v>
      </c>
      <c r="S166" s="1455"/>
      <c r="T166" s="1456">
        <v>0.1</v>
      </c>
      <c r="U166" s="1272">
        <f t="shared" si="47"/>
        <v>4902.0690000000004</v>
      </c>
      <c r="V166" s="1455">
        <v>0</v>
      </c>
      <c r="W166" s="1485">
        <v>12439.34</v>
      </c>
      <c r="X166" s="1275">
        <f t="shared" si="50"/>
        <v>66362.099000000002</v>
      </c>
      <c r="Y166" s="1276">
        <f t="shared" si="54"/>
        <v>66362.099000000002</v>
      </c>
      <c r="Z166" s="1276">
        <f t="shared" si="54"/>
        <v>78801.438999999998</v>
      </c>
      <c r="AA166" s="1277">
        <f t="shared" si="46"/>
        <v>796345.18800000008</v>
      </c>
      <c r="AB166" s="1458">
        <f t="shared" si="51"/>
        <v>54302.433549266971</v>
      </c>
      <c r="AC166" s="1277"/>
      <c r="AD166" s="1277"/>
      <c r="AE166" s="1482"/>
      <c r="AF166" s="1483"/>
      <c r="AG166" s="1277"/>
      <c r="AM166" s="1569"/>
    </row>
    <row r="167" spans="1:44" s="1278" customFormat="1" ht="15.75">
      <c r="A167" s="1460">
        <v>153</v>
      </c>
      <c r="B167" s="1487" t="s">
        <v>607</v>
      </c>
      <c r="C167" s="1488" t="s">
        <v>786</v>
      </c>
      <c r="D167" s="1489" t="s">
        <v>75</v>
      </c>
      <c r="E167" s="1489"/>
      <c r="F167" s="1490"/>
      <c r="G167" s="1489">
        <v>1</v>
      </c>
      <c r="H167" s="1491"/>
      <c r="I167" s="1491"/>
      <c r="J167" s="1489">
        <v>1</v>
      </c>
      <c r="K167" s="1455">
        <v>17697</v>
      </c>
      <c r="L167" s="1455"/>
      <c r="M167" s="1284">
        <v>1</v>
      </c>
      <c r="N167" s="1455"/>
      <c r="O167" s="1284">
        <v>2.77</v>
      </c>
      <c r="P167" s="1455">
        <f t="shared" si="49"/>
        <v>49020.69</v>
      </c>
      <c r="Q167" s="1273"/>
      <c r="R167" s="1272">
        <f t="shared" si="52"/>
        <v>0</v>
      </c>
      <c r="S167" s="1455"/>
      <c r="T167" s="1456">
        <v>0.1</v>
      </c>
      <c r="U167" s="1272">
        <f t="shared" si="47"/>
        <v>4902.0690000000004</v>
      </c>
      <c r="V167" s="1455">
        <v>0</v>
      </c>
      <c r="W167" s="1485">
        <v>12439.34</v>
      </c>
      <c r="X167" s="1275">
        <f t="shared" si="50"/>
        <v>66362.099000000002</v>
      </c>
      <c r="Y167" s="1276">
        <f t="shared" si="54"/>
        <v>66362.099000000002</v>
      </c>
      <c r="Z167" s="1276">
        <f t="shared" si="54"/>
        <v>78801.438999999998</v>
      </c>
      <c r="AA167" s="1277">
        <f t="shared" si="46"/>
        <v>796345.18800000008</v>
      </c>
      <c r="AB167" s="1458">
        <f t="shared" si="51"/>
        <v>54302.433549266971</v>
      </c>
      <c r="AC167" s="1277"/>
      <c r="AD167" s="1277"/>
      <c r="AE167" s="1482"/>
      <c r="AF167" s="1483"/>
      <c r="AG167" s="1277"/>
    </row>
    <row r="168" spans="1:44" s="1278" customFormat="1" ht="15.75">
      <c r="A168" s="1449">
        <v>154</v>
      </c>
      <c r="B168" s="1492" t="s">
        <v>354</v>
      </c>
      <c r="C168" s="1488" t="s">
        <v>786</v>
      </c>
      <c r="D168" s="1489" t="s">
        <v>75</v>
      </c>
      <c r="E168" s="1489"/>
      <c r="F168" s="1490"/>
      <c r="G168" s="1489">
        <v>1</v>
      </c>
      <c r="H168" s="1491"/>
      <c r="I168" s="1491"/>
      <c r="J168" s="1489">
        <v>1</v>
      </c>
      <c r="K168" s="1455">
        <v>17697</v>
      </c>
      <c r="L168" s="1455"/>
      <c r="M168" s="1284">
        <v>1</v>
      </c>
      <c r="N168" s="1455"/>
      <c r="O168" s="1284">
        <v>2.77</v>
      </c>
      <c r="P168" s="1455">
        <f t="shared" si="49"/>
        <v>49020.69</v>
      </c>
      <c r="Q168" s="1273"/>
      <c r="R168" s="1272">
        <f t="shared" si="52"/>
        <v>0</v>
      </c>
      <c r="S168" s="1455"/>
      <c r="T168" s="1456">
        <v>0.1</v>
      </c>
      <c r="U168" s="1272">
        <f t="shared" si="47"/>
        <v>4902.0690000000004</v>
      </c>
      <c r="V168" s="1455">
        <v>0</v>
      </c>
      <c r="W168" s="1485">
        <v>12439.34</v>
      </c>
      <c r="X168" s="1275">
        <f t="shared" si="50"/>
        <v>66362.099000000002</v>
      </c>
      <c r="Y168" s="1276">
        <f>R168+V168+X168</f>
        <v>66362.099000000002</v>
      </c>
      <c r="Z168" s="1276">
        <f>S168+W168+Y168</f>
        <v>78801.438999999998</v>
      </c>
      <c r="AA168" s="1277">
        <f t="shared" si="46"/>
        <v>796345.18800000008</v>
      </c>
      <c r="AB168" s="1458">
        <f t="shared" si="51"/>
        <v>54302.433549266971</v>
      </c>
      <c r="AC168" s="1277"/>
      <c r="AD168" s="1277"/>
      <c r="AE168" s="1482"/>
      <c r="AF168" s="1483"/>
      <c r="AG168" s="1277"/>
    </row>
    <row r="169" spans="1:44" s="1469" customFormat="1" ht="15.75">
      <c r="A169" s="1460">
        <v>155</v>
      </c>
      <c r="B169" s="1279" t="s">
        <v>355</v>
      </c>
      <c r="C169" s="1280" t="s">
        <v>356</v>
      </c>
      <c r="D169" s="1489" t="s">
        <v>75</v>
      </c>
      <c r="E169" s="1279"/>
      <c r="F169" s="1279"/>
      <c r="G169" s="1281">
        <v>1</v>
      </c>
      <c r="H169" s="1467"/>
      <c r="I169" s="1468"/>
      <c r="J169" s="1281">
        <v>1</v>
      </c>
      <c r="K169" s="1468">
        <v>17697</v>
      </c>
      <c r="L169" s="1468"/>
      <c r="M169" s="1284">
        <v>1</v>
      </c>
      <c r="N169" s="1284"/>
      <c r="O169" s="1284">
        <v>2.77</v>
      </c>
      <c r="P169" s="1455">
        <f t="shared" si="49"/>
        <v>49020.69</v>
      </c>
      <c r="Q169" s="1273"/>
      <c r="R169" s="1272">
        <f t="shared" si="52"/>
        <v>0</v>
      </c>
      <c r="S169" s="1284"/>
      <c r="T169" s="1456">
        <v>0.1</v>
      </c>
      <c r="U169" s="1272">
        <f t="shared" si="47"/>
        <v>4902.0690000000004</v>
      </c>
      <c r="V169" s="1455">
        <v>0</v>
      </c>
      <c r="W169" s="1455">
        <v>0</v>
      </c>
      <c r="X169" s="1275">
        <f t="shared" si="50"/>
        <v>53922.759000000005</v>
      </c>
      <c r="Y169" s="1276">
        <f t="shared" si="54"/>
        <v>53922.759000000005</v>
      </c>
      <c r="Z169" s="1276">
        <f t="shared" si="54"/>
        <v>53922.759000000005</v>
      </c>
      <c r="AA169" s="1277">
        <f t="shared" si="46"/>
        <v>647073.10800000001</v>
      </c>
      <c r="AB169" s="1458">
        <f t="shared" si="51"/>
        <v>44123.635049437435</v>
      </c>
      <c r="AC169" s="1493">
        <f>SUM(X145:X170)</f>
        <v>1593746.8760999998</v>
      </c>
    </row>
    <row r="170" spans="1:44" s="1469" customFormat="1" ht="15.75">
      <c r="A170" s="1449">
        <v>156</v>
      </c>
      <c r="B170" s="1279" t="s">
        <v>357</v>
      </c>
      <c r="C170" s="1465" t="s">
        <v>358</v>
      </c>
      <c r="D170" s="1282" t="s">
        <v>64</v>
      </c>
      <c r="E170" s="1279"/>
      <c r="F170" s="1279"/>
      <c r="G170" s="1281">
        <v>1</v>
      </c>
      <c r="H170" s="1467"/>
      <c r="I170" s="1468"/>
      <c r="J170" s="1281">
        <v>1</v>
      </c>
      <c r="K170" s="1468">
        <v>17697</v>
      </c>
      <c r="L170" s="1468"/>
      <c r="M170" s="1284">
        <v>1</v>
      </c>
      <c r="N170" s="1284"/>
      <c r="O170" s="1284">
        <v>2.77</v>
      </c>
      <c r="P170" s="1455">
        <f t="shared" si="49"/>
        <v>49020.69</v>
      </c>
      <c r="Q170" s="1273"/>
      <c r="R170" s="1272">
        <f t="shared" si="52"/>
        <v>0</v>
      </c>
      <c r="S170" s="1284"/>
      <c r="T170" s="1456">
        <v>0.1</v>
      </c>
      <c r="U170" s="1272">
        <f t="shared" si="47"/>
        <v>4902.0690000000004</v>
      </c>
      <c r="V170" s="1455">
        <v>0</v>
      </c>
      <c r="W170" s="1455">
        <v>0</v>
      </c>
      <c r="X170" s="1275">
        <f t="shared" si="50"/>
        <v>53922.759000000005</v>
      </c>
      <c r="Y170" s="1276">
        <f t="shared" si="54"/>
        <v>53922.759000000005</v>
      </c>
      <c r="Z170" s="1276">
        <f t="shared" si="54"/>
        <v>53922.759000000005</v>
      </c>
      <c r="AA170" s="1277">
        <f t="shared" si="46"/>
        <v>647073.10800000001</v>
      </c>
      <c r="AB170" s="1458">
        <f t="shared" si="51"/>
        <v>44123.635049437435</v>
      </c>
      <c r="AL170" s="1493"/>
    </row>
    <row r="171" spans="1:44" s="84" customFormat="1" ht="22.5" customHeight="1">
      <c r="A171" s="2307" t="s">
        <v>359</v>
      </c>
      <c r="B171" s="2307"/>
      <c r="C171" s="2307"/>
      <c r="D171" s="2307"/>
      <c r="E171" s="1560"/>
      <c r="F171" s="1560"/>
      <c r="G171" s="943"/>
      <c r="H171" s="1560"/>
      <c r="I171" s="1560"/>
      <c r="J171" s="1560"/>
      <c r="K171" s="1560"/>
      <c r="L171" s="944"/>
      <c r="M171" s="1035">
        <f>SUM(M6:M170)</f>
        <v>190.80000000000004</v>
      </c>
      <c r="N171" s="626"/>
      <c r="O171" s="626"/>
      <c r="P171" s="626">
        <f>SUM(P6:P170)</f>
        <v>12824282.457666667</v>
      </c>
      <c r="Q171" s="626">
        <f>SUM(Q6:Q170)</f>
        <v>1661448.4341666664</v>
      </c>
      <c r="R171" s="626"/>
      <c r="S171" s="626">
        <f>SUM(S6:S170)</f>
        <v>398536.234375</v>
      </c>
      <c r="T171" s="626"/>
      <c r="U171" s="626">
        <f>SUM(U6:U170)</f>
        <v>1485280.5070479156</v>
      </c>
      <c r="V171" s="626"/>
      <c r="W171" s="626">
        <f>SUM(W6:W170)</f>
        <v>164868.08999999997</v>
      </c>
      <c r="X171" s="626">
        <f>SUM(X6:X170)</f>
        <v>16534415.723256251</v>
      </c>
      <c r="Y171" s="141">
        <f>SUM(Y6:Y170)</f>
        <v>1680614.3020999997</v>
      </c>
      <c r="Z171" s="141">
        <f>SUM(Z6:Z170)</f>
        <v>2306162.8981729164</v>
      </c>
      <c r="AA171" s="262"/>
      <c r="AB171" s="1026">
        <f>SUM(AB6:AB170)</f>
        <v>27728610.230099436</v>
      </c>
      <c r="AC171" s="262"/>
      <c r="AD171" s="262">
        <f>SUM(AD27:AD170)</f>
        <v>57596541.109138809</v>
      </c>
      <c r="AE171" s="262"/>
      <c r="AF171" s="262"/>
      <c r="AG171" s="262"/>
      <c r="AH171" s="262"/>
      <c r="AI171" s="262"/>
      <c r="AJ171" s="262"/>
      <c r="AK171" s="939"/>
      <c r="AL171" s="939"/>
      <c r="AM171" s="262"/>
      <c r="AN171" s="262"/>
      <c r="AO171" s="262"/>
      <c r="AP171" s="262"/>
      <c r="AQ171" s="262"/>
      <c r="AR171" s="262"/>
    </row>
    <row r="172" spans="1:44" ht="25.5" customHeight="1">
      <c r="M172" s="85"/>
      <c r="N172" s="86"/>
      <c r="O172" s="23"/>
      <c r="P172" s="87"/>
      <c r="Q172" s="87"/>
      <c r="R172" s="88"/>
      <c r="AD172" s="1027">
        <f>SUM(AB6:AB24)</f>
        <v>1692935.436924651</v>
      </c>
      <c r="AL172" s="22"/>
    </row>
    <row r="173" spans="1:44" s="24" customFormat="1">
      <c r="A173" s="1"/>
      <c r="B173" s="1"/>
      <c r="C173" s="1559"/>
      <c r="D173" s="1"/>
      <c r="E173" s="1"/>
      <c r="F173" s="1"/>
      <c r="G173" s="1"/>
      <c r="H173" s="1"/>
      <c r="I173" s="1"/>
      <c r="J173" s="1"/>
      <c r="K173" s="982" t="s">
        <v>604</v>
      </c>
      <c r="L173" s="983">
        <f>SUM(M145:M170)</f>
        <v>25.3</v>
      </c>
      <c r="N173" s="89"/>
      <c r="R173" s="1"/>
      <c r="S173" s="1"/>
      <c r="T173" s="1"/>
      <c r="U173" s="1"/>
      <c r="V173" s="1"/>
      <c r="W173" s="1"/>
      <c r="X173" s="3"/>
      <c r="Y173" s="3"/>
      <c r="Z173" s="3"/>
      <c r="AB173" s="24">
        <f>SUM(AB145:AB170)</f>
        <v>1304122.9125946134</v>
      </c>
      <c r="AD173" s="24">
        <f>SUM(AB145:AB170)</f>
        <v>1304122.9125946134</v>
      </c>
      <c r="AK173" s="22"/>
    </row>
    <row r="174" spans="1:44" s="24" customFormat="1">
      <c r="A174" s="1"/>
      <c r="B174" s="1"/>
      <c r="C174" s="1559"/>
      <c r="D174" s="1"/>
      <c r="E174" s="1"/>
      <c r="F174" s="1"/>
      <c r="G174" s="1"/>
      <c r="H174" s="1"/>
      <c r="I174" s="1"/>
      <c r="J174" s="1"/>
      <c r="K174" s="1"/>
      <c r="L174" s="1"/>
      <c r="M174" s="3"/>
      <c r="N174" s="1559"/>
      <c r="O174" s="1"/>
      <c r="P174" s="1"/>
      <c r="Q174" s="1"/>
      <c r="R174" s="1"/>
      <c r="S174" s="1"/>
      <c r="T174" s="1"/>
      <c r="U174" s="1"/>
      <c r="V174" s="3"/>
      <c r="W174" s="3"/>
      <c r="X174" s="3"/>
      <c r="Y174" s="3"/>
      <c r="Z174" s="3"/>
      <c r="AD174" s="24">
        <f>SUM(AD171:AD173)</f>
        <v>60593599.458658077</v>
      </c>
    </row>
    <row r="175" spans="1:44" s="24" customFormat="1">
      <c r="A175" s="1"/>
      <c r="B175" s="1"/>
      <c r="C175" s="1559"/>
      <c r="D175" s="1"/>
      <c r="E175" s="1"/>
      <c r="F175" s="1"/>
      <c r="G175" s="1"/>
      <c r="H175" s="1"/>
      <c r="I175" s="1"/>
      <c r="J175" s="1"/>
      <c r="K175" s="3" t="s">
        <v>638</v>
      </c>
      <c r="L175" s="1">
        <v>126.88</v>
      </c>
      <c r="M175" s="3"/>
      <c r="N175" s="1559"/>
      <c r="O175" s="1"/>
      <c r="P175" s="1"/>
      <c r="Q175" s="1"/>
      <c r="R175" s="90"/>
      <c r="S175" s="90"/>
      <c r="T175" s="1"/>
      <c r="U175" s="1"/>
      <c r="V175" s="1"/>
      <c r="W175" s="1"/>
      <c r="X175" s="3"/>
      <c r="Y175" s="1"/>
      <c r="Z175" s="1"/>
    </row>
    <row r="176" spans="1:44" s="24" customFormat="1">
      <c r="A176" s="1"/>
      <c r="B176" s="1"/>
      <c r="C176" s="1559"/>
      <c r="D176" s="1"/>
      <c r="E176" s="1"/>
      <c r="F176" s="1"/>
      <c r="G176" s="1"/>
      <c r="H176" s="1"/>
      <c r="I176" s="1"/>
      <c r="J176" s="1"/>
      <c r="K176" s="3"/>
      <c r="L176" s="3">
        <f>M26</f>
        <v>17.5</v>
      </c>
      <c r="M176" s="3"/>
      <c r="N176" s="995"/>
      <c r="O176" s="1"/>
      <c r="P176" s="1"/>
      <c r="Q176" s="3"/>
      <c r="R176" s="996"/>
      <c r="S176" s="1"/>
      <c r="T176" s="1"/>
      <c r="U176" s="1"/>
      <c r="V176" s="1"/>
      <c r="W176" s="1"/>
      <c r="X176" s="3"/>
      <c r="Y176" s="1"/>
      <c r="Z176" s="1"/>
    </row>
    <row r="177" spans="1:27" s="24" customFormat="1">
      <c r="A177" s="1"/>
      <c r="B177" s="1"/>
      <c r="C177" s="1559"/>
      <c r="D177" s="1"/>
      <c r="E177" s="1"/>
      <c r="F177" s="1"/>
      <c r="G177" s="1"/>
      <c r="H177" s="1"/>
      <c r="I177" s="3"/>
      <c r="J177" s="1"/>
      <c r="K177" s="3"/>
      <c r="L177" s="3">
        <f>SUM(L173:L176)</f>
        <v>169.68</v>
      </c>
      <c r="M177" s="3"/>
      <c r="N177" s="1559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22"/>
    </row>
    <row r="178" spans="1:27">
      <c r="K178" s="3"/>
    </row>
    <row r="179" spans="1:27">
      <c r="M179" s="3"/>
    </row>
    <row r="180" spans="1:27">
      <c r="AA180" s="22"/>
    </row>
    <row r="181" spans="1:27">
      <c r="M181" s="3"/>
      <c r="O181" s="3"/>
      <c r="U181" s="3"/>
    </row>
    <row r="182" spans="1:27" s="24" customFormat="1">
      <c r="A182" s="1"/>
      <c r="B182" s="1"/>
      <c r="C182" s="1559"/>
      <c r="D182" s="1"/>
      <c r="E182" s="1"/>
      <c r="F182" s="1"/>
      <c r="G182" s="1"/>
      <c r="H182" s="1"/>
      <c r="I182" s="1"/>
      <c r="J182" s="1"/>
      <c r="K182" s="1"/>
      <c r="L182" s="3"/>
      <c r="M182" s="3"/>
      <c r="N182" s="1559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</sheetData>
  <mergeCells count="25">
    <mergeCell ref="A2:X2"/>
    <mergeCell ref="A3:X3"/>
    <mergeCell ref="A4:A5"/>
    <mergeCell ref="B4:B5"/>
    <mergeCell ref="C4:C5"/>
    <mergeCell ref="D4:D5"/>
    <mergeCell ref="E4:E5"/>
    <mergeCell ref="F4:F5"/>
    <mergeCell ref="G4:G5"/>
    <mergeCell ref="H4:H5"/>
    <mergeCell ref="Y4:Y5"/>
    <mergeCell ref="Z4:Z5"/>
    <mergeCell ref="A171:D171"/>
    <mergeCell ref="O4:O5"/>
    <mergeCell ref="P4:P5"/>
    <mergeCell ref="R4:S4"/>
    <mergeCell ref="T4:U4"/>
    <mergeCell ref="V4:W4"/>
    <mergeCell ref="X4:X5"/>
    <mergeCell ref="I4:I5"/>
    <mergeCell ref="J4:J5"/>
    <mergeCell ref="K4:K5"/>
    <mergeCell ref="L4:L5"/>
    <mergeCell ref="M4:M5"/>
    <mergeCell ref="N4:N5"/>
  </mergeCells>
  <pageMargins left="0" right="0" top="0.63" bottom="0" header="0.43307086614173229" footer="0.31496062992125984"/>
  <pageSetup paperSize="9" scale="5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6">
    <tabColor rgb="FFFF0000"/>
  </sheetPr>
  <dimension ref="A1:AR177"/>
  <sheetViews>
    <sheetView zoomScale="70" zoomScaleNormal="70" zoomScaleSheetLayoutView="40" workbookViewId="0">
      <pane xSplit="3" topLeftCell="G1" activePane="topRight" state="frozen"/>
      <selection pane="topRight" activeCell="Y27" sqref="Y27"/>
    </sheetView>
  </sheetViews>
  <sheetFormatPr defaultRowHeight="12.75"/>
  <cols>
    <col min="1" max="1" width="6.42578125" style="1" customWidth="1"/>
    <col min="2" max="2" width="24" style="1" customWidth="1"/>
    <col min="3" max="3" width="17.5703125" style="351" customWidth="1"/>
    <col min="4" max="4" width="11.140625" style="1" customWidth="1"/>
    <col min="5" max="5" width="16.7109375" style="1" customWidth="1"/>
    <col min="6" max="6" width="13.5703125" style="1" customWidth="1"/>
    <col min="7" max="7" width="7.42578125" style="1" customWidth="1"/>
    <col min="8" max="8" width="4.7109375" style="1" customWidth="1"/>
    <col min="9" max="9" width="8.5703125" style="1" customWidth="1"/>
    <col min="10" max="10" width="5.5703125" style="1" customWidth="1"/>
    <col min="11" max="12" width="11.5703125" style="1" customWidth="1"/>
    <col min="13" max="13" width="10.85546875" style="1" customWidth="1"/>
    <col min="14" max="14" width="9.7109375" style="351" bestFit="1" customWidth="1"/>
    <col min="15" max="15" width="8" style="1" customWidth="1"/>
    <col min="16" max="16" width="8" style="1" hidden="1" customWidth="1"/>
    <col min="17" max="17" width="16.28515625" style="1" customWidth="1"/>
    <col min="18" max="18" width="10.5703125" style="1" customWidth="1"/>
    <col min="19" max="19" width="12.42578125" style="1" customWidth="1"/>
    <col min="20" max="20" width="10.140625" style="1" customWidth="1"/>
    <col min="21" max="21" width="15.140625" style="1" customWidth="1"/>
    <col min="22" max="22" width="8.5703125" style="1" customWidth="1"/>
    <col min="23" max="23" width="11.7109375" style="1" customWidth="1"/>
    <col min="24" max="24" width="15.5703125" style="1" customWidth="1"/>
    <col min="25" max="25" width="15.28515625" style="1" customWidth="1"/>
    <col min="26" max="27" width="18.28515625" style="1" customWidth="1"/>
    <col min="28" max="32" width="9.140625" style="24"/>
    <col min="33" max="33" width="11.28515625" style="24" bestFit="1" customWidth="1"/>
    <col min="34" max="34" width="10.7109375" style="24" bestFit="1" customWidth="1"/>
    <col min="35" max="44" width="9.140625" style="24"/>
    <col min="45" max="256" width="9.140625" style="1"/>
    <col min="257" max="257" width="6.42578125" style="1" customWidth="1"/>
    <col min="258" max="258" width="20.7109375" style="1" customWidth="1"/>
    <col min="259" max="259" width="24.7109375" style="1" customWidth="1"/>
    <col min="260" max="260" width="11.140625" style="1" customWidth="1"/>
    <col min="261" max="261" width="12.28515625" style="1" customWidth="1"/>
    <col min="262" max="262" width="11.140625" style="1" customWidth="1"/>
    <col min="263" max="263" width="10.42578125" style="1" customWidth="1"/>
    <col min="264" max="264" width="4.7109375" style="1" customWidth="1"/>
    <col min="265" max="265" width="8.5703125" style="1" customWidth="1"/>
    <col min="266" max="266" width="5.5703125" style="1" customWidth="1"/>
    <col min="267" max="268" width="11.5703125" style="1" customWidth="1"/>
    <col min="269" max="269" width="10.85546875" style="1" customWidth="1"/>
    <col min="270" max="270" width="7.7109375" style="1" customWidth="1"/>
    <col min="271" max="271" width="8" style="1" customWidth="1"/>
    <col min="272" max="272" width="16.28515625" style="1" customWidth="1"/>
    <col min="273" max="273" width="10.5703125" style="1" customWidth="1"/>
    <col min="274" max="274" width="14.140625" style="1" customWidth="1"/>
    <col min="275" max="275" width="10.140625" style="1" customWidth="1"/>
    <col min="276" max="276" width="15.140625" style="1" customWidth="1"/>
    <col min="277" max="277" width="8.5703125" style="1" customWidth="1"/>
    <col min="278" max="278" width="14.28515625" style="1" customWidth="1"/>
    <col min="279" max="279" width="18.28515625" style="1" customWidth="1"/>
    <col min="280" max="280" width="13" style="1" bestFit="1" customWidth="1"/>
    <col min="281" max="281" width="11.7109375" style="1" bestFit="1" customWidth="1"/>
    <col min="282" max="288" width="9.140625" style="1"/>
    <col min="289" max="289" width="11.28515625" style="1" bestFit="1" customWidth="1"/>
    <col min="290" max="290" width="10.7109375" style="1" bestFit="1" customWidth="1"/>
    <col min="291" max="512" width="9.140625" style="1"/>
    <col min="513" max="513" width="6.42578125" style="1" customWidth="1"/>
    <col min="514" max="514" width="20.7109375" style="1" customWidth="1"/>
    <col min="515" max="515" width="24.7109375" style="1" customWidth="1"/>
    <col min="516" max="516" width="11.140625" style="1" customWidth="1"/>
    <col min="517" max="517" width="12.28515625" style="1" customWidth="1"/>
    <col min="518" max="518" width="11.140625" style="1" customWidth="1"/>
    <col min="519" max="519" width="10.42578125" style="1" customWidth="1"/>
    <col min="520" max="520" width="4.7109375" style="1" customWidth="1"/>
    <col min="521" max="521" width="8.5703125" style="1" customWidth="1"/>
    <col min="522" max="522" width="5.5703125" style="1" customWidth="1"/>
    <col min="523" max="524" width="11.5703125" style="1" customWidth="1"/>
    <col min="525" max="525" width="10.85546875" style="1" customWidth="1"/>
    <col min="526" max="526" width="7.7109375" style="1" customWidth="1"/>
    <col min="527" max="527" width="8" style="1" customWidth="1"/>
    <col min="528" max="528" width="16.28515625" style="1" customWidth="1"/>
    <col min="529" max="529" width="10.5703125" style="1" customWidth="1"/>
    <col min="530" max="530" width="14.140625" style="1" customWidth="1"/>
    <col min="531" max="531" width="10.140625" style="1" customWidth="1"/>
    <col min="532" max="532" width="15.140625" style="1" customWidth="1"/>
    <col min="533" max="533" width="8.5703125" style="1" customWidth="1"/>
    <col min="534" max="534" width="14.28515625" style="1" customWidth="1"/>
    <col min="535" max="535" width="18.28515625" style="1" customWidth="1"/>
    <col min="536" max="536" width="13" style="1" bestFit="1" customWidth="1"/>
    <col min="537" max="537" width="11.7109375" style="1" bestFit="1" customWidth="1"/>
    <col min="538" max="544" width="9.140625" style="1"/>
    <col min="545" max="545" width="11.28515625" style="1" bestFit="1" customWidth="1"/>
    <col min="546" max="546" width="10.7109375" style="1" bestFit="1" customWidth="1"/>
    <col min="547" max="768" width="9.140625" style="1"/>
    <col min="769" max="769" width="6.42578125" style="1" customWidth="1"/>
    <col min="770" max="770" width="20.7109375" style="1" customWidth="1"/>
    <col min="771" max="771" width="24.7109375" style="1" customWidth="1"/>
    <col min="772" max="772" width="11.140625" style="1" customWidth="1"/>
    <col min="773" max="773" width="12.28515625" style="1" customWidth="1"/>
    <col min="774" max="774" width="11.140625" style="1" customWidth="1"/>
    <col min="775" max="775" width="10.42578125" style="1" customWidth="1"/>
    <col min="776" max="776" width="4.7109375" style="1" customWidth="1"/>
    <col min="777" max="777" width="8.5703125" style="1" customWidth="1"/>
    <col min="778" max="778" width="5.5703125" style="1" customWidth="1"/>
    <col min="779" max="780" width="11.5703125" style="1" customWidth="1"/>
    <col min="781" max="781" width="10.85546875" style="1" customWidth="1"/>
    <col min="782" max="782" width="7.7109375" style="1" customWidth="1"/>
    <col min="783" max="783" width="8" style="1" customWidth="1"/>
    <col min="784" max="784" width="16.28515625" style="1" customWidth="1"/>
    <col min="785" max="785" width="10.5703125" style="1" customWidth="1"/>
    <col min="786" max="786" width="14.140625" style="1" customWidth="1"/>
    <col min="787" max="787" width="10.140625" style="1" customWidth="1"/>
    <col min="788" max="788" width="15.140625" style="1" customWidth="1"/>
    <col min="789" max="789" width="8.5703125" style="1" customWidth="1"/>
    <col min="790" max="790" width="14.28515625" style="1" customWidth="1"/>
    <col min="791" max="791" width="18.28515625" style="1" customWidth="1"/>
    <col min="792" max="792" width="13" style="1" bestFit="1" customWidth="1"/>
    <col min="793" max="793" width="11.7109375" style="1" bestFit="1" customWidth="1"/>
    <col min="794" max="800" width="9.140625" style="1"/>
    <col min="801" max="801" width="11.28515625" style="1" bestFit="1" customWidth="1"/>
    <col min="802" max="802" width="10.7109375" style="1" bestFit="1" customWidth="1"/>
    <col min="803" max="1024" width="9.140625" style="1"/>
    <col min="1025" max="1025" width="6.42578125" style="1" customWidth="1"/>
    <col min="1026" max="1026" width="20.7109375" style="1" customWidth="1"/>
    <col min="1027" max="1027" width="24.7109375" style="1" customWidth="1"/>
    <col min="1028" max="1028" width="11.140625" style="1" customWidth="1"/>
    <col min="1029" max="1029" width="12.28515625" style="1" customWidth="1"/>
    <col min="1030" max="1030" width="11.140625" style="1" customWidth="1"/>
    <col min="1031" max="1031" width="10.42578125" style="1" customWidth="1"/>
    <col min="1032" max="1032" width="4.7109375" style="1" customWidth="1"/>
    <col min="1033" max="1033" width="8.5703125" style="1" customWidth="1"/>
    <col min="1034" max="1034" width="5.5703125" style="1" customWidth="1"/>
    <col min="1035" max="1036" width="11.5703125" style="1" customWidth="1"/>
    <col min="1037" max="1037" width="10.85546875" style="1" customWidth="1"/>
    <col min="1038" max="1038" width="7.7109375" style="1" customWidth="1"/>
    <col min="1039" max="1039" width="8" style="1" customWidth="1"/>
    <col min="1040" max="1040" width="16.28515625" style="1" customWidth="1"/>
    <col min="1041" max="1041" width="10.5703125" style="1" customWidth="1"/>
    <col min="1042" max="1042" width="14.140625" style="1" customWidth="1"/>
    <col min="1043" max="1043" width="10.140625" style="1" customWidth="1"/>
    <col min="1044" max="1044" width="15.140625" style="1" customWidth="1"/>
    <col min="1045" max="1045" width="8.5703125" style="1" customWidth="1"/>
    <col min="1046" max="1046" width="14.28515625" style="1" customWidth="1"/>
    <col min="1047" max="1047" width="18.28515625" style="1" customWidth="1"/>
    <col min="1048" max="1048" width="13" style="1" bestFit="1" customWidth="1"/>
    <col min="1049" max="1049" width="11.7109375" style="1" bestFit="1" customWidth="1"/>
    <col min="1050" max="1056" width="9.140625" style="1"/>
    <col min="1057" max="1057" width="11.28515625" style="1" bestFit="1" customWidth="1"/>
    <col min="1058" max="1058" width="10.7109375" style="1" bestFit="1" customWidth="1"/>
    <col min="1059" max="1280" width="9.140625" style="1"/>
    <col min="1281" max="1281" width="6.42578125" style="1" customWidth="1"/>
    <col min="1282" max="1282" width="20.7109375" style="1" customWidth="1"/>
    <col min="1283" max="1283" width="24.7109375" style="1" customWidth="1"/>
    <col min="1284" max="1284" width="11.140625" style="1" customWidth="1"/>
    <col min="1285" max="1285" width="12.28515625" style="1" customWidth="1"/>
    <col min="1286" max="1286" width="11.140625" style="1" customWidth="1"/>
    <col min="1287" max="1287" width="10.42578125" style="1" customWidth="1"/>
    <col min="1288" max="1288" width="4.7109375" style="1" customWidth="1"/>
    <col min="1289" max="1289" width="8.5703125" style="1" customWidth="1"/>
    <col min="1290" max="1290" width="5.5703125" style="1" customWidth="1"/>
    <col min="1291" max="1292" width="11.5703125" style="1" customWidth="1"/>
    <col min="1293" max="1293" width="10.85546875" style="1" customWidth="1"/>
    <col min="1294" max="1294" width="7.7109375" style="1" customWidth="1"/>
    <col min="1295" max="1295" width="8" style="1" customWidth="1"/>
    <col min="1296" max="1296" width="16.28515625" style="1" customWidth="1"/>
    <col min="1297" max="1297" width="10.5703125" style="1" customWidth="1"/>
    <col min="1298" max="1298" width="14.140625" style="1" customWidth="1"/>
    <col min="1299" max="1299" width="10.140625" style="1" customWidth="1"/>
    <col min="1300" max="1300" width="15.140625" style="1" customWidth="1"/>
    <col min="1301" max="1301" width="8.5703125" style="1" customWidth="1"/>
    <col min="1302" max="1302" width="14.28515625" style="1" customWidth="1"/>
    <col min="1303" max="1303" width="18.28515625" style="1" customWidth="1"/>
    <col min="1304" max="1304" width="13" style="1" bestFit="1" customWidth="1"/>
    <col min="1305" max="1305" width="11.7109375" style="1" bestFit="1" customWidth="1"/>
    <col min="1306" max="1312" width="9.140625" style="1"/>
    <col min="1313" max="1313" width="11.28515625" style="1" bestFit="1" customWidth="1"/>
    <col min="1314" max="1314" width="10.7109375" style="1" bestFit="1" customWidth="1"/>
    <col min="1315" max="1536" width="9.140625" style="1"/>
    <col min="1537" max="1537" width="6.42578125" style="1" customWidth="1"/>
    <col min="1538" max="1538" width="20.7109375" style="1" customWidth="1"/>
    <col min="1539" max="1539" width="24.7109375" style="1" customWidth="1"/>
    <col min="1540" max="1540" width="11.140625" style="1" customWidth="1"/>
    <col min="1541" max="1541" width="12.28515625" style="1" customWidth="1"/>
    <col min="1542" max="1542" width="11.140625" style="1" customWidth="1"/>
    <col min="1543" max="1543" width="10.42578125" style="1" customWidth="1"/>
    <col min="1544" max="1544" width="4.7109375" style="1" customWidth="1"/>
    <col min="1545" max="1545" width="8.5703125" style="1" customWidth="1"/>
    <col min="1546" max="1546" width="5.5703125" style="1" customWidth="1"/>
    <col min="1547" max="1548" width="11.5703125" style="1" customWidth="1"/>
    <col min="1549" max="1549" width="10.85546875" style="1" customWidth="1"/>
    <col min="1550" max="1550" width="7.7109375" style="1" customWidth="1"/>
    <col min="1551" max="1551" width="8" style="1" customWidth="1"/>
    <col min="1552" max="1552" width="16.28515625" style="1" customWidth="1"/>
    <col min="1553" max="1553" width="10.5703125" style="1" customWidth="1"/>
    <col min="1554" max="1554" width="14.140625" style="1" customWidth="1"/>
    <col min="1555" max="1555" width="10.140625" style="1" customWidth="1"/>
    <col min="1556" max="1556" width="15.140625" style="1" customWidth="1"/>
    <col min="1557" max="1557" width="8.5703125" style="1" customWidth="1"/>
    <col min="1558" max="1558" width="14.28515625" style="1" customWidth="1"/>
    <col min="1559" max="1559" width="18.28515625" style="1" customWidth="1"/>
    <col min="1560" max="1560" width="13" style="1" bestFit="1" customWidth="1"/>
    <col min="1561" max="1561" width="11.7109375" style="1" bestFit="1" customWidth="1"/>
    <col min="1562" max="1568" width="9.140625" style="1"/>
    <col min="1569" max="1569" width="11.28515625" style="1" bestFit="1" customWidth="1"/>
    <col min="1570" max="1570" width="10.7109375" style="1" bestFit="1" customWidth="1"/>
    <col min="1571" max="1792" width="9.140625" style="1"/>
    <col min="1793" max="1793" width="6.42578125" style="1" customWidth="1"/>
    <col min="1794" max="1794" width="20.7109375" style="1" customWidth="1"/>
    <col min="1795" max="1795" width="24.7109375" style="1" customWidth="1"/>
    <col min="1796" max="1796" width="11.140625" style="1" customWidth="1"/>
    <col min="1797" max="1797" width="12.28515625" style="1" customWidth="1"/>
    <col min="1798" max="1798" width="11.140625" style="1" customWidth="1"/>
    <col min="1799" max="1799" width="10.42578125" style="1" customWidth="1"/>
    <col min="1800" max="1800" width="4.7109375" style="1" customWidth="1"/>
    <col min="1801" max="1801" width="8.5703125" style="1" customWidth="1"/>
    <col min="1802" max="1802" width="5.5703125" style="1" customWidth="1"/>
    <col min="1803" max="1804" width="11.5703125" style="1" customWidth="1"/>
    <col min="1805" max="1805" width="10.85546875" style="1" customWidth="1"/>
    <col min="1806" max="1806" width="7.7109375" style="1" customWidth="1"/>
    <col min="1807" max="1807" width="8" style="1" customWidth="1"/>
    <col min="1808" max="1808" width="16.28515625" style="1" customWidth="1"/>
    <col min="1809" max="1809" width="10.5703125" style="1" customWidth="1"/>
    <col min="1810" max="1810" width="14.140625" style="1" customWidth="1"/>
    <col min="1811" max="1811" width="10.140625" style="1" customWidth="1"/>
    <col min="1812" max="1812" width="15.140625" style="1" customWidth="1"/>
    <col min="1813" max="1813" width="8.5703125" style="1" customWidth="1"/>
    <col min="1814" max="1814" width="14.28515625" style="1" customWidth="1"/>
    <col min="1815" max="1815" width="18.28515625" style="1" customWidth="1"/>
    <col min="1816" max="1816" width="13" style="1" bestFit="1" customWidth="1"/>
    <col min="1817" max="1817" width="11.7109375" style="1" bestFit="1" customWidth="1"/>
    <col min="1818" max="1824" width="9.140625" style="1"/>
    <col min="1825" max="1825" width="11.28515625" style="1" bestFit="1" customWidth="1"/>
    <col min="1826" max="1826" width="10.7109375" style="1" bestFit="1" customWidth="1"/>
    <col min="1827" max="2048" width="9.140625" style="1"/>
    <col min="2049" max="2049" width="6.42578125" style="1" customWidth="1"/>
    <col min="2050" max="2050" width="20.7109375" style="1" customWidth="1"/>
    <col min="2051" max="2051" width="24.7109375" style="1" customWidth="1"/>
    <col min="2052" max="2052" width="11.140625" style="1" customWidth="1"/>
    <col min="2053" max="2053" width="12.28515625" style="1" customWidth="1"/>
    <col min="2054" max="2054" width="11.140625" style="1" customWidth="1"/>
    <col min="2055" max="2055" width="10.42578125" style="1" customWidth="1"/>
    <col min="2056" max="2056" width="4.7109375" style="1" customWidth="1"/>
    <col min="2057" max="2057" width="8.5703125" style="1" customWidth="1"/>
    <col min="2058" max="2058" width="5.5703125" style="1" customWidth="1"/>
    <col min="2059" max="2060" width="11.5703125" style="1" customWidth="1"/>
    <col min="2061" max="2061" width="10.85546875" style="1" customWidth="1"/>
    <col min="2062" max="2062" width="7.7109375" style="1" customWidth="1"/>
    <col min="2063" max="2063" width="8" style="1" customWidth="1"/>
    <col min="2064" max="2064" width="16.28515625" style="1" customWidth="1"/>
    <col min="2065" max="2065" width="10.5703125" style="1" customWidth="1"/>
    <col min="2066" max="2066" width="14.140625" style="1" customWidth="1"/>
    <col min="2067" max="2067" width="10.140625" style="1" customWidth="1"/>
    <col min="2068" max="2068" width="15.140625" style="1" customWidth="1"/>
    <col min="2069" max="2069" width="8.5703125" style="1" customWidth="1"/>
    <col min="2070" max="2070" width="14.28515625" style="1" customWidth="1"/>
    <col min="2071" max="2071" width="18.28515625" style="1" customWidth="1"/>
    <col min="2072" max="2072" width="13" style="1" bestFit="1" customWidth="1"/>
    <col min="2073" max="2073" width="11.7109375" style="1" bestFit="1" customWidth="1"/>
    <col min="2074" max="2080" width="9.140625" style="1"/>
    <col min="2081" max="2081" width="11.28515625" style="1" bestFit="1" customWidth="1"/>
    <col min="2082" max="2082" width="10.7109375" style="1" bestFit="1" customWidth="1"/>
    <col min="2083" max="2304" width="9.140625" style="1"/>
    <col min="2305" max="2305" width="6.42578125" style="1" customWidth="1"/>
    <col min="2306" max="2306" width="20.7109375" style="1" customWidth="1"/>
    <col min="2307" max="2307" width="24.7109375" style="1" customWidth="1"/>
    <col min="2308" max="2308" width="11.140625" style="1" customWidth="1"/>
    <col min="2309" max="2309" width="12.28515625" style="1" customWidth="1"/>
    <col min="2310" max="2310" width="11.140625" style="1" customWidth="1"/>
    <col min="2311" max="2311" width="10.42578125" style="1" customWidth="1"/>
    <col min="2312" max="2312" width="4.7109375" style="1" customWidth="1"/>
    <col min="2313" max="2313" width="8.5703125" style="1" customWidth="1"/>
    <col min="2314" max="2314" width="5.5703125" style="1" customWidth="1"/>
    <col min="2315" max="2316" width="11.5703125" style="1" customWidth="1"/>
    <col min="2317" max="2317" width="10.85546875" style="1" customWidth="1"/>
    <col min="2318" max="2318" width="7.7109375" style="1" customWidth="1"/>
    <col min="2319" max="2319" width="8" style="1" customWidth="1"/>
    <col min="2320" max="2320" width="16.28515625" style="1" customWidth="1"/>
    <col min="2321" max="2321" width="10.5703125" style="1" customWidth="1"/>
    <col min="2322" max="2322" width="14.140625" style="1" customWidth="1"/>
    <col min="2323" max="2323" width="10.140625" style="1" customWidth="1"/>
    <col min="2324" max="2324" width="15.140625" style="1" customWidth="1"/>
    <col min="2325" max="2325" width="8.5703125" style="1" customWidth="1"/>
    <col min="2326" max="2326" width="14.28515625" style="1" customWidth="1"/>
    <col min="2327" max="2327" width="18.28515625" style="1" customWidth="1"/>
    <col min="2328" max="2328" width="13" style="1" bestFit="1" customWidth="1"/>
    <col min="2329" max="2329" width="11.7109375" style="1" bestFit="1" customWidth="1"/>
    <col min="2330" max="2336" width="9.140625" style="1"/>
    <col min="2337" max="2337" width="11.28515625" style="1" bestFit="1" customWidth="1"/>
    <col min="2338" max="2338" width="10.7109375" style="1" bestFit="1" customWidth="1"/>
    <col min="2339" max="2560" width="9.140625" style="1"/>
    <col min="2561" max="2561" width="6.42578125" style="1" customWidth="1"/>
    <col min="2562" max="2562" width="20.7109375" style="1" customWidth="1"/>
    <col min="2563" max="2563" width="24.7109375" style="1" customWidth="1"/>
    <col min="2564" max="2564" width="11.140625" style="1" customWidth="1"/>
    <col min="2565" max="2565" width="12.28515625" style="1" customWidth="1"/>
    <col min="2566" max="2566" width="11.140625" style="1" customWidth="1"/>
    <col min="2567" max="2567" width="10.42578125" style="1" customWidth="1"/>
    <col min="2568" max="2568" width="4.7109375" style="1" customWidth="1"/>
    <col min="2569" max="2569" width="8.5703125" style="1" customWidth="1"/>
    <col min="2570" max="2570" width="5.5703125" style="1" customWidth="1"/>
    <col min="2571" max="2572" width="11.5703125" style="1" customWidth="1"/>
    <col min="2573" max="2573" width="10.85546875" style="1" customWidth="1"/>
    <col min="2574" max="2574" width="7.7109375" style="1" customWidth="1"/>
    <col min="2575" max="2575" width="8" style="1" customWidth="1"/>
    <col min="2576" max="2576" width="16.28515625" style="1" customWidth="1"/>
    <col min="2577" max="2577" width="10.5703125" style="1" customWidth="1"/>
    <col min="2578" max="2578" width="14.140625" style="1" customWidth="1"/>
    <col min="2579" max="2579" width="10.140625" style="1" customWidth="1"/>
    <col min="2580" max="2580" width="15.140625" style="1" customWidth="1"/>
    <col min="2581" max="2581" width="8.5703125" style="1" customWidth="1"/>
    <col min="2582" max="2582" width="14.28515625" style="1" customWidth="1"/>
    <col min="2583" max="2583" width="18.28515625" style="1" customWidth="1"/>
    <col min="2584" max="2584" width="13" style="1" bestFit="1" customWidth="1"/>
    <col min="2585" max="2585" width="11.7109375" style="1" bestFit="1" customWidth="1"/>
    <col min="2586" max="2592" width="9.140625" style="1"/>
    <col min="2593" max="2593" width="11.28515625" style="1" bestFit="1" customWidth="1"/>
    <col min="2594" max="2594" width="10.7109375" style="1" bestFit="1" customWidth="1"/>
    <col min="2595" max="2816" width="9.140625" style="1"/>
    <col min="2817" max="2817" width="6.42578125" style="1" customWidth="1"/>
    <col min="2818" max="2818" width="20.7109375" style="1" customWidth="1"/>
    <col min="2819" max="2819" width="24.7109375" style="1" customWidth="1"/>
    <col min="2820" max="2820" width="11.140625" style="1" customWidth="1"/>
    <col min="2821" max="2821" width="12.28515625" style="1" customWidth="1"/>
    <col min="2822" max="2822" width="11.140625" style="1" customWidth="1"/>
    <col min="2823" max="2823" width="10.42578125" style="1" customWidth="1"/>
    <col min="2824" max="2824" width="4.7109375" style="1" customWidth="1"/>
    <col min="2825" max="2825" width="8.5703125" style="1" customWidth="1"/>
    <col min="2826" max="2826" width="5.5703125" style="1" customWidth="1"/>
    <col min="2827" max="2828" width="11.5703125" style="1" customWidth="1"/>
    <col min="2829" max="2829" width="10.85546875" style="1" customWidth="1"/>
    <col min="2830" max="2830" width="7.7109375" style="1" customWidth="1"/>
    <col min="2831" max="2831" width="8" style="1" customWidth="1"/>
    <col min="2832" max="2832" width="16.28515625" style="1" customWidth="1"/>
    <col min="2833" max="2833" width="10.5703125" style="1" customWidth="1"/>
    <col min="2834" max="2834" width="14.140625" style="1" customWidth="1"/>
    <col min="2835" max="2835" width="10.140625" style="1" customWidth="1"/>
    <col min="2836" max="2836" width="15.140625" style="1" customWidth="1"/>
    <col min="2837" max="2837" width="8.5703125" style="1" customWidth="1"/>
    <col min="2838" max="2838" width="14.28515625" style="1" customWidth="1"/>
    <col min="2839" max="2839" width="18.28515625" style="1" customWidth="1"/>
    <col min="2840" max="2840" width="13" style="1" bestFit="1" customWidth="1"/>
    <col min="2841" max="2841" width="11.7109375" style="1" bestFit="1" customWidth="1"/>
    <col min="2842" max="2848" width="9.140625" style="1"/>
    <col min="2849" max="2849" width="11.28515625" style="1" bestFit="1" customWidth="1"/>
    <col min="2850" max="2850" width="10.7109375" style="1" bestFit="1" customWidth="1"/>
    <col min="2851" max="3072" width="9.140625" style="1"/>
    <col min="3073" max="3073" width="6.42578125" style="1" customWidth="1"/>
    <col min="3074" max="3074" width="20.7109375" style="1" customWidth="1"/>
    <col min="3075" max="3075" width="24.7109375" style="1" customWidth="1"/>
    <col min="3076" max="3076" width="11.140625" style="1" customWidth="1"/>
    <col min="3077" max="3077" width="12.28515625" style="1" customWidth="1"/>
    <col min="3078" max="3078" width="11.140625" style="1" customWidth="1"/>
    <col min="3079" max="3079" width="10.42578125" style="1" customWidth="1"/>
    <col min="3080" max="3080" width="4.7109375" style="1" customWidth="1"/>
    <col min="3081" max="3081" width="8.5703125" style="1" customWidth="1"/>
    <col min="3082" max="3082" width="5.5703125" style="1" customWidth="1"/>
    <col min="3083" max="3084" width="11.5703125" style="1" customWidth="1"/>
    <col min="3085" max="3085" width="10.85546875" style="1" customWidth="1"/>
    <col min="3086" max="3086" width="7.7109375" style="1" customWidth="1"/>
    <col min="3087" max="3087" width="8" style="1" customWidth="1"/>
    <col min="3088" max="3088" width="16.28515625" style="1" customWidth="1"/>
    <col min="3089" max="3089" width="10.5703125" style="1" customWidth="1"/>
    <col min="3090" max="3090" width="14.140625" style="1" customWidth="1"/>
    <col min="3091" max="3091" width="10.140625" style="1" customWidth="1"/>
    <col min="3092" max="3092" width="15.140625" style="1" customWidth="1"/>
    <col min="3093" max="3093" width="8.5703125" style="1" customWidth="1"/>
    <col min="3094" max="3094" width="14.28515625" style="1" customWidth="1"/>
    <col min="3095" max="3095" width="18.28515625" style="1" customWidth="1"/>
    <col min="3096" max="3096" width="13" style="1" bestFit="1" customWidth="1"/>
    <col min="3097" max="3097" width="11.7109375" style="1" bestFit="1" customWidth="1"/>
    <col min="3098" max="3104" width="9.140625" style="1"/>
    <col min="3105" max="3105" width="11.28515625" style="1" bestFit="1" customWidth="1"/>
    <col min="3106" max="3106" width="10.7109375" style="1" bestFit="1" customWidth="1"/>
    <col min="3107" max="3328" width="9.140625" style="1"/>
    <col min="3329" max="3329" width="6.42578125" style="1" customWidth="1"/>
    <col min="3330" max="3330" width="20.7109375" style="1" customWidth="1"/>
    <col min="3331" max="3331" width="24.7109375" style="1" customWidth="1"/>
    <col min="3332" max="3332" width="11.140625" style="1" customWidth="1"/>
    <col min="3333" max="3333" width="12.28515625" style="1" customWidth="1"/>
    <col min="3334" max="3334" width="11.140625" style="1" customWidth="1"/>
    <col min="3335" max="3335" width="10.42578125" style="1" customWidth="1"/>
    <col min="3336" max="3336" width="4.7109375" style="1" customWidth="1"/>
    <col min="3337" max="3337" width="8.5703125" style="1" customWidth="1"/>
    <col min="3338" max="3338" width="5.5703125" style="1" customWidth="1"/>
    <col min="3339" max="3340" width="11.5703125" style="1" customWidth="1"/>
    <col min="3341" max="3341" width="10.85546875" style="1" customWidth="1"/>
    <col min="3342" max="3342" width="7.7109375" style="1" customWidth="1"/>
    <col min="3343" max="3343" width="8" style="1" customWidth="1"/>
    <col min="3344" max="3344" width="16.28515625" style="1" customWidth="1"/>
    <col min="3345" max="3345" width="10.5703125" style="1" customWidth="1"/>
    <col min="3346" max="3346" width="14.140625" style="1" customWidth="1"/>
    <col min="3347" max="3347" width="10.140625" style="1" customWidth="1"/>
    <col min="3348" max="3348" width="15.140625" style="1" customWidth="1"/>
    <col min="3349" max="3349" width="8.5703125" style="1" customWidth="1"/>
    <col min="3350" max="3350" width="14.28515625" style="1" customWidth="1"/>
    <col min="3351" max="3351" width="18.28515625" style="1" customWidth="1"/>
    <col min="3352" max="3352" width="13" style="1" bestFit="1" customWidth="1"/>
    <col min="3353" max="3353" width="11.7109375" style="1" bestFit="1" customWidth="1"/>
    <col min="3354" max="3360" width="9.140625" style="1"/>
    <col min="3361" max="3361" width="11.28515625" style="1" bestFit="1" customWidth="1"/>
    <col min="3362" max="3362" width="10.7109375" style="1" bestFit="1" customWidth="1"/>
    <col min="3363" max="3584" width="9.140625" style="1"/>
    <col min="3585" max="3585" width="6.42578125" style="1" customWidth="1"/>
    <col min="3586" max="3586" width="20.7109375" style="1" customWidth="1"/>
    <col min="3587" max="3587" width="24.7109375" style="1" customWidth="1"/>
    <col min="3588" max="3588" width="11.140625" style="1" customWidth="1"/>
    <col min="3589" max="3589" width="12.28515625" style="1" customWidth="1"/>
    <col min="3590" max="3590" width="11.140625" style="1" customWidth="1"/>
    <col min="3591" max="3591" width="10.42578125" style="1" customWidth="1"/>
    <col min="3592" max="3592" width="4.7109375" style="1" customWidth="1"/>
    <col min="3593" max="3593" width="8.5703125" style="1" customWidth="1"/>
    <col min="3594" max="3594" width="5.5703125" style="1" customWidth="1"/>
    <col min="3595" max="3596" width="11.5703125" style="1" customWidth="1"/>
    <col min="3597" max="3597" width="10.85546875" style="1" customWidth="1"/>
    <col min="3598" max="3598" width="7.7109375" style="1" customWidth="1"/>
    <col min="3599" max="3599" width="8" style="1" customWidth="1"/>
    <col min="3600" max="3600" width="16.28515625" style="1" customWidth="1"/>
    <col min="3601" max="3601" width="10.5703125" style="1" customWidth="1"/>
    <col min="3602" max="3602" width="14.140625" style="1" customWidth="1"/>
    <col min="3603" max="3603" width="10.140625" style="1" customWidth="1"/>
    <col min="3604" max="3604" width="15.140625" style="1" customWidth="1"/>
    <col min="3605" max="3605" width="8.5703125" style="1" customWidth="1"/>
    <col min="3606" max="3606" width="14.28515625" style="1" customWidth="1"/>
    <col min="3607" max="3607" width="18.28515625" style="1" customWidth="1"/>
    <col min="3608" max="3608" width="13" style="1" bestFit="1" customWidth="1"/>
    <col min="3609" max="3609" width="11.7109375" style="1" bestFit="1" customWidth="1"/>
    <col min="3610" max="3616" width="9.140625" style="1"/>
    <col min="3617" max="3617" width="11.28515625" style="1" bestFit="1" customWidth="1"/>
    <col min="3618" max="3618" width="10.7109375" style="1" bestFit="1" customWidth="1"/>
    <col min="3619" max="3840" width="9.140625" style="1"/>
    <col min="3841" max="3841" width="6.42578125" style="1" customWidth="1"/>
    <col min="3842" max="3842" width="20.7109375" style="1" customWidth="1"/>
    <col min="3843" max="3843" width="24.7109375" style="1" customWidth="1"/>
    <col min="3844" max="3844" width="11.140625" style="1" customWidth="1"/>
    <col min="3845" max="3845" width="12.28515625" style="1" customWidth="1"/>
    <col min="3846" max="3846" width="11.140625" style="1" customWidth="1"/>
    <col min="3847" max="3847" width="10.42578125" style="1" customWidth="1"/>
    <col min="3848" max="3848" width="4.7109375" style="1" customWidth="1"/>
    <col min="3849" max="3849" width="8.5703125" style="1" customWidth="1"/>
    <col min="3850" max="3850" width="5.5703125" style="1" customWidth="1"/>
    <col min="3851" max="3852" width="11.5703125" style="1" customWidth="1"/>
    <col min="3853" max="3853" width="10.85546875" style="1" customWidth="1"/>
    <col min="3854" max="3854" width="7.7109375" style="1" customWidth="1"/>
    <col min="3855" max="3855" width="8" style="1" customWidth="1"/>
    <col min="3856" max="3856" width="16.28515625" style="1" customWidth="1"/>
    <col min="3857" max="3857" width="10.5703125" style="1" customWidth="1"/>
    <col min="3858" max="3858" width="14.140625" style="1" customWidth="1"/>
    <col min="3859" max="3859" width="10.140625" style="1" customWidth="1"/>
    <col min="3860" max="3860" width="15.140625" style="1" customWidth="1"/>
    <col min="3861" max="3861" width="8.5703125" style="1" customWidth="1"/>
    <col min="3862" max="3862" width="14.28515625" style="1" customWidth="1"/>
    <col min="3863" max="3863" width="18.28515625" style="1" customWidth="1"/>
    <col min="3864" max="3864" width="13" style="1" bestFit="1" customWidth="1"/>
    <col min="3865" max="3865" width="11.7109375" style="1" bestFit="1" customWidth="1"/>
    <col min="3866" max="3872" width="9.140625" style="1"/>
    <col min="3873" max="3873" width="11.28515625" style="1" bestFit="1" customWidth="1"/>
    <col min="3874" max="3874" width="10.7109375" style="1" bestFit="1" customWidth="1"/>
    <col min="3875" max="4096" width="9.140625" style="1"/>
    <col min="4097" max="4097" width="6.42578125" style="1" customWidth="1"/>
    <col min="4098" max="4098" width="20.7109375" style="1" customWidth="1"/>
    <col min="4099" max="4099" width="24.7109375" style="1" customWidth="1"/>
    <col min="4100" max="4100" width="11.140625" style="1" customWidth="1"/>
    <col min="4101" max="4101" width="12.28515625" style="1" customWidth="1"/>
    <col min="4102" max="4102" width="11.140625" style="1" customWidth="1"/>
    <col min="4103" max="4103" width="10.42578125" style="1" customWidth="1"/>
    <col min="4104" max="4104" width="4.7109375" style="1" customWidth="1"/>
    <col min="4105" max="4105" width="8.5703125" style="1" customWidth="1"/>
    <col min="4106" max="4106" width="5.5703125" style="1" customWidth="1"/>
    <col min="4107" max="4108" width="11.5703125" style="1" customWidth="1"/>
    <col min="4109" max="4109" width="10.85546875" style="1" customWidth="1"/>
    <col min="4110" max="4110" width="7.7109375" style="1" customWidth="1"/>
    <col min="4111" max="4111" width="8" style="1" customWidth="1"/>
    <col min="4112" max="4112" width="16.28515625" style="1" customWidth="1"/>
    <col min="4113" max="4113" width="10.5703125" style="1" customWidth="1"/>
    <col min="4114" max="4114" width="14.140625" style="1" customWidth="1"/>
    <col min="4115" max="4115" width="10.140625" style="1" customWidth="1"/>
    <col min="4116" max="4116" width="15.140625" style="1" customWidth="1"/>
    <col min="4117" max="4117" width="8.5703125" style="1" customWidth="1"/>
    <col min="4118" max="4118" width="14.28515625" style="1" customWidth="1"/>
    <col min="4119" max="4119" width="18.28515625" style="1" customWidth="1"/>
    <col min="4120" max="4120" width="13" style="1" bestFit="1" customWidth="1"/>
    <col min="4121" max="4121" width="11.7109375" style="1" bestFit="1" customWidth="1"/>
    <col min="4122" max="4128" width="9.140625" style="1"/>
    <col min="4129" max="4129" width="11.28515625" style="1" bestFit="1" customWidth="1"/>
    <col min="4130" max="4130" width="10.7109375" style="1" bestFit="1" customWidth="1"/>
    <col min="4131" max="4352" width="9.140625" style="1"/>
    <col min="4353" max="4353" width="6.42578125" style="1" customWidth="1"/>
    <col min="4354" max="4354" width="20.7109375" style="1" customWidth="1"/>
    <col min="4355" max="4355" width="24.7109375" style="1" customWidth="1"/>
    <col min="4356" max="4356" width="11.140625" style="1" customWidth="1"/>
    <col min="4357" max="4357" width="12.28515625" style="1" customWidth="1"/>
    <col min="4358" max="4358" width="11.140625" style="1" customWidth="1"/>
    <col min="4359" max="4359" width="10.42578125" style="1" customWidth="1"/>
    <col min="4360" max="4360" width="4.7109375" style="1" customWidth="1"/>
    <col min="4361" max="4361" width="8.5703125" style="1" customWidth="1"/>
    <col min="4362" max="4362" width="5.5703125" style="1" customWidth="1"/>
    <col min="4363" max="4364" width="11.5703125" style="1" customWidth="1"/>
    <col min="4365" max="4365" width="10.85546875" style="1" customWidth="1"/>
    <col min="4366" max="4366" width="7.7109375" style="1" customWidth="1"/>
    <col min="4367" max="4367" width="8" style="1" customWidth="1"/>
    <col min="4368" max="4368" width="16.28515625" style="1" customWidth="1"/>
    <col min="4369" max="4369" width="10.5703125" style="1" customWidth="1"/>
    <col min="4370" max="4370" width="14.140625" style="1" customWidth="1"/>
    <col min="4371" max="4371" width="10.140625" style="1" customWidth="1"/>
    <col min="4372" max="4372" width="15.140625" style="1" customWidth="1"/>
    <col min="4373" max="4373" width="8.5703125" style="1" customWidth="1"/>
    <col min="4374" max="4374" width="14.28515625" style="1" customWidth="1"/>
    <col min="4375" max="4375" width="18.28515625" style="1" customWidth="1"/>
    <col min="4376" max="4376" width="13" style="1" bestFit="1" customWidth="1"/>
    <col min="4377" max="4377" width="11.7109375" style="1" bestFit="1" customWidth="1"/>
    <col min="4378" max="4384" width="9.140625" style="1"/>
    <col min="4385" max="4385" width="11.28515625" style="1" bestFit="1" customWidth="1"/>
    <col min="4386" max="4386" width="10.7109375" style="1" bestFit="1" customWidth="1"/>
    <col min="4387" max="4608" width="9.140625" style="1"/>
    <col min="4609" max="4609" width="6.42578125" style="1" customWidth="1"/>
    <col min="4610" max="4610" width="20.7109375" style="1" customWidth="1"/>
    <col min="4611" max="4611" width="24.7109375" style="1" customWidth="1"/>
    <col min="4612" max="4612" width="11.140625" style="1" customWidth="1"/>
    <col min="4613" max="4613" width="12.28515625" style="1" customWidth="1"/>
    <col min="4614" max="4614" width="11.140625" style="1" customWidth="1"/>
    <col min="4615" max="4615" width="10.42578125" style="1" customWidth="1"/>
    <col min="4616" max="4616" width="4.7109375" style="1" customWidth="1"/>
    <col min="4617" max="4617" width="8.5703125" style="1" customWidth="1"/>
    <col min="4618" max="4618" width="5.5703125" style="1" customWidth="1"/>
    <col min="4619" max="4620" width="11.5703125" style="1" customWidth="1"/>
    <col min="4621" max="4621" width="10.85546875" style="1" customWidth="1"/>
    <col min="4622" max="4622" width="7.7109375" style="1" customWidth="1"/>
    <col min="4623" max="4623" width="8" style="1" customWidth="1"/>
    <col min="4624" max="4624" width="16.28515625" style="1" customWidth="1"/>
    <col min="4625" max="4625" width="10.5703125" style="1" customWidth="1"/>
    <col min="4626" max="4626" width="14.140625" style="1" customWidth="1"/>
    <col min="4627" max="4627" width="10.140625" style="1" customWidth="1"/>
    <col min="4628" max="4628" width="15.140625" style="1" customWidth="1"/>
    <col min="4629" max="4629" width="8.5703125" style="1" customWidth="1"/>
    <col min="4630" max="4630" width="14.28515625" style="1" customWidth="1"/>
    <col min="4631" max="4631" width="18.28515625" style="1" customWidth="1"/>
    <col min="4632" max="4632" width="13" style="1" bestFit="1" customWidth="1"/>
    <col min="4633" max="4633" width="11.7109375" style="1" bestFit="1" customWidth="1"/>
    <col min="4634" max="4640" width="9.140625" style="1"/>
    <col min="4641" max="4641" width="11.28515625" style="1" bestFit="1" customWidth="1"/>
    <col min="4642" max="4642" width="10.7109375" style="1" bestFit="1" customWidth="1"/>
    <col min="4643" max="4864" width="9.140625" style="1"/>
    <col min="4865" max="4865" width="6.42578125" style="1" customWidth="1"/>
    <col min="4866" max="4866" width="20.7109375" style="1" customWidth="1"/>
    <col min="4867" max="4867" width="24.7109375" style="1" customWidth="1"/>
    <col min="4868" max="4868" width="11.140625" style="1" customWidth="1"/>
    <col min="4869" max="4869" width="12.28515625" style="1" customWidth="1"/>
    <col min="4870" max="4870" width="11.140625" style="1" customWidth="1"/>
    <col min="4871" max="4871" width="10.42578125" style="1" customWidth="1"/>
    <col min="4872" max="4872" width="4.7109375" style="1" customWidth="1"/>
    <col min="4873" max="4873" width="8.5703125" style="1" customWidth="1"/>
    <col min="4874" max="4874" width="5.5703125" style="1" customWidth="1"/>
    <col min="4875" max="4876" width="11.5703125" style="1" customWidth="1"/>
    <col min="4877" max="4877" width="10.85546875" style="1" customWidth="1"/>
    <col min="4878" max="4878" width="7.7109375" style="1" customWidth="1"/>
    <col min="4879" max="4879" width="8" style="1" customWidth="1"/>
    <col min="4880" max="4880" width="16.28515625" style="1" customWidth="1"/>
    <col min="4881" max="4881" width="10.5703125" style="1" customWidth="1"/>
    <col min="4882" max="4882" width="14.140625" style="1" customWidth="1"/>
    <col min="4883" max="4883" width="10.140625" style="1" customWidth="1"/>
    <col min="4884" max="4884" width="15.140625" style="1" customWidth="1"/>
    <col min="4885" max="4885" width="8.5703125" style="1" customWidth="1"/>
    <col min="4886" max="4886" width="14.28515625" style="1" customWidth="1"/>
    <col min="4887" max="4887" width="18.28515625" style="1" customWidth="1"/>
    <col min="4888" max="4888" width="13" style="1" bestFit="1" customWidth="1"/>
    <col min="4889" max="4889" width="11.7109375" style="1" bestFit="1" customWidth="1"/>
    <col min="4890" max="4896" width="9.140625" style="1"/>
    <col min="4897" max="4897" width="11.28515625" style="1" bestFit="1" customWidth="1"/>
    <col min="4898" max="4898" width="10.7109375" style="1" bestFit="1" customWidth="1"/>
    <col min="4899" max="5120" width="9.140625" style="1"/>
    <col min="5121" max="5121" width="6.42578125" style="1" customWidth="1"/>
    <col min="5122" max="5122" width="20.7109375" style="1" customWidth="1"/>
    <col min="5123" max="5123" width="24.7109375" style="1" customWidth="1"/>
    <col min="5124" max="5124" width="11.140625" style="1" customWidth="1"/>
    <col min="5125" max="5125" width="12.28515625" style="1" customWidth="1"/>
    <col min="5126" max="5126" width="11.140625" style="1" customWidth="1"/>
    <col min="5127" max="5127" width="10.42578125" style="1" customWidth="1"/>
    <col min="5128" max="5128" width="4.7109375" style="1" customWidth="1"/>
    <col min="5129" max="5129" width="8.5703125" style="1" customWidth="1"/>
    <col min="5130" max="5130" width="5.5703125" style="1" customWidth="1"/>
    <col min="5131" max="5132" width="11.5703125" style="1" customWidth="1"/>
    <col min="5133" max="5133" width="10.85546875" style="1" customWidth="1"/>
    <col min="5134" max="5134" width="7.7109375" style="1" customWidth="1"/>
    <col min="5135" max="5135" width="8" style="1" customWidth="1"/>
    <col min="5136" max="5136" width="16.28515625" style="1" customWidth="1"/>
    <col min="5137" max="5137" width="10.5703125" style="1" customWidth="1"/>
    <col min="5138" max="5138" width="14.140625" style="1" customWidth="1"/>
    <col min="5139" max="5139" width="10.140625" style="1" customWidth="1"/>
    <col min="5140" max="5140" width="15.140625" style="1" customWidth="1"/>
    <col min="5141" max="5141" width="8.5703125" style="1" customWidth="1"/>
    <col min="5142" max="5142" width="14.28515625" style="1" customWidth="1"/>
    <col min="5143" max="5143" width="18.28515625" style="1" customWidth="1"/>
    <col min="5144" max="5144" width="13" style="1" bestFit="1" customWidth="1"/>
    <col min="5145" max="5145" width="11.7109375" style="1" bestFit="1" customWidth="1"/>
    <col min="5146" max="5152" width="9.140625" style="1"/>
    <col min="5153" max="5153" width="11.28515625" style="1" bestFit="1" customWidth="1"/>
    <col min="5154" max="5154" width="10.7109375" style="1" bestFit="1" customWidth="1"/>
    <col min="5155" max="5376" width="9.140625" style="1"/>
    <col min="5377" max="5377" width="6.42578125" style="1" customWidth="1"/>
    <col min="5378" max="5378" width="20.7109375" style="1" customWidth="1"/>
    <col min="5379" max="5379" width="24.7109375" style="1" customWidth="1"/>
    <col min="5380" max="5380" width="11.140625" style="1" customWidth="1"/>
    <col min="5381" max="5381" width="12.28515625" style="1" customWidth="1"/>
    <col min="5382" max="5382" width="11.140625" style="1" customWidth="1"/>
    <col min="5383" max="5383" width="10.42578125" style="1" customWidth="1"/>
    <col min="5384" max="5384" width="4.7109375" style="1" customWidth="1"/>
    <col min="5385" max="5385" width="8.5703125" style="1" customWidth="1"/>
    <col min="5386" max="5386" width="5.5703125" style="1" customWidth="1"/>
    <col min="5387" max="5388" width="11.5703125" style="1" customWidth="1"/>
    <col min="5389" max="5389" width="10.85546875" style="1" customWidth="1"/>
    <col min="5390" max="5390" width="7.7109375" style="1" customWidth="1"/>
    <col min="5391" max="5391" width="8" style="1" customWidth="1"/>
    <col min="5392" max="5392" width="16.28515625" style="1" customWidth="1"/>
    <col min="5393" max="5393" width="10.5703125" style="1" customWidth="1"/>
    <col min="5394" max="5394" width="14.140625" style="1" customWidth="1"/>
    <col min="5395" max="5395" width="10.140625" style="1" customWidth="1"/>
    <col min="5396" max="5396" width="15.140625" style="1" customWidth="1"/>
    <col min="5397" max="5397" width="8.5703125" style="1" customWidth="1"/>
    <col min="5398" max="5398" width="14.28515625" style="1" customWidth="1"/>
    <col min="5399" max="5399" width="18.28515625" style="1" customWidth="1"/>
    <col min="5400" max="5400" width="13" style="1" bestFit="1" customWidth="1"/>
    <col min="5401" max="5401" width="11.7109375" style="1" bestFit="1" customWidth="1"/>
    <col min="5402" max="5408" width="9.140625" style="1"/>
    <col min="5409" max="5409" width="11.28515625" style="1" bestFit="1" customWidth="1"/>
    <col min="5410" max="5410" width="10.7109375" style="1" bestFit="1" customWidth="1"/>
    <col min="5411" max="5632" width="9.140625" style="1"/>
    <col min="5633" max="5633" width="6.42578125" style="1" customWidth="1"/>
    <col min="5634" max="5634" width="20.7109375" style="1" customWidth="1"/>
    <col min="5635" max="5635" width="24.7109375" style="1" customWidth="1"/>
    <col min="5636" max="5636" width="11.140625" style="1" customWidth="1"/>
    <col min="5637" max="5637" width="12.28515625" style="1" customWidth="1"/>
    <col min="5638" max="5638" width="11.140625" style="1" customWidth="1"/>
    <col min="5639" max="5639" width="10.42578125" style="1" customWidth="1"/>
    <col min="5640" max="5640" width="4.7109375" style="1" customWidth="1"/>
    <col min="5641" max="5641" width="8.5703125" style="1" customWidth="1"/>
    <col min="5642" max="5642" width="5.5703125" style="1" customWidth="1"/>
    <col min="5643" max="5644" width="11.5703125" style="1" customWidth="1"/>
    <col min="5645" max="5645" width="10.85546875" style="1" customWidth="1"/>
    <col min="5646" max="5646" width="7.7109375" style="1" customWidth="1"/>
    <col min="5647" max="5647" width="8" style="1" customWidth="1"/>
    <col min="5648" max="5648" width="16.28515625" style="1" customWidth="1"/>
    <col min="5649" max="5649" width="10.5703125" style="1" customWidth="1"/>
    <col min="5650" max="5650" width="14.140625" style="1" customWidth="1"/>
    <col min="5651" max="5651" width="10.140625" style="1" customWidth="1"/>
    <col min="5652" max="5652" width="15.140625" style="1" customWidth="1"/>
    <col min="5653" max="5653" width="8.5703125" style="1" customWidth="1"/>
    <col min="5654" max="5654" width="14.28515625" style="1" customWidth="1"/>
    <col min="5655" max="5655" width="18.28515625" style="1" customWidth="1"/>
    <col min="5656" max="5656" width="13" style="1" bestFit="1" customWidth="1"/>
    <col min="5657" max="5657" width="11.7109375" style="1" bestFit="1" customWidth="1"/>
    <col min="5658" max="5664" width="9.140625" style="1"/>
    <col min="5665" max="5665" width="11.28515625" style="1" bestFit="1" customWidth="1"/>
    <col min="5666" max="5666" width="10.7109375" style="1" bestFit="1" customWidth="1"/>
    <col min="5667" max="5888" width="9.140625" style="1"/>
    <col min="5889" max="5889" width="6.42578125" style="1" customWidth="1"/>
    <col min="5890" max="5890" width="20.7109375" style="1" customWidth="1"/>
    <col min="5891" max="5891" width="24.7109375" style="1" customWidth="1"/>
    <col min="5892" max="5892" width="11.140625" style="1" customWidth="1"/>
    <col min="5893" max="5893" width="12.28515625" style="1" customWidth="1"/>
    <col min="5894" max="5894" width="11.140625" style="1" customWidth="1"/>
    <col min="5895" max="5895" width="10.42578125" style="1" customWidth="1"/>
    <col min="5896" max="5896" width="4.7109375" style="1" customWidth="1"/>
    <col min="5897" max="5897" width="8.5703125" style="1" customWidth="1"/>
    <col min="5898" max="5898" width="5.5703125" style="1" customWidth="1"/>
    <col min="5899" max="5900" width="11.5703125" style="1" customWidth="1"/>
    <col min="5901" max="5901" width="10.85546875" style="1" customWidth="1"/>
    <col min="5902" max="5902" width="7.7109375" style="1" customWidth="1"/>
    <col min="5903" max="5903" width="8" style="1" customWidth="1"/>
    <col min="5904" max="5904" width="16.28515625" style="1" customWidth="1"/>
    <col min="5905" max="5905" width="10.5703125" style="1" customWidth="1"/>
    <col min="5906" max="5906" width="14.140625" style="1" customWidth="1"/>
    <col min="5907" max="5907" width="10.140625" style="1" customWidth="1"/>
    <col min="5908" max="5908" width="15.140625" style="1" customWidth="1"/>
    <col min="5909" max="5909" width="8.5703125" style="1" customWidth="1"/>
    <col min="5910" max="5910" width="14.28515625" style="1" customWidth="1"/>
    <col min="5911" max="5911" width="18.28515625" style="1" customWidth="1"/>
    <col min="5912" max="5912" width="13" style="1" bestFit="1" customWidth="1"/>
    <col min="5913" max="5913" width="11.7109375" style="1" bestFit="1" customWidth="1"/>
    <col min="5914" max="5920" width="9.140625" style="1"/>
    <col min="5921" max="5921" width="11.28515625" style="1" bestFit="1" customWidth="1"/>
    <col min="5922" max="5922" width="10.7109375" style="1" bestFit="1" customWidth="1"/>
    <col min="5923" max="6144" width="9.140625" style="1"/>
    <col min="6145" max="6145" width="6.42578125" style="1" customWidth="1"/>
    <col min="6146" max="6146" width="20.7109375" style="1" customWidth="1"/>
    <col min="6147" max="6147" width="24.7109375" style="1" customWidth="1"/>
    <col min="6148" max="6148" width="11.140625" style="1" customWidth="1"/>
    <col min="6149" max="6149" width="12.28515625" style="1" customWidth="1"/>
    <col min="6150" max="6150" width="11.140625" style="1" customWidth="1"/>
    <col min="6151" max="6151" width="10.42578125" style="1" customWidth="1"/>
    <col min="6152" max="6152" width="4.7109375" style="1" customWidth="1"/>
    <col min="6153" max="6153" width="8.5703125" style="1" customWidth="1"/>
    <col min="6154" max="6154" width="5.5703125" style="1" customWidth="1"/>
    <col min="6155" max="6156" width="11.5703125" style="1" customWidth="1"/>
    <col min="6157" max="6157" width="10.85546875" style="1" customWidth="1"/>
    <col min="6158" max="6158" width="7.7109375" style="1" customWidth="1"/>
    <col min="6159" max="6159" width="8" style="1" customWidth="1"/>
    <col min="6160" max="6160" width="16.28515625" style="1" customWidth="1"/>
    <col min="6161" max="6161" width="10.5703125" style="1" customWidth="1"/>
    <col min="6162" max="6162" width="14.140625" style="1" customWidth="1"/>
    <col min="6163" max="6163" width="10.140625" style="1" customWidth="1"/>
    <col min="6164" max="6164" width="15.140625" style="1" customWidth="1"/>
    <col min="6165" max="6165" width="8.5703125" style="1" customWidth="1"/>
    <col min="6166" max="6166" width="14.28515625" style="1" customWidth="1"/>
    <col min="6167" max="6167" width="18.28515625" style="1" customWidth="1"/>
    <col min="6168" max="6168" width="13" style="1" bestFit="1" customWidth="1"/>
    <col min="6169" max="6169" width="11.7109375" style="1" bestFit="1" customWidth="1"/>
    <col min="6170" max="6176" width="9.140625" style="1"/>
    <col min="6177" max="6177" width="11.28515625" style="1" bestFit="1" customWidth="1"/>
    <col min="6178" max="6178" width="10.7109375" style="1" bestFit="1" customWidth="1"/>
    <col min="6179" max="6400" width="9.140625" style="1"/>
    <col min="6401" max="6401" width="6.42578125" style="1" customWidth="1"/>
    <col min="6402" max="6402" width="20.7109375" style="1" customWidth="1"/>
    <col min="6403" max="6403" width="24.7109375" style="1" customWidth="1"/>
    <col min="6404" max="6404" width="11.140625" style="1" customWidth="1"/>
    <col min="6405" max="6405" width="12.28515625" style="1" customWidth="1"/>
    <col min="6406" max="6406" width="11.140625" style="1" customWidth="1"/>
    <col min="6407" max="6407" width="10.42578125" style="1" customWidth="1"/>
    <col min="6408" max="6408" width="4.7109375" style="1" customWidth="1"/>
    <col min="6409" max="6409" width="8.5703125" style="1" customWidth="1"/>
    <col min="6410" max="6410" width="5.5703125" style="1" customWidth="1"/>
    <col min="6411" max="6412" width="11.5703125" style="1" customWidth="1"/>
    <col min="6413" max="6413" width="10.85546875" style="1" customWidth="1"/>
    <col min="6414" max="6414" width="7.7109375" style="1" customWidth="1"/>
    <col min="6415" max="6415" width="8" style="1" customWidth="1"/>
    <col min="6416" max="6416" width="16.28515625" style="1" customWidth="1"/>
    <col min="6417" max="6417" width="10.5703125" style="1" customWidth="1"/>
    <col min="6418" max="6418" width="14.140625" style="1" customWidth="1"/>
    <col min="6419" max="6419" width="10.140625" style="1" customWidth="1"/>
    <col min="6420" max="6420" width="15.140625" style="1" customWidth="1"/>
    <col min="6421" max="6421" width="8.5703125" style="1" customWidth="1"/>
    <col min="6422" max="6422" width="14.28515625" style="1" customWidth="1"/>
    <col min="6423" max="6423" width="18.28515625" style="1" customWidth="1"/>
    <col min="6424" max="6424" width="13" style="1" bestFit="1" customWidth="1"/>
    <col min="6425" max="6425" width="11.7109375" style="1" bestFit="1" customWidth="1"/>
    <col min="6426" max="6432" width="9.140625" style="1"/>
    <col min="6433" max="6433" width="11.28515625" style="1" bestFit="1" customWidth="1"/>
    <col min="6434" max="6434" width="10.7109375" style="1" bestFit="1" customWidth="1"/>
    <col min="6435" max="6656" width="9.140625" style="1"/>
    <col min="6657" max="6657" width="6.42578125" style="1" customWidth="1"/>
    <col min="6658" max="6658" width="20.7109375" style="1" customWidth="1"/>
    <col min="6659" max="6659" width="24.7109375" style="1" customWidth="1"/>
    <col min="6660" max="6660" width="11.140625" style="1" customWidth="1"/>
    <col min="6661" max="6661" width="12.28515625" style="1" customWidth="1"/>
    <col min="6662" max="6662" width="11.140625" style="1" customWidth="1"/>
    <col min="6663" max="6663" width="10.42578125" style="1" customWidth="1"/>
    <col min="6664" max="6664" width="4.7109375" style="1" customWidth="1"/>
    <col min="6665" max="6665" width="8.5703125" style="1" customWidth="1"/>
    <col min="6666" max="6666" width="5.5703125" style="1" customWidth="1"/>
    <col min="6667" max="6668" width="11.5703125" style="1" customWidth="1"/>
    <col min="6669" max="6669" width="10.85546875" style="1" customWidth="1"/>
    <col min="6670" max="6670" width="7.7109375" style="1" customWidth="1"/>
    <col min="6671" max="6671" width="8" style="1" customWidth="1"/>
    <col min="6672" max="6672" width="16.28515625" style="1" customWidth="1"/>
    <col min="6673" max="6673" width="10.5703125" style="1" customWidth="1"/>
    <col min="6674" max="6674" width="14.140625" style="1" customWidth="1"/>
    <col min="6675" max="6675" width="10.140625" style="1" customWidth="1"/>
    <col min="6676" max="6676" width="15.140625" style="1" customWidth="1"/>
    <col min="6677" max="6677" width="8.5703125" style="1" customWidth="1"/>
    <col min="6678" max="6678" width="14.28515625" style="1" customWidth="1"/>
    <col min="6679" max="6679" width="18.28515625" style="1" customWidth="1"/>
    <col min="6680" max="6680" width="13" style="1" bestFit="1" customWidth="1"/>
    <col min="6681" max="6681" width="11.7109375" style="1" bestFit="1" customWidth="1"/>
    <col min="6682" max="6688" width="9.140625" style="1"/>
    <col min="6689" max="6689" width="11.28515625" style="1" bestFit="1" customWidth="1"/>
    <col min="6690" max="6690" width="10.7109375" style="1" bestFit="1" customWidth="1"/>
    <col min="6691" max="6912" width="9.140625" style="1"/>
    <col min="6913" max="6913" width="6.42578125" style="1" customWidth="1"/>
    <col min="6914" max="6914" width="20.7109375" style="1" customWidth="1"/>
    <col min="6915" max="6915" width="24.7109375" style="1" customWidth="1"/>
    <col min="6916" max="6916" width="11.140625" style="1" customWidth="1"/>
    <col min="6917" max="6917" width="12.28515625" style="1" customWidth="1"/>
    <col min="6918" max="6918" width="11.140625" style="1" customWidth="1"/>
    <col min="6919" max="6919" width="10.42578125" style="1" customWidth="1"/>
    <col min="6920" max="6920" width="4.7109375" style="1" customWidth="1"/>
    <col min="6921" max="6921" width="8.5703125" style="1" customWidth="1"/>
    <col min="6922" max="6922" width="5.5703125" style="1" customWidth="1"/>
    <col min="6923" max="6924" width="11.5703125" style="1" customWidth="1"/>
    <col min="6925" max="6925" width="10.85546875" style="1" customWidth="1"/>
    <col min="6926" max="6926" width="7.7109375" style="1" customWidth="1"/>
    <col min="6927" max="6927" width="8" style="1" customWidth="1"/>
    <col min="6928" max="6928" width="16.28515625" style="1" customWidth="1"/>
    <col min="6929" max="6929" width="10.5703125" style="1" customWidth="1"/>
    <col min="6930" max="6930" width="14.140625" style="1" customWidth="1"/>
    <col min="6931" max="6931" width="10.140625" style="1" customWidth="1"/>
    <col min="6932" max="6932" width="15.140625" style="1" customWidth="1"/>
    <col min="6933" max="6933" width="8.5703125" style="1" customWidth="1"/>
    <col min="6934" max="6934" width="14.28515625" style="1" customWidth="1"/>
    <col min="6935" max="6935" width="18.28515625" style="1" customWidth="1"/>
    <col min="6936" max="6936" width="13" style="1" bestFit="1" customWidth="1"/>
    <col min="6937" max="6937" width="11.7109375" style="1" bestFit="1" customWidth="1"/>
    <col min="6938" max="6944" width="9.140625" style="1"/>
    <col min="6945" max="6945" width="11.28515625" style="1" bestFit="1" customWidth="1"/>
    <col min="6946" max="6946" width="10.7109375" style="1" bestFit="1" customWidth="1"/>
    <col min="6947" max="7168" width="9.140625" style="1"/>
    <col min="7169" max="7169" width="6.42578125" style="1" customWidth="1"/>
    <col min="7170" max="7170" width="20.7109375" style="1" customWidth="1"/>
    <col min="7171" max="7171" width="24.7109375" style="1" customWidth="1"/>
    <col min="7172" max="7172" width="11.140625" style="1" customWidth="1"/>
    <col min="7173" max="7173" width="12.28515625" style="1" customWidth="1"/>
    <col min="7174" max="7174" width="11.140625" style="1" customWidth="1"/>
    <col min="7175" max="7175" width="10.42578125" style="1" customWidth="1"/>
    <col min="7176" max="7176" width="4.7109375" style="1" customWidth="1"/>
    <col min="7177" max="7177" width="8.5703125" style="1" customWidth="1"/>
    <col min="7178" max="7178" width="5.5703125" style="1" customWidth="1"/>
    <col min="7179" max="7180" width="11.5703125" style="1" customWidth="1"/>
    <col min="7181" max="7181" width="10.85546875" style="1" customWidth="1"/>
    <col min="7182" max="7182" width="7.7109375" style="1" customWidth="1"/>
    <col min="7183" max="7183" width="8" style="1" customWidth="1"/>
    <col min="7184" max="7184" width="16.28515625" style="1" customWidth="1"/>
    <col min="7185" max="7185" width="10.5703125" style="1" customWidth="1"/>
    <col min="7186" max="7186" width="14.140625" style="1" customWidth="1"/>
    <col min="7187" max="7187" width="10.140625" style="1" customWidth="1"/>
    <col min="7188" max="7188" width="15.140625" style="1" customWidth="1"/>
    <col min="7189" max="7189" width="8.5703125" style="1" customWidth="1"/>
    <col min="7190" max="7190" width="14.28515625" style="1" customWidth="1"/>
    <col min="7191" max="7191" width="18.28515625" style="1" customWidth="1"/>
    <col min="7192" max="7192" width="13" style="1" bestFit="1" customWidth="1"/>
    <col min="7193" max="7193" width="11.7109375" style="1" bestFit="1" customWidth="1"/>
    <col min="7194" max="7200" width="9.140625" style="1"/>
    <col min="7201" max="7201" width="11.28515625" style="1" bestFit="1" customWidth="1"/>
    <col min="7202" max="7202" width="10.7109375" style="1" bestFit="1" customWidth="1"/>
    <col min="7203" max="7424" width="9.140625" style="1"/>
    <col min="7425" max="7425" width="6.42578125" style="1" customWidth="1"/>
    <col min="7426" max="7426" width="20.7109375" style="1" customWidth="1"/>
    <col min="7427" max="7427" width="24.7109375" style="1" customWidth="1"/>
    <col min="7428" max="7428" width="11.140625" style="1" customWidth="1"/>
    <col min="7429" max="7429" width="12.28515625" style="1" customWidth="1"/>
    <col min="7430" max="7430" width="11.140625" style="1" customWidth="1"/>
    <col min="7431" max="7431" width="10.42578125" style="1" customWidth="1"/>
    <col min="7432" max="7432" width="4.7109375" style="1" customWidth="1"/>
    <col min="7433" max="7433" width="8.5703125" style="1" customWidth="1"/>
    <col min="7434" max="7434" width="5.5703125" style="1" customWidth="1"/>
    <col min="7435" max="7436" width="11.5703125" style="1" customWidth="1"/>
    <col min="7437" max="7437" width="10.85546875" style="1" customWidth="1"/>
    <col min="7438" max="7438" width="7.7109375" style="1" customWidth="1"/>
    <col min="7439" max="7439" width="8" style="1" customWidth="1"/>
    <col min="7440" max="7440" width="16.28515625" style="1" customWidth="1"/>
    <col min="7441" max="7441" width="10.5703125" style="1" customWidth="1"/>
    <col min="7442" max="7442" width="14.140625" style="1" customWidth="1"/>
    <col min="7443" max="7443" width="10.140625" style="1" customWidth="1"/>
    <col min="7444" max="7444" width="15.140625" style="1" customWidth="1"/>
    <col min="7445" max="7445" width="8.5703125" style="1" customWidth="1"/>
    <col min="7446" max="7446" width="14.28515625" style="1" customWidth="1"/>
    <col min="7447" max="7447" width="18.28515625" style="1" customWidth="1"/>
    <col min="7448" max="7448" width="13" style="1" bestFit="1" customWidth="1"/>
    <col min="7449" max="7449" width="11.7109375" style="1" bestFit="1" customWidth="1"/>
    <col min="7450" max="7456" width="9.140625" style="1"/>
    <col min="7457" max="7457" width="11.28515625" style="1" bestFit="1" customWidth="1"/>
    <col min="7458" max="7458" width="10.7109375" style="1" bestFit="1" customWidth="1"/>
    <col min="7459" max="7680" width="9.140625" style="1"/>
    <col min="7681" max="7681" width="6.42578125" style="1" customWidth="1"/>
    <col min="7682" max="7682" width="20.7109375" style="1" customWidth="1"/>
    <col min="7683" max="7683" width="24.7109375" style="1" customWidth="1"/>
    <col min="7684" max="7684" width="11.140625" style="1" customWidth="1"/>
    <col min="7685" max="7685" width="12.28515625" style="1" customWidth="1"/>
    <col min="7686" max="7686" width="11.140625" style="1" customWidth="1"/>
    <col min="7687" max="7687" width="10.42578125" style="1" customWidth="1"/>
    <col min="7688" max="7688" width="4.7109375" style="1" customWidth="1"/>
    <col min="7689" max="7689" width="8.5703125" style="1" customWidth="1"/>
    <col min="7690" max="7690" width="5.5703125" style="1" customWidth="1"/>
    <col min="7691" max="7692" width="11.5703125" style="1" customWidth="1"/>
    <col min="7693" max="7693" width="10.85546875" style="1" customWidth="1"/>
    <col min="7694" max="7694" width="7.7109375" style="1" customWidth="1"/>
    <col min="7695" max="7695" width="8" style="1" customWidth="1"/>
    <col min="7696" max="7696" width="16.28515625" style="1" customWidth="1"/>
    <col min="7697" max="7697" width="10.5703125" style="1" customWidth="1"/>
    <col min="7698" max="7698" width="14.140625" style="1" customWidth="1"/>
    <col min="7699" max="7699" width="10.140625" style="1" customWidth="1"/>
    <col min="7700" max="7700" width="15.140625" style="1" customWidth="1"/>
    <col min="7701" max="7701" width="8.5703125" style="1" customWidth="1"/>
    <col min="7702" max="7702" width="14.28515625" style="1" customWidth="1"/>
    <col min="7703" max="7703" width="18.28515625" style="1" customWidth="1"/>
    <col min="7704" max="7704" width="13" style="1" bestFit="1" customWidth="1"/>
    <col min="7705" max="7705" width="11.7109375" style="1" bestFit="1" customWidth="1"/>
    <col min="7706" max="7712" width="9.140625" style="1"/>
    <col min="7713" max="7713" width="11.28515625" style="1" bestFit="1" customWidth="1"/>
    <col min="7714" max="7714" width="10.7109375" style="1" bestFit="1" customWidth="1"/>
    <col min="7715" max="7936" width="9.140625" style="1"/>
    <col min="7937" max="7937" width="6.42578125" style="1" customWidth="1"/>
    <col min="7938" max="7938" width="20.7109375" style="1" customWidth="1"/>
    <col min="7939" max="7939" width="24.7109375" style="1" customWidth="1"/>
    <col min="7940" max="7940" width="11.140625" style="1" customWidth="1"/>
    <col min="7941" max="7941" width="12.28515625" style="1" customWidth="1"/>
    <col min="7942" max="7942" width="11.140625" style="1" customWidth="1"/>
    <col min="7943" max="7943" width="10.42578125" style="1" customWidth="1"/>
    <col min="7944" max="7944" width="4.7109375" style="1" customWidth="1"/>
    <col min="7945" max="7945" width="8.5703125" style="1" customWidth="1"/>
    <col min="7946" max="7946" width="5.5703125" style="1" customWidth="1"/>
    <col min="7947" max="7948" width="11.5703125" style="1" customWidth="1"/>
    <col min="7949" max="7949" width="10.85546875" style="1" customWidth="1"/>
    <col min="7950" max="7950" width="7.7109375" style="1" customWidth="1"/>
    <col min="7951" max="7951" width="8" style="1" customWidth="1"/>
    <col min="7952" max="7952" width="16.28515625" style="1" customWidth="1"/>
    <col min="7953" max="7953" width="10.5703125" style="1" customWidth="1"/>
    <col min="7954" max="7954" width="14.140625" style="1" customWidth="1"/>
    <col min="7955" max="7955" width="10.140625" style="1" customWidth="1"/>
    <col min="7956" max="7956" width="15.140625" style="1" customWidth="1"/>
    <col min="7957" max="7957" width="8.5703125" style="1" customWidth="1"/>
    <col min="7958" max="7958" width="14.28515625" style="1" customWidth="1"/>
    <col min="7959" max="7959" width="18.28515625" style="1" customWidth="1"/>
    <col min="7960" max="7960" width="13" style="1" bestFit="1" customWidth="1"/>
    <col min="7961" max="7961" width="11.7109375" style="1" bestFit="1" customWidth="1"/>
    <col min="7962" max="7968" width="9.140625" style="1"/>
    <col min="7969" max="7969" width="11.28515625" style="1" bestFit="1" customWidth="1"/>
    <col min="7970" max="7970" width="10.7109375" style="1" bestFit="1" customWidth="1"/>
    <col min="7971" max="8192" width="9.140625" style="1"/>
    <col min="8193" max="8193" width="6.42578125" style="1" customWidth="1"/>
    <col min="8194" max="8194" width="20.7109375" style="1" customWidth="1"/>
    <col min="8195" max="8195" width="24.7109375" style="1" customWidth="1"/>
    <col min="8196" max="8196" width="11.140625" style="1" customWidth="1"/>
    <col min="8197" max="8197" width="12.28515625" style="1" customWidth="1"/>
    <col min="8198" max="8198" width="11.140625" style="1" customWidth="1"/>
    <col min="8199" max="8199" width="10.42578125" style="1" customWidth="1"/>
    <col min="8200" max="8200" width="4.7109375" style="1" customWidth="1"/>
    <col min="8201" max="8201" width="8.5703125" style="1" customWidth="1"/>
    <col min="8202" max="8202" width="5.5703125" style="1" customWidth="1"/>
    <col min="8203" max="8204" width="11.5703125" style="1" customWidth="1"/>
    <col min="8205" max="8205" width="10.85546875" style="1" customWidth="1"/>
    <col min="8206" max="8206" width="7.7109375" style="1" customWidth="1"/>
    <col min="8207" max="8207" width="8" style="1" customWidth="1"/>
    <col min="8208" max="8208" width="16.28515625" style="1" customWidth="1"/>
    <col min="8209" max="8209" width="10.5703125" style="1" customWidth="1"/>
    <col min="8210" max="8210" width="14.140625" style="1" customWidth="1"/>
    <col min="8211" max="8211" width="10.140625" style="1" customWidth="1"/>
    <col min="8212" max="8212" width="15.140625" style="1" customWidth="1"/>
    <col min="8213" max="8213" width="8.5703125" style="1" customWidth="1"/>
    <col min="8214" max="8214" width="14.28515625" style="1" customWidth="1"/>
    <col min="8215" max="8215" width="18.28515625" style="1" customWidth="1"/>
    <col min="8216" max="8216" width="13" style="1" bestFit="1" customWidth="1"/>
    <col min="8217" max="8217" width="11.7109375" style="1" bestFit="1" customWidth="1"/>
    <col min="8218" max="8224" width="9.140625" style="1"/>
    <col min="8225" max="8225" width="11.28515625" style="1" bestFit="1" customWidth="1"/>
    <col min="8226" max="8226" width="10.7109375" style="1" bestFit="1" customWidth="1"/>
    <col min="8227" max="8448" width="9.140625" style="1"/>
    <col min="8449" max="8449" width="6.42578125" style="1" customWidth="1"/>
    <col min="8450" max="8450" width="20.7109375" style="1" customWidth="1"/>
    <col min="8451" max="8451" width="24.7109375" style="1" customWidth="1"/>
    <col min="8452" max="8452" width="11.140625" style="1" customWidth="1"/>
    <col min="8453" max="8453" width="12.28515625" style="1" customWidth="1"/>
    <col min="8454" max="8454" width="11.140625" style="1" customWidth="1"/>
    <col min="8455" max="8455" width="10.42578125" style="1" customWidth="1"/>
    <col min="8456" max="8456" width="4.7109375" style="1" customWidth="1"/>
    <col min="8457" max="8457" width="8.5703125" style="1" customWidth="1"/>
    <col min="8458" max="8458" width="5.5703125" style="1" customWidth="1"/>
    <col min="8459" max="8460" width="11.5703125" style="1" customWidth="1"/>
    <col min="8461" max="8461" width="10.85546875" style="1" customWidth="1"/>
    <col min="8462" max="8462" width="7.7109375" style="1" customWidth="1"/>
    <col min="8463" max="8463" width="8" style="1" customWidth="1"/>
    <col min="8464" max="8464" width="16.28515625" style="1" customWidth="1"/>
    <col min="8465" max="8465" width="10.5703125" style="1" customWidth="1"/>
    <col min="8466" max="8466" width="14.140625" style="1" customWidth="1"/>
    <col min="8467" max="8467" width="10.140625" style="1" customWidth="1"/>
    <col min="8468" max="8468" width="15.140625" style="1" customWidth="1"/>
    <col min="8469" max="8469" width="8.5703125" style="1" customWidth="1"/>
    <col min="8470" max="8470" width="14.28515625" style="1" customWidth="1"/>
    <col min="8471" max="8471" width="18.28515625" style="1" customWidth="1"/>
    <col min="8472" max="8472" width="13" style="1" bestFit="1" customWidth="1"/>
    <col min="8473" max="8473" width="11.7109375" style="1" bestFit="1" customWidth="1"/>
    <col min="8474" max="8480" width="9.140625" style="1"/>
    <col min="8481" max="8481" width="11.28515625" style="1" bestFit="1" customWidth="1"/>
    <col min="8482" max="8482" width="10.7109375" style="1" bestFit="1" customWidth="1"/>
    <col min="8483" max="8704" width="9.140625" style="1"/>
    <col min="8705" max="8705" width="6.42578125" style="1" customWidth="1"/>
    <col min="8706" max="8706" width="20.7109375" style="1" customWidth="1"/>
    <col min="8707" max="8707" width="24.7109375" style="1" customWidth="1"/>
    <col min="8708" max="8708" width="11.140625" style="1" customWidth="1"/>
    <col min="8709" max="8709" width="12.28515625" style="1" customWidth="1"/>
    <col min="8710" max="8710" width="11.140625" style="1" customWidth="1"/>
    <col min="8711" max="8711" width="10.42578125" style="1" customWidth="1"/>
    <col min="8712" max="8712" width="4.7109375" style="1" customWidth="1"/>
    <col min="8713" max="8713" width="8.5703125" style="1" customWidth="1"/>
    <col min="8714" max="8714" width="5.5703125" style="1" customWidth="1"/>
    <col min="8715" max="8716" width="11.5703125" style="1" customWidth="1"/>
    <col min="8717" max="8717" width="10.85546875" style="1" customWidth="1"/>
    <col min="8718" max="8718" width="7.7109375" style="1" customWidth="1"/>
    <col min="8719" max="8719" width="8" style="1" customWidth="1"/>
    <col min="8720" max="8720" width="16.28515625" style="1" customWidth="1"/>
    <col min="8721" max="8721" width="10.5703125" style="1" customWidth="1"/>
    <col min="8722" max="8722" width="14.140625" style="1" customWidth="1"/>
    <col min="8723" max="8723" width="10.140625" style="1" customWidth="1"/>
    <col min="8724" max="8724" width="15.140625" style="1" customWidth="1"/>
    <col min="8725" max="8725" width="8.5703125" style="1" customWidth="1"/>
    <col min="8726" max="8726" width="14.28515625" style="1" customWidth="1"/>
    <col min="8727" max="8727" width="18.28515625" style="1" customWidth="1"/>
    <col min="8728" max="8728" width="13" style="1" bestFit="1" customWidth="1"/>
    <col min="8729" max="8729" width="11.7109375" style="1" bestFit="1" customWidth="1"/>
    <col min="8730" max="8736" width="9.140625" style="1"/>
    <col min="8737" max="8737" width="11.28515625" style="1" bestFit="1" customWidth="1"/>
    <col min="8738" max="8738" width="10.7109375" style="1" bestFit="1" customWidth="1"/>
    <col min="8739" max="8960" width="9.140625" style="1"/>
    <col min="8961" max="8961" width="6.42578125" style="1" customWidth="1"/>
    <col min="8962" max="8962" width="20.7109375" style="1" customWidth="1"/>
    <col min="8963" max="8963" width="24.7109375" style="1" customWidth="1"/>
    <col min="8964" max="8964" width="11.140625" style="1" customWidth="1"/>
    <col min="8965" max="8965" width="12.28515625" style="1" customWidth="1"/>
    <col min="8966" max="8966" width="11.140625" style="1" customWidth="1"/>
    <col min="8967" max="8967" width="10.42578125" style="1" customWidth="1"/>
    <col min="8968" max="8968" width="4.7109375" style="1" customWidth="1"/>
    <col min="8969" max="8969" width="8.5703125" style="1" customWidth="1"/>
    <col min="8970" max="8970" width="5.5703125" style="1" customWidth="1"/>
    <col min="8971" max="8972" width="11.5703125" style="1" customWidth="1"/>
    <col min="8973" max="8973" width="10.85546875" style="1" customWidth="1"/>
    <col min="8974" max="8974" width="7.7109375" style="1" customWidth="1"/>
    <col min="8975" max="8975" width="8" style="1" customWidth="1"/>
    <col min="8976" max="8976" width="16.28515625" style="1" customWidth="1"/>
    <col min="8977" max="8977" width="10.5703125" style="1" customWidth="1"/>
    <col min="8978" max="8978" width="14.140625" style="1" customWidth="1"/>
    <col min="8979" max="8979" width="10.140625" style="1" customWidth="1"/>
    <col min="8980" max="8980" width="15.140625" style="1" customWidth="1"/>
    <col min="8981" max="8981" width="8.5703125" style="1" customWidth="1"/>
    <col min="8982" max="8982" width="14.28515625" style="1" customWidth="1"/>
    <col min="8983" max="8983" width="18.28515625" style="1" customWidth="1"/>
    <col min="8984" max="8984" width="13" style="1" bestFit="1" customWidth="1"/>
    <col min="8985" max="8985" width="11.7109375" style="1" bestFit="1" customWidth="1"/>
    <col min="8986" max="8992" width="9.140625" style="1"/>
    <col min="8993" max="8993" width="11.28515625" style="1" bestFit="1" customWidth="1"/>
    <col min="8994" max="8994" width="10.7109375" style="1" bestFit="1" customWidth="1"/>
    <col min="8995" max="9216" width="9.140625" style="1"/>
    <col min="9217" max="9217" width="6.42578125" style="1" customWidth="1"/>
    <col min="9218" max="9218" width="20.7109375" style="1" customWidth="1"/>
    <col min="9219" max="9219" width="24.7109375" style="1" customWidth="1"/>
    <col min="9220" max="9220" width="11.140625" style="1" customWidth="1"/>
    <col min="9221" max="9221" width="12.28515625" style="1" customWidth="1"/>
    <col min="9222" max="9222" width="11.140625" style="1" customWidth="1"/>
    <col min="9223" max="9223" width="10.42578125" style="1" customWidth="1"/>
    <col min="9224" max="9224" width="4.7109375" style="1" customWidth="1"/>
    <col min="9225" max="9225" width="8.5703125" style="1" customWidth="1"/>
    <col min="9226" max="9226" width="5.5703125" style="1" customWidth="1"/>
    <col min="9227" max="9228" width="11.5703125" style="1" customWidth="1"/>
    <col min="9229" max="9229" width="10.85546875" style="1" customWidth="1"/>
    <col min="9230" max="9230" width="7.7109375" style="1" customWidth="1"/>
    <col min="9231" max="9231" width="8" style="1" customWidth="1"/>
    <col min="9232" max="9232" width="16.28515625" style="1" customWidth="1"/>
    <col min="9233" max="9233" width="10.5703125" style="1" customWidth="1"/>
    <col min="9234" max="9234" width="14.140625" style="1" customWidth="1"/>
    <col min="9235" max="9235" width="10.140625" style="1" customWidth="1"/>
    <col min="9236" max="9236" width="15.140625" style="1" customWidth="1"/>
    <col min="9237" max="9237" width="8.5703125" style="1" customWidth="1"/>
    <col min="9238" max="9238" width="14.28515625" style="1" customWidth="1"/>
    <col min="9239" max="9239" width="18.28515625" style="1" customWidth="1"/>
    <col min="9240" max="9240" width="13" style="1" bestFit="1" customWidth="1"/>
    <col min="9241" max="9241" width="11.7109375" style="1" bestFit="1" customWidth="1"/>
    <col min="9242" max="9248" width="9.140625" style="1"/>
    <col min="9249" max="9249" width="11.28515625" style="1" bestFit="1" customWidth="1"/>
    <col min="9250" max="9250" width="10.7109375" style="1" bestFit="1" customWidth="1"/>
    <col min="9251" max="9472" width="9.140625" style="1"/>
    <col min="9473" max="9473" width="6.42578125" style="1" customWidth="1"/>
    <col min="9474" max="9474" width="20.7109375" style="1" customWidth="1"/>
    <col min="9475" max="9475" width="24.7109375" style="1" customWidth="1"/>
    <col min="9476" max="9476" width="11.140625" style="1" customWidth="1"/>
    <col min="9477" max="9477" width="12.28515625" style="1" customWidth="1"/>
    <col min="9478" max="9478" width="11.140625" style="1" customWidth="1"/>
    <col min="9479" max="9479" width="10.42578125" style="1" customWidth="1"/>
    <col min="9480" max="9480" width="4.7109375" style="1" customWidth="1"/>
    <col min="9481" max="9481" width="8.5703125" style="1" customWidth="1"/>
    <col min="9482" max="9482" width="5.5703125" style="1" customWidth="1"/>
    <col min="9483" max="9484" width="11.5703125" style="1" customWidth="1"/>
    <col min="9485" max="9485" width="10.85546875" style="1" customWidth="1"/>
    <col min="9486" max="9486" width="7.7109375" style="1" customWidth="1"/>
    <col min="9487" max="9487" width="8" style="1" customWidth="1"/>
    <col min="9488" max="9488" width="16.28515625" style="1" customWidth="1"/>
    <col min="9489" max="9489" width="10.5703125" style="1" customWidth="1"/>
    <col min="9490" max="9490" width="14.140625" style="1" customWidth="1"/>
    <col min="9491" max="9491" width="10.140625" style="1" customWidth="1"/>
    <col min="9492" max="9492" width="15.140625" style="1" customWidth="1"/>
    <col min="9493" max="9493" width="8.5703125" style="1" customWidth="1"/>
    <col min="9494" max="9494" width="14.28515625" style="1" customWidth="1"/>
    <col min="9495" max="9495" width="18.28515625" style="1" customWidth="1"/>
    <col min="9496" max="9496" width="13" style="1" bestFit="1" customWidth="1"/>
    <col min="9497" max="9497" width="11.7109375" style="1" bestFit="1" customWidth="1"/>
    <col min="9498" max="9504" width="9.140625" style="1"/>
    <col min="9505" max="9505" width="11.28515625" style="1" bestFit="1" customWidth="1"/>
    <col min="9506" max="9506" width="10.7109375" style="1" bestFit="1" customWidth="1"/>
    <col min="9507" max="9728" width="9.140625" style="1"/>
    <col min="9729" max="9729" width="6.42578125" style="1" customWidth="1"/>
    <col min="9730" max="9730" width="20.7109375" style="1" customWidth="1"/>
    <col min="9731" max="9731" width="24.7109375" style="1" customWidth="1"/>
    <col min="9732" max="9732" width="11.140625" style="1" customWidth="1"/>
    <col min="9733" max="9733" width="12.28515625" style="1" customWidth="1"/>
    <col min="9734" max="9734" width="11.140625" style="1" customWidth="1"/>
    <col min="9735" max="9735" width="10.42578125" style="1" customWidth="1"/>
    <col min="9736" max="9736" width="4.7109375" style="1" customWidth="1"/>
    <col min="9737" max="9737" width="8.5703125" style="1" customWidth="1"/>
    <col min="9738" max="9738" width="5.5703125" style="1" customWidth="1"/>
    <col min="9739" max="9740" width="11.5703125" style="1" customWidth="1"/>
    <col min="9741" max="9741" width="10.85546875" style="1" customWidth="1"/>
    <col min="9742" max="9742" width="7.7109375" style="1" customWidth="1"/>
    <col min="9743" max="9743" width="8" style="1" customWidth="1"/>
    <col min="9744" max="9744" width="16.28515625" style="1" customWidth="1"/>
    <col min="9745" max="9745" width="10.5703125" style="1" customWidth="1"/>
    <col min="9746" max="9746" width="14.140625" style="1" customWidth="1"/>
    <col min="9747" max="9747" width="10.140625" style="1" customWidth="1"/>
    <col min="9748" max="9748" width="15.140625" style="1" customWidth="1"/>
    <col min="9749" max="9749" width="8.5703125" style="1" customWidth="1"/>
    <col min="9750" max="9750" width="14.28515625" style="1" customWidth="1"/>
    <col min="9751" max="9751" width="18.28515625" style="1" customWidth="1"/>
    <col min="9752" max="9752" width="13" style="1" bestFit="1" customWidth="1"/>
    <col min="9753" max="9753" width="11.7109375" style="1" bestFit="1" customWidth="1"/>
    <col min="9754" max="9760" width="9.140625" style="1"/>
    <col min="9761" max="9761" width="11.28515625" style="1" bestFit="1" customWidth="1"/>
    <col min="9762" max="9762" width="10.7109375" style="1" bestFit="1" customWidth="1"/>
    <col min="9763" max="9984" width="9.140625" style="1"/>
    <col min="9985" max="9985" width="6.42578125" style="1" customWidth="1"/>
    <col min="9986" max="9986" width="20.7109375" style="1" customWidth="1"/>
    <col min="9987" max="9987" width="24.7109375" style="1" customWidth="1"/>
    <col min="9988" max="9988" width="11.140625" style="1" customWidth="1"/>
    <col min="9989" max="9989" width="12.28515625" style="1" customWidth="1"/>
    <col min="9990" max="9990" width="11.140625" style="1" customWidth="1"/>
    <col min="9991" max="9991" width="10.42578125" style="1" customWidth="1"/>
    <col min="9992" max="9992" width="4.7109375" style="1" customWidth="1"/>
    <col min="9993" max="9993" width="8.5703125" style="1" customWidth="1"/>
    <col min="9994" max="9994" width="5.5703125" style="1" customWidth="1"/>
    <col min="9995" max="9996" width="11.5703125" style="1" customWidth="1"/>
    <col min="9997" max="9997" width="10.85546875" style="1" customWidth="1"/>
    <col min="9998" max="9998" width="7.7109375" style="1" customWidth="1"/>
    <col min="9999" max="9999" width="8" style="1" customWidth="1"/>
    <col min="10000" max="10000" width="16.28515625" style="1" customWidth="1"/>
    <col min="10001" max="10001" width="10.5703125" style="1" customWidth="1"/>
    <col min="10002" max="10002" width="14.140625" style="1" customWidth="1"/>
    <col min="10003" max="10003" width="10.140625" style="1" customWidth="1"/>
    <col min="10004" max="10004" width="15.140625" style="1" customWidth="1"/>
    <col min="10005" max="10005" width="8.5703125" style="1" customWidth="1"/>
    <col min="10006" max="10006" width="14.28515625" style="1" customWidth="1"/>
    <col min="10007" max="10007" width="18.28515625" style="1" customWidth="1"/>
    <col min="10008" max="10008" width="13" style="1" bestFit="1" customWidth="1"/>
    <col min="10009" max="10009" width="11.7109375" style="1" bestFit="1" customWidth="1"/>
    <col min="10010" max="10016" width="9.140625" style="1"/>
    <col min="10017" max="10017" width="11.28515625" style="1" bestFit="1" customWidth="1"/>
    <col min="10018" max="10018" width="10.7109375" style="1" bestFit="1" customWidth="1"/>
    <col min="10019" max="10240" width="9.140625" style="1"/>
    <col min="10241" max="10241" width="6.42578125" style="1" customWidth="1"/>
    <col min="10242" max="10242" width="20.7109375" style="1" customWidth="1"/>
    <col min="10243" max="10243" width="24.7109375" style="1" customWidth="1"/>
    <col min="10244" max="10244" width="11.140625" style="1" customWidth="1"/>
    <col min="10245" max="10245" width="12.28515625" style="1" customWidth="1"/>
    <col min="10246" max="10246" width="11.140625" style="1" customWidth="1"/>
    <col min="10247" max="10247" width="10.42578125" style="1" customWidth="1"/>
    <col min="10248" max="10248" width="4.7109375" style="1" customWidth="1"/>
    <col min="10249" max="10249" width="8.5703125" style="1" customWidth="1"/>
    <col min="10250" max="10250" width="5.5703125" style="1" customWidth="1"/>
    <col min="10251" max="10252" width="11.5703125" style="1" customWidth="1"/>
    <col min="10253" max="10253" width="10.85546875" style="1" customWidth="1"/>
    <col min="10254" max="10254" width="7.7109375" style="1" customWidth="1"/>
    <col min="10255" max="10255" width="8" style="1" customWidth="1"/>
    <col min="10256" max="10256" width="16.28515625" style="1" customWidth="1"/>
    <col min="10257" max="10257" width="10.5703125" style="1" customWidth="1"/>
    <col min="10258" max="10258" width="14.140625" style="1" customWidth="1"/>
    <col min="10259" max="10259" width="10.140625" style="1" customWidth="1"/>
    <col min="10260" max="10260" width="15.140625" style="1" customWidth="1"/>
    <col min="10261" max="10261" width="8.5703125" style="1" customWidth="1"/>
    <col min="10262" max="10262" width="14.28515625" style="1" customWidth="1"/>
    <col min="10263" max="10263" width="18.28515625" style="1" customWidth="1"/>
    <col min="10264" max="10264" width="13" style="1" bestFit="1" customWidth="1"/>
    <col min="10265" max="10265" width="11.7109375" style="1" bestFit="1" customWidth="1"/>
    <col min="10266" max="10272" width="9.140625" style="1"/>
    <col min="10273" max="10273" width="11.28515625" style="1" bestFit="1" customWidth="1"/>
    <col min="10274" max="10274" width="10.7109375" style="1" bestFit="1" customWidth="1"/>
    <col min="10275" max="10496" width="9.140625" style="1"/>
    <col min="10497" max="10497" width="6.42578125" style="1" customWidth="1"/>
    <col min="10498" max="10498" width="20.7109375" style="1" customWidth="1"/>
    <col min="10499" max="10499" width="24.7109375" style="1" customWidth="1"/>
    <col min="10500" max="10500" width="11.140625" style="1" customWidth="1"/>
    <col min="10501" max="10501" width="12.28515625" style="1" customWidth="1"/>
    <col min="10502" max="10502" width="11.140625" style="1" customWidth="1"/>
    <col min="10503" max="10503" width="10.42578125" style="1" customWidth="1"/>
    <col min="10504" max="10504" width="4.7109375" style="1" customWidth="1"/>
    <col min="10505" max="10505" width="8.5703125" style="1" customWidth="1"/>
    <col min="10506" max="10506" width="5.5703125" style="1" customWidth="1"/>
    <col min="10507" max="10508" width="11.5703125" style="1" customWidth="1"/>
    <col min="10509" max="10509" width="10.85546875" style="1" customWidth="1"/>
    <col min="10510" max="10510" width="7.7109375" style="1" customWidth="1"/>
    <col min="10511" max="10511" width="8" style="1" customWidth="1"/>
    <col min="10512" max="10512" width="16.28515625" style="1" customWidth="1"/>
    <col min="10513" max="10513" width="10.5703125" style="1" customWidth="1"/>
    <col min="10514" max="10514" width="14.140625" style="1" customWidth="1"/>
    <col min="10515" max="10515" width="10.140625" style="1" customWidth="1"/>
    <col min="10516" max="10516" width="15.140625" style="1" customWidth="1"/>
    <col min="10517" max="10517" width="8.5703125" style="1" customWidth="1"/>
    <col min="10518" max="10518" width="14.28515625" style="1" customWidth="1"/>
    <col min="10519" max="10519" width="18.28515625" style="1" customWidth="1"/>
    <col min="10520" max="10520" width="13" style="1" bestFit="1" customWidth="1"/>
    <col min="10521" max="10521" width="11.7109375" style="1" bestFit="1" customWidth="1"/>
    <col min="10522" max="10528" width="9.140625" style="1"/>
    <col min="10529" max="10529" width="11.28515625" style="1" bestFit="1" customWidth="1"/>
    <col min="10530" max="10530" width="10.7109375" style="1" bestFit="1" customWidth="1"/>
    <col min="10531" max="10752" width="9.140625" style="1"/>
    <col min="10753" max="10753" width="6.42578125" style="1" customWidth="1"/>
    <col min="10754" max="10754" width="20.7109375" style="1" customWidth="1"/>
    <col min="10755" max="10755" width="24.7109375" style="1" customWidth="1"/>
    <col min="10756" max="10756" width="11.140625" style="1" customWidth="1"/>
    <col min="10757" max="10757" width="12.28515625" style="1" customWidth="1"/>
    <col min="10758" max="10758" width="11.140625" style="1" customWidth="1"/>
    <col min="10759" max="10759" width="10.42578125" style="1" customWidth="1"/>
    <col min="10760" max="10760" width="4.7109375" style="1" customWidth="1"/>
    <col min="10761" max="10761" width="8.5703125" style="1" customWidth="1"/>
    <col min="10762" max="10762" width="5.5703125" style="1" customWidth="1"/>
    <col min="10763" max="10764" width="11.5703125" style="1" customWidth="1"/>
    <col min="10765" max="10765" width="10.85546875" style="1" customWidth="1"/>
    <col min="10766" max="10766" width="7.7109375" style="1" customWidth="1"/>
    <col min="10767" max="10767" width="8" style="1" customWidth="1"/>
    <col min="10768" max="10768" width="16.28515625" style="1" customWidth="1"/>
    <col min="10769" max="10769" width="10.5703125" style="1" customWidth="1"/>
    <col min="10770" max="10770" width="14.140625" style="1" customWidth="1"/>
    <col min="10771" max="10771" width="10.140625" style="1" customWidth="1"/>
    <col min="10772" max="10772" width="15.140625" style="1" customWidth="1"/>
    <col min="10773" max="10773" width="8.5703125" style="1" customWidth="1"/>
    <col min="10774" max="10774" width="14.28515625" style="1" customWidth="1"/>
    <col min="10775" max="10775" width="18.28515625" style="1" customWidth="1"/>
    <col min="10776" max="10776" width="13" style="1" bestFit="1" customWidth="1"/>
    <col min="10777" max="10777" width="11.7109375" style="1" bestFit="1" customWidth="1"/>
    <col min="10778" max="10784" width="9.140625" style="1"/>
    <col min="10785" max="10785" width="11.28515625" style="1" bestFit="1" customWidth="1"/>
    <col min="10786" max="10786" width="10.7109375" style="1" bestFit="1" customWidth="1"/>
    <col min="10787" max="11008" width="9.140625" style="1"/>
    <col min="11009" max="11009" width="6.42578125" style="1" customWidth="1"/>
    <col min="11010" max="11010" width="20.7109375" style="1" customWidth="1"/>
    <col min="11011" max="11011" width="24.7109375" style="1" customWidth="1"/>
    <col min="11012" max="11012" width="11.140625" style="1" customWidth="1"/>
    <col min="11013" max="11013" width="12.28515625" style="1" customWidth="1"/>
    <col min="11014" max="11014" width="11.140625" style="1" customWidth="1"/>
    <col min="11015" max="11015" width="10.42578125" style="1" customWidth="1"/>
    <col min="11016" max="11016" width="4.7109375" style="1" customWidth="1"/>
    <col min="11017" max="11017" width="8.5703125" style="1" customWidth="1"/>
    <col min="11018" max="11018" width="5.5703125" style="1" customWidth="1"/>
    <col min="11019" max="11020" width="11.5703125" style="1" customWidth="1"/>
    <col min="11021" max="11021" width="10.85546875" style="1" customWidth="1"/>
    <col min="11022" max="11022" width="7.7109375" style="1" customWidth="1"/>
    <col min="11023" max="11023" width="8" style="1" customWidth="1"/>
    <col min="11024" max="11024" width="16.28515625" style="1" customWidth="1"/>
    <col min="11025" max="11025" width="10.5703125" style="1" customWidth="1"/>
    <col min="11026" max="11026" width="14.140625" style="1" customWidth="1"/>
    <col min="11027" max="11027" width="10.140625" style="1" customWidth="1"/>
    <col min="11028" max="11028" width="15.140625" style="1" customWidth="1"/>
    <col min="11029" max="11029" width="8.5703125" style="1" customWidth="1"/>
    <col min="11030" max="11030" width="14.28515625" style="1" customWidth="1"/>
    <col min="11031" max="11031" width="18.28515625" style="1" customWidth="1"/>
    <col min="11032" max="11032" width="13" style="1" bestFit="1" customWidth="1"/>
    <col min="11033" max="11033" width="11.7109375" style="1" bestFit="1" customWidth="1"/>
    <col min="11034" max="11040" width="9.140625" style="1"/>
    <col min="11041" max="11041" width="11.28515625" style="1" bestFit="1" customWidth="1"/>
    <col min="11042" max="11042" width="10.7109375" style="1" bestFit="1" customWidth="1"/>
    <col min="11043" max="11264" width="9.140625" style="1"/>
    <col min="11265" max="11265" width="6.42578125" style="1" customWidth="1"/>
    <col min="11266" max="11266" width="20.7109375" style="1" customWidth="1"/>
    <col min="11267" max="11267" width="24.7109375" style="1" customWidth="1"/>
    <col min="11268" max="11268" width="11.140625" style="1" customWidth="1"/>
    <col min="11269" max="11269" width="12.28515625" style="1" customWidth="1"/>
    <col min="11270" max="11270" width="11.140625" style="1" customWidth="1"/>
    <col min="11271" max="11271" width="10.42578125" style="1" customWidth="1"/>
    <col min="11272" max="11272" width="4.7109375" style="1" customWidth="1"/>
    <col min="11273" max="11273" width="8.5703125" style="1" customWidth="1"/>
    <col min="11274" max="11274" width="5.5703125" style="1" customWidth="1"/>
    <col min="11275" max="11276" width="11.5703125" style="1" customWidth="1"/>
    <col min="11277" max="11277" width="10.85546875" style="1" customWidth="1"/>
    <col min="11278" max="11278" width="7.7109375" style="1" customWidth="1"/>
    <col min="11279" max="11279" width="8" style="1" customWidth="1"/>
    <col min="11280" max="11280" width="16.28515625" style="1" customWidth="1"/>
    <col min="11281" max="11281" width="10.5703125" style="1" customWidth="1"/>
    <col min="11282" max="11282" width="14.140625" style="1" customWidth="1"/>
    <col min="11283" max="11283" width="10.140625" style="1" customWidth="1"/>
    <col min="11284" max="11284" width="15.140625" style="1" customWidth="1"/>
    <col min="11285" max="11285" width="8.5703125" style="1" customWidth="1"/>
    <col min="11286" max="11286" width="14.28515625" style="1" customWidth="1"/>
    <col min="11287" max="11287" width="18.28515625" style="1" customWidth="1"/>
    <col min="11288" max="11288" width="13" style="1" bestFit="1" customWidth="1"/>
    <col min="11289" max="11289" width="11.7109375" style="1" bestFit="1" customWidth="1"/>
    <col min="11290" max="11296" width="9.140625" style="1"/>
    <col min="11297" max="11297" width="11.28515625" style="1" bestFit="1" customWidth="1"/>
    <col min="11298" max="11298" width="10.7109375" style="1" bestFit="1" customWidth="1"/>
    <col min="11299" max="11520" width="9.140625" style="1"/>
    <col min="11521" max="11521" width="6.42578125" style="1" customWidth="1"/>
    <col min="11522" max="11522" width="20.7109375" style="1" customWidth="1"/>
    <col min="11523" max="11523" width="24.7109375" style="1" customWidth="1"/>
    <col min="11524" max="11524" width="11.140625" style="1" customWidth="1"/>
    <col min="11525" max="11525" width="12.28515625" style="1" customWidth="1"/>
    <col min="11526" max="11526" width="11.140625" style="1" customWidth="1"/>
    <col min="11527" max="11527" width="10.42578125" style="1" customWidth="1"/>
    <col min="11528" max="11528" width="4.7109375" style="1" customWidth="1"/>
    <col min="11529" max="11529" width="8.5703125" style="1" customWidth="1"/>
    <col min="11530" max="11530" width="5.5703125" style="1" customWidth="1"/>
    <col min="11531" max="11532" width="11.5703125" style="1" customWidth="1"/>
    <col min="11533" max="11533" width="10.85546875" style="1" customWidth="1"/>
    <col min="11534" max="11534" width="7.7109375" style="1" customWidth="1"/>
    <col min="11535" max="11535" width="8" style="1" customWidth="1"/>
    <col min="11536" max="11536" width="16.28515625" style="1" customWidth="1"/>
    <col min="11537" max="11537" width="10.5703125" style="1" customWidth="1"/>
    <col min="11538" max="11538" width="14.140625" style="1" customWidth="1"/>
    <col min="11539" max="11539" width="10.140625" style="1" customWidth="1"/>
    <col min="11540" max="11540" width="15.140625" style="1" customWidth="1"/>
    <col min="11541" max="11541" width="8.5703125" style="1" customWidth="1"/>
    <col min="11542" max="11542" width="14.28515625" style="1" customWidth="1"/>
    <col min="11543" max="11543" width="18.28515625" style="1" customWidth="1"/>
    <col min="11544" max="11544" width="13" style="1" bestFit="1" customWidth="1"/>
    <col min="11545" max="11545" width="11.7109375" style="1" bestFit="1" customWidth="1"/>
    <col min="11546" max="11552" width="9.140625" style="1"/>
    <col min="11553" max="11553" width="11.28515625" style="1" bestFit="1" customWidth="1"/>
    <col min="11554" max="11554" width="10.7109375" style="1" bestFit="1" customWidth="1"/>
    <col min="11555" max="11776" width="9.140625" style="1"/>
    <col min="11777" max="11777" width="6.42578125" style="1" customWidth="1"/>
    <col min="11778" max="11778" width="20.7109375" style="1" customWidth="1"/>
    <col min="11779" max="11779" width="24.7109375" style="1" customWidth="1"/>
    <col min="11780" max="11780" width="11.140625" style="1" customWidth="1"/>
    <col min="11781" max="11781" width="12.28515625" style="1" customWidth="1"/>
    <col min="11782" max="11782" width="11.140625" style="1" customWidth="1"/>
    <col min="11783" max="11783" width="10.42578125" style="1" customWidth="1"/>
    <col min="11784" max="11784" width="4.7109375" style="1" customWidth="1"/>
    <col min="11785" max="11785" width="8.5703125" style="1" customWidth="1"/>
    <col min="11786" max="11786" width="5.5703125" style="1" customWidth="1"/>
    <col min="11787" max="11788" width="11.5703125" style="1" customWidth="1"/>
    <col min="11789" max="11789" width="10.85546875" style="1" customWidth="1"/>
    <col min="11790" max="11790" width="7.7109375" style="1" customWidth="1"/>
    <col min="11791" max="11791" width="8" style="1" customWidth="1"/>
    <col min="11792" max="11792" width="16.28515625" style="1" customWidth="1"/>
    <col min="11793" max="11793" width="10.5703125" style="1" customWidth="1"/>
    <col min="11794" max="11794" width="14.140625" style="1" customWidth="1"/>
    <col min="11795" max="11795" width="10.140625" style="1" customWidth="1"/>
    <col min="11796" max="11796" width="15.140625" style="1" customWidth="1"/>
    <col min="11797" max="11797" width="8.5703125" style="1" customWidth="1"/>
    <col min="11798" max="11798" width="14.28515625" style="1" customWidth="1"/>
    <col min="11799" max="11799" width="18.28515625" style="1" customWidth="1"/>
    <col min="11800" max="11800" width="13" style="1" bestFit="1" customWidth="1"/>
    <col min="11801" max="11801" width="11.7109375" style="1" bestFit="1" customWidth="1"/>
    <col min="11802" max="11808" width="9.140625" style="1"/>
    <col min="11809" max="11809" width="11.28515625" style="1" bestFit="1" customWidth="1"/>
    <col min="11810" max="11810" width="10.7109375" style="1" bestFit="1" customWidth="1"/>
    <col min="11811" max="12032" width="9.140625" style="1"/>
    <col min="12033" max="12033" width="6.42578125" style="1" customWidth="1"/>
    <col min="12034" max="12034" width="20.7109375" style="1" customWidth="1"/>
    <col min="12035" max="12035" width="24.7109375" style="1" customWidth="1"/>
    <col min="12036" max="12036" width="11.140625" style="1" customWidth="1"/>
    <col min="12037" max="12037" width="12.28515625" style="1" customWidth="1"/>
    <col min="12038" max="12038" width="11.140625" style="1" customWidth="1"/>
    <col min="12039" max="12039" width="10.42578125" style="1" customWidth="1"/>
    <col min="12040" max="12040" width="4.7109375" style="1" customWidth="1"/>
    <col min="12041" max="12041" width="8.5703125" style="1" customWidth="1"/>
    <col min="12042" max="12042" width="5.5703125" style="1" customWidth="1"/>
    <col min="12043" max="12044" width="11.5703125" style="1" customWidth="1"/>
    <col min="12045" max="12045" width="10.85546875" style="1" customWidth="1"/>
    <col min="12046" max="12046" width="7.7109375" style="1" customWidth="1"/>
    <col min="12047" max="12047" width="8" style="1" customWidth="1"/>
    <col min="12048" max="12048" width="16.28515625" style="1" customWidth="1"/>
    <col min="12049" max="12049" width="10.5703125" style="1" customWidth="1"/>
    <col min="12050" max="12050" width="14.140625" style="1" customWidth="1"/>
    <col min="12051" max="12051" width="10.140625" style="1" customWidth="1"/>
    <col min="12052" max="12052" width="15.140625" style="1" customWidth="1"/>
    <col min="12053" max="12053" width="8.5703125" style="1" customWidth="1"/>
    <col min="12054" max="12054" width="14.28515625" style="1" customWidth="1"/>
    <col min="12055" max="12055" width="18.28515625" style="1" customWidth="1"/>
    <col min="12056" max="12056" width="13" style="1" bestFit="1" customWidth="1"/>
    <col min="12057" max="12057" width="11.7109375" style="1" bestFit="1" customWidth="1"/>
    <col min="12058" max="12064" width="9.140625" style="1"/>
    <col min="12065" max="12065" width="11.28515625" style="1" bestFit="1" customWidth="1"/>
    <col min="12066" max="12066" width="10.7109375" style="1" bestFit="1" customWidth="1"/>
    <col min="12067" max="12288" width="9.140625" style="1"/>
    <col min="12289" max="12289" width="6.42578125" style="1" customWidth="1"/>
    <col min="12290" max="12290" width="20.7109375" style="1" customWidth="1"/>
    <col min="12291" max="12291" width="24.7109375" style="1" customWidth="1"/>
    <col min="12292" max="12292" width="11.140625" style="1" customWidth="1"/>
    <col min="12293" max="12293" width="12.28515625" style="1" customWidth="1"/>
    <col min="12294" max="12294" width="11.140625" style="1" customWidth="1"/>
    <col min="12295" max="12295" width="10.42578125" style="1" customWidth="1"/>
    <col min="12296" max="12296" width="4.7109375" style="1" customWidth="1"/>
    <col min="12297" max="12297" width="8.5703125" style="1" customWidth="1"/>
    <col min="12298" max="12298" width="5.5703125" style="1" customWidth="1"/>
    <col min="12299" max="12300" width="11.5703125" style="1" customWidth="1"/>
    <col min="12301" max="12301" width="10.85546875" style="1" customWidth="1"/>
    <col min="12302" max="12302" width="7.7109375" style="1" customWidth="1"/>
    <col min="12303" max="12303" width="8" style="1" customWidth="1"/>
    <col min="12304" max="12304" width="16.28515625" style="1" customWidth="1"/>
    <col min="12305" max="12305" width="10.5703125" style="1" customWidth="1"/>
    <col min="12306" max="12306" width="14.140625" style="1" customWidth="1"/>
    <col min="12307" max="12307" width="10.140625" style="1" customWidth="1"/>
    <col min="12308" max="12308" width="15.140625" style="1" customWidth="1"/>
    <col min="12309" max="12309" width="8.5703125" style="1" customWidth="1"/>
    <col min="12310" max="12310" width="14.28515625" style="1" customWidth="1"/>
    <col min="12311" max="12311" width="18.28515625" style="1" customWidth="1"/>
    <col min="12312" max="12312" width="13" style="1" bestFit="1" customWidth="1"/>
    <col min="12313" max="12313" width="11.7109375" style="1" bestFit="1" customWidth="1"/>
    <col min="12314" max="12320" width="9.140625" style="1"/>
    <col min="12321" max="12321" width="11.28515625" style="1" bestFit="1" customWidth="1"/>
    <col min="12322" max="12322" width="10.7109375" style="1" bestFit="1" customWidth="1"/>
    <col min="12323" max="12544" width="9.140625" style="1"/>
    <col min="12545" max="12545" width="6.42578125" style="1" customWidth="1"/>
    <col min="12546" max="12546" width="20.7109375" style="1" customWidth="1"/>
    <col min="12547" max="12547" width="24.7109375" style="1" customWidth="1"/>
    <col min="12548" max="12548" width="11.140625" style="1" customWidth="1"/>
    <col min="12549" max="12549" width="12.28515625" style="1" customWidth="1"/>
    <col min="12550" max="12550" width="11.140625" style="1" customWidth="1"/>
    <col min="12551" max="12551" width="10.42578125" style="1" customWidth="1"/>
    <col min="12552" max="12552" width="4.7109375" style="1" customWidth="1"/>
    <col min="12553" max="12553" width="8.5703125" style="1" customWidth="1"/>
    <col min="12554" max="12554" width="5.5703125" style="1" customWidth="1"/>
    <col min="12555" max="12556" width="11.5703125" style="1" customWidth="1"/>
    <col min="12557" max="12557" width="10.85546875" style="1" customWidth="1"/>
    <col min="12558" max="12558" width="7.7109375" style="1" customWidth="1"/>
    <col min="12559" max="12559" width="8" style="1" customWidth="1"/>
    <col min="12560" max="12560" width="16.28515625" style="1" customWidth="1"/>
    <col min="12561" max="12561" width="10.5703125" style="1" customWidth="1"/>
    <col min="12562" max="12562" width="14.140625" style="1" customWidth="1"/>
    <col min="12563" max="12563" width="10.140625" style="1" customWidth="1"/>
    <col min="12564" max="12564" width="15.140625" style="1" customWidth="1"/>
    <col min="12565" max="12565" width="8.5703125" style="1" customWidth="1"/>
    <col min="12566" max="12566" width="14.28515625" style="1" customWidth="1"/>
    <col min="12567" max="12567" width="18.28515625" style="1" customWidth="1"/>
    <col min="12568" max="12568" width="13" style="1" bestFit="1" customWidth="1"/>
    <col min="12569" max="12569" width="11.7109375" style="1" bestFit="1" customWidth="1"/>
    <col min="12570" max="12576" width="9.140625" style="1"/>
    <col min="12577" max="12577" width="11.28515625" style="1" bestFit="1" customWidth="1"/>
    <col min="12578" max="12578" width="10.7109375" style="1" bestFit="1" customWidth="1"/>
    <col min="12579" max="12800" width="9.140625" style="1"/>
    <col min="12801" max="12801" width="6.42578125" style="1" customWidth="1"/>
    <col min="12802" max="12802" width="20.7109375" style="1" customWidth="1"/>
    <col min="12803" max="12803" width="24.7109375" style="1" customWidth="1"/>
    <col min="12804" max="12804" width="11.140625" style="1" customWidth="1"/>
    <col min="12805" max="12805" width="12.28515625" style="1" customWidth="1"/>
    <col min="12806" max="12806" width="11.140625" style="1" customWidth="1"/>
    <col min="12807" max="12807" width="10.42578125" style="1" customWidth="1"/>
    <col min="12808" max="12808" width="4.7109375" style="1" customWidth="1"/>
    <col min="12809" max="12809" width="8.5703125" style="1" customWidth="1"/>
    <col min="12810" max="12810" width="5.5703125" style="1" customWidth="1"/>
    <col min="12811" max="12812" width="11.5703125" style="1" customWidth="1"/>
    <col min="12813" max="12813" width="10.85546875" style="1" customWidth="1"/>
    <col min="12814" max="12814" width="7.7109375" style="1" customWidth="1"/>
    <col min="12815" max="12815" width="8" style="1" customWidth="1"/>
    <col min="12816" max="12816" width="16.28515625" style="1" customWidth="1"/>
    <col min="12817" max="12817" width="10.5703125" style="1" customWidth="1"/>
    <col min="12818" max="12818" width="14.140625" style="1" customWidth="1"/>
    <col min="12819" max="12819" width="10.140625" style="1" customWidth="1"/>
    <col min="12820" max="12820" width="15.140625" style="1" customWidth="1"/>
    <col min="12821" max="12821" width="8.5703125" style="1" customWidth="1"/>
    <col min="12822" max="12822" width="14.28515625" style="1" customWidth="1"/>
    <col min="12823" max="12823" width="18.28515625" style="1" customWidth="1"/>
    <col min="12824" max="12824" width="13" style="1" bestFit="1" customWidth="1"/>
    <col min="12825" max="12825" width="11.7109375" style="1" bestFit="1" customWidth="1"/>
    <col min="12826" max="12832" width="9.140625" style="1"/>
    <col min="12833" max="12833" width="11.28515625" style="1" bestFit="1" customWidth="1"/>
    <col min="12834" max="12834" width="10.7109375" style="1" bestFit="1" customWidth="1"/>
    <col min="12835" max="13056" width="9.140625" style="1"/>
    <col min="13057" max="13057" width="6.42578125" style="1" customWidth="1"/>
    <col min="13058" max="13058" width="20.7109375" style="1" customWidth="1"/>
    <col min="13059" max="13059" width="24.7109375" style="1" customWidth="1"/>
    <col min="13060" max="13060" width="11.140625" style="1" customWidth="1"/>
    <col min="13061" max="13061" width="12.28515625" style="1" customWidth="1"/>
    <col min="13062" max="13062" width="11.140625" style="1" customWidth="1"/>
    <col min="13063" max="13063" width="10.42578125" style="1" customWidth="1"/>
    <col min="13064" max="13064" width="4.7109375" style="1" customWidth="1"/>
    <col min="13065" max="13065" width="8.5703125" style="1" customWidth="1"/>
    <col min="13066" max="13066" width="5.5703125" style="1" customWidth="1"/>
    <col min="13067" max="13068" width="11.5703125" style="1" customWidth="1"/>
    <col min="13069" max="13069" width="10.85546875" style="1" customWidth="1"/>
    <col min="13070" max="13070" width="7.7109375" style="1" customWidth="1"/>
    <col min="13071" max="13071" width="8" style="1" customWidth="1"/>
    <col min="13072" max="13072" width="16.28515625" style="1" customWidth="1"/>
    <col min="13073" max="13073" width="10.5703125" style="1" customWidth="1"/>
    <col min="13074" max="13074" width="14.140625" style="1" customWidth="1"/>
    <col min="13075" max="13075" width="10.140625" style="1" customWidth="1"/>
    <col min="13076" max="13076" width="15.140625" style="1" customWidth="1"/>
    <col min="13077" max="13077" width="8.5703125" style="1" customWidth="1"/>
    <col min="13078" max="13078" width="14.28515625" style="1" customWidth="1"/>
    <col min="13079" max="13079" width="18.28515625" style="1" customWidth="1"/>
    <col min="13080" max="13080" width="13" style="1" bestFit="1" customWidth="1"/>
    <col min="13081" max="13081" width="11.7109375" style="1" bestFit="1" customWidth="1"/>
    <col min="13082" max="13088" width="9.140625" style="1"/>
    <col min="13089" max="13089" width="11.28515625" style="1" bestFit="1" customWidth="1"/>
    <col min="13090" max="13090" width="10.7109375" style="1" bestFit="1" customWidth="1"/>
    <col min="13091" max="13312" width="9.140625" style="1"/>
    <col min="13313" max="13313" width="6.42578125" style="1" customWidth="1"/>
    <col min="13314" max="13314" width="20.7109375" style="1" customWidth="1"/>
    <col min="13315" max="13315" width="24.7109375" style="1" customWidth="1"/>
    <col min="13316" max="13316" width="11.140625" style="1" customWidth="1"/>
    <col min="13317" max="13317" width="12.28515625" style="1" customWidth="1"/>
    <col min="13318" max="13318" width="11.140625" style="1" customWidth="1"/>
    <col min="13319" max="13319" width="10.42578125" style="1" customWidth="1"/>
    <col min="13320" max="13320" width="4.7109375" style="1" customWidth="1"/>
    <col min="13321" max="13321" width="8.5703125" style="1" customWidth="1"/>
    <col min="13322" max="13322" width="5.5703125" style="1" customWidth="1"/>
    <col min="13323" max="13324" width="11.5703125" style="1" customWidth="1"/>
    <col min="13325" max="13325" width="10.85546875" style="1" customWidth="1"/>
    <col min="13326" max="13326" width="7.7109375" style="1" customWidth="1"/>
    <col min="13327" max="13327" width="8" style="1" customWidth="1"/>
    <col min="13328" max="13328" width="16.28515625" style="1" customWidth="1"/>
    <col min="13329" max="13329" width="10.5703125" style="1" customWidth="1"/>
    <col min="13330" max="13330" width="14.140625" style="1" customWidth="1"/>
    <col min="13331" max="13331" width="10.140625" style="1" customWidth="1"/>
    <col min="13332" max="13332" width="15.140625" style="1" customWidth="1"/>
    <col min="13333" max="13333" width="8.5703125" style="1" customWidth="1"/>
    <col min="13334" max="13334" width="14.28515625" style="1" customWidth="1"/>
    <col min="13335" max="13335" width="18.28515625" style="1" customWidth="1"/>
    <col min="13336" max="13336" width="13" style="1" bestFit="1" customWidth="1"/>
    <col min="13337" max="13337" width="11.7109375" style="1" bestFit="1" customWidth="1"/>
    <col min="13338" max="13344" width="9.140625" style="1"/>
    <col min="13345" max="13345" width="11.28515625" style="1" bestFit="1" customWidth="1"/>
    <col min="13346" max="13346" width="10.7109375" style="1" bestFit="1" customWidth="1"/>
    <col min="13347" max="13568" width="9.140625" style="1"/>
    <col min="13569" max="13569" width="6.42578125" style="1" customWidth="1"/>
    <col min="13570" max="13570" width="20.7109375" style="1" customWidth="1"/>
    <col min="13571" max="13571" width="24.7109375" style="1" customWidth="1"/>
    <col min="13572" max="13572" width="11.140625" style="1" customWidth="1"/>
    <col min="13573" max="13573" width="12.28515625" style="1" customWidth="1"/>
    <col min="13574" max="13574" width="11.140625" style="1" customWidth="1"/>
    <col min="13575" max="13575" width="10.42578125" style="1" customWidth="1"/>
    <col min="13576" max="13576" width="4.7109375" style="1" customWidth="1"/>
    <col min="13577" max="13577" width="8.5703125" style="1" customWidth="1"/>
    <col min="13578" max="13578" width="5.5703125" style="1" customWidth="1"/>
    <col min="13579" max="13580" width="11.5703125" style="1" customWidth="1"/>
    <col min="13581" max="13581" width="10.85546875" style="1" customWidth="1"/>
    <col min="13582" max="13582" width="7.7109375" style="1" customWidth="1"/>
    <col min="13583" max="13583" width="8" style="1" customWidth="1"/>
    <col min="13584" max="13584" width="16.28515625" style="1" customWidth="1"/>
    <col min="13585" max="13585" width="10.5703125" style="1" customWidth="1"/>
    <col min="13586" max="13586" width="14.140625" style="1" customWidth="1"/>
    <col min="13587" max="13587" width="10.140625" style="1" customWidth="1"/>
    <col min="13588" max="13588" width="15.140625" style="1" customWidth="1"/>
    <col min="13589" max="13589" width="8.5703125" style="1" customWidth="1"/>
    <col min="13590" max="13590" width="14.28515625" style="1" customWidth="1"/>
    <col min="13591" max="13591" width="18.28515625" style="1" customWidth="1"/>
    <col min="13592" max="13592" width="13" style="1" bestFit="1" customWidth="1"/>
    <col min="13593" max="13593" width="11.7109375" style="1" bestFit="1" customWidth="1"/>
    <col min="13594" max="13600" width="9.140625" style="1"/>
    <col min="13601" max="13601" width="11.28515625" style="1" bestFit="1" customWidth="1"/>
    <col min="13602" max="13602" width="10.7109375" style="1" bestFit="1" customWidth="1"/>
    <col min="13603" max="13824" width="9.140625" style="1"/>
    <col min="13825" max="13825" width="6.42578125" style="1" customWidth="1"/>
    <col min="13826" max="13826" width="20.7109375" style="1" customWidth="1"/>
    <col min="13827" max="13827" width="24.7109375" style="1" customWidth="1"/>
    <col min="13828" max="13828" width="11.140625" style="1" customWidth="1"/>
    <col min="13829" max="13829" width="12.28515625" style="1" customWidth="1"/>
    <col min="13830" max="13830" width="11.140625" style="1" customWidth="1"/>
    <col min="13831" max="13831" width="10.42578125" style="1" customWidth="1"/>
    <col min="13832" max="13832" width="4.7109375" style="1" customWidth="1"/>
    <col min="13833" max="13833" width="8.5703125" style="1" customWidth="1"/>
    <col min="13834" max="13834" width="5.5703125" style="1" customWidth="1"/>
    <col min="13835" max="13836" width="11.5703125" style="1" customWidth="1"/>
    <col min="13837" max="13837" width="10.85546875" style="1" customWidth="1"/>
    <col min="13838" max="13838" width="7.7109375" style="1" customWidth="1"/>
    <col min="13839" max="13839" width="8" style="1" customWidth="1"/>
    <col min="13840" max="13840" width="16.28515625" style="1" customWidth="1"/>
    <col min="13841" max="13841" width="10.5703125" style="1" customWidth="1"/>
    <col min="13842" max="13842" width="14.140625" style="1" customWidth="1"/>
    <col min="13843" max="13843" width="10.140625" style="1" customWidth="1"/>
    <col min="13844" max="13844" width="15.140625" style="1" customWidth="1"/>
    <col min="13845" max="13845" width="8.5703125" style="1" customWidth="1"/>
    <col min="13846" max="13846" width="14.28515625" style="1" customWidth="1"/>
    <col min="13847" max="13847" width="18.28515625" style="1" customWidth="1"/>
    <col min="13848" max="13848" width="13" style="1" bestFit="1" customWidth="1"/>
    <col min="13849" max="13849" width="11.7109375" style="1" bestFit="1" customWidth="1"/>
    <col min="13850" max="13856" width="9.140625" style="1"/>
    <col min="13857" max="13857" width="11.28515625" style="1" bestFit="1" customWidth="1"/>
    <col min="13858" max="13858" width="10.7109375" style="1" bestFit="1" customWidth="1"/>
    <col min="13859" max="14080" width="9.140625" style="1"/>
    <col min="14081" max="14081" width="6.42578125" style="1" customWidth="1"/>
    <col min="14082" max="14082" width="20.7109375" style="1" customWidth="1"/>
    <col min="14083" max="14083" width="24.7109375" style="1" customWidth="1"/>
    <col min="14084" max="14084" width="11.140625" style="1" customWidth="1"/>
    <col min="14085" max="14085" width="12.28515625" style="1" customWidth="1"/>
    <col min="14086" max="14086" width="11.140625" style="1" customWidth="1"/>
    <col min="14087" max="14087" width="10.42578125" style="1" customWidth="1"/>
    <col min="14088" max="14088" width="4.7109375" style="1" customWidth="1"/>
    <col min="14089" max="14089" width="8.5703125" style="1" customWidth="1"/>
    <col min="14090" max="14090" width="5.5703125" style="1" customWidth="1"/>
    <col min="14091" max="14092" width="11.5703125" style="1" customWidth="1"/>
    <col min="14093" max="14093" width="10.85546875" style="1" customWidth="1"/>
    <col min="14094" max="14094" width="7.7109375" style="1" customWidth="1"/>
    <col min="14095" max="14095" width="8" style="1" customWidth="1"/>
    <col min="14096" max="14096" width="16.28515625" style="1" customWidth="1"/>
    <col min="14097" max="14097" width="10.5703125" style="1" customWidth="1"/>
    <col min="14098" max="14098" width="14.140625" style="1" customWidth="1"/>
    <col min="14099" max="14099" width="10.140625" style="1" customWidth="1"/>
    <col min="14100" max="14100" width="15.140625" style="1" customWidth="1"/>
    <col min="14101" max="14101" width="8.5703125" style="1" customWidth="1"/>
    <col min="14102" max="14102" width="14.28515625" style="1" customWidth="1"/>
    <col min="14103" max="14103" width="18.28515625" style="1" customWidth="1"/>
    <col min="14104" max="14104" width="13" style="1" bestFit="1" customWidth="1"/>
    <col min="14105" max="14105" width="11.7109375" style="1" bestFit="1" customWidth="1"/>
    <col min="14106" max="14112" width="9.140625" style="1"/>
    <col min="14113" max="14113" width="11.28515625" style="1" bestFit="1" customWidth="1"/>
    <col min="14114" max="14114" width="10.7109375" style="1" bestFit="1" customWidth="1"/>
    <col min="14115" max="14336" width="9.140625" style="1"/>
    <col min="14337" max="14337" width="6.42578125" style="1" customWidth="1"/>
    <col min="14338" max="14338" width="20.7109375" style="1" customWidth="1"/>
    <col min="14339" max="14339" width="24.7109375" style="1" customWidth="1"/>
    <col min="14340" max="14340" width="11.140625" style="1" customWidth="1"/>
    <col min="14341" max="14341" width="12.28515625" style="1" customWidth="1"/>
    <col min="14342" max="14342" width="11.140625" style="1" customWidth="1"/>
    <col min="14343" max="14343" width="10.42578125" style="1" customWidth="1"/>
    <col min="14344" max="14344" width="4.7109375" style="1" customWidth="1"/>
    <col min="14345" max="14345" width="8.5703125" style="1" customWidth="1"/>
    <col min="14346" max="14346" width="5.5703125" style="1" customWidth="1"/>
    <col min="14347" max="14348" width="11.5703125" style="1" customWidth="1"/>
    <col min="14349" max="14349" width="10.85546875" style="1" customWidth="1"/>
    <col min="14350" max="14350" width="7.7109375" style="1" customWidth="1"/>
    <col min="14351" max="14351" width="8" style="1" customWidth="1"/>
    <col min="14352" max="14352" width="16.28515625" style="1" customWidth="1"/>
    <col min="14353" max="14353" width="10.5703125" style="1" customWidth="1"/>
    <col min="14354" max="14354" width="14.140625" style="1" customWidth="1"/>
    <col min="14355" max="14355" width="10.140625" style="1" customWidth="1"/>
    <col min="14356" max="14356" width="15.140625" style="1" customWidth="1"/>
    <col min="14357" max="14357" width="8.5703125" style="1" customWidth="1"/>
    <col min="14358" max="14358" width="14.28515625" style="1" customWidth="1"/>
    <col min="14359" max="14359" width="18.28515625" style="1" customWidth="1"/>
    <col min="14360" max="14360" width="13" style="1" bestFit="1" customWidth="1"/>
    <col min="14361" max="14361" width="11.7109375" style="1" bestFit="1" customWidth="1"/>
    <col min="14362" max="14368" width="9.140625" style="1"/>
    <col min="14369" max="14369" width="11.28515625" style="1" bestFit="1" customWidth="1"/>
    <col min="14370" max="14370" width="10.7109375" style="1" bestFit="1" customWidth="1"/>
    <col min="14371" max="14592" width="9.140625" style="1"/>
    <col min="14593" max="14593" width="6.42578125" style="1" customWidth="1"/>
    <col min="14594" max="14594" width="20.7109375" style="1" customWidth="1"/>
    <col min="14595" max="14595" width="24.7109375" style="1" customWidth="1"/>
    <col min="14596" max="14596" width="11.140625" style="1" customWidth="1"/>
    <col min="14597" max="14597" width="12.28515625" style="1" customWidth="1"/>
    <col min="14598" max="14598" width="11.140625" style="1" customWidth="1"/>
    <col min="14599" max="14599" width="10.42578125" style="1" customWidth="1"/>
    <col min="14600" max="14600" width="4.7109375" style="1" customWidth="1"/>
    <col min="14601" max="14601" width="8.5703125" style="1" customWidth="1"/>
    <col min="14602" max="14602" width="5.5703125" style="1" customWidth="1"/>
    <col min="14603" max="14604" width="11.5703125" style="1" customWidth="1"/>
    <col min="14605" max="14605" width="10.85546875" style="1" customWidth="1"/>
    <col min="14606" max="14606" width="7.7109375" style="1" customWidth="1"/>
    <col min="14607" max="14607" width="8" style="1" customWidth="1"/>
    <col min="14608" max="14608" width="16.28515625" style="1" customWidth="1"/>
    <col min="14609" max="14609" width="10.5703125" style="1" customWidth="1"/>
    <col min="14610" max="14610" width="14.140625" style="1" customWidth="1"/>
    <col min="14611" max="14611" width="10.140625" style="1" customWidth="1"/>
    <col min="14612" max="14612" width="15.140625" style="1" customWidth="1"/>
    <col min="14613" max="14613" width="8.5703125" style="1" customWidth="1"/>
    <col min="14614" max="14614" width="14.28515625" style="1" customWidth="1"/>
    <col min="14615" max="14615" width="18.28515625" style="1" customWidth="1"/>
    <col min="14616" max="14616" width="13" style="1" bestFit="1" customWidth="1"/>
    <col min="14617" max="14617" width="11.7109375" style="1" bestFit="1" customWidth="1"/>
    <col min="14618" max="14624" width="9.140625" style="1"/>
    <col min="14625" max="14625" width="11.28515625" style="1" bestFit="1" customWidth="1"/>
    <col min="14626" max="14626" width="10.7109375" style="1" bestFit="1" customWidth="1"/>
    <col min="14627" max="14848" width="9.140625" style="1"/>
    <col min="14849" max="14849" width="6.42578125" style="1" customWidth="1"/>
    <col min="14850" max="14850" width="20.7109375" style="1" customWidth="1"/>
    <col min="14851" max="14851" width="24.7109375" style="1" customWidth="1"/>
    <col min="14852" max="14852" width="11.140625" style="1" customWidth="1"/>
    <col min="14853" max="14853" width="12.28515625" style="1" customWidth="1"/>
    <col min="14854" max="14854" width="11.140625" style="1" customWidth="1"/>
    <col min="14855" max="14855" width="10.42578125" style="1" customWidth="1"/>
    <col min="14856" max="14856" width="4.7109375" style="1" customWidth="1"/>
    <col min="14857" max="14857" width="8.5703125" style="1" customWidth="1"/>
    <col min="14858" max="14858" width="5.5703125" style="1" customWidth="1"/>
    <col min="14859" max="14860" width="11.5703125" style="1" customWidth="1"/>
    <col min="14861" max="14861" width="10.85546875" style="1" customWidth="1"/>
    <col min="14862" max="14862" width="7.7109375" style="1" customWidth="1"/>
    <col min="14863" max="14863" width="8" style="1" customWidth="1"/>
    <col min="14864" max="14864" width="16.28515625" style="1" customWidth="1"/>
    <col min="14865" max="14865" width="10.5703125" style="1" customWidth="1"/>
    <col min="14866" max="14866" width="14.140625" style="1" customWidth="1"/>
    <col min="14867" max="14867" width="10.140625" style="1" customWidth="1"/>
    <col min="14868" max="14868" width="15.140625" style="1" customWidth="1"/>
    <col min="14869" max="14869" width="8.5703125" style="1" customWidth="1"/>
    <col min="14870" max="14870" width="14.28515625" style="1" customWidth="1"/>
    <col min="14871" max="14871" width="18.28515625" style="1" customWidth="1"/>
    <col min="14872" max="14872" width="13" style="1" bestFit="1" customWidth="1"/>
    <col min="14873" max="14873" width="11.7109375" style="1" bestFit="1" customWidth="1"/>
    <col min="14874" max="14880" width="9.140625" style="1"/>
    <col min="14881" max="14881" width="11.28515625" style="1" bestFit="1" customWidth="1"/>
    <col min="14882" max="14882" width="10.7109375" style="1" bestFit="1" customWidth="1"/>
    <col min="14883" max="15104" width="9.140625" style="1"/>
    <col min="15105" max="15105" width="6.42578125" style="1" customWidth="1"/>
    <col min="15106" max="15106" width="20.7109375" style="1" customWidth="1"/>
    <col min="15107" max="15107" width="24.7109375" style="1" customWidth="1"/>
    <col min="15108" max="15108" width="11.140625" style="1" customWidth="1"/>
    <col min="15109" max="15109" width="12.28515625" style="1" customWidth="1"/>
    <col min="15110" max="15110" width="11.140625" style="1" customWidth="1"/>
    <col min="15111" max="15111" width="10.42578125" style="1" customWidth="1"/>
    <col min="15112" max="15112" width="4.7109375" style="1" customWidth="1"/>
    <col min="15113" max="15113" width="8.5703125" style="1" customWidth="1"/>
    <col min="15114" max="15114" width="5.5703125" style="1" customWidth="1"/>
    <col min="15115" max="15116" width="11.5703125" style="1" customWidth="1"/>
    <col min="15117" max="15117" width="10.85546875" style="1" customWidth="1"/>
    <col min="15118" max="15118" width="7.7109375" style="1" customWidth="1"/>
    <col min="15119" max="15119" width="8" style="1" customWidth="1"/>
    <col min="15120" max="15120" width="16.28515625" style="1" customWidth="1"/>
    <col min="15121" max="15121" width="10.5703125" style="1" customWidth="1"/>
    <col min="15122" max="15122" width="14.140625" style="1" customWidth="1"/>
    <col min="15123" max="15123" width="10.140625" style="1" customWidth="1"/>
    <col min="15124" max="15124" width="15.140625" style="1" customWidth="1"/>
    <col min="15125" max="15125" width="8.5703125" style="1" customWidth="1"/>
    <col min="15126" max="15126" width="14.28515625" style="1" customWidth="1"/>
    <col min="15127" max="15127" width="18.28515625" style="1" customWidth="1"/>
    <col min="15128" max="15128" width="13" style="1" bestFit="1" customWidth="1"/>
    <col min="15129" max="15129" width="11.7109375" style="1" bestFit="1" customWidth="1"/>
    <col min="15130" max="15136" width="9.140625" style="1"/>
    <col min="15137" max="15137" width="11.28515625" style="1" bestFit="1" customWidth="1"/>
    <col min="15138" max="15138" width="10.7109375" style="1" bestFit="1" customWidth="1"/>
    <col min="15139" max="15360" width="9.140625" style="1"/>
    <col min="15361" max="15361" width="6.42578125" style="1" customWidth="1"/>
    <col min="15362" max="15362" width="20.7109375" style="1" customWidth="1"/>
    <col min="15363" max="15363" width="24.7109375" style="1" customWidth="1"/>
    <col min="15364" max="15364" width="11.140625" style="1" customWidth="1"/>
    <col min="15365" max="15365" width="12.28515625" style="1" customWidth="1"/>
    <col min="15366" max="15366" width="11.140625" style="1" customWidth="1"/>
    <col min="15367" max="15367" width="10.42578125" style="1" customWidth="1"/>
    <col min="15368" max="15368" width="4.7109375" style="1" customWidth="1"/>
    <col min="15369" max="15369" width="8.5703125" style="1" customWidth="1"/>
    <col min="15370" max="15370" width="5.5703125" style="1" customWidth="1"/>
    <col min="15371" max="15372" width="11.5703125" style="1" customWidth="1"/>
    <col min="15373" max="15373" width="10.85546875" style="1" customWidth="1"/>
    <col min="15374" max="15374" width="7.7109375" style="1" customWidth="1"/>
    <col min="15375" max="15375" width="8" style="1" customWidth="1"/>
    <col min="15376" max="15376" width="16.28515625" style="1" customWidth="1"/>
    <col min="15377" max="15377" width="10.5703125" style="1" customWidth="1"/>
    <col min="15378" max="15378" width="14.140625" style="1" customWidth="1"/>
    <col min="15379" max="15379" width="10.140625" style="1" customWidth="1"/>
    <col min="15380" max="15380" width="15.140625" style="1" customWidth="1"/>
    <col min="15381" max="15381" width="8.5703125" style="1" customWidth="1"/>
    <col min="15382" max="15382" width="14.28515625" style="1" customWidth="1"/>
    <col min="15383" max="15383" width="18.28515625" style="1" customWidth="1"/>
    <col min="15384" max="15384" width="13" style="1" bestFit="1" customWidth="1"/>
    <col min="15385" max="15385" width="11.7109375" style="1" bestFit="1" customWidth="1"/>
    <col min="15386" max="15392" width="9.140625" style="1"/>
    <col min="15393" max="15393" width="11.28515625" style="1" bestFit="1" customWidth="1"/>
    <col min="15394" max="15394" width="10.7109375" style="1" bestFit="1" customWidth="1"/>
    <col min="15395" max="15616" width="9.140625" style="1"/>
    <col min="15617" max="15617" width="6.42578125" style="1" customWidth="1"/>
    <col min="15618" max="15618" width="20.7109375" style="1" customWidth="1"/>
    <col min="15619" max="15619" width="24.7109375" style="1" customWidth="1"/>
    <col min="15620" max="15620" width="11.140625" style="1" customWidth="1"/>
    <col min="15621" max="15621" width="12.28515625" style="1" customWidth="1"/>
    <col min="15622" max="15622" width="11.140625" style="1" customWidth="1"/>
    <col min="15623" max="15623" width="10.42578125" style="1" customWidth="1"/>
    <col min="15624" max="15624" width="4.7109375" style="1" customWidth="1"/>
    <col min="15625" max="15625" width="8.5703125" style="1" customWidth="1"/>
    <col min="15626" max="15626" width="5.5703125" style="1" customWidth="1"/>
    <col min="15627" max="15628" width="11.5703125" style="1" customWidth="1"/>
    <col min="15629" max="15629" width="10.85546875" style="1" customWidth="1"/>
    <col min="15630" max="15630" width="7.7109375" style="1" customWidth="1"/>
    <col min="15631" max="15631" width="8" style="1" customWidth="1"/>
    <col min="15632" max="15632" width="16.28515625" style="1" customWidth="1"/>
    <col min="15633" max="15633" width="10.5703125" style="1" customWidth="1"/>
    <col min="15634" max="15634" width="14.140625" style="1" customWidth="1"/>
    <col min="15635" max="15635" width="10.140625" style="1" customWidth="1"/>
    <col min="15636" max="15636" width="15.140625" style="1" customWidth="1"/>
    <col min="15637" max="15637" width="8.5703125" style="1" customWidth="1"/>
    <col min="15638" max="15638" width="14.28515625" style="1" customWidth="1"/>
    <col min="15639" max="15639" width="18.28515625" style="1" customWidth="1"/>
    <col min="15640" max="15640" width="13" style="1" bestFit="1" customWidth="1"/>
    <col min="15641" max="15641" width="11.7109375" style="1" bestFit="1" customWidth="1"/>
    <col min="15642" max="15648" width="9.140625" style="1"/>
    <col min="15649" max="15649" width="11.28515625" style="1" bestFit="1" customWidth="1"/>
    <col min="15650" max="15650" width="10.7109375" style="1" bestFit="1" customWidth="1"/>
    <col min="15651" max="15872" width="9.140625" style="1"/>
    <col min="15873" max="15873" width="6.42578125" style="1" customWidth="1"/>
    <col min="15874" max="15874" width="20.7109375" style="1" customWidth="1"/>
    <col min="15875" max="15875" width="24.7109375" style="1" customWidth="1"/>
    <col min="15876" max="15876" width="11.140625" style="1" customWidth="1"/>
    <col min="15877" max="15877" width="12.28515625" style="1" customWidth="1"/>
    <col min="15878" max="15878" width="11.140625" style="1" customWidth="1"/>
    <col min="15879" max="15879" width="10.42578125" style="1" customWidth="1"/>
    <col min="15880" max="15880" width="4.7109375" style="1" customWidth="1"/>
    <col min="15881" max="15881" width="8.5703125" style="1" customWidth="1"/>
    <col min="15882" max="15882" width="5.5703125" style="1" customWidth="1"/>
    <col min="15883" max="15884" width="11.5703125" style="1" customWidth="1"/>
    <col min="15885" max="15885" width="10.85546875" style="1" customWidth="1"/>
    <col min="15886" max="15886" width="7.7109375" style="1" customWidth="1"/>
    <col min="15887" max="15887" width="8" style="1" customWidth="1"/>
    <col min="15888" max="15888" width="16.28515625" style="1" customWidth="1"/>
    <col min="15889" max="15889" width="10.5703125" style="1" customWidth="1"/>
    <col min="15890" max="15890" width="14.140625" style="1" customWidth="1"/>
    <col min="15891" max="15891" width="10.140625" style="1" customWidth="1"/>
    <col min="15892" max="15892" width="15.140625" style="1" customWidth="1"/>
    <col min="15893" max="15893" width="8.5703125" style="1" customWidth="1"/>
    <col min="15894" max="15894" width="14.28515625" style="1" customWidth="1"/>
    <col min="15895" max="15895" width="18.28515625" style="1" customWidth="1"/>
    <col min="15896" max="15896" width="13" style="1" bestFit="1" customWidth="1"/>
    <col min="15897" max="15897" width="11.7109375" style="1" bestFit="1" customWidth="1"/>
    <col min="15898" max="15904" width="9.140625" style="1"/>
    <col min="15905" max="15905" width="11.28515625" style="1" bestFit="1" customWidth="1"/>
    <col min="15906" max="15906" width="10.7109375" style="1" bestFit="1" customWidth="1"/>
    <col min="15907" max="16128" width="9.140625" style="1"/>
    <col min="16129" max="16129" width="6.42578125" style="1" customWidth="1"/>
    <col min="16130" max="16130" width="20.7109375" style="1" customWidth="1"/>
    <col min="16131" max="16131" width="24.7109375" style="1" customWidth="1"/>
    <col min="16132" max="16132" width="11.140625" style="1" customWidth="1"/>
    <col min="16133" max="16133" width="12.28515625" style="1" customWidth="1"/>
    <col min="16134" max="16134" width="11.140625" style="1" customWidth="1"/>
    <col min="16135" max="16135" width="10.42578125" style="1" customWidth="1"/>
    <col min="16136" max="16136" width="4.7109375" style="1" customWidth="1"/>
    <col min="16137" max="16137" width="8.5703125" style="1" customWidth="1"/>
    <col min="16138" max="16138" width="5.5703125" style="1" customWidth="1"/>
    <col min="16139" max="16140" width="11.5703125" style="1" customWidth="1"/>
    <col min="16141" max="16141" width="10.85546875" style="1" customWidth="1"/>
    <col min="16142" max="16142" width="7.7109375" style="1" customWidth="1"/>
    <col min="16143" max="16143" width="8" style="1" customWidth="1"/>
    <col min="16144" max="16144" width="16.28515625" style="1" customWidth="1"/>
    <col min="16145" max="16145" width="10.5703125" style="1" customWidth="1"/>
    <col min="16146" max="16146" width="14.140625" style="1" customWidth="1"/>
    <col min="16147" max="16147" width="10.140625" style="1" customWidth="1"/>
    <col min="16148" max="16148" width="15.140625" style="1" customWidth="1"/>
    <col min="16149" max="16149" width="8.5703125" style="1" customWidth="1"/>
    <col min="16150" max="16150" width="14.28515625" style="1" customWidth="1"/>
    <col min="16151" max="16151" width="18.28515625" style="1" customWidth="1"/>
    <col min="16152" max="16152" width="13" style="1" bestFit="1" customWidth="1"/>
    <col min="16153" max="16153" width="11.7109375" style="1" bestFit="1" customWidth="1"/>
    <col min="16154" max="16160" width="9.140625" style="1"/>
    <col min="16161" max="16161" width="11.28515625" style="1" bestFit="1" customWidth="1"/>
    <col min="16162" max="16162" width="10.7109375" style="1" bestFit="1" customWidth="1"/>
    <col min="16163" max="16384" width="9.140625" style="1"/>
  </cols>
  <sheetData>
    <row r="1" spans="1:44" ht="9.75" customHeight="1">
      <c r="V1" s="3"/>
    </row>
    <row r="2" spans="1:44" ht="16.5" customHeight="1">
      <c r="A2" s="2258" t="s">
        <v>567</v>
      </c>
      <c r="B2" s="2258"/>
      <c r="C2" s="2258"/>
      <c r="D2" s="2258"/>
      <c r="E2" s="2258"/>
      <c r="F2" s="2258"/>
      <c r="G2" s="2258"/>
      <c r="H2" s="2258"/>
      <c r="I2" s="2258"/>
      <c r="J2" s="2258"/>
      <c r="K2" s="2258"/>
      <c r="L2" s="2258"/>
      <c r="M2" s="2258"/>
      <c r="N2" s="2258"/>
      <c r="O2" s="2258"/>
      <c r="P2" s="2258"/>
      <c r="Q2" s="2258"/>
      <c r="R2" s="2258"/>
      <c r="S2" s="2258"/>
      <c r="T2" s="2258"/>
      <c r="U2" s="2258"/>
      <c r="V2" s="2258"/>
      <c r="W2" s="2258"/>
      <c r="X2" s="2258"/>
      <c r="Y2" s="2258"/>
      <c r="Z2" s="24"/>
      <c r="AA2" s="24"/>
    </row>
    <row r="3" spans="1:44" ht="13.5" customHeight="1">
      <c r="A3" s="2259" t="s">
        <v>0</v>
      </c>
      <c r="B3" s="2259"/>
      <c r="C3" s="2259"/>
      <c r="D3" s="2259"/>
      <c r="E3" s="2259"/>
      <c r="F3" s="2259"/>
      <c r="G3" s="2259"/>
      <c r="H3" s="2259"/>
      <c r="I3" s="2259"/>
      <c r="J3" s="2259"/>
      <c r="K3" s="2259"/>
      <c r="L3" s="2259"/>
      <c r="M3" s="2259"/>
      <c r="N3" s="2259"/>
      <c r="O3" s="2259"/>
      <c r="P3" s="2259"/>
      <c r="Q3" s="2259"/>
      <c r="R3" s="2259"/>
      <c r="S3" s="2259"/>
      <c r="T3" s="2259"/>
      <c r="U3" s="2259"/>
      <c r="V3" s="2259"/>
      <c r="W3" s="2259"/>
      <c r="X3" s="2259"/>
      <c r="Y3" s="2259"/>
      <c r="Z3" s="24"/>
      <c r="AA3" s="24"/>
    </row>
    <row r="4" spans="1:44" s="351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5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304" t="s">
        <v>395</v>
      </c>
      <c r="P4" s="2256" t="s">
        <v>396</v>
      </c>
      <c r="Q4" s="2256" t="s">
        <v>16</v>
      </c>
      <c r="R4" s="2256" t="s">
        <v>17</v>
      </c>
      <c r="S4" s="2256"/>
      <c r="T4" s="2256" t="s">
        <v>18</v>
      </c>
      <c r="U4" s="2256"/>
      <c r="V4" s="2256" t="s">
        <v>19</v>
      </c>
      <c r="W4" s="2256"/>
      <c r="X4" s="880"/>
      <c r="Y4" s="2306" t="s">
        <v>401</v>
      </c>
      <c r="Z4" s="2260" t="s">
        <v>393</v>
      </c>
      <c r="AA4" s="2305" t="s">
        <v>394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</row>
    <row r="5" spans="1:44" s="351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304"/>
      <c r="P5" s="2256"/>
      <c r="Q5" s="2256"/>
      <c r="R5" s="349" t="s">
        <v>21</v>
      </c>
      <c r="S5" s="349" t="s">
        <v>22</v>
      </c>
      <c r="T5" s="349" t="s">
        <v>21</v>
      </c>
      <c r="U5" s="349" t="s">
        <v>22</v>
      </c>
      <c r="V5" s="349" t="s">
        <v>21</v>
      </c>
      <c r="W5" s="349" t="s">
        <v>22</v>
      </c>
      <c r="X5" s="880"/>
      <c r="Y5" s="2323"/>
      <c r="Z5" s="2260"/>
      <c r="AA5" s="2305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</row>
    <row r="6" spans="1:44" s="80" customFormat="1" ht="15" customHeight="1">
      <c r="A6" s="5">
        <v>1</v>
      </c>
      <c r="B6" s="730" t="s">
        <v>23</v>
      </c>
      <c r="C6" s="6" t="s">
        <v>24</v>
      </c>
      <c r="D6" s="5" t="s">
        <v>25</v>
      </c>
      <c r="E6" s="5" t="s">
        <v>26</v>
      </c>
      <c r="F6" s="5" t="s">
        <v>27</v>
      </c>
      <c r="G6" s="5">
        <v>1</v>
      </c>
      <c r="H6" s="5" t="s">
        <v>28</v>
      </c>
      <c r="I6" s="5" t="s">
        <v>29</v>
      </c>
      <c r="J6" s="731" t="s">
        <v>30</v>
      </c>
      <c r="K6" s="7">
        <v>17697</v>
      </c>
      <c r="L6" s="7"/>
      <c r="M6" s="7">
        <v>1</v>
      </c>
      <c r="N6" s="7"/>
      <c r="O6" s="7">
        <v>5.65</v>
      </c>
      <c r="P6" s="7"/>
      <c r="Q6" s="5">
        <f>O6*K6</f>
        <v>99988.05</v>
      </c>
      <c r="R6" s="7"/>
      <c r="S6" s="8"/>
      <c r="T6" s="7">
        <v>0.1</v>
      </c>
      <c r="U6" s="732">
        <f>T6*Q6</f>
        <v>9998.8050000000003</v>
      </c>
      <c r="V6" s="7"/>
      <c r="W6" s="9"/>
      <c r="X6" s="881">
        <f>'расчеты к штатному'!X6</f>
        <v>151353.5925</v>
      </c>
      <c r="Y6" s="10">
        <f>Q6+S6+U6</f>
        <v>109986.85500000001</v>
      </c>
      <c r="Z6" s="274">
        <f>R6+T6+V6</f>
        <v>0.1</v>
      </c>
      <c r="AA6" s="274">
        <f>S6+U6+W6</f>
        <v>9998.8050000000003</v>
      </c>
      <c r="AB6" s="906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4"/>
      <c r="AO6" s="24"/>
      <c r="AP6" s="24"/>
      <c r="AQ6" s="24"/>
      <c r="AR6" s="24"/>
    </row>
    <row r="7" spans="1:44" s="80" customFormat="1" ht="15" customHeight="1">
      <c r="A7" s="5">
        <v>2</v>
      </c>
      <c r="B7" s="730" t="s">
        <v>31</v>
      </c>
      <c r="C7" s="6" t="s">
        <v>32</v>
      </c>
      <c r="D7" s="5" t="s">
        <v>25</v>
      </c>
      <c r="E7" s="11" t="s">
        <v>33</v>
      </c>
      <c r="F7" s="12" t="s">
        <v>34</v>
      </c>
      <c r="G7" s="5">
        <v>1</v>
      </c>
      <c r="H7" s="5" t="s">
        <v>28</v>
      </c>
      <c r="I7" s="5" t="s">
        <v>35</v>
      </c>
      <c r="J7" s="733" t="s">
        <v>30</v>
      </c>
      <c r="K7" s="7">
        <v>17697</v>
      </c>
      <c r="L7" s="7"/>
      <c r="M7" s="7">
        <v>1</v>
      </c>
      <c r="N7" s="7"/>
      <c r="O7" s="5">
        <v>5.15</v>
      </c>
      <c r="P7" s="5"/>
      <c r="Q7" s="7">
        <f>O7*K7</f>
        <v>91139.55</v>
      </c>
      <c r="R7" s="8"/>
      <c r="S7" s="7"/>
      <c r="T7" s="7">
        <v>0.1</v>
      </c>
      <c r="U7" s="7">
        <f>ROUND(Q7*T7*M7,2)</f>
        <v>9113.9599999999991</v>
      </c>
      <c r="V7" s="9"/>
      <c r="W7" s="7"/>
      <c r="X7" s="882"/>
      <c r="Y7" s="10">
        <f t="shared" ref="Y7:AA25" si="0">Q7+S7+U7</f>
        <v>100253.51000000001</v>
      </c>
      <c r="Z7" s="274">
        <f t="shared" si="0"/>
        <v>0.1</v>
      </c>
      <c r="AA7" s="274">
        <f t="shared" si="0"/>
        <v>9113.9599999999991</v>
      </c>
      <c r="AB7" s="24"/>
      <c r="AC7" s="24"/>
      <c r="AD7" s="24"/>
      <c r="AE7" s="24"/>
      <c r="AF7" s="24"/>
      <c r="AG7" s="907"/>
      <c r="AH7" s="22"/>
      <c r="AI7" s="24"/>
      <c r="AJ7" s="24"/>
      <c r="AK7" s="24"/>
      <c r="AL7" s="24"/>
      <c r="AM7" s="24"/>
      <c r="AN7" s="24"/>
      <c r="AO7" s="24"/>
      <c r="AP7" s="24"/>
      <c r="AQ7" s="24"/>
      <c r="AR7" s="24"/>
    </row>
    <row r="8" spans="1:44" s="129" customFormat="1" ht="15" customHeight="1">
      <c r="A8" s="5">
        <v>3</v>
      </c>
      <c r="B8" s="13" t="s">
        <v>36</v>
      </c>
      <c r="C8" s="6" t="s">
        <v>32</v>
      </c>
      <c r="D8" s="14" t="s">
        <v>25</v>
      </c>
      <c r="E8" s="14" t="s">
        <v>37</v>
      </c>
      <c r="F8" s="12" t="s">
        <v>34</v>
      </c>
      <c r="G8" s="14">
        <v>1</v>
      </c>
      <c r="H8" s="5" t="s">
        <v>28</v>
      </c>
      <c r="I8" s="5" t="s">
        <v>35</v>
      </c>
      <c r="J8" s="14">
        <v>3</v>
      </c>
      <c r="K8" s="15">
        <v>17697</v>
      </c>
      <c r="L8" s="15"/>
      <c r="M8" s="15">
        <v>1</v>
      </c>
      <c r="N8" s="7"/>
      <c r="O8" s="16">
        <v>5.15</v>
      </c>
      <c r="P8" s="16"/>
      <c r="Q8" s="7">
        <f>O8*K8</f>
        <v>91139.55</v>
      </c>
      <c r="R8" s="8"/>
      <c r="S8" s="7"/>
      <c r="T8" s="7">
        <v>0.1</v>
      </c>
      <c r="U8" s="7">
        <f>ROUND(Q8*T8*M8,2)</f>
        <v>9113.9599999999991</v>
      </c>
      <c r="V8" s="9"/>
      <c r="W8" s="7"/>
      <c r="X8" s="882"/>
      <c r="Y8" s="10">
        <f t="shared" si="0"/>
        <v>100253.51000000001</v>
      </c>
      <c r="Z8" s="274">
        <f t="shared" si="0"/>
        <v>0.1</v>
      </c>
      <c r="AA8" s="274">
        <f t="shared" si="0"/>
        <v>9113.9599999999991</v>
      </c>
      <c r="AB8" s="908"/>
      <c r="AC8" s="908"/>
      <c r="AD8" s="908"/>
      <c r="AE8" s="908"/>
      <c r="AF8" s="908"/>
      <c r="AG8" s="909"/>
      <c r="AH8" s="910"/>
      <c r="AI8" s="908"/>
      <c r="AJ8" s="908"/>
      <c r="AK8" s="908"/>
      <c r="AL8" s="908"/>
      <c r="AM8" s="908"/>
      <c r="AN8" s="908"/>
      <c r="AO8" s="908"/>
      <c r="AP8" s="908"/>
      <c r="AQ8" s="908"/>
      <c r="AR8" s="908"/>
    </row>
    <row r="9" spans="1:44" s="132" customFormat="1" ht="15">
      <c r="A9" s="5">
        <v>4</v>
      </c>
      <c r="B9" s="17" t="s">
        <v>38</v>
      </c>
      <c r="C9" s="6" t="s">
        <v>32</v>
      </c>
      <c r="D9" s="16" t="s">
        <v>25</v>
      </c>
      <c r="E9" s="16" t="s">
        <v>39</v>
      </c>
      <c r="F9" s="734" t="s">
        <v>40</v>
      </c>
      <c r="G9" s="16">
        <v>1</v>
      </c>
      <c r="H9" s="5" t="s">
        <v>28</v>
      </c>
      <c r="I9" s="5" t="s">
        <v>35</v>
      </c>
      <c r="J9" s="735">
        <v>3</v>
      </c>
      <c r="K9" s="18">
        <v>17697</v>
      </c>
      <c r="L9" s="18"/>
      <c r="M9" s="18">
        <v>1</v>
      </c>
      <c r="N9" s="18"/>
      <c r="O9" s="16">
        <v>5.15</v>
      </c>
      <c r="P9" s="16"/>
      <c r="Q9" s="18">
        <f t="shared" ref="Q9:Q22" si="1">O9*K9*M9</f>
        <v>91139.55</v>
      </c>
      <c r="R9" s="19">
        <v>0.25</v>
      </c>
      <c r="S9" s="18">
        <f>R9*Q9</f>
        <v>22784.887500000001</v>
      </c>
      <c r="T9" s="7">
        <v>0.1</v>
      </c>
      <c r="U9" s="18">
        <f>ROUND(Q9*T9,2)</f>
        <v>9113.9599999999991</v>
      </c>
      <c r="V9" s="736"/>
      <c r="W9" s="18"/>
      <c r="X9" s="883"/>
      <c r="Y9" s="10">
        <f t="shared" si="0"/>
        <v>123038.39749999999</v>
      </c>
      <c r="Z9" s="274">
        <f t="shared" si="0"/>
        <v>0.35</v>
      </c>
      <c r="AA9" s="274">
        <f t="shared" si="0"/>
        <v>31898.8475</v>
      </c>
      <c r="AB9" s="23"/>
      <c r="AC9" s="23"/>
      <c r="AD9" s="906"/>
      <c r="AE9" s="906"/>
      <c r="AF9" s="23"/>
      <c r="AG9" s="911"/>
      <c r="AH9" s="911"/>
      <c r="AI9" s="911"/>
      <c r="AJ9" s="911"/>
      <c r="AK9" s="911"/>
      <c r="AL9" s="911"/>
      <c r="AM9" s="911"/>
      <c r="AN9" s="911"/>
      <c r="AO9" s="912"/>
      <c r="AP9" s="913">
        <f>Q9+U9+S9+W9</f>
        <v>123038.39750000001</v>
      </c>
      <c r="AQ9" s="911"/>
      <c r="AR9" s="911"/>
    </row>
    <row r="10" spans="1:44" s="80" customFormat="1" ht="15" customHeight="1">
      <c r="A10" s="5">
        <v>5</v>
      </c>
      <c r="B10" s="730" t="s">
        <v>41</v>
      </c>
      <c r="C10" s="6" t="s">
        <v>42</v>
      </c>
      <c r="D10" s="5" t="s">
        <v>25</v>
      </c>
      <c r="E10" s="5" t="s">
        <v>43</v>
      </c>
      <c r="F10" s="5" t="s">
        <v>27</v>
      </c>
      <c r="G10" s="5">
        <v>1</v>
      </c>
      <c r="H10" s="20" t="s">
        <v>28</v>
      </c>
      <c r="I10" s="20" t="s">
        <v>29</v>
      </c>
      <c r="J10" s="731" t="s">
        <v>44</v>
      </c>
      <c r="K10" s="7">
        <v>17697</v>
      </c>
      <c r="L10" s="7"/>
      <c r="M10" s="7">
        <v>1</v>
      </c>
      <c r="N10" s="7"/>
      <c r="O10" s="21" t="s">
        <v>509</v>
      </c>
      <c r="P10" s="21"/>
      <c r="Q10" s="18">
        <f t="shared" si="1"/>
        <v>95032.89</v>
      </c>
      <c r="R10" s="7"/>
      <c r="S10" s="8"/>
      <c r="T10" s="7">
        <v>0.1</v>
      </c>
      <c r="U10" s="18">
        <f t="shared" ref="U10:U25" si="2">ROUND(Q10*T10,2)</f>
        <v>9503.2900000000009</v>
      </c>
      <c r="V10" s="7"/>
      <c r="W10" s="9"/>
      <c r="X10" s="881"/>
      <c r="Y10" s="10">
        <f t="shared" si="0"/>
        <v>104536.18</v>
      </c>
      <c r="Z10" s="274">
        <f t="shared" si="0"/>
        <v>0.1</v>
      </c>
      <c r="AA10" s="274">
        <f t="shared" si="0"/>
        <v>9503.2900000000009</v>
      </c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4"/>
      <c r="AO10" s="24"/>
      <c r="AP10" s="24"/>
      <c r="AQ10" s="24"/>
      <c r="AR10" s="24"/>
    </row>
    <row r="11" spans="1:44" s="80" customFormat="1" ht="15" customHeight="1">
      <c r="A11" s="5">
        <v>6</v>
      </c>
      <c r="B11" s="730" t="s">
        <v>45</v>
      </c>
      <c r="C11" s="6" t="s">
        <v>46</v>
      </c>
      <c r="D11" s="560" t="s">
        <v>25</v>
      </c>
      <c r="E11" s="582" t="s">
        <v>47</v>
      </c>
      <c r="F11" s="582" t="s">
        <v>34</v>
      </c>
      <c r="G11" s="560">
        <v>1</v>
      </c>
      <c r="H11" s="5" t="s">
        <v>28</v>
      </c>
      <c r="I11" s="5" t="s">
        <v>29</v>
      </c>
      <c r="J11" s="731" t="s">
        <v>44</v>
      </c>
      <c r="K11" s="7">
        <v>17697</v>
      </c>
      <c r="L11" s="7"/>
      <c r="M11" s="7">
        <v>1</v>
      </c>
      <c r="N11" s="7"/>
      <c r="O11" s="7">
        <v>5.37</v>
      </c>
      <c r="P11" s="7"/>
      <c r="Q11" s="18">
        <f t="shared" si="1"/>
        <v>95032.89</v>
      </c>
      <c r="R11" s="19"/>
      <c r="S11" s="7"/>
      <c r="T11" s="7">
        <v>0.1</v>
      </c>
      <c r="U11" s="18">
        <f t="shared" si="2"/>
        <v>9503.2900000000009</v>
      </c>
      <c r="V11" s="9"/>
      <c r="W11" s="7"/>
      <c r="X11" s="882"/>
      <c r="Y11" s="10">
        <f t="shared" si="0"/>
        <v>104536.18</v>
      </c>
      <c r="Z11" s="274">
        <f t="shared" si="0"/>
        <v>0.1</v>
      </c>
      <c r="AA11" s="274">
        <f t="shared" si="0"/>
        <v>9503.2900000000009</v>
      </c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</row>
    <row r="12" spans="1:44" s="80" customFormat="1" ht="15" customHeight="1">
      <c r="A12" s="5">
        <v>7</v>
      </c>
      <c r="B12" s="730" t="s">
        <v>48</v>
      </c>
      <c r="C12" s="6" t="s">
        <v>49</v>
      </c>
      <c r="D12" s="5" t="s">
        <v>25</v>
      </c>
      <c r="E12" s="5" t="s">
        <v>50</v>
      </c>
      <c r="F12" s="5" t="s">
        <v>51</v>
      </c>
      <c r="G12" s="5">
        <v>1</v>
      </c>
      <c r="H12" s="20" t="s">
        <v>28</v>
      </c>
      <c r="I12" s="20" t="s">
        <v>35</v>
      </c>
      <c r="J12" s="731" t="s">
        <v>30</v>
      </c>
      <c r="K12" s="7">
        <v>17697</v>
      </c>
      <c r="L12" s="7"/>
      <c r="M12" s="7">
        <v>1</v>
      </c>
      <c r="N12" s="7"/>
      <c r="O12" s="21" t="s">
        <v>510</v>
      </c>
      <c r="P12" s="21"/>
      <c r="Q12" s="18">
        <f t="shared" si="1"/>
        <v>88661.97</v>
      </c>
      <c r="R12" s="7"/>
      <c r="S12" s="8"/>
      <c r="T12" s="7">
        <v>0.1</v>
      </c>
      <c r="U12" s="18">
        <f t="shared" si="2"/>
        <v>8866.2000000000007</v>
      </c>
      <c r="V12" s="7"/>
      <c r="W12" s="9"/>
      <c r="X12" s="881"/>
      <c r="Y12" s="10">
        <f t="shared" si="0"/>
        <v>97528.17</v>
      </c>
      <c r="Z12" s="274">
        <f t="shared" si="0"/>
        <v>0.1</v>
      </c>
      <c r="AA12" s="274">
        <f t="shared" si="0"/>
        <v>8866.2000000000007</v>
      </c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4"/>
      <c r="AO12" s="24"/>
      <c r="AP12" s="24"/>
      <c r="AQ12" s="24"/>
      <c r="AR12" s="24"/>
    </row>
    <row r="13" spans="1:44" s="80" customFormat="1" ht="15" customHeight="1">
      <c r="A13" s="5">
        <v>8</v>
      </c>
      <c r="B13" s="26" t="s">
        <v>52</v>
      </c>
      <c r="C13" s="6" t="s">
        <v>53</v>
      </c>
      <c r="D13" s="5" t="s">
        <v>25</v>
      </c>
      <c r="E13" s="5" t="s">
        <v>54</v>
      </c>
      <c r="F13" s="5" t="s">
        <v>55</v>
      </c>
      <c r="G13" s="5">
        <v>1</v>
      </c>
      <c r="H13" s="20" t="s">
        <v>56</v>
      </c>
      <c r="I13" s="20" t="s">
        <v>56</v>
      </c>
      <c r="J13" s="731" t="s">
        <v>57</v>
      </c>
      <c r="K13" s="7">
        <v>17697</v>
      </c>
      <c r="L13" s="7"/>
      <c r="M13" s="7">
        <v>1</v>
      </c>
      <c r="N13" s="7"/>
      <c r="O13" s="21" t="s">
        <v>511</v>
      </c>
      <c r="P13" s="21"/>
      <c r="Q13" s="18">
        <f t="shared" si="1"/>
        <v>60169.799999999996</v>
      </c>
      <c r="R13" s="7"/>
      <c r="S13" s="8"/>
      <c r="T13" s="7">
        <v>0.1</v>
      </c>
      <c r="U13" s="18">
        <f t="shared" si="2"/>
        <v>6016.98</v>
      </c>
      <c r="V13" s="7"/>
      <c r="W13" s="9"/>
      <c r="X13" s="881"/>
      <c r="Y13" s="10">
        <f t="shared" si="0"/>
        <v>66186.78</v>
      </c>
      <c r="Z13" s="274">
        <f t="shared" si="0"/>
        <v>0.1</v>
      </c>
      <c r="AA13" s="274">
        <f t="shared" si="0"/>
        <v>6016.98</v>
      </c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4"/>
      <c r="AO13" s="24"/>
      <c r="AP13" s="24"/>
      <c r="AQ13" s="24"/>
      <c r="AR13" s="24"/>
    </row>
    <row r="14" spans="1:44" s="80" customFormat="1" ht="18" customHeight="1">
      <c r="A14" s="5">
        <v>9</v>
      </c>
      <c r="B14" s="26" t="s">
        <v>399</v>
      </c>
      <c r="C14" s="6" t="s">
        <v>59</v>
      </c>
      <c r="D14" s="5" t="s">
        <v>25</v>
      </c>
      <c r="E14" s="34" t="s">
        <v>418</v>
      </c>
      <c r="F14" s="5" t="s">
        <v>77</v>
      </c>
      <c r="G14" s="40">
        <v>1</v>
      </c>
      <c r="H14" s="5" t="s">
        <v>61</v>
      </c>
      <c r="I14" s="5" t="s">
        <v>61</v>
      </c>
      <c r="J14" s="27">
        <v>1</v>
      </c>
      <c r="K14" s="7">
        <v>17697</v>
      </c>
      <c r="L14" s="7"/>
      <c r="M14" s="7">
        <v>1</v>
      </c>
      <c r="N14" s="732"/>
      <c r="O14" s="21" t="s">
        <v>512</v>
      </c>
      <c r="P14" s="21"/>
      <c r="Q14" s="18">
        <f t="shared" si="1"/>
        <v>44950.38</v>
      </c>
      <c r="R14" s="7"/>
      <c r="S14" s="8"/>
      <c r="T14" s="7">
        <v>0.1</v>
      </c>
      <c r="U14" s="18">
        <f>ROUND(Q14*T14,2)</f>
        <v>4495.04</v>
      </c>
      <c r="V14" s="7"/>
      <c r="W14" s="9"/>
      <c r="X14" s="881"/>
      <c r="Y14" s="10">
        <f>Q14+S14+U14</f>
        <v>49445.42</v>
      </c>
      <c r="Z14" s="274">
        <f t="shared" si="0"/>
        <v>0.1</v>
      </c>
      <c r="AA14" s="274">
        <f t="shared" si="0"/>
        <v>4495.04</v>
      </c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4"/>
      <c r="AO14" s="24"/>
      <c r="AP14" s="24"/>
      <c r="AQ14" s="24"/>
      <c r="AR14" s="24"/>
    </row>
    <row r="15" spans="1:44" s="80" customFormat="1" ht="15" customHeight="1">
      <c r="A15" s="5">
        <v>10</v>
      </c>
      <c r="B15" s="26" t="s">
        <v>62</v>
      </c>
      <c r="C15" s="13" t="s">
        <v>63</v>
      </c>
      <c r="D15" s="5" t="s">
        <v>64</v>
      </c>
      <c r="E15" s="5" t="s">
        <v>412</v>
      </c>
      <c r="F15" s="5" t="s">
        <v>66</v>
      </c>
      <c r="G15" s="5">
        <v>1</v>
      </c>
      <c r="H15" s="20" t="s">
        <v>56</v>
      </c>
      <c r="I15" s="20" t="s">
        <v>56</v>
      </c>
      <c r="J15" s="27">
        <v>3</v>
      </c>
      <c r="K15" s="7">
        <v>17697</v>
      </c>
      <c r="L15" s="7"/>
      <c r="M15" s="7">
        <v>1</v>
      </c>
      <c r="N15" s="7"/>
      <c r="O15" s="7">
        <v>3.57</v>
      </c>
      <c r="P15" s="7"/>
      <c r="Q15" s="18">
        <f t="shared" si="1"/>
        <v>63178.289999999994</v>
      </c>
      <c r="R15" s="7"/>
      <c r="S15" s="8"/>
      <c r="T15" s="7">
        <v>0.1</v>
      </c>
      <c r="U15" s="18">
        <f t="shared" si="2"/>
        <v>6317.83</v>
      </c>
      <c r="V15" s="7"/>
      <c r="W15" s="9"/>
      <c r="X15" s="881"/>
      <c r="Y15" s="10">
        <f t="shared" si="0"/>
        <v>69496.12</v>
      </c>
      <c r="Z15" s="274">
        <f t="shared" si="0"/>
        <v>0.1</v>
      </c>
      <c r="AA15" s="274">
        <f t="shared" si="0"/>
        <v>6317.83</v>
      </c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4"/>
      <c r="AO15" s="24"/>
      <c r="AP15" s="24"/>
      <c r="AQ15" s="24"/>
      <c r="AR15" s="24"/>
    </row>
    <row r="16" spans="1:44" s="80" customFormat="1" ht="15" customHeight="1">
      <c r="A16" s="5">
        <v>11</v>
      </c>
      <c r="B16" s="26" t="s">
        <v>400</v>
      </c>
      <c r="C16" s="13" t="s">
        <v>63</v>
      </c>
      <c r="D16" s="5" t="s">
        <v>64</v>
      </c>
      <c r="E16" s="732">
        <v>0</v>
      </c>
      <c r="F16" s="5" t="s">
        <v>159</v>
      </c>
      <c r="G16" s="5">
        <v>1.5</v>
      </c>
      <c r="H16" s="20" t="s">
        <v>69</v>
      </c>
      <c r="I16" s="20" t="s">
        <v>69</v>
      </c>
      <c r="J16" s="737" t="s">
        <v>30</v>
      </c>
      <c r="K16" s="7">
        <v>17697</v>
      </c>
      <c r="L16" s="7"/>
      <c r="M16" s="7">
        <v>1.5</v>
      </c>
      <c r="N16" s="7"/>
      <c r="O16" s="5">
        <v>2.76</v>
      </c>
      <c r="P16" s="5"/>
      <c r="Q16" s="18">
        <f>O16*K16*M16</f>
        <v>73265.579999999987</v>
      </c>
      <c r="R16" s="8"/>
      <c r="S16" s="7"/>
      <c r="T16" s="7">
        <v>0.1</v>
      </c>
      <c r="U16" s="18">
        <f t="shared" si="2"/>
        <v>7326.56</v>
      </c>
      <c r="V16" s="9"/>
      <c r="W16" s="7"/>
      <c r="X16" s="882"/>
      <c r="Y16" s="10">
        <f>Q16+S16+U16</f>
        <v>80592.139999999985</v>
      </c>
      <c r="Z16" s="274">
        <f t="shared" si="0"/>
        <v>0.1</v>
      </c>
      <c r="AA16" s="274">
        <f t="shared" si="0"/>
        <v>7326.56</v>
      </c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</row>
    <row r="17" spans="1:44" s="129" customFormat="1" ht="15.75" customHeight="1">
      <c r="A17" s="5">
        <v>12</v>
      </c>
      <c r="B17" s="13" t="s">
        <v>378</v>
      </c>
      <c r="C17" s="13" t="s">
        <v>63</v>
      </c>
      <c r="D17" s="5" t="s">
        <v>64</v>
      </c>
      <c r="E17" s="14">
        <v>0</v>
      </c>
      <c r="F17" s="5" t="s">
        <v>159</v>
      </c>
      <c r="G17" s="5">
        <v>0.5</v>
      </c>
      <c r="H17" s="15" t="s">
        <v>56</v>
      </c>
      <c r="I17" s="15" t="s">
        <v>56</v>
      </c>
      <c r="J17" s="14">
        <v>3</v>
      </c>
      <c r="K17" s="15">
        <v>17697</v>
      </c>
      <c r="L17" s="15"/>
      <c r="M17" s="7">
        <v>0.5</v>
      </c>
      <c r="N17" s="21"/>
      <c r="O17" s="5">
        <v>2.76</v>
      </c>
      <c r="P17" s="7"/>
      <c r="Q17" s="18">
        <f t="shared" si="1"/>
        <v>24421.859999999997</v>
      </c>
      <c r="R17" s="8"/>
      <c r="S17" s="7"/>
      <c r="T17" s="7">
        <v>0.1</v>
      </c>
      <c r="U17" s="18">
        <f t="shared" si="2"/>
        <v>2442.19</v>
      </c>
      <c r="V17" s="9"/>
      <c r="W17" s="7"/>
      <c r="X17" s="882"/>
      <c r="Y17" s="10">
        <f t="shared" si="0"/>
        <v>26864.049999999996</v>
      </c>
      <c r="Z17" s="274">
        <f t="shared" si="0"/>
        <v>0.1</v>
      </c>
      <c r="AA17" s="274">
        <f t="shared" si="0"/>
        <v>2442.19</v>
      </c>
      <c r="AB17" s="908"/>
      <c r="AC17" s="908"/>
      <c r="AD17" s="908"/>
      <c r="AE17" s="908"/>
      <c r="AF17" s="908"/>
      <c r="AG17" s="908"/>
      <c r="AH17" s="908"/>
      <c r="AI17" s="908"/>
      <c r="AJ17" s="908"/>
      <c r="AK17" s="908"/>
      <c r="AL17" s="908"/>
      <c r="AM17" s="908"/>
      <c r="AN17" s="908"/>
      <c r="AO17" s="908"/>
      <c r="AP17" s="908"/>
      <c r="AQ17" s="908"/>
      <c r="AR17" s="908"/>
    </row>
    <row r="18" spans="1:44" s="129" customFormat="1" ht="15.75" customHeight="1">
      <c r="A18" s="5">
        <v>13</v>
      </c>
      <c r="B18" s="13" t="s">
        <v>70</v>
      </c>
      <c r="C18" s="13" t="s">
        <v>71</v>
      </c>
      <c r="D18" s="5" t="s">
        <v>25</v>
      </c>
      <c r="E18" s="14" t="s">
        <v>72</v>
      </c>
      <c r="F18" s="5" t="s">
        <v>73</v>
      </c>
      <c r="G18" s="5">
        <v>1</v>
      </c>
      <c r="H18" s="738" t="s">
        <v>56</v>
      </c>
      <c r="I18" s="738" t="s">
        <v>56</v>
      </c>
      <c r="J18" s="738">
        <v>2</v>
      </c>
      <c r="K18" s="15">
        <v>17697</v>
      </c>
      <c r="L18" s="15"/>
      <c r="M18" s="10">
        <v>0.5</v>
      </c>
      <c r="N18" s="21"/>
      <c r="O18" s="7">
        <v>3.54</v>
      </c>
      <c r="P18" s="7"/>
      <c r="Q18" s="18">
        <f>O18*K18*M18</f>
        <v>31323.69</v>
      </c>
      <c r="R18" s="8"/>
      <c r="S18" s="7"/>
      <c r="T18" s="7">
        <v>0.1</v>
      </c>
      <c r="U18" s="18">
        <f>ROUND(Q18*T18,2)</f>
        <v>3132.37</v>
      </c>
      <c r="V18" s="9">
        <v>0.2</v>
      </c>
      <c r="W18" s="7">
        <f>V18*K18*50%</f>
        <v>1769.7</v>
      </c>
      <c r="X18" s="882"/>
      <c r="Y18" s="10">
        <f>Q18+S18+U18+W18</f>
        <v>36225.759999999995</v>
      </c>
      <c r="Z18" s="274">
        <f>R18+T18+V18+Y18</f>
        <v>36226.06</v>
      </c>
      <c r="AA18" s="274">
        <f>S18+U18+W18+Z18</f>
        <v>41128.129999999997</v>
      </c>
      <c r="AB18" s="908"/>
      <c r="AC18" s="908"/>
      <c r="AD18" s="908"/>
      <c r="AE18" s="908"/>
      <c r="AF18" s="908"/>
      <c r="AG18" s="908"/>
      <c r="AH18" s="908"/>
      <c r="AI18" s="908"/>
      <c r="AJ18" s="908"/>
      <c r="AK18" s="908"/>
      <c r="AL18" s="908"/>
      <c r="AM18" s="908"/>
      <c r="AN18" s="908"/>
      <c r="AO18" s="908"/>
      <c r="AP18" s="908"/>
      <c r="AQ18" s="908"/>
      <c r="AR18" s="908"/>
    </row>
    <row r="19" spans="1:44" s="129" customFormat="1" ht="15.75" customHeight="1">
      <c r="A19" s="5">
        <v>14</v>
      </c>
      <c r="B19" s="13" t="s">
        <v>378</v>
      </c>
      <c r="C19" s="13" t="s">
        <v>71</v>
      </c>
      <c r="D19" s="5" t="s">
        <v>75</v>
      </c>
      <c r="E19" s="14">
        <v>0</v>
      </c>
      <c r="F19" s="5" t="s">
        <v>159</v>
      </c>
      <c r="G19" s="5">
        <v>0.5</v>
      </c>
      <c r="H19" s="15" t="s">
        <v>56</v>
      </c>
      <c r="I19" s="15" t="s">
        <v>56</v>
      </c>
      <c r="J19" s="14">
        <v>3</v>
      </c>
      <c r="K19" s="15">
        <v>17697</v>
      </c>
      <c r="L19" s="15"/>
      <c r="M19" s="10">
        <v>0.5</v>
      </c>
      <c r="N19" s="21"/>
      <c r="O19" s="5">
        <v>2.76</v>
      </c>
      <c r="P19" s="7"/>
      <c r="Q19" s="18">
        <f>O19*K19*M19</f>
        <v>24421.859999999997</v>
      </c>
      <c r="R19" s="8"/>
      <c r="S19" s="7"/>
      <c r="T19" s="7">
        <v>0.1</v>
      </c>
      <c r="U19" s="18">
        <f t="shared" si="2"/>
        <v>2442.19</v>
      </c>
      <c r="V19" s="9">
        <v>0.2</v>
      </c>
      <c r="W19" s="7">
        <f>V19*K19*50%</f>
        <v>1769.7</v>
      </c>
      <c r="X19" s="882"/>
      <c r="Y19" s="10">
        <f>Q19+S19+U19+W19</f>
        <v>28633.749999999996</v>
      </c>
      <c r="Z19" s="274">
        <f>R19+T19+V19+Y19</f>
        <v>28634.049999999996</v>
      </c>
      <c r="AA19" s="274">
        <f>S19+U19+W19+Z19</f>
        <v>32845.939999999995</v>
      </c>
      <c r="AB19" s="908"/>
      <c r="AC19" s="908"/>
      <c r="AD19" s="908"/>
      <c r="AE19" s="908"/>
      <c r="AF19" s="908"/>
      <c r="AG19" s="908"/>
      <c r="AH19" s="908"/>
      <c r="AI19" s="908"/>
      <c r="AJ19" s="908"/>
      <c r="AK19" s="908"/>
      <c r="AL19" s="908"/>
      <c r="AM19" s="908"/>
      <c r="AN19" s="908"/>
      <c r="AO19" s="908"/>
      <c r="AP19" s="908"/>
      <c r="AQ19" s="908"/>
      <c r="AR19" s="908"/>
    </row>
    <row r="20" spans="1:44" s="80" customFormat="1" ht="15" customHeight="1">
      <c r="A20" s="5">
        <v>15</v>
      </c>
      <c r="B20" s="26" t="s">
        <v>78</v>
      </c>
      <c r="C20" s="6" t="s">
        <v>79</v>
      </c>
      <c r="D20" s="5" t="s">
        <v>25</v>
      </c>
      <c r="E20" s="5" t="s">
        <v>413</v>
      </c>
      <c r="F20" s="5" t="s">
        <v>73</v>
      </c>
      <c r="G20" s="5">
        <v>1</v>
      </c>
      <c r="H20" s="5" t="s">
        <v>56</v>
      </c>
      <c r="I20" s="5" t="s">
        <v>56</v>
      </c>
      <c r="J20" s="27">
        <v>2</v>
      </c>
      <c r="K20" s="7">
        <v>17697</v>
      </c>
      <c r="L20" s="7"/>
      <c r="M20" s="7">
        <v>0.5</v>
      </c>
      <c r="N20" s="739"/>
      <c r="O20" s="7">
        <v>3.54</v>
      </c>
      <c r="P20" s="7"/>
      <c r="Q20" s="18">
        <f t="shared" si="1"/>
        <v>31323.69</v>
      </c>
      <c r="R20" s="7"/>
      <c r="S20" s="8"/>
      <c r="T20" s="7">
        <v>0.1</v>
      </c>
      <c r="U20" s="18">
        <f t="shared" si="2"/>
        <v>3132.37</v>
      </c>
      <c r="V20" s="7"/>
      <c r="W20" s="9"/>
      <c r="X20" s="881"/>
      <c r="Y20" s="10">
        <f t="shared" si="0"/>
        <v>34456.06</v>
      </c>
      <c r="Z20" s="274">
        <f t="shared" si="0"/>
        <v>0.1</v>
      </c>
      <c r="AA20" s="274">
        <f t="shared" si="0"/>
        <v>3132.37</v>
      </c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4"/>
      <c r="AO20" s="24"/>
      <c r="AP20" s="24"/>
      <c r="AQ20" s="24"/>
      <c r="AR20" s="24"/>
    </row>
    <row r="21" spans="1:44" s="78" customFormat="1" ht="15.75" customHeight="1">
      <c r="A21" s="5">
        <v>16</v>
      </c>
      <c r="B21" s="29" t="s">
        <v>81</v>
      </c>
      <c r="C21" s="6" t="s">
        <v>82</v>
      </c>
      <c r="D21" s="30" t="s">
        <v>64</v>
      </c>
      <c r="E21" s="5" t="s">
        <v>413</v>
      </c>
      <c r="F21" s="30" t="s">
        <v>84</v>
      </c>
      <c r="G21" s="21">
        <v>1</v>
      </c>
      <c r="H21" s="20" t="s">
        <v>56</v>
      </c>
      <c r="I21" s="5" t="s">
        <v>56</v>
      </c>
      <c r="J21" s="20">
        <v>3</v>
      </c>
      <c r="K21" s="7">
        <v>17697</v>
      </c>
      <c r="L21" s="7"/>
      <c r="M21" s="7">
        <v>1</v>
      </c>
      <c r="N21" s="7"/>
      <c r="O21" s="7">
        <v>2.91</v>
      </c>
      <c r="P21" s="7"/>
      <c r="Q21" s="18">
        <f t="shared" si="1"/>
        <v>51498.270000000004</v>
      </c>
      <c r="R21" s="7"/>
      <c r="S21" s="8"/>
      <c r="T21" s="7">
        <v>0.1</v>
      </c>
      <c r="U21" s="18">
        <f t="shared" si="2"/>
        <v>5149.83</v>
      </c>
      <c r="V21" s="7"/>
      <c r="W21" s="9"/>
      <c r="X21" s="881"/>
      <c r="Y21" s="10">
        <f t="shared" si="0"/>
        <v>56648.100000000006</v>
      </c>
      <c r="Z21" s="274">
        <f t="shared" si="0"/>
        <v>0.1</v>
      </c>
      <c r="AA21" s="274">
        <f t="shared" si="0"/>
        <v>5149.83</v>
      </c>
      <c r="AB21" s="914"/>
      <c r="AC21" s="914"/>
      <c r="AD21" s="914"/>
      <c r="AE21" s="914"/>
      <c r="AF21" s="914"/>
      <c r="AG21" s="914"/>
      <c r="AH21" s="914"/>
      <c r="AI21" s="914"/>
      <c r="AJ21" s="914"/>
      <c r="AK21" s="914"/>
      <c r="AL21" s="914"/>
      <c r="AM21" s="914"/>
      <c r="AN21" s="915"/>
      <c r="AO21" s="915"/>
      <c r="AP21" s="915"/>
      <c r="AQ21" s="915"/>
      <c r="AR21" s="915"/>
    </row>
    <row r="22" spans="1:44" s="80" customFormat="1" ht="18" customHeight="1">
      <c r="A22" s="5">
        <v>17</v>
      </c>
      <c r="B22" s="26" t="s">
        <v>85</v>
      </c>
      <c r="C22" s="6" t="s">
        <v>86</v>
      </c>
      <c r="D22" s="5" t="s">
        <v>25</v>
      </c>
      <c r="E22" s="7" t="s">
        <v>414</v>
      </c>
      <c r="F22" s="5" t="s">
        <v>88</v>
      </c>
      <c r="G22" s="5">
        <v>1</v>
      </c>
      <c r="H22" s="5" t="s">
        <v>56</v>
      </c>
      <c r="I22" s="5" t="s">
        <v>56</v>
      </c>
      <c r="J22" s="731" t="s">
        <v>57</v>
      </c>
      <c r="K22" s="7">
        <v>17697</v>
      </c>
      <c r="L22" s="7"/>
      <c r="M22" s="7">
        <v>1</v>
      </c>
      <c r="N22" s="7"/>
      <c r="O22" s="7">
        <v>3.4</v>
      </c>
      <c r="P22" s="7"/>
      <c r="Q22" s="18">
        <f t="shared" si="1"/>
        <v>60169.799999999996</v>
      </c>
      <c r="R22" s="8"/>
      <c r="S22" s="740"/>
      <c r="T22" s="7">
        <v>0.1</v>
      </c>
      <c r="U22" s="18">
        <f t="shared" si="2"/>
        <v>6016.98</v>
      </c>
      <c r="V22" s="741"/>
      <c r="W22" s="740"/>
      <c r="X22" s="884"/>
      <c r="Y22" s="10">
        <f t="shared" si="0"/>
        <v>66186.78</v>
      </c>
      <c r="Z22" s="274">
        <f t="shared" si="0"/>
        <v>0.1</v>
      </c>
      <c r="AA22" s="274">
        <f t="shared" si="0"/>
        <v>6016.98</v>
      </c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</row>
    <row r="23" spans="1:44" s="80" customFormat="1" ht="17.25" customHeight="1">
      <c r="A23" s="5">
        <v>18</v>
      </c>
      <c r="B23" s="690" t="s">
        <v>294</v>
      </c>
      <c r="C23" s="6" t="s">
        <v>86</v>
      </c>
      <c r="D23" s="20" t="s">
        <v>25</v>
      </c>
      <c r="E23" s="742">
        <v>0</v>
      </c>
      <c r="F23" s="742" t="s">
        <v>159</v>
      </c>
      <c r="G23" s="743">
        <v>1</v>
      </c>
      <c r="H23" s="5" t="s">
        <v>56</v>
      </c>
      <c r="I23" s="5" t="s">
        <v>56</v>
      </c>
      <c r="J23" s="731" t="s">
        <v>57</v>
      </c>
      <c r="K23" s="7">
        <v>17697</v>
      </c>
      <c r="L23" s="34"/>
      <c r="M23" s="35">
        <v>1</v>
      </c>
      <c r="N23" s="34"/>
      <c r="O23" s="34">
        <v>3.28</v>
      </c>
      <c r="P23" s="34"/>
      <c r="Q23" s="36">
        <f>O23*K23*M23</f>
        <v>58046.159999999996</v>
      </c>
      <c r="R23" s="37"/>
      <c r="S23" s="34"/>
      <c r="T23" s="34">
        <v>0.1</v>
      </c>
      <c r="U23" s="36">
        <f>ROUND(Q23*T23,2)</f>
        <v>5804.62</v>
      </c>
      <c r="V23" s="38"/>
      <c r="W23" s="34"/>
      <c r="X23" s="885"/>
      <c r="Y23" s="35">
        <f>Q23+S23+U23</f>
        <v>63850.78</v>
      </c>
      <c r="Z23" s="304">
        <f t="shared" si="0"/>
        <v>0.1</v>
      </c>
      <c r="AA23" s="304">
        <f t="shared" si="0"/>
        <v>5804.62</v>
      </c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</row>
    <row r="24" spans="1:44" s="80" customFormat="1" ht="17.25" customHeight="1">
      <c r="A24" s="5">
        <v>19</v>
      </c>
      <c r="B24" s="32" t="s">
        <v>373</v>
      </c>
      <c r="C24" s="39" t="s">
        <v>95</v>
      </c>
      <c r="D24" s="40" t="s">
        <v>25</v>
      </c>
      <c r="E24" s="34" t="s">
        <v>415</v>
      </c>
      <c r="F24" s="40" t="s">
        <v>376</v>
      </c>
      <c r="G24" s="40">
        <v>0.5</v>
      </c>
      <c r="H24" s="40" t="s">
        <v>56</v>
      </c>
      <c r="I24" s="40" t="s">
        <v>56</v>
      </c>
      <c r="J24" s="41" t="s">
        <v>57</v>
      </c>
      <c r="K24" s="34">
        <v>17697</v>
      </c>
      <c r="L24" s="34"/>
      <c r="M24" s="34">
        <v>0.5</v>
      </c>
      <c r="N24" s="34"/>
      <c r="O24" s="34">
        <v>3.34</v>
      </c>
      <c r="P24" s="34"/>
      <c r="Q24" s="36">
        <f>O24*K24*M24</f>
        <v>29553.989999999998</v>
      </c>
      <c r="R24" s="37"/>
      <c r="S24" s="34"/>
      <c r="T24" s="34">
        <v>0.1</v>
      </c>
      <c r="U24" s="36">
        <f t="shared" si="2"/>
        <v>2955.4</v>
      </c>
      <c r="V24" s="38"/>
      <c r="W24" s="34"/>
      <c r="X24" s="885"/>
      <c r="Y24" s="35">
        <f t="shared" si="0"/>
        <v>32509.39</v>
      </c>
      <c r="Z24" s="304">
        <f t="shared" si="0"/>
        <v>0.1</v>
      </c>
      <c r="AA24" s="304">
        <f t="shared" si="0"/>
        <v>2955.4</v>
      </c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</row>
    <row r="25" spans="1:44" s="80" customFormat="1" ht="17.25" customHeight="1">
      <c r="A25" s="5">
        <v>20</v>
      </c>
      <c r="B25" s="32" t="s">
        <v>399</v>
      </c>
      <c r="C25" s="39" t="s">
        <v>95</v>
      </c>
      <c r="D25" s="40" t="s">
        <v>25</v>
      </c>
      <c r="E25" s="34" t="s">
        <v>419</v>
      </c>
      <c r="F25" s="5" t="s">
        <v>403</v>
      </c>
      <c r="G25" s="40">
        <v>0.5</v>
      </c>
      <c r="H25" s="40" t="s">
        <v>56</v>
      </c>
      <c r="I25" s="40" t="s">
        <v>56</v>
      </c>
      <c r="J25" s="41" t="s">
        <v>57</v>
      </c>
      <c r="K25" s="34">
        <v>17697</v>
      </c>
      <c r="L25" s="34"/>
      <c r="M25" s="34">
        <v>0.5</v>
      </c>
      <c r="N25" s="34"/>
      <c r="O25" s="34">
        <v>3.4</v>
      </c>
      <c r="P25" s="34"/>
      <c r="Q25" s="36">
        <f>O25*K25*M25</f>
        <v>30084.899999999998</v>
      </c>
      <c r="R25" s="37"/>
      <c r="S25" s="34"/>
      <c r="T25" s="34">
        <v>0.1</v>
      </c>
      <c r="U25" s="36">
        <f t="shared" si="2"/>
        <v>3008.49</v>
      </c>
      <c r="V25" s="38"/>
      <c r="W25" s="34"/>
      <c r="X25" s="885"/>
      <c r="Y25" s="35">
        <f>Q25+S25+U25</f>
        <v>33093.39</v>
      </c>
      <c r="Z25" s="304">
        <f t="shared" si="0"/>
        <v>0.1</v>
      </c>
      <c r="AA25" s="304">
        <f t="shared" si="0"/>
        <v>3008.49</v>
      </c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</row>
    <row r="26" spans="1:44" s="24" customFormat="1" ht="17.25" customHeight="1">
      <c r="A26" s="95"/>
      <c r="B26" s="105"/>
      <c r="C26" s="106"/>
      <c r="D26" s="95"/>
      <c r="E26" s="97"/>
      <c r="F26" s="95"/>
      <c r="G26" s="95"/>
      <c r="H26" s="95"/>
      <c r="I26" s="95"/>
      <c r="J26" s="123"/>
      <c r="K26" s="97"/>
      <c r="L26" s="97"/>
      <c r="M26" s="97"/>
      <c r="N26" s="97"/>
      <c r="O26" s="197"/>
      <c r="P26" s="97"/>
      <c r="Q26" s="101"/>
      <c r="R26" s="102"/>
      <c r="S26" s="97"/>
      <c r="T26" s="97"/>
      <c r="U26" s="101"/>
      <c r="V26" s="103"/>
      <c r="W26" s="97"/>
      <c r="X26" s="886"/>
      <c r="Y26" s="203">
        <f>SUM(Y6:Y25)</f>
        <v>1384321.3225</v>
      </c>
      <c r="Z26" s="104"/>
      <c r="AA26" s="104"/>
    </row>
    <row r="27" spans="1:44" s="80" customFormat="1" ht="17.25" customHeight="1">
      <c r="A27" s="547">
        <v>1</v>
      </c>
      <c r="B27" s="548" t="s">
        <v>98</v>
      </c>
      <c r="C27" s="549" t="s">
        <v>99</v>
      </c>
      <c r="D27" s="547" t="s">
        <v>25</v>
      </c>
      <c r="E27" s="550" t="s">
        <v>462</v>
      </c>
      <c r="F27" s="550" t="s">
        <v>463</v>
      </c>
      <c r="G27" s="547">
        <v>1</v>
      </c>
      <c r="H27" s="547" t="s">
        <v>102</v>
      </c>
      <c r="I27" s="547" t="s">
        <v>103</v>
      </c>
      <c r="J27" s="551">
        <v>1</v>
      </c>
      <c r="K27" s="552">
        <v>17697</v>
      </c>
      <c r="L27" s="553">
        <v>35</v>
      </c>
      <c r="M27" s="554">
        <f t="shared" ref="M27:M58" si="3">L27/18</f>
        <v>1.9444444444444444</v>
      </c>
      <c r="N27" s="555" t="s">
        <v>104</v>
      </c>
      <c r="O27" s="550">
        <v>4.1399999999999997</v>
      </c>
      <c r="P27" s="550">
        <v>4.1399999999999997</v>
      </c>
      <c r="Q27" s="556">
        <f>O27*K27/18*L27</f>
        <v>142460.84999999998</v>
      </c>
      <c r="R27" s="557"/>
      <c r="S27" s="552"/>
      <c r="T27" s="552">
        <v>0.1</v>
      </c>
      <c r="U27" s="556">
        <f>T27*Q27</f>
        <v>14246.084999999999</v>
      </c>
      <c r="V27" s="558"/>
      <c r="W27" s="552"/>
      <c r="X27" s="552"/>
      <c r="Y27" s="559">
        <f>U27+Q27</f>
        <v>156706.93499999997</v>
      </c>
      <c r="Z27" s="319">
        <f>V27+R27</f>
        <v>0</v>
      </c>
      <c r="AA27" s="319">
        <f>W27+S27</f>
        <v>0</v>
      </c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</row>
    <row r="28" spans="1:44" s="80" customFormat="1" ht="17.25" customHeight="1">
      <c r="A28" s="560">
        <v>2</v>
      </c>
      <c r="B28" s="153" t="s">
        <v>41</v>
      </c>
      <c r="C28" s="561" t="s">
        <v>99</v>
      </c>
      <c r="D28" s="560" t="s">
        <v>25</v>
      </c>
      <c r="E28" s="562" t="s">
        <v>466</v>
      </c>
      <c r="F28" s="562" t="s">
        <v>34</v>
      </c>
      <c r="G28" s="560">
        <v>1</v>
      </c>
      <c r="H28" s="563" t="s">
        <v>102</v>
      </c>
      <c r="I28" s="563" t="s">
        <v>103</v>
      </c>
      <c r="J28" s="564">
        <v>2</v>
      </c>
      <c r="K28" s="554">
        <v>17697</v>
      </c>
      <c r="L28" s="565">
        <v>9</v>
      </c>
      <c r="M28" s="554">
        <f t="shared" si="3"/>
        <v>0.5</v>
      </c>
      <c r="N28" s="566" t="s">
        <v>104</v>
      </c>
      <c r="O28" s="566">
        <v>3.92</v>
      </c>
      <c r="P28" s="566">
        <v>3.92</v>
      </c>
      <c r="Q28" s="567">
        <f t="shared" ref="Q28:Q58" si="4">O28*K28/18*L28</f>
        <v>34686.120000000003</v>
      </c>
      <c r="R28" s="568"/>
      <c r="S28" s="554"/>
      <c r="T28" s="554">
        <v>0.1</v>
      </c>
      <c r="U28" s="567">
        <f>T28*Q28</f>
        <v>3468.6120000000005</v>
      </c>
      <c r="V28" s="569"/>
      <c r="W28" s="554"/>
      <c r="X28" s="700"/>
      <c r="Y28" s="570">
        <f t="shared" ref="Y28:Y59" si="5">U28+Q28</f>
        <v>38154.732000000004</v>
      </c>
      <c r="Z28" s="274">
        <f t="shared" ref="Z28:AA71" si="6">V28+R28</f>
        <v>0</v>
      </c>
      <c r="AA28" s="274">
        <f t="shared" si="6"/>
        <v>0</v>
      </c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</row>
    <row r="29" spans="1:44" s="80" customFormat="1" ht="15.75">
      <c r="A29" s="547">
        <v>3</v>
      </c>
      <c r="B29" s="153" t="s">
        <v>445</v>
      </c>
      <c r="C29" s="561" t="s">
        <v>99</v>
      </c>
      <c r="D29" s="563" t="s">
        <v>25</v>
      </c>
      <c r="E29" s="562" t="s">
        <v>464</v>
      </c>
      <c r="F29" s="562" t="s">
        <v>217</v>
      </c>
      <c r="G29" s="571">
        <v>1</v>
      </c>
      <c r="H29" s="560" t="s">
        <v>102</v>
      </c>
      <c r="I29" s="560" t="s">
        <v>103</v>
      </c>
      <c r="J29" s="572">
        <v>1</v>
      </c>
      <c r="K29" s="554">
        <v>17697</v>
      </c>
      <c r="L29" s="573">
        <v>10</v>
      </c>
      <c r="M29" s="554">
        <f t="shared" si="3"/>
        <v>0.55555555555555558</v>
      </c>
      <c r="N29" s="574" t="s">
        <v>152</v>
      </c>
      <c r="O29" s="575">
        <v>4.26</v>
      </c>
      <c r="P29" s="575"/>
      <c r="Q29" s="567">
        <f t="shared" si="4"/>
        <v>41882.9</v>
      </c>
      <c r="R29" s="568"/>
      <c r="S29" s="554"/>
      <c r="T29" s="554">
        <v>0.1</v>
      </c>
      <c r="U29" s="567">
        <f>Q29*T29</f>
        <v>4188.29</v>
      </c>
      <c r="V29" s="569"/>
      <c r="W29" s="554"/>
      <c r="X29" s="700"/>
      <c r="Y29" s="570">
        <f t="shared" si="5"/>
        <v>46071.19</v>
      </c>
      <c r="Z29" s="274">
        <f t="shared" si="6"/>
        <v>0</v>
      </c>
      <c r="AA29" s="274">
        <f t="shared" si="6"/>
        <v>0</v>
      </c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</row>
    <row r="30" spans="1:44" s="80" customFormat="1" ht="15.75">
      <c r="A30" s="560">
        <v>4</v>
      </c>
      <c r="B30" s="576" t="s">
        <v>110</v>
      </c>
      <c r="C30" s="561" t="s">
        <v>99</v>
      </c>
      <c r="D30" s="560" t="s">
        <v>25</v>
      </c>
      <c r="E30" s="562" t="s">
        <v>467</v>
      </c>
      <c r="F30" s="562" t="s">
        <v>468</v>
      </c>
      <c r="G30" s="560">
        <v>1</v>
      </c>
      <c r="H30" s="577" t="s">
        <v>102</v>
      </c>
      <c r="I30" s="577" t="s">
        <v>103</v>
      </c>
      <c r="J30" s="578">
        <v>4</v>
      </c>
      <c r="K30" s="554">
        <v>17697</v>
      </c>
      <c r="L30" s="565">
        <v>31</v>
      </c>
      <c r="M30" s="554">
        <f t="shared" si="3"/>
        <v>1.7222222222222223</v>
      </c>
      <c r="N30" s="574" t="s">
        <v>112</v>
      </c>
      <c r="O30" s="579">
        <v>2.92</v>
      </c>
      <c r="P30" s="579">
        <v>2.92</v>
      </c>
      <c r="Q30" s="567">
        <f t="shared" si="4"/>
        <v>88996.246666666659</v>
      </c>
      <c r="R30" s="568"/>
      <c r="S30" s="554"/>
      <c r="T30" s="554">
        <v>0.1</v>
      </c>
      <c r="U30" s="567">
        <f>T30*Q30</f>
        <v>8899.6246666666666</v>
      </c>
      <c r="V30" s="569"/>
      <c r="W30" s="554"/>
      <c r="X30" s="700"/>
      <c r="Y30" s="570">
        <f t="shared" si="5"/>
        <v>97895.871333333329</v>
      </c>
      <c r="Z30" s="274"/>
      <c r="AA30" s="27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</row>
    <row r="31" spans="1:44" s="80" customFormat="1" ht="17.25" customHeight="1">
      <c r="A31" s="547">
        <v>5</v>
      </c>
      <c r="B31" s="153" t="s">
        <v>106</v>
      </c>
      <c r="C31" s="561" t="s">
        <v>99</v>
      </c>
      <c r="D31" s="560" t="s">
        <v>25</v>
      </c>
      <c r="E31" s="562" t="s">
        <v>107</v>
      </c>
      <c r="F31" s="562" t="s">
        <v>108</v>
      </c>
      <c r="G31" s="560">
        <v>1</v>
      </c>
      <c r="H31" s="563" t="s">
        <v>102</v>
      </c>
      <c r="I31" s="563" t="s">
        <v>103</v>
      </c>
      <c r="J31" s="564">
        <v>3</v>
      </c>
      <c r="K31" s="554">
        <v>17697</v>
      </c>
      <c r="L31" s="565">
        <v>15</v>
      </c>
      <c r="M31" s="554">
        <f t="shared" si="3"/>
        <v>0.83333333333333337</v>
      </c>
      <c r="N31" s="566" t="s">
        <v>109</v>
      </c>
      <c r="O31" s="579">
        <v>3.33</v>
      </c>
      <c r="P31" s="579">
        <v>3.33</v>
      </c>
      <c r="Q31" s="567">
        <f t="shared" si="4"/>
        <v>49109.175000000003</v>
      </c>
      <c r="R31" s="568"/>
      <c r="S31" s="554"/>
      <c r="T31" s="554">
        <v>0.1</v>
      </c>
      <c r="U31" s="567">
        <f>T31*Q31</f>
        <v>4910.9175000000005</v>
      </c>
      <c r="V31" s="569"/>
      <c r="W31" s="554"/>
      <c r="X31" s="700"/>
      <c r="Y31" s="570">
        <f t="shared" si="5"/>
        <v>54020.092500000006</v>
      </c>
      <c r="Z31" s="274">
        <f t="shared" si="6"/>
        <v>0</v>
      </c>
      <c r="AA31" s="274">
        <f t="shared" si="6"/>
        <v>0</v>
      </c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</row>
    <row r="32" spans="1:44" s="80" customFormat="1" ht="15.75">
      <c r="A32" s="560">
        <v>6</v>
      </c>
      <c r="B32" s="153" t="s">
        <v>215</v>
      </c>
      <c r="C32" s="561" t="s">
        <v>99</v>
      </c>
      <c r="D32" s="563" t="s">
        <v>25</v>
      </c>
      <c r="E32" s="562" t="s">
        <v>441</v>
      </c>
      <c r="F32" s="562" t="s">
        <v>217</v>
      </c>
      <c r="G32" s="571">
        <v>1</v>
      </c>
      <c r="H32" s="580" t="s">
        <v>102</v>
      </c>
      <c r="I32" s="580" t="s">
        <v>103</v>
      </c>
      <c r="J32" s="574">
        <v>1</v>
      </c>
      <c r="K32" s="554">
        <v>17697</v>
      </c>
      <c r="L32" s="573">
        <v>6</v>
      </c>
      <c r="M32" s="554">
        <f t="shared" si="3"/>
        <v>0.33333333333333331</v>
      </c>
      <c r="N32" s="574" t="s">
        <v>152</v>
      </c>
      <c r="O32" s="575">
        <v>4.26</v>
      </c>
      <c r="P32" s="575"/>
      <c r="Q32" s="567">
        <f t="shared" si="4"/>
        <v>25129.739999999998</v>
      </c>
      <c r="R32" s="568"/>
      <c r="S32" s="554"/>
      <c r="T32" s="554">
        <v>0.1</v>
      </c>
      <c r="U32" s="567">
        <f>Q32*T32</f>
        <v>2512.9740000000002</v>
      </c>
      <c r="V32" s="569"/>
      <c r="W32" s="554"/>
      <c r="X32" s="700"/>
      <c r="Y32" s="570">
        <f t="shared" si="5"/>
        <v>27642.714</v>
      </c>
      <c r="Z32" s="274">
        <f t="shared" si="6"/>
        <v>0</v>
      </c>
      <c r="AA32" s="274">
        <f t="shared" si="6"/>
        <v>0</v>
      </c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</row>
    <row r="33" spans="1:44" s="80" customFormat="1" ht="17.25" customHeight="1">
      <c r="A33" s="547">
        <v>7</v>
      </c>
      <c r="B33" s="153" t="s">
        <v>23</v>
      </c>
      <c r="C33" s="561" t="s">
        <v>99</v>
      </c>
      <c r="D33" s="560" t="s">
        <v>25</v>
      </c>
      <c r="E33" s="562" t="s">
        <v>469</v>
      </c>
      <c r="F33" s="562" t="s">
        <v>114</v>
      </c>
      <c r="G33" s="560">
        <v>1</v>
      </c>
      <c r="H33" s="563" t="s">
        <v>102</v>
      </c>
      <c r="I33" s="563" t="s">
        <v>103</v>
      </c>
      <c r="J33" s="581">
        <v>1</v>
      </c>
      <c r="K33" s="554">
        <v>17697</v>
      </c>
      <c r="L33" s="565">
        <v>9</v>
      </c>
      <c r="M33" s="554">
        <f t="shared" si="3"/>
        <v>0.5</v>
      </c>
      <c r="N33" s="574" t="s">
        <v>152</v>
      </c>
      <c r="O33" s="555">
        <v>4.32</v>
      </c>
      <c r="P33" s="555">
        <v>4.32</v>
      </c>
      <c r="Q33" s="567">
        <f t="shared" si="4"/>
        <v>38225.520000000004</v>
      </c>
      <c r="R33" s="568"/>
      <c r="S33" s="554"/>
      <c r="T33" s="554">
        <v>0.1</v>
      </c>
      <c r="U33" s="567">
        <f t="shared" ref="U33:U77" si="7">T33*Q33</f>
        <v>3822.5520000000006</v>
      </c>
      <c r="V33" s="569"/>
      <c r="W33" s="554"/>
      <c r="X33" s="700"/>
      <c r="Y33" s="570">
        <f t="shared" si="5"/>
        <v>42048.072000000007</v>
      </c>
      <c r="Z33" s="274">
        <f t="shared" si="6"/>
        <v>0</v>
      </c>
      <c r="AA33" s="274">
        <f t="shared" si="6"/>
        <v>0</v>
      </c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</row>
    <row r="34" spans="1:44" s="80" customFormat="1" ht="17.25" customHeight="1">
      <c r="A34" s="560">
        <v>8</v>
      </c>
      <c r="B34" s="153" t="s">
        <v>124</v>
      </c>
      <c r="C34" s="561" t="s">
        <v>125</v>
      </c>
      <c r="D34" s="560" t="s">
        <v>75</v>
      </c>
      <c r="E34" s="582" t="s">
        <v>126</v>
      </c>
      <c r="F34" s="562" t="s">
        <v>108</v>
      </c>
      <c r="G34" s="560">
        <v>1</v>
      </c>
      <c r="H34" s="563" t="s">
        <v>102</v>
      </c>
      <c r="I34" s="563" t="s">
        <v>118</v>
      </c>
      <c r="J34" s="581">
        <v>3</v>
      </c>
      <c r="K34" s="554">
        <v>17697</v>
      </c>
      <c r="L34" s="565">
        <v>22.5</v>
      </c>
      <c r="M34" s="554">
        <f t="shared" si="3"/>
        <v>1.25</v>
      </c>
      <c r="N34" s="566" t="s">
        <v>109</v>
      </c>
      <c r="O34" s="566">
        <v>2.96</v>
      </c>
      <c r="P34" s="566">
        <v>2.85</v>
      </c>
      <c r="Q34" s="567">
        <f t="shared" si="4"/>
        <v>65478.900000000009</v>
      </c>
      <c r="R34" s="568"/>
      <c r="S34" s="554"/>
      <c r="T34" s="554">
        <v>0.1</v>
      </c>
      <c r="U34" s="567">
        <f t="shared" si="7"/>
        <v>6547.8900000000012</v>
      </c>
      <c r="V34" s="569"/>
      <c r="W34" s="554"/>
      <c r="X34" s="700"/>
      <c r="Y34" s="570">
        <f t="shared" si="5"/>
        <v>72026.790000000008</v>
      </c>
      <c r="Z34" s="274">
        <f t="shared" si="6"/>
        <v>0</v>
      </c>
      <c r="AA34" s="274">
        <f t="shared" si="6"/>
        <v>0</v>
      </c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</row>
    <row r="35" spans="1:44" s="80" customFormat="1" ht="17.25" customHeight="1">
      <c r="A35" s="547">
        <v>9</v>
      </c>
      <c r="B35" s="153" t="s">
        <v>116</v>
      </c>
      <c r="C35" s="561" t="s">
        <v>99</v>
      </c>
      <c r="D35" s="560" t="s">
        <v>64</v>
      </c>
      <c r="E35" s="583" t="s">
        <v>470</v>
      </c>
      <c r="F35" s="562" t="s">
        <v>114</v>
      </c>
      <c r="G35" s="560">
        <v>1</v>
      </c>
      <c r="H35" s="563" t="s">
        <v>102</v>
      </c>
      <c r="I35" s="563" t="s">
        <v>118</v>
      </c>
      <c r="J35" s="564">
        <v>1</v>
      </c>
      <c r="K35" s="554">
        <v>17697</v>
      </c>
      <c r="L35" s="565">
        <v>19</v>
      </c>
      <c r="M35" s="554">
        <f t="shared" si="3"/>
        <v>1.0555555555555556</v>
      </c>
      <c r="N35" s="574" t="s">
        <v>152</v>
      </c>
      <c r="O35" s="555">
        <v>3.89</v>
      </c>
      <c r="P35" s="566">
        <v>3.89</v>
      </c>
      <c r="Q35" s="567">
        <f t="shared" si="4"/>
        <v>72665.848333333328</v>
      </c>
      <c r="R35" s="568"/>
      <c r="S35" s="554"/>
      <c r="T35" s="554">
        <v>0.1</v>
      </c>
      <c r="U35" s="567">
        <f t="shared" si="7"/>
        <v>7266.5848333333333</v>
      </c>
      <c r="V35" s="569"/>
      <c r="W35" s="554"/>
      <c r="X35" s="700"/>
      <c r="Y35" s="570">
        <f t="shared" si="5"/>
        <v>79932.433166666655</v>
      </c>
      <c r="Z35" s="274">
        <f t="shared" si="6"/>
        <v>0</v>
      </c>
      <c r="AA35" s="274">
        <f t="shared" si="6"/>
        <v>0</v>
      </c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</row>
    <row r="36" spans="1:44" s="80" customFormat="1" ht="17.25" customHeight="1">
      <c r="A36" s="560">
        <v>10</v>
      </c>
      <c r="B36" s="153" t="s">
        <v>127</v>
      </c>
      <c r="C36" s="561" t="s">
        <v>99</v>
      </c>
      <c r="D36" s="560" t="s">
        <v>25</v>
      </c>
      <c r="E36" s="562" t="s">
        <v>471</v>
      </c>
      <c r="F36" s="562" t="s">
        <v>34</v>
      </c>
      <c r="G36" s="560">
        <v>1</v>
      </c>
      <c r="H36" s="563" t="s">
        <v>102</v>
      </c>
      <c r="I36" s="563" t="s">
        <v>103</v>
      </c>
      <c r="J36" s="564">
        <v>1</v>
      </c>
      <c r="K36" s="554">
        <v>17697</v>
      </c>
      <c r="L36" s="565">
        <v>26</v>
      </c>
      <c r="M36" s="554">
        <f t="shared" si="3"/>
        <v>1.4444444444444444</v>
      </c>
      <c r="N36" s="574" t="s">
        <v>152</v>
      </c>
      <c r="O36" s="555">
        <v>4.32</v>
      </c>
      <c r="P36" s="566">
        <v>4.32</v>
      </c>
      <c r="Q36" s="567">
        <f t="shared" si="4"/>
        <v>110429.28000000001</v>
      </c>
      <c r="R36" s="568"/>
      <c r="S36" s="554"/>
      <c r="T36" s="554">
        <v>0.1</v>
      </c>
      <c r="U36" s="567">
        <f t="shared" si="7"/>
        <v>11042.928000000002</v>
      </c>
      <c r="V36" s="569"/>
      <c r="W36" s="554"/>
      <c r="X36" s="700"/>
      <c r="Y36" s="570">
        <f t="shared" si="5"/>
        <v>121472.20800000001</v>
      </c>
      <c r="Z36" s="274">
        <f t="shared" si="6"/>
        <v>0</v>
      </c>
      <c r="AA36" s="274">
        <f t="shared" si="6"/>
        <v>0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</row>
    <row r="37" spans="1:44" s="80" customFormat="1" ht="17.25" customHeight="1">
      <c r="A37" s="547">
        <v>11</v>
      </c>
      <c r="B37" s="52" t="s">
        <v>386</v>
      </c>
      <c r="C37" s="52" t="s">
        <v>99</v>
      </c>
      <c r="D37" s="210" t="s">
        <v>25</v>
      </c>
      <c r="E37" s="584" t="s">
        <v>472</v>
      </c>
      <c r="F37" s="584" t="s">
        <v>34</v>
      </c>
      <c r="G37" s="562" t="s">
        <v>156</v>
      </c>
      <c r="H37" s="563" t="s">
        <v>102</v>
      </c>
      <c r="I37" s="563" t="s">
        <v>103</v>
      </c>
      <c r="J37" s="581">
        <v>1</v>
      </c>
      <c r="K37" s="554">
        <v>17697</v>
      </c>
      <c r="L37" s="565">
        <v>18</v>
      </c>
      <c r="M37" s="554">
        <f t="shared" si="3"/>
        <v>1</v>
      </c>
      <c r="N37" s="574" t="s">
        <v>152</v>
      </c>
      <c r="O37" s="555">
        <v>4.32</v>
      </c>
      <c r="P37" s="566"/>
      <c r="Q37" s="567">
        <f t="shared" si="4"/>
        <v>76451.040000000008</v>
      </c>
      <c r="R37" s="568"/>
      <c r="S37" s="554"/>
      <c r="T37" s="554">
        <v>0.1</v>
      </c>
      <c r="U37" s="567">
        <f t="shared" si="7"/>
        <v>7645.1040000000012</v>
      </c>
      <c r="V37" s="569"/>
      <c r="W37" s="554"/>
      <c r="X37" s="700"/>
      <c r="Y37" s="570">
        <f t="shared" si="5"/>
        <v>84096.144000000015</v>
      </c>
      <c r="Z37" s="274">
        <f t="shared" si="6"/>
        <v>0</v>
      </c>
      <c r="AA37" s="274">
        <f t="shared" si="6"/>
        <v>0</v>
      </c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</row>
    <row r="38" spans="1:44" s="80" customFormat="1" ht="17.25" customHeight="1">
      <c r="A38" s="560">
        <v>12</v>
      </c>
      <c r="B38" s="153" t="s">
        <v>458</v>
      </c>
      <c r="C38" s="561" t="s">
        <v>99</v>
      </c>
      <c r="D38" s="560" t="s">
        <v>25</v>
      </c>
      <c r="E38" s="582" t="s">
        <v>501</v>
      </c>
      <c r="F38" s="582" t="s">
        <v>34</v>
      </c>
      <c r="G38" s="560">
        <v>1</v>
      </c>
      <c r="H38" s="563" t="s">
        <v>102</v>
      </c>
      <c r="I38" s="563" t="s">
        <v>103</v>
      </c>
      <c r="J38" s="581">
        <v>1</v>
      </c>
      <c r="K38" s="554">
        <v>17697</v>
      </c>
      <c r="L38" s="565">
        <v>23</v>
      </c>
      <c r="M38" s="554">
        <f t="shared" si="3"/>
        <v>1.2777777777777777</v>
      </c>
      <c r="N38" s="574" t="s">
        <v>152</v>
      </c>
      <c r="O38" s="555">
        <v>4.32</v>
      </c>
      <c r="P38" s="566"/>
      <c r="Q38" s="567">
        <f t="shared" si="4"/>
        <v>97687.440000000017</v>
      </c>
      <c r="R38" s="568"/>
      <c r="S38" s="554"/>
      <c r="T38" s="554">
        <v>0.1</v>
      </c>
      <c r="U38" s="567">
        <f t="shared" si="7"/>
        <v>9768.7440000000024</v>
      </c>
      <c r="V38" s="569"/>
      <c r="W38" s="554"/>
      <c r="X38" s="700"/>
      <c r="Y38" s="570">
        <f t="shared" si="5"/>
        <v>107456.18400000002</v>
      </c>
      <c r="Z38" s="274"/>
      <c r="AA38" s="27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</row>
    <row r="39" spans="1:44" s="80" customFormat="1" ht="17.25" customHeight="1">
      <c r="A39" s="547">
        <v>13</v>
      </c>
      <c r="B39" s="153" t="s">
        <v>130</v>
      </c>
      <c r="C39" s="561" t="s">
        <v>99</v>
      </c>
      <c r="D39" s="560" t="s">
        <v>25</v>
      </c>
      <c r="E39" s="582" t="s">
        <v>473</v>
      </c>
      <c r="F39" s="582" t="s">
        <v>34</v>
      </c>
      <c r="G39" s="560">
        <v>1</v>
      </c>
      <c r="H39" s="563" t="s">
        <v>102</v>
      </c>
      <c r="I39" s="563" t="s">
        <v>103</v>
      </c>
      <c r="J39" s="581">
        <v>1</v>
      </c>
      <c r="K39" s="554">
        <v>17697</v>
      </c>
      <c r="L39" s="565">
        <v>9</v>
      </c>
      <c r="M39" s="554">
        <f t="shared" si="3"/>
        <v>0.5</v>
      </c>
      <c r="N39" s="574" t="s">
        <v>152</v>
      </c>
      <c r="O39" s="555">
        <v>4.32</v>
      </c>
      <c r="P39" s="566">
        <v>4.32</v>
      </c>
      <c r="Q39" s="567">
        <f t="shared" si="4"/>
        <v>38225.520000000004</v>
      </c>
      <c r="R39" s="568"/>
      <c r="S39" s="554"/>
      <c r="T39" s="554">
        <v>0.1</v>
      </c>
      <c r="U39" s="567">
        <f t="shared" si="7"/>
        <v>3822.5520000000006</v>
      </c>
      <c r="V39" s="569"/>
      <c r="W39" s="554"/>
      <c r="X39" s="700"/>
      <c r="Y39" s="570">
        <f t="shared" si="5"/>
        <v>42048.072000000007</v>
      </c>
      <c r="Z39" s="274">
        <f t="shared" si="6"/>
        <v>0</v>
      </c>
      <c r="AA39" s="274">
        <f t="shared" si="6"/>
        <v>0</v>
      </c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</row>
    <row r="40" spans="1:44" s="80" customFormat="1" ht="17.25" customHeight="1">
      <c r="A40" s="560">
        <v>14</v>
      </c>
      <c r="B40" s="153" t="s">
        <v>455</v>
      </c>
      <c r="C40" s="561" t="s">
        <v>99</v>
      </c>
      <c r="D40" s="563" t="s">
        <v>25</v>
      </c>
      <c r="E40" s="210" t="s">
        <v>502</v>
      </c>
      <c r="F40" s="562" t="s">
        <v>34</v>
      </c>
      <c r="G40" s="560">
        <v>1</v>
      </c>
      <c r="H40" s="563" t="s">
        <v>102</v>
      </c>
      <c r="I40" s="563" t="s">
        <v>103</v>
      </c>
      <c r="J40" s="581">
        <v>1</v>
      </c>
      <c r="K40" s="554">
        <v>17697</v>
      </c>
      <c r="L40" s="565">
        <v>8</v>
      </c>
      <c r="M40" s="554">
        <f t="shared" si="3"/>
        <v>0.44444444444444442</v>
      </c>
      <c r="N40" s="574" t="s">
        <v>152</v>
      </c>
      <c r="O40" s="555">
        <v>4.32</v>
      </c>
      <c r="P40" s="566"/>
      <c r="Q40" s="567">
        <f t="shared" si="4"/>
        <v>33978.240000000005</v>
      </c>
      <c r="R40" s="568"/>
      <c r="S40" s="554"/>
      <c r="T40" s="554">
        <v>0.1</v>
      </c>
      <c r="U40" s="567">
        <f t="shared" si="7"/>
        <v>3397.8240000000005</v>
      </c>
      <c r="V40" s="569"/>
      <c r="W40" s="554"/>
      <c r="X40" s="700"/>
      <c r="Y40" s="570">
        <f t="shared" si="5"/>
        <v>37376.064000000006</v>
      </c>
      <c r="Z40" s="274">
        <f t="shared" si="6"/>
        <v>0</v>
      </c>
      <c r="AA40" s="274">
        <f t="shared" si="6"/>
        <v>0</v>
      </c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</row>
    <row r="41" spans="1:44" s="80" customFormat="1" ht="17.25" customHeight="1">
      <c r="A41" s="547">
        <v>15</v>
      </c>
      <c r="B41" s="153" t="s">
        <v>204</v>
      </c>
      <c r="C41" s="561" t="s">
        <v>99</v>
      </c>
      <c r="D41" s="563" t="s">
        <v>25</v>
      </c>
      <c r="E41" s="562" t="s">
        <v>503</v>
      </c>
      <c r="F41" s="562" t="s">
        <v>206</v>
      </c>
      <c r="G41" s="560">
        <v>1</v>
      </c>
      <c r="H41" s="563" t="s">
        <v>102</v>
      </c>
      <c r="I41" s="563" t="s">
        <v>103</v>
      </c>
      <c r="J41" s="581">
        <v>3</v>
      </c>
      <c r="K41" s="554">
        <v>17697</v>
      </c>
      <c r="L41" s="565">
        <v>6</v>
      </c>
      <c r="M41" s="554">
        <f t="shared" si="3"/>
        <v>0.33333333333333331</v>
      </c>
      <c r="N41" s="566" t="s">
        <v>109</v>
      </c>
      <c r="O41" s="566">
        <v>3.33</v>
      </c>
      <c r="P41" s="566"/>
      <c r="Q41" s="567">
        <f t="shared" si="4"/>
        <v>19643.670000000002</v>
      </c>
      <c r="R41" s="568"/>
      <c r="S41" s="554"/>
      <c r="T41" s="554">
        <v>0.1</v>
      </c>
      <c r="U41" s="567">
        <f t="shared" si="7"/>
        <v>1964.3670000000002</v>
      </c>
      <c r="V41" s="569"/>
      <c r="W41" s="554"/>
      <c r="X41" s="700"/>
      <c r="Y41" s="570">
        <f t="shared" si="5"/>
        <v>21608.037000000004</v>
      </c>
      <c r="Z41" s="274">
        <f t="shared" si="6"/>
        <v>0</v>
      </c>
      <c r="AA41" s="274">
        <f t="shared" si="6"/>
        <v>0</v>
      </c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</row>
    <row r="42" spans="1:44" s="80" customFormat="1" ht="17.25" customHeight="1">
      <c r="A42" s="560">
        <v>16</v>
      </c>
      <c r="B42" s="153" t="s">
        <v>133</v>
      </c>
      <c r="C42" s="561" t="s">
        <v>99</v>
      </c>
      <c r="D42" s="563" t="s">
        <v>25</v>
      </c>
      <c r="E42" s="562" t="s">
        <v>474</v>
      </c>
      <c r="F42" s="562" t="s">
        <v>34</v>
      </c>
      <c r="G42" s="560">
        <v>1</v>
      </c>
      <c r="H42" s="563" t="s">
        <v>102</v>
      </c>
      <c r="I42" s="563" t="s">
        <v>103</v>
      </c>
      <c r="J42" s="581">
        <v>1</v>
      </c>
      <c r="K42" s="554">
        <v>17697</v>
      </c>
      <c r="L42" s="565">
        <v>11</v>
      </c>
      <c r="M42" s="554">
        <f t="shared" si="3"/>
        <v>0.61111111111111116</v>
      </c>
      <c r="N42" s="574" t="s">
        <v>152</v>
      </c>
      <c r="O42" s="555">
        <v>4.32</v>
      </c>
      <c r="P42" s="566"/>
      <c r="Q42" s="567">
        <f t="shared" si="4"/>
        <v>46720.080000000009</v>
      </c>
      <c r="R42" s="568"/>
      <c r="S42" s="554"/>
      <c r="T42" s="554">
        <v>0.1</v>
      </c>
      <c r="U42" s="567">
        <f t="shared" si="7"/>
        <v>4672.0080000000007</v>
      </c>
      <c r="V42" s="569"/>
      <c r="W42" s="554"/>
      <c r="X42" s="700"/>
      <c r="Y42" s="570">
        <f t="shared" si="5"/>
        <v>51392.088000000011</v>
      </c>
      <c r="Z42" s="274">
        <f t="shared" si="6"/>
        <v>0</v>
      </c>
      <c r="AA42" s="274">
        <f t="shared" si="6"/>
        <v>0</v>
      </c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</row>
    <row r="43" spans="1:44" s="80" customFormat="1" ht="17.25" customHeight="1">
      <c r="A43" s="547">
        <v>17</v>
      </c>
      <c r="B43" s="153" t="s">
        <v>135</v>
      </c>
      <c r="C43" s="561" t="s">
        <v>99</v>
      </c>
      <c r="D43" s="563" t="s">
        <v>25</v>
      </c>
      <c r="E43" s="562" t="s">
        <v>465</v>
      </c>
      <c r="F43" s="562" t="s">
        <v>34</v>
      </c>
      <c r="G43" s="560">
        <v>1</v>
      </c>
      <c r="H43" s="563" t="s">
        <v>102</v>
      </c>
      <c r="I43" s="563" t="s">
        <v>103</v>
      </c>
      <c r="J43" s="581">
        <v>1</v>
      </c>
      <c r="K43" s="554">
        <v>17697</v>
      </c>
      <c r="L43" s="565">
        <v>21</v>
      </c>
      <c r="M43" s="554">
        <f t="shared" si="3"/>
        <v>1.1666666666666667</v>
      </c>
      <c r="N43" s="574" t="s">
        <v>152</v>
      </c>
      <c r="O43" s="555">
        <v>4.32</v>
      </c>
      <c r="P43" s="566"/>
      <c r="Q43" s="567">
        <f t="shared" si="4"/>
        <v>89192.880000000019</v>
      </c>
      <c r="R43" s="568"/>
      <c r="S43" s="554"/>
      <c r="T43" s="554">
        <v>0.1</v>
      </c>
      <c r="U43" s="567">
        <f t="shared" si="7"/>
        <v>8919.2880000000023</v>
      </c>
      <c r="V43" s="569"/>
      <c r="W43" s="554"/>
      <c r="X43" s="700"/>
      <c r="Y43" s="570">
        <f t="shared" si="5"/>
        <v>98112.16800000002</v>
      </c>
      <c r="Z43" s="274">
        <f t="shared" si="6"/>
        <v>0</v>
      </c>
      <c r="AA43" s="274">
        <f t="shared" si="6"/>
        <v>0</v>
      </c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</row>
    <row r="44" spans="1:44" s="80" customFormat="1" ht="17.25" customHeight="1">
      <c r="A44" s="560">
        <v>18</v>
      </c>
      <c r="B44" s="153" t="s">
        <v>138</v>
      </c>
      <c r="C44" s="561" t="s">
        <v>99</v>
      </c>
      <c r="D44" s="563" t="s">
        <v>25</v>
      </c>
      <c r="E44" s="562" t="s">
        <v>475</v>
      </c>
      <c r="F44" s="562" t="s">
        <v>476</v>
      </c>
      <c r="G44" s="560">
        <v>1</v>
      </c>
      <c r="H44" s="563" t="s">
        <v>102</v>
      </c>
      <c r="I44" s="563" t="s">
        <v>103</v>
      </c>
      <c r="J44" s="572">
        <v>4</v>
      </c>
      <c r="K44" s="554">
        <v>17697</v>
      </c>
      <c r="L44" s="565">
        <v>23</v>
      </c>
      <c r="M44" s="554">
        <f t="shared" si="3"/>
        <v>1.2777777777777777</v>
      </c>
      <c r="N44" s="574" t="s">
        <v>112</v>
      </c>
      <c r="O44" s="566">
        <v>2.98</v>
      </c>
      <c r="P44" s="566"/>
      <c r="Q44" s="567">
        <f t="shared" si="4"/>
        <v>67386.243333333332</v>
      </c>
      <c r="R44" s="568"/>
      <c r="S44" s="554"/>
      <c r="T44" s="554">
        <v>0.1</v>
      </c>
      <c r="U44" s="567">
        <f t="shared" si="7"/>
        <v>6738.6243333333332</v>
      </c>
      <c r="V44" s="569"/>
      <c r="W44" s="554"/>
      <c r="X44" s="700"/>
      <c r="Y44" s="570">
        <f t="shared" si="5"/>
        <v>74124.867666666658</v>
      </c>
      <c r="Z44" s="274"/>
      <c r="AA44" s="27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</row>
    <row r="45" spans="1:44" s="80" customFormat="1" ht="17.25" customHeight="1">
      <c r="A45" s="547">
        <v>19</v>
      </c>
      <c r="B45" s="153" t="s">
        <v>58</v>
      </c>
      <c r="C45" s="561" t="s">
        <v>99</v>
      </c>
      <c r="D45" s="563" t="s">
        <v>25</v>
      </c>
      <c r="E45" s="562" t="s">
        <v>477</v>
      </c>
      <c r="F45" s="562" t="s">
        <v>366</v>
      </c>
      <c r="G45" s="560">
        <v>1</v>
      </c>
      <c r="H45" s="563" t="s">
        <v>102</v>
      </c>
      <c r="I45" s="563" t="s">
        <v>103</v>
      </c>
      <c r="J45" s="581">
        <v>3</v>
      </c>
      <c r="K45" s="554">
        <v>17697</v>
      </c>
      <c r="L45" s="565">
        <v>18</v>
      </c>
      <c r="M45" s="554">
        <f t="shared" si="3"/>
        <v>1</v>
      </c>
      <c r="N45" s="566" t="s">
        <v>109</v>
      </c>
      <c r="O45" s="566">
        <v>3.69</v>
      </c>
      <c r="P45" s="566"/>
      <c r="Q45" s="567">
        <f t="shared" si="4"/>
        <v>65301.930000000008</v>
      </c>
      <c r="R45" s="568"/>
      <c r="S45" s="554"/>
      <c r="T45" s="554">
        <v>0.1</v>
      </c>
      <c r="U45" s="567">
        <f t="shared" si="7"/>
        <v>6530.1930000000011</v>
      </c>
      <c r="V45" s="569"/>
      <c r="W45" s="554"/>
      <c r="X45" s="700"/>
      <c r="Y45" s="570">
        <f t="shared" si="5"/>
        <v>71832.123000000007</v>
      </c>
      <c r="Z45" s="274">
        <f t="shared" si="6"/>
        <v>0</v>
      </c>
      <c r="AA45" s="274">
        <f t="shared" si="6"/>
        <v>0</v>
      </c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</row>
    <row r="46" spans="1:44" s="80" customFormat="1" ht="17.25" customHeight="1">
      <c r="A46" s="560">
        <v>20</v>
      </c>
      <c r="B46" s="153" t="s">
        <v>145</v>
      </c>
      <c r="C46" s="561" t="s">
        <v>99</v>
      </c>
      <c r="D46" s="563" t="s">
        <v>25</v>
      </c>
      <c r="E46" s="562" t="s">
        <v>478</v>
      </c>
      <c r="F46" s="562" t="s">
        <v>140</v>
      </c>
      <c r="G46" s="560">
        <v>1</v>
      </c>
      <c r="H46" s="563" t="s">
        <v>102</v>
      </c>
      <c r="I46" s="563" t="s">
        <v>103</v>
      </c>
      <c r="J46" s="581">
        <v>4</v>
      </c>
      <c r="K46" s="554">
        <v>17697</v>
      </c>
      <c r="L46" s="565">
        <v>18</v>
      </c>
      <c r="M46" s="554">
        <f t="shared" si="3"/>
        <v>1</v>
      </c>
      <c r="N46" s="574" t="s">
        <v>112</v>
      </c>
      <c r="O46" s="566">
        <v>2.98</v>
      </c>
      <c r="P46" s="566"/>
      <c r="Q46" s="567">
        <f t="shared" si="4"/>
        <v>52737.06</v>
      </c>
      <c r="R46" s="568"/>
      <c r="S46" s="554"/>
      <c r="T46" s="554">
        <v>0.1</v>
      </c>
      <c r="U46" s="567">
        <f t="shared" si="7"/>
        <v>5273.7060000000001</v>
      </c>
      <c r="V46" s="569"/>
      <c r="W46" s="554"/>
      <c r="X46" s="700"/>
      <c r="Y46" s="570">
        <f t="shared" si="5"/>
        <v>58010.765999999996</v>
      </c>
      <c r="Z46" s="274">
        <f t="shared" si="6"/>
        <v>0</v>
      </c>
      <c r="AA46" s="274">
        <f t="shared" si="6"/>
        <v>0</v>
      </c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</row>
    <row r="47" spans="1:44" s="80" customFormat="1" ht="17.25" customHeight="1">
      <c r="A47" s="547">
        <v>21</v>
      </c>
      <c r="B47" s="153" t="s">
        <v>143</v>
      </c>
      <c r="C47" s="561" t="s">
        <v>99</v>
      </c>
      <c r="D47" s="563" t="s">
        <v>25</v>
      </c>
      <c r="E47" s="562" t="s">
        <v>479</v>
      </c>
      <c r="F47" s="562" t="s">
        <v>73</v>
      </c>
      <c r="G47" s="560">
        <v>1</v>
      </c>
      <c r="H47" s="563" t="s">
        <v>102</v>
      </c>
      <c r="I47" s="563" t="s">
        <v>103</v>
      </c>
      <c r="J47" s="581">
        <v>1</v>
      </c>
      <c r="K47" s="554">
        <v>17697</v>
      </c>
      <c r="L47" s="565">
        <v>34</v>
      </c>
      <c r="M47" s="554">
        <f t="shared" si="3"/>
        <v>1.8888888888888888</v>
      </c>
      <c r="N47" s="574" t="s">
        <v>152</v>
      </c>
      <c r="O47" s="566">
        <v>4.0199999999999996</v>
      </c>
      <c r="P47" s="566"/>
      <c r="Q47" s="567">
        <f t="shared" si="4"/>
        <v>134379.21999999997</v>
      </c>
      <c r="R47" s="568"/>
      <c r="S47" s="554"/>
      <c r="T47" s="554">
        <v>0.1</v>
      </c>
      <c r="U47" s="567">
        <f t="shared" si="7"/>
        <v>13437.921999999999</v>
      </c>
      <c r="V47" s="569"/>
      <c r="W47" s="554"/>
      <c r="X47" s="700"/>
      <c r="Y47" s="570">
        <f t="shared" si="5"/>
        <v>147817.14199999996</v>
      </c>
      <c r="Z47" s="274">
        <f t="shared" si="6"/>
        <v>0</v>
      </c>
      <c r="AA47" s="274">
        <f t="shared" si="6"/>
        <v>0</v>
      </c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</row>
    <row r="48" spans="1:44" s="80" customFormat="1" ht="17.25" customHeight="1">
      <c r="A48" s="560">
        <v>22</v>
      </c>
      <c r="B48" s="153" t="s">
        <v>447</v>
      </c>
      <c r="C48" s="561" t="s">
        <v>99</v>
      </c>
      <c r="D48" s="563" t="s">
        <v>75</v>
      </c>
      <c r="E48" s="585" t="s">
        <v>440</v>
      </c>
      <c r="F48" s="585" t="s">
        <v>159</v>
      </c>
      <c r="G48" s="560">
        <v>1</v>
      </c>
      <c r="H48" s="563" t="s">
        <v>102</v>
      </c>
      <c r="I48" s="563" t="s">
        <v>118</v>
      </c>
      <c r="J48" s="581">
        <v>4</v>
      </c>
      <c r="K48" s="554">
        <v>17697</v>
      </c>
      <c r="L48" s="565">
        <v>4</v>
      </c>
      <c r="M48" s="554">
        <f t="shared" si="3"/>
        <v>0.22222222222222221</v>
      </c>
      <c r="N48" s="574" t="s">
        <v>112</v>
      </c>
      <c r="O48" s="566">
        <v>2.75</v>
      </c>
      <c r="P48" s="566"/>
      <c r="Q48" s="567">
        <f t="shared" si="4"/>
        <v>10814.833333333334</v>
      </c>
      <c r="R48" s="568"/>
      <c r="S48" s="554"/>
      <c r="T48" s="554">
        <v>0.1</v>
      </c>
      <c r="U48" s="567">
        <f t="shared" si="7"/>
        <v>1081.4833333333333</v>
      </c>
      <c r="V48" s="569"/>
      <c r="W48" s="554"/>
      <c r="X48" s="700"/>
      <c r="Y48" s="570">
        <f t="shared" si="5"/>
        <v>11896.316666666668</v>
      </c>
      <c r="Z48" s="274">
        <f t="shared" si="6"/>
        <v>0</v>
      </c>
      <c r="AA48" s="274">
        <f t="shared" si="6"/>
        <v>0</v>
      </c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</row>
    <row r="49" spans="1:44" s="80" customFormat="1" ht="17.25" customHeight="1">
      <c r="A49" s="547">
        <v>23</v>
      </c>
      <c r="B49" s="153" t="s">
        <v>147</v>
      </c>
      <c r="C49" s="561" t="s">
        <v>148</v>
      </c>
      <c r="D49" s="563" t="s">
        <v>25</v>
      </c>
      <c r="E49" s="562" t="s">
        <v>480</v>
      </c>
      <c r="F49" s="562" t="s">
        <v>51</v>
      </c>
      <c r="G49" s="560">
        <v>1</v>
      </c>
      <c r="H49" s="563" t="s">
        <v>102</v>
      </c>
      <c r="I49" s="563" t="s">
        <v>103</v>
      </c>
      <c r="J49" s="564">
        <v>3</v>
      </c>
      <c r="K49" s="554">
        <v>17697</v>
      </c>
      <c r="L49" s="565">
        <v>36</v>
      </c>
      <c r="M49" s="554">
        <f t="shared" si="3"/>
        <v>2</v>
      </c>
      <c r="N49" s="566" t="s">
        <v>109</v>
      </c>
      <c r="O49" s="566">
        <v>3.69</v>
      </c>
      <c r="P49" s="566"/>
      <c r="Q49" s="567">
        <f t="shared" si="4"/>
        <v>130603.86000000002</v>
      </c>
      <c r="R49" s="568"/>
      <c r="S49" s="554"/>
      <c r="T49" s="554">
        <v>0.1</v>
      </c>
      <c r="U49" s="567">
        <f t="shared" si="7"/>
        <v>13060.386000000002</v>
      </c>
      <c r="V49" s="569"/>
      <c r="W49" s="554"/>
      <c r="X49" s="700"/>
      <c r="Y49" s="570">
        <f t="shared" si="5"/>
        <v>143664.24600000001</v>
      </c>
      <c r="Z49" s="274">
        <f t="shared" si="6"/>
        <v>0</v>
      </c>
      <c r="AA49" s="274">
        <f t="shared" si="6"/>
        <v>0</v>
      </c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</row>
    <row r="50" spans="1:44" s="80" customFormat="1" ht="17.25" customHeight="1">
      <c r="A50" s="560">
        <v>24</v>
      </c>
      <c r="B50" s="153" t="s">
        <v>91</v>
      </c>
      <c r="C50" s="561" t="s">
        <v>99</v>
      </c>
      <c r="D50" s="563" t="s">
        <v>25</v>
      </c>
      <c r="E50" s="562" t="s">
        <v>481</v>
      </c>
      <c r="F50" s="562" t="s">
        <v>93</v>
      </c>
      <c r="G50" s="560">
        <v>1</v>
      </c>
      <c r="H50" s="563" t="s">
        <v>102</v>
      </c>
      <c r="I50" s="563" t="s">
        <v>103</v>
      </c>
      <c r="J50" s="581">
        <v>1</v>
      </c>
      <c r="K50" s="554">
        <v>17697</v>
      </c>
      <c r="L50" s="565">
        <v>36</v>
      </c>
      <c r="M50" s="554">
        <f t="shared" si="3"/>
        <v>2</v>
      </c>
      <c r="N50" s="574" t="s">
        <v>152</v>
      </c>
      <c r="O50" s="566">
        <v>4.2</v>
      </c>
      <c r="P50" s="566"/>
      <c r="Q50" s="567">
        <f t="shared" si="4"/>
        <v>148654.80000000002</v>
      </c>
      <c r="R50" s="568"/>
      <c r="S50" s="554"/>
      <c r="T50" s="554">
        <v>0.1</v>
      </c>
      <c r="U50" s="567">
        <f t="shared" si="7"/>
        <v>14865.480000000003</v>
      </c>
      <c r="V50" s="569"/>
      <c r="W50" s="554"/>
      <c r="X50" s="700"/>
      <c r="Y50" s="570">
        <f t="shared" si="5"/>
        <v>163520.28000000003</v>
      </c>
      <c r="Z50" s="274">
        <f t="shared" si="6"/>
        <v>0</v>
      </c>
      <c r="AA50" s="274">
        <f t="shared" si="6"/>
        <v>0</v>
      </c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</row>
    <row r="51" spans="1:44" s="80" customFormat="1" ht="17.25" customHeight="1">
      <c r="A51" s="547">
        <v>25</v>
      </c>
      <c r="B51" s="153" t="s">
        <v>150</v>
      </c>
      <c r="C51" s="561" t="s">
        <v>99</v>
      </c>
      <c r="D51" s="563" t="s">
        <v>25</v>
      </c>
      <c r="E51" s="562" t="s">
        <v>482</v>
      </c>
      <c r="F51" s="562" t="s">
        <v>34</v>
      </c>
      <c r="G51" s="560">
        <v>1</v>
      </c>
      <c r="H51" s="563" t="s">
        <v>102</v>
      </c>
      <c r="I51" s="563" t="s">
        <v>103</v>
      </c>
      <c r="J51" s="581">
        <v>1</v>
      </c>
      <c r="K51" s="554">
        <v>17697</v>
      </c>
      <c r="L51" s="565">
        <v>35</v>
      </c>
      <c r="M51" s="554">
        <f t="shared" si="3"/>
        <v>1.9444444444444444</v>
      </c>
      <c r="N51" s="574" t="s">
        <v>152</v>
      </c>
      <c r="O51" s="555">
        <v>4.32</v>
      </c>
      <c r="P51" s="566"/>
      <c r="Q51" s="567">
        <f t="shared" si="4"/>
        <v>148654.80000000002</v>
      </c>
      <c r="R51" s="568"/>
      <c r="S51" s="554"/>
      <c r="T51" s="554">
        <v>0.1</v>
      </c>
      <c r="U51" s="567">
        <f t="shared" si="7"/>
        <v>14865.480000000003</v>
      </c>
      <c r="V51" s="569"/>
      <c r="W51" s="554"/>
      <c r="X51" s="700"/>
      <c r="Y51" s="570">
        <f t="shared" si="5"/>
        <v>163520.28000000003</v>
      </c>
      <c r="Z51" s="274">
        <f t="shared" si="6"/>
        <v>0</v>
      </c>
      <c r="AA51" s="274">
        <f t="shared" si="6"/>
        <v>0</v>
      </c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</row>
    <row r="52" spans="1:44" s="80" customFormat="1" ht="17.25" customHeight="1">
      <c r="A52" s="560">
        <v>26</v>
      </c>
      <c r="B52" s="153" t="s">
        <v>456</v>
      </c>
      <c r="C52" s="561" t="s">
        <v>99</v>
      </c>
      <c r="D52" s="563" t="s">
        <v>25</v>
      </c>
      <c r="E52" s="562" t="s">
        <v>461</v>
      </c>
      <c r="F52" s="562" t="s">
        <v>34</v>
      </c>
      <c r="G52" s="560">
        <v>1</v>
      </c>
      <c r="H52" s="563" t="s">
        <v>102</v>
      </c>
      <c r="I52" s="563" t="s">
        <v>103</v>
      </c>
      <c r="J52" s="581">
        <v>2</v>
      </c>
      <c r="K52" s="554">
        <v>17697</v>
      </c>
      <c r="L52" s="565">
        <v>10</v>
      </c>
      <c r="M52" s="554">
        <f t="shared" si="3"/>
        <v>0.55555555555555558</v>
      </c>
      <c r="N52" s="566" t="s">
        <v>104</v>
      </c>
      <c r="O52" s="566">
        <v>3.92</v>
      </c>
      <c r="P52" s="566"/>
      <c r="Q52" s="567">
        <f t="shared" si="4"/>
        <v>38540.133333333339</v>
      </c>
      <c r="R52" s="568"/>
      <c r="S52" s="554"/>
      <c r="T52" s="554">
        <v>0.1</v>
      </c>
      <c r="U52" s="567">
        <f t="shared" si="7"/>
        <v>3854.0133333333342</v>
      </c>
      <c r="V52" s="569"/>
      <c r="W52" s="554"/>
      <c r="X52" s="700"/>
      <c r="Y52" s="570">
        <f t="shared" si="5"/>
        <v>42394.146666666675</v>
      </c>
      <c r="Z52" s="274">
        <f t="shared" si="6"/>
        <v>0</v>
      </c>
      <c r="AA52" s="274">
        <f t="shared" si="6"/>
        <v>0</v>
      </c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</row>
    <row r="53" spans="1:44" s="80" customFormat="1" ht="17.25" customHeight="1">
      <c r="A53" s="547">
        <v>27</v>
      </c>
      <c r="B53" s="153" t="s">
        <v>157</v>
      </c>
      <c r="C53" s="561" t="s">
        <v>99</v>
      </c>
      <c r="D53" s="563" t="s">
        <v>25</v>
      </c>
      <c r="E53" s="562" t="s">
        <v>483</v>
      </c>
      <c r="F53" s="562" t="s">
        <v>159</v>
      </c>
      <c r="G53" s="560">
        <v>1</v>
      </c>
      <c r="H53" s="563" t="s">
        <v>102</v>
      </c>
      <c r="I53" s="563" t="s">
        <v>118</v>
      </c>
      <c r="J53" s="581">
        <v>4</v>
      </c>
      <c r="K53" s="554">
        <v>17697</v>
      </c>
      <c r="L53" s="565">
        <v>18</v>
      </c>
      <c r="M53" s="554">
        <f t="shared" si="3"/>
        <v>1</v>
      </c>
      <c r="N53" s="574" t="s">
        <v>112</v>
      </c>
      <c r="O53" s="566">
        <v>2.8</v>
      </c>
      <c r="P53" s="566"/>
      <c r="Q53" s="567">
        <f t="shared" si="4"/>
        <v>49551.600000000006</v>
      </c>
      <c r="R53" s="568"/>
      <c r="S53" s="554"/>
      <c r="T53" s="554">
        <v>0.1</v>
      </c>
      <c r="U53" s="567">
        <f t="shared" si="7"/>
        <v>4955.1600000000008</v>
      </c>
      <c r="V53" s="569"/>
      <c r="W53" s="554"/>
      <c r="X53" s="700"/>
      <c r="Y53" s="570">
        <f t="shared" si="5"/>
        <v>54506.760000000009</v>
      </c>
      <c r="Z53" s="274">
        <f t="shared" si="6"/>
        <v>0</v>
      </c>
      <c r="AA53" s="274">
        <f t="shared" si="6"/>
        <v>0</v>
      </c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</row>
    <row r="54" spans="1:44" s="80" customFormat="1" ht="17.25" customHeight="1">
      <c r="A54" s="560">
        <v>28</v>
      </c>
      <c r="B54" s="153" t="s">
        <v>160</v>
      </c>
      <c r="C54" s="561" t="s">
        <v>148</v>
      </c>
      <c r="D54" s="563" t="s">
        <v>25</v>
      </c>
      <c r="E54" s="562" t="s">
        <v>484</v>
      </c>
      <c r="F54" s="562" t="s">
        <v>34</v>
      </c>
      <c r="G54" s="560">
        <v>1</v>
      </c>
      <c r="H54" s="563" t="s">
        <v>102</v>
      </c>
      <c r="I54" s="563" t="s">
        <v>103</v>
      </c>
      <c r="J54" s="564">
        <v>2</v>
      </c>
      <c r="K54" s="554">
        <v>17697</v>
      </c>
      <c r="L54" s="565">
        <v>23</v>
      </c>
      <c r="M54" s="554">
        <f t="shared" si="3"/>
        <v>1.2777777777777777</v>
      </c>
      <c r="N54" s="566" t="s">
        <v>104</v>
      </c>
      <c r="O54" s="566">
        <v>3.92</v>
      </c>
      <c r="P54" s="566"/>
      <c r="Q54" s="567">
        <f t="shared" si="4"/>
        <v>88642.306666666671</v>
      </c>
      <c r="R54" s="568"/>
      <c r="S54" s="554"/>
      <c r="T54" s="554">
        <v>0.1</v>
      </c>
      <c r="U54" s="567">
        <f t="shared" si="7"/>
        <v>8864.2306666666682</v>
      </c>
      <c r="V54" s="569"/>
      <c r="W54" s="554"/>
      <c r="X54" s="700"/>
      <c r="Y54" s="570">
        <f t="shared" si="5"/>
        <v>97506.537333333341</v>
      </c>
      <c r="Z54" s="274">
        <f>V54+R54</f>
        <v>0</v>
      </c>
      <c r="AA54" s="274">
        <f>W54+S54</f>
        <v>0</v>
      </c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</row>
    <row r="55" spans="1:44" s="80" customFormat="1" ht="17.25" customHeight="1">
      <c r="A55" s="547">
        <v>29</v>
      </c>
      <c r="B55" s="153" t="s">
        <v>162</v>
      </c>
      <c r="C55" s="561" t="s">
        <v>99</v>
      </c>
      <c r="D55" s="563" t="s">
        <v>64</v>
      </c>
      <c r="E55" s="562" t="s">
        <v>485</v>
      </c>
      <c r="F55" s="562" t="s">
        <v>77</v>
      </c>
      <c r="G55" s="560">
        <v>1</v>
      </c>
      <c r="H55" s="563" t="s">
        <v>102</v>
      </c>
      <c r="I55" s="563" t="s">
        <v>103</v>
      </c>
      <c r="J55" s="581">
        <v>4</v>
      </c>
      <c r="K55" s="554">
        <v>17697</v>
      </c>
      <c r="L55" s="565">
        <v>10</v>
      </c>
      <c r="M55" s="554">
        <f t="shared" si="3"/>
        <v>0.55555555555555558</v>
      </c>
      <c r="N55" s="574" t="s">
        <v>112</v>
      </c>
      <c r="O55" s="566">
        <v>2.92</v>
      </c>
      <c r="P55" s="566"/>
      <c r="Q55" s="567">
        <f t="shared" si="4"/>
        <v>28708.466666666664</v>
      </c>
      <c r="R55" s="568"/>
      <c r="S55" s="554"/>
      <c r="T55" s="554">
        <v>0.1</v>
      </c>
      <c r="U55" s="567">
        <f t="shared" si="7"/>
        <v>2870.8466666666664</v>
      </c>
      <c r="V55" s="569"/>
      <c r="W55" s="554"/>
      <c r="X55" s="700"/>
      <c r="Y55" s="570">
        <f t="shared" si="5"/>
        <v>31579.313333333332</v>
      </c>
      <c r="Z55" s="274">
        <f t="shared" si="6"/>
        <v>0</v>
      </c>
      <c r="AA55" s="274">
        <f t="shared" si="6"/>
        <v>0</v>
      </c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</row>
    <row r="56" spans="1:44" s="80" customFormat="1" ht="17.25" customHeight="1">
      <c r="A56" s="560">
        <v>30</v>
      </c>
      <c r="B56" s="153" t="s">
        <v>166</v>
      </c>
      <c r="C56" s="561" t="s">
        <v>99</v>
      </c>
      <c r="D56" s="563" t="s">
        <v>25</v>
      </c>
      <c r="E56" s="562" t="s">
        <v>486</v>
      </c>
      <c r="F56" s="562" t="s">
        <v>73</v>
      </c>
      <c r="G56" s="560">
        <v>1</v>
      </c>
      <c r="H56" s="563" t="s">
        <v>102</v>
      </c>
      <c r="I56" s="563" t="s">
        <v>103</v>
      </c>
      <c r="J56" s="581">
        <v>1</v>
      </c>
      <c r="K56" s="554">
        <v>17697</v>
      </c>
      <c r="L56" s="565">
        <v>33</v>
      </c>
      <c r="M56" s="554">
        <f t="shared" si="3"/>
        <v>1.8333333333333333</v>
      </c>
      <c r="N56" s="574" t="s">
        <v>152</v>
      </c>
      <c r="O56" s="555">
        <v>4.0199999999999996</v>
      </c>
      <c r="P56" s="555"/>
      <c r="Q56" s="567">
        <f t="shared" si="4"/>
        <v>130426.88999999998</v>
      </c>
      <c r="R56" s="568"/>
      <c r="S56" s="554"/>
      <c r="T56" s="554">
        <v>0.1</v>
      </c>
      <c r="U56" s="567">
        <f t="shared" si="7"/>
        <v>13042.688999999998</v>
      </c>
      <c r="V56" s="569"/>
      <c r="W56" s="554"/>
      <c r="X56" s="700"/>
      <c r="Y56" s="570">
        <f t="shared" si="5"/>
        <v>143469.57899999997</v>
      </c>
      <c r="Z56" s="274">
        <f t="shared" si="6"/>
        <v>0</v>
      </c>
      <c r="AA56" s="274">
        <f t="shared" si="6"/>
        <v>0</v>
      </c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</row>
    <row r="57" spans="1:44" s="80" customFormat="1" ht="17.25" customHeight="1">
      <c r="A57" s="547">
        <v>31</v>
      </c>
      <c r="B57" s="153" t="s">
        <v>168</v>
      </c>
      <c r="C57" s="561" t="s">
        <v>99</v>
      </c>
      <c r="D57" s="563" t="s">
        <v>25</v>
      </c>
      <c r="E57" s="562" t="s">
        <v>487</v>
      </c>
      <c r="F57" s="562" t="s">
        <v>73</v>
      </c>
      <c r="G57" s="560">
        <v>1</v>
      </c>
      <c r="H57" s="563" t="s">
        <v>102</v>
      </c>
      <c r="I57" s="563" t="s">
        <v>103</v>
      </c>
      <c r="J57" s="581">
        <v>3</v>
      </c>
      <c r="K57" s="554">
        <v>17697</v>
      </c>
      <c r="L57" s="565">
        <v>29</v>
      </c>
      <c r="M57" s="554">
        <f t="shared" si="3"/>
        <v>1.6111111111111112</v>
      </c>
      <c r="N57" s="566" t="s">
        <v>109</v>
      </c>
      <c r="O57" s="566">
        <v>3.45</v>
      </c>
      <c r="P57" s="566"/>
      <c r="Q57" s="567">
        <f t="shared" si="4"/>
        <v>98365.825000000012</v>
      </c>
      <c r="R57" s="568"/>
      <c r="S57" s="554"/>
      <c r="T57" s="554">
        <v>0.1</v>
      </c>
      <c r="U57" s="567">
        <f t="shared" si="7"/>
        <v>9836.5825000000023</v>
      </c>
      <c r="V57" s="569"/>
      <c r="W57" s="554"/>
      <c r="X57" s="700"/>
      <c r="Y57" s="570">
        <f t="shared" si="5"/>
        <v>108202.40750000002</v>
      </c>
      <c r="Z57" s="274">
        <f t="shared" si="6"/>
        <v>0</v>
      </c>
      <c r="AA57" s="274">
        <f t="shared" si="6"/>
        <v>0</v>
      </c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</row>
    <row r="58" spans="1:44" s="80" customFormat="1" ht="17.25" customHeight="1">
      <c r="A58" s="560">
        <v>32</v>
      </c>
      <c r="B58" s="153" t="s">
        <v>89</v>
      </c>
      <c r="C58" s="561" t="s">
        <v>170</v>
      </c>
      <c r="D58" s="563" t="s">
        <v>25</v>
      </c>
      <c r="E58" s="562" t="s">
        <v>488</v>
      </c>
      <c r="F58" s="562" t="s">
        <v>73</v>
      </c>
      <c r="G58" s="560">
        <v>1</v>
      </c>
      <c r="H58" s="563" t="s">
        <v>102</v>
      </c>
      <c r="I58" s="563" t="s">
        <v>103</v>
      </c>
      <c r="J58" s="581">
        <v>3</v>
      </c>
      <c r="K58" s="554">
        <v>17697</v>
      </c>
      <c r="L58" s="565">
        <v>22</v>
      </c>
      <c r="M58" s="554">
        <f t="shared" si="3"/>
        <v>1.2222222222222223</v>
      </c>
      <c r="N58" s="566" t="s">
        <v>109</v>
      </c>
      <c r="O58" s="566">
        <v>3.45</v>
      </c>
      <c r="P58" s="566"/>
      <c r="Q58" s="567">
        <f t="shared" si="4"/>
        <v>74622.350000000006</v>
      </c>
      <c r="R58" s="568"/>
      <c r="S58" s="554"/>
      <c r="T58" s="554">
        <v>0.1</v>
      </c>
      <c r="U58" s="567">
        <f t="shared" si="7"/>
        <v>7462.2350000000006</v>
      </c>
      <c r="V58" s="569"/>
      <c r="W58" s="554"/>
      <c r="X58" s="700"/>
      <c r="Y58" s="570">
        <f t="shared" si="5"/>
        <v>82084.585000000006</v>
      </c>
      <c r="Z58" s="274">
        <f t="shared" si="6"/>
        <v>0</v>
      </c>
      <c r="AA58" s="274">
        <f t="shared" si="6"/>
        <v>0</v>
      </c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</row>
    <row r="59" spans="1:44" s="80" customFormat="1" ht="17.25" customHeight="1">
      <c r="A59" s="547">
        <v>33</v>
      </c>
      <c r="B59" s="153" t="s">
        <v>171</v>
      </c>
      <c r="C59" s="561" t="s">
        <v>99</v>
      </c>
      <c r="D59" s="563" t="s">
        <v>25</v>
      </c>
      <c r="E59" s="562" t="s">
        <v>489</v>
      </c>
      <c r="F59" s="562" t="s">
        <v>34</v>
      </c>
      <c r="G59" s="560">
        <v>1</v>
      </c>
      <c r="H59" s="563" t="s">
        <v>102</v>
      </c>
      <c r="I59" s="563" t="s">
        <v>103</v>
      </c>
      <c r="J59" s="581">
        <v>1</v>
      </c>
      <c r="K59" s="554">
        <v>17697</v>
      </c>
      <c r="L59" s="565">
        <v>36</v>
      </c>
      <c r="M59" s="554">
        <f t="shared" ref="M59:M77" si="8">L59/18</f>
        <v>2</v>
      </c>
      <c r="N59" s="574" t="s">
        <v>152</v>
      </c>
      <c r="O59" s="555">
        <v>4.32</v>
      </c>
      <c r="P59" s="566"/>
      <c r="Q59" s="567">
        <f t="shared" ref="Q59:Q77" si="9">O59*K59/18*L59</f>
        <v>152902.08000000002</v>
      </c>
      <c r="R59" s="568"/>
      <c r="S59" s="554"/>
      <c r="T59" s="554">
        <v>0.1</v>
      </c>
      <c r="U59" s="567">
        <f t="shared" si="7"/>
        <v>15290.208000000002</v>
      </c>
      <c r="V59" s="569"/>
      <c r="W59" s="554"/>
      <c r="X59" s="700"/>
      <c r="Y59" s="570">
        <f t="shared" si="5"/>
        <v>168192.28800000003</v>
      </c>
      <c r="Z59" s="274"/>
      <c r="AA59" s="27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</row>
    <row r="60" spans="1:44" s="80" customFormat="1" ht="16.5" customHeight="1">
      <c r="A60" s="560">
        <v>34</v>
      </c>
      <c r="B60" s="153" t="s">
        <v>207</v>
      </c>
      <c r="C60" s="561" t="s">
        <v>99</v>
      </c>
      <c r="D60" s="563" t="s">
        <v>25</v>
      </c>
      <c r="E60" s="562" t="s">
        <v>208</v>
      </c>
      <c r="F60" s="562" t="s">
        <v>209</v>
      </c>
      <c r="G60" s="560">
        <v>1</v>
      </c>
      <c r="H60" s="563" t="s">
        <v>102</v>
      </c>
      <c r="I60" s="563" t="s">
        <v>103</v>
      </c>
      <c r="J60" s="581">
        <v>2</v>
      </c>
      <c r="K60" s="554">
        <v>17697</v>
      </c>
      <c r="L60" s="565">
        <v>4</v>
      </c>
      <c r="M60" s="554">
        <f t="shared" si="8"/>
        <v>0.22222222222222221</v>
      </c>
      <c r="N60" s="566" t="s">
        <v>104</v>
      </c>
      <c r="O60" s="566">
        <v>3.68</v>
      </c>
      <c r="P60" s="566"/>
      <c r="Q60" s="567">
        <f t="shared" si="9"/>
        <v>14472.213333333335</v>
      </c>
      <c r="R60" s="568"/>
      <c r="S60" s="554"/>
      <c r="T60" s="554">
        <v>0.1</v>
      </c>
      <c r="U60" s="567">
        <f t="shared" si="7"/>
        <v>1447.2213333333336</v>
      </c>
      <c r="V60" s="569"/>
      <c r="W60" s="554"/>
      <c r="X60" s="700"/>
      <c r="Y60" s="570">
        <f t="shared" ref="Y60:Y77" si="10">U60+Q60</f>
        <v>15919.434666666668</v>
      </c>
      <c r="Z60" s="274">
        <f t="shared" si="6"/>
        <v>0</v>
      </c>
      <c r="AA60" s="274">
        <f t="shared" si="6"/>
        <v>0</v>
      </c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</row>
    <row r="61" spans="1:44" s="80" customFormat="1" ht="17.25" customHeight="1">
      <c r="A61" s="547">
        <v>35</v>
      </c>
      <c r="B61" s="153" t="s">
        <v>173</v>
      </c>
      <c r="C61" s="561" t="s">
        <v>99</v>
      </c>
      <c r="D61" s="563" t="s">
        <v>25</v>
      </c>
      <c r="E61" s="562" t="s">
        <v>490</v>
      </c>
      <c r="F61" s="562" t="s">
        <v>101</v>
      </c>
      <c r="G61" s="560">
        <v>1</v>
      </c>
      <c r="H61" s="563" t="s">
        <v>102</v>
      </c>
      <c r="I61" s="563" t="s">
        <v>103</v>
      </c>
      <c r="J61" s="581">
        <v>1</v>
      </c>
      <c r="K61" s="554">
        <v>17697</v>
      </c>
      <c r="L61" s="565">
        <v>34.5</v>
      </c>
      <c r="M61" s="554">
        <f t="shared" si="8"/>
        <v>1.9166666666666667</v>
      </c>
      <c r="N61" s="574" t="s">
        <v>152</v>
      </c>
      <c r="O61" s="582">
        <v>4.1399999999999997</v>
      </c>
      <c r="P61" s="582"/>
      <c r="Q61" s="567">
        <f t="shared" si="9"/>
        <v>140425.69499999998</v>
      </c>
      <c r="R61" s="568"/>
      <c r="S61" s="554"/>
      <c r="T61" s="554">
        <v>0.1</v>
      </c>
      <c r="U61" s="567">
        <f t="shared" si="7"/>
        <v>14042.569499999998</v>
      </c>
      <c r="V61" s="569"/>
      <c r="W61" s="554"/>
      <c r="X61" s="700"/>
      <c r="Y61" s="570">
        <f t="shared" si="10"/>
        <v>154468.26449999999</v>
      </c>
      <c r="Z61" s="274">
        <f t="shared" si="6"/>
        <v>0</v>
      </c>
      <c r="AA61" s="274">
        <f t="shared" si="6"/>
        <v>0</v>
      </c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</row>
    <row r="62" spans="1:44" s="80" customFormat="1" ht="17.25" customHeight="1">
      <c r="A62" s="560">
        <v>36</v>
      </c>
      <c r="B62" s="153" t="s">
        <v>175</v>
      </c>
      <c r="C62" s="561" t="s">
        <v>99</v>
      </c>
      <c r="D62" s="563" t="s">
        <v>25</v>
      </c>
      <c r="E62" s="562" t="s">
        <v>491</v>
      </c>
      <c r="F62" s="562" t="s">
        <v>114</v>
      </c>
      <c r="G62" s="560">
        <v>1</v>
      </c>
      <c r="H62" s="563" t="s">
        <v>102</v>
      </c>
      <c r="I62" s="563" t="s">
        <v>103</v>
      </c>
      <c r="J62" s="581">
        <v>1</v>
      </c>
      <c r="K62" s="554">
        <v>17697</v>
      </c>
      <c r="L62" s="565">
        <v>9</v>
      </c>
      <c r="M62" s="554">
        <f t="shared" si="8"/>
        <v>0.5</v>
      </c>
      <c r="N62" s="574" t="s">
        <v>152</v>
      </c>
      <c r="O62" s="555">
        <v>4.32</v>
      </c>
      <c r="P62" s="566"/>
      <c r="Q62" s="567">
        <f t="shared" si="9"/>
        <v>38225.520000000004</v>
      </c>
      <c r="R62" s="568"/>
      <c r="S62" s="554"/>
      <c r="T62" s="554">
        <v>0.1</v>
      </c>
      <c r="U62" s="567">
        <f t="shared" si="7"/>
        <v>3822.5520000000006</v>
      </c>
      <c r="V62" s="569"/>
      <c r="W62" s="554"/>
      <c r="X62" s="700"/>
      <c r="Y62" s="570">
        <f t="shared" si="10"/>
        <v>42048.072000000007</v>
      </c>
      <c r="Z62" s="274">
        <f t="shared" si="6"/>
        <v>0</v>
      </c>
      <c r="AA62" s="274">
        <f t="shared" si="6"/>
        <v>0</v>
      </c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</row>
    <row r="63" spans="1:44" s="125" customFormat="1" ht="17.25" customHeight="1">
      <c r="A63" s="547">
        <v>37</v>
      </c>
      <c r="B63" s="153" t="s">
        <v>177</v>
      </c>
      <c r="C63" s="561" t="s">
        <v>99</v>
      </c>
      <c r="D63" s="563" t="s">
        <v>178</v>
      </c>
      <c r="E63" s="562" t="s">
        <v>492</v>
      </c>
      <c r="F63" s="562" t="s">
        <v>93</v>
      </c>
      <c r="G63" s="560">
        <v>1</v>
      </c>
      <c r="H63" s="563" t="s">
        <v>102</v>
      </c>
      <c r="I63" s="563" t="s">
        <v>103</v>
      </c>
      <c r="J63" s="581">
        <v>2</v>
      </c>
      <c r="K63" s="554">
        <v>17697</v>
      </c>
      <c r="L63" s="565">
        <v>26</v>
      </c>
      <c r="M63" s="554">
        <f t="shared" si="8"/>
        <v>1.4444444444444444</v>
      </c>
      <c r="N63" s="566" t="s">
        <v>104</v>
      </c>
      <c r="O63" s="566">
        <v>3.86</v>
      </c>
      <c r="P63" s="566"/>
      <c r="Q63" s="567">
        <f t="shared" si="9"/>
        <v>98670.606666666659</v>
      </c>
      <c r="R63" s="568"/>
      <c r="S63" s="554"/>
      <c r="T63" s="554">
        <v>0.1</v>
      </c>
      <c r="U63" s="567">
        <f t="shared" si="7"/>
        <v>9867.0606666666663</v>
      </c>
      <c r="V63" s="569"/>
      <c r="W63" s="554"/>
      <c r="X63" s="700"/>
      <c r="Y63" s="570">
        <f t="shared" si="10"/>
        <v>108537.66733333333</v>
      </c>
      <c r="Z63" s="682">
        <f t="shared" si="6"/>
        <v>0</v>
      </c>
      <c r="AA63" s="682">
        <f t="shared" si="6"/>
        <v>0</v>
      </c>
      <c r="AB63" s="916"/>
      <c r="AC63" s="916"/>
      <c r="AD63" s="916"/>
      <c r="AE63" s="916"/>
      <c r="AF63" s="916"/>
      <c r="AG63" s="916"/>
      <c r="AH63" s="916"/>
      <c r="AI63" s="916"/>
      <c r="AJ63" s="916"/>
      <c r="AK63" s="916"/>
      <c r="AL63" s="916"/>
      <c r="AM63" s="916"/>
      <c r="AN63" s="916"/>
      <c r="AO63" s="916"/>
      <c r="AP63" s="916"/>
      <c r="AQ63" s="916"/>
      <c r="AR63" s="916"/>
    </row>
    <row r="64" spans="1:44" s="125" customFormat="1" ht="17.25" customHeight="1">
      <c r="A64" s="560">
        <v>38</v>
      </c>
      <c r="B64" s="491" t="s">
        <v>448</v>
      </c>
      <c r="C64" s="561" t="s">
        <v>99</v>
      </c>
      <c r="D64" s="563" t="s">
        <v>75</v>
      </c>
      <c r="E64" s="562" t="s">
        <v>449</v>
      </c>
      <c r="F64" s="562" t="s">
        <v>159</v>
      </c>
      <c r="G64" s="560">
        <v>1</v>
      </c>
      <c r="H64" s="563" t="s">
        <v>102</v>
      </c>
      <c r="I64" s="563" t="s">
        <v>118</v>
      </c>
      <c r="J64" s="581">
        <v>4</v>
      </c>
      <c r="K64" s="554">
        <v>17697</v>
      </c>
      <c r="L64" s="565">
        <v>14</v>
      </c>
      <c r="M64" s="554">
        <f t="shared" si="8"/>
        <v>0.77777777777777779</v>
      </c>
      <c r="N64" s="574" t="s">
        <v>112</v>
      </c>
      <c r="O64" s="566">
        <v>2.75</v>
      </c>
      <c r="P64" s="566"/>
      <c r="Q64" s="567">
        <f t="shared" si="9"/>
        <v>37851.916666666672</v>
      </c>
      <c r="R64" s="568"/>
      <c r="S64" s="554"/>
      <c r="T64" s="554">
        <v>0.1</v>
      </c>
      <c r="U64" s="567">
        <f t="shared" si="7"/>
        <v>3785.1916666666675</v>
      </c>
      <c r="V64" s="569"/>
      <c r="W64" s="554"/>
      <c r="X64" s="700"/>
      <c r="Y64" s="570">
        <f t="shared" si="10"/>
        <v>41637.108333333337</v>
      </c>
      <c r="Z64" s="682"/>
      <c r="AA64" s="682"/>
      <c r="AB64" s="916"/>
      <c r="AC64" s="916"/>
      <c r="AD64" s="916"/>
      <c r="AE64" s="916"/>
      <c r="AF64" s="916"/>
      <c r="AG64" s="916"/>
      <c r="AH64" s="916"/>
      <c r="AI64" s="916"/>
      <c r="AJ64" s="916"/>
      <c r="AK64" s="916"/>
      <c r="AL64" s="916"/>
      <c r="AM64" s="916"/>
      <c r="AN64" s="916"/>
      <c r="AO64" s="916"/>
      <c r="AP64" s="916"/>
      <c r="AQ64" s="916"/>
      <c r="AR64" s="916"/>
    </row>
    <row r="65" spans="1:44" s="125" customFormat="1" ht="17.25" customHeight="1">
      <c r="A65" s="547">
        <v>39</v>
      </c>
      <c r="B65" s="153" t="s">
        <v>182</v>
      </c>
      <c r="C65" s="561" t="s">
        <v>99</v>
      </c>
      <c r="D65" s="563" t="s">
        <v>25</v>
      </c>
      <c r="E65" s="562" t="s">
        <v>494</v>
      </c>
      <c r="F65" s="562" t="s">
        <v>93</v>
      </c>
      <c r="G65" s="560">
        <v>1</v>
      </c>
      <c r="H65" s="563" t="s">
        <v>102</v>
      </c>
      <c r="I65" s="563" t="s">
        <v>103</v>
      </c>
      <c r="J65" s="581">
        <v>1</v>
      </c>
      <c r="K65" s="554">
        <v>17697</v>
      </c>
      <c r="L65" s="565">
        <v>35</v>
      </c>
      <c r="M65" s="554">
        <f t="shared" si="8"/>
        <v>1.9444444444444444</v>
      </c>
      <c r="N65" s="574" t="s">
        <v>152</v>
      </c>
      <c r="O65" s="566">
        <v>4.26</v>
      </c>
      <c r="P65" s="566"/>
      <c r="Q65" s="567">
        <f t="shared" si="9"/>
        <v>146590.15</v>
      </c>
      <c r="R65" s="568"/>
      <c r="S65" s="554"/>
      <c r="T65" s="554">
        <v>0.1</v>
      </c>
      <c r="U65" s="567">
        <f t="shared" si="7"/>
        <v>14659.014999999999</v>
      </c>
      <c r="V65" s="569"/>
      <c r="W65" s="554"/>
      <c r="X65" s="700"/>
      <c r="Y65" s="570">
        <f t="shared" si="10"/>
        <v>161249.16499999998</v>
      </c>
      <c r="Z65" s="682"/>
      <c r="AA65" s="682"/>
      <c r="AB65" s="916"/>
      <c r="AC65" s="916"/>
      <c r="AD65" s="916"/>
      <c r="AE65" s="916"/>
      <c r="AF65" s="916"/>
      <c r="AG65" s="916"/>
      <c r="AH65" s="916"/>
      <c r="AI65" s="916"/>
      <c r="AJ65" s="916"/>
      <c r="AK65" s="916"/>
      <c r="AL65" s="916"/>
      <c r="AM65" s="916"/>
      <c r="AN65" s="916"/>
      <c r="AO65" s="916"/>
      <c r="AP65" s="916"/>
      <c r="AQ65" s="916"/>
      <c r="AR65" s="916"/>
    </row>
    <row r="66" spans="1:44" s="80" customFormat="1" ht="17.25" customHeight="1">
      <c r="A66" s="560">
        <v>40</v>
      </c>
      <c r="B66" s="153" t="s">
        <v>184</v>
      </c>
      <c r="C66" s="561" t="s">
        <v>99</v>
      </c>
      <c r="D66" s="563" t="s">
        <v>25</v>
      </c>
      <c r="E66" s="586" t="s">
        <v>495</v>
      </c>
      <c r="F66" s="562" t="s">
        <v>27</v>
      </c>
      <c r="G66" s="560">
        <v>1</v>
      </c>
      <c r="H66" s="563" t="s">
        <v>102</v>
      </c>
      <c r="I66" s="563" t="s">
        <v>103</v>
      </c>
      <c r="J66" s="581">
        <v>1</v>
      </c>
      <c r="K66" s="554">
        <v>17697</v>
      </c>
      <c r="L66" s="565">
        <v>31</v>
      </c>
      <c r="M66" s="554">
        <f t="shared" si="8"/>
        <v>1.7222222222222223</v>
      </c>
      <c r="N66" s="574" t="s">
        <v>152</v>
      </c>
      <c r="O66" s="555">
        <v>4.32</v>
      </c>
      <c r="P66" s="566"/>
      <c r="Q66" s="567">
        <f t="shared" si="9"/>
        <v>131665.68000000002</v>
      </c>
      <c r="R66" s="568"/>
      <c r="S66" s="554"/>
      <c r="T66" s="554">
        <v>0.1</v>
      </c>
      <c r="U66" s="567">
        <f t="shared" si="7"/>
        <v>13166.568000000003</v>
      </c>
      <c r="V66" s="569"/>
      <c r="W66" s="554"/>
      <c r="X66" s="700"/>
      <c r="Y66" s="570">
        <f t="shared" si="10"/>
        <v>144832.24800000002</v>
      </c>
      <c r="Z66" s="274">
        <f t="shared" si="6"/>
        <v>0</v>
      </c>
      <c r="AA66" s="274">
        <f t="shared" si="6"/>
        <v>0</v>
      </c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</row>
    <row r="67" spans="1:44" s="80" customFormat="1" ht="17.25" customHeight="1">
      <c r="A67" s="547">
        <v>41</v>
      </c>
      <c r="B67" s="153" t="s">
        <v>186</v>
      </c>
      <c r="C67" s="561" t="s">
        <v>99</v>
      </c>
      <c r="D67" s="563" t="s">
        <v>25</v>
      </c>
      <c r="E67" s="562" t="s">
        <v>496</v>
      </c>
      <c r="F67" s="562" t="s">
        <v>27</v>
      </c>
      <c r="G67" s="560">
        <v>1</v>
      </c>
      <c r="H67" s="563" t="s">
        <v>102</v>
      </c>
      <c r="I67" s="563" t="s">
        <v>103</v>
      </c>
      <c r="J67" s="581">
        <v>1</v>
      </c>
      <c r="K67" s="554">
        <v>17697</v>
      </c>
      <c r="L67" s="565">
        <v>23</v>
      </c>
      <c r="M67" s="554">
        <f t="shared" si="8"/>
        <v>1.2777777777777777</v>
      </c>
      <c r="N67" s="574" t="s">
        <v>152</v>
      </c>
      <c r="O67" s="555">
        <v>4.32</v>
      </c>
      <c r="P67" s="566"/>
      <c r="Q67" s="567">
        <f t="shared" si="9"/>
        <v>97687.440000000017</v>
      </c>
      <c r="R67" s="568"/>
      <c r="S67" s="554"/>
      <c r="T67" s="554">
        <v>0.1</v>
      </c>
      <c r="U67" s="567">
        <f t="shared" si="7"/>
        <v>9768.7440000000024</v>
      </c>
      <c r="V67" s="569"/>
      <c r="W67" s="554"/>
      <c r="X67" s="700"/>
      <c r="Y67" s="570">
        <f t="shared" si="10"/>
        <v>107456.18400000002</v>
      </c>
      <c r="Z67" s="274">
        <f t="shared" si="6"/>
        <v>0</v>
      </c>
      <c r="AA67" s="274">
        <f t="shared" si="6"/>
        <v>0</v>
      </c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</row>
    <row r="68" spans="1:44" s="80" customFormat="1" ht="17.25" customHeight="1">
      <c r="A68" s="560">
        <v>42</v>
      </c>
      <c r="B68" s="587" t="s">
        <v>188</v>
      </c>
      <c r="C68" s="588" t="s">
        <v>99</v>
      </c>
      <c r="D68" s="589" t="s">
        <v>25</v>
      </c>
      <c r="E68" s="590" t="s">
        <v>497</v>
      </c>
      <c r="F68" s="591" t="s">
        <v>51</v>
      </c>
      <c r="G68" s="592">
        <v>1</v>
      </c>
      <c r="H68" s="589" t="s">
        <v>102</v>
      </c>
      <c r="I68" s="589" t="s">
        <v>103</v>
      </c>
      <c r="J68" s="581">
        <v>1</v>
      </c>
      <c r="K68" s="593">
        <v>17697</v>
      </c>
      <c r="L68" s="594">
        <v>36</v>
      </c>
      <c r="M68" s="554">
        <f t="shared" si="8"/>
        <v>2</v>
      </c>
      <c r="N68" s="574" t="s">
        <v>152</v>
      </c>
      <c r="O68" s="595">
        <v>4.26</v>
      </c>
      <c r="P68" s="595"/>
      <c r="Q68" s="596">
        <f t="shared" si="9"/>
        <v>150778.44</v>
      </c>
      <c r="R68" s="597"/>
      <c r="S68" s="593"/>
      <c r="T68" s="593">
        <v>0.1</v>
      </c>
      <c r="U68" s="596">
        <f t="shared" si="7"/>
        <v>15077.844000000001</v>
      </c>
      <c r="V68" s="598"/>
      <c r="W68" s="593"/>
      <c r="X68" s="887"/>
      <c r="Y68" s="599">
        <f t="shared" si="10"/>
        <v>165856.28400000001</v>
      </c>
      <c r="Z68" s="274">
        <f t="shared" si="6"/>
        <v>0</v>
      </c>
      <c r="AA68" s="274">
        <f t="shared" si="6"/>
        <v>0</v>
      </c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</row>
    <row r="69" spans="1:44" s="80" customFormat="1" ht="17.25" customHeight="1">
      <c r="A69" s="547">
        <v>43</v>
      </c>
      <c r="B69" s="587" t="s">
        <v>450</v>
      </c>
      <c r="C69" s="588" t="s">
        <v>99</v>
      </c>
      <c r="D69" s="589" t="s">
        <v>25</v>
      </c>
      <c r="E69" s="590" t="s">
        <v>451</v>
      </c>
      <c r="F69" s="591" t="s">
        <v>34</v>
      </c>
      <c r="G69" s="592">
        <v>1</v>
      </c>
      <c r="H69" s="589" t="s">
        <v>102</v>
      </c>
      <c r="I69" s="589" t="s">
        <v>103</v>
      </c>
      <c r="J69" s="581">
        <v>1</v>
      </c>
      <c r="K69" s="593">
        <v>17697</v>
      </c>
      <c r="L69" s="594">
        <v>21</v>
      </c>
      <c r="M69" s="554">
        <f t="shared" si="8"/>
        <v>1.1666666666666667</v>
      </c>
      <c r="N69" s="574" t="s">
        <v>152</v>
      </c>
      <c r="O69" s="555">
        <v>4.32</v>
      </c>
      <c r="P69" s="595"/>
      <c r="Q69" s="596">
        <f t="shared" si="9"/>
        <v>89192.880000000019</v>
      </c>
      <c r="R69" s="597"/>
      <c r="S69" s="593"/>
      <c r="T69" s="593">
        <v>0.1</v>
      </c>
      <c r="U69" s="596">
        <f t="shared" si="7"/>
        <v>8919.2880000000023</v>
      </c>
      <c r="V69" s="598"/>
      <c r="W69" s="593"/>
      <c r="X69" s="887"/>
      <c r="Y69" s="599">
        <f t="shared" si="10"/>
        <v>98112.16800000002</v>
      </c>
      <c r="Z69" s="274">
        <f t="shared" si="6"/>
        <v>0</v>
      </c>
      <c r="AA69" s="274">
        <f t="shared" si="6"/>
        <v>0</v>
      </c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</row>
    <row r="70" spans="1:44" s="80" customFormat="1" ht="17.25" customHeight="1">
      <c r="A70" s="560">
        <v>44</v>
      </c>
      <c r="B70" s="587" t="s">
        <v>454</v>
      </c>
      <c r="C70" s="588" t="s">
        <v>99</v>
      </c>
      <c r="D70" s="589" t="s">
        <v>189</v>
      </c>
      <c r="E70" s="590" t="s">
        <v>460</v>
      </c>
      <c r="F70" s="591" t="s">
        <v>77</v>
      </c>
      <c r="G70" s="592">
        <v>1</v>
      </c>
      <c r="H70" s="589" t="s">
        <v>102</v>
      </c>
      <c r="I70" s="589" t="s">
        <v>103</v>
      </c>
      <c r="J70" s="581">
        <v>4</v>
      </c>
      <c r="K70" s="593">
        <v>17697</v>
      </c>
      <c r="L70" s="594">
        <v>34</v>
      </c>
      <c r="M70" s="554">
        <f t="shared" si="8"/>
        <v>1.8888888888888888</v>
      </c>
      <c r="N70" s="574" t="s">
        <v>112</v>
      </c>
      <c r="O70" s="595">
        <v>2.92</v>
      </c>
      <c r="P70" s="595"/>
      <c r="Q70" s="596">
        <f t="shared" si="9"/>
        <v>97608.786666666652</v>
      </c>
      <c r="R70" s="597"/>
      <c r="S70" s="593"/>
      <c r="T70" s="593">
        <v>0.1</v>
      </c>
      <c r="U70" s="596">
        <f t="shared" si="7"/>
        <v>9760.8786666666656</v>
      </c>
      <c r="V70" s="598"/>
      <c r="W70" s="593"/>
      <c r="X70" s="887"/>
      <c r="Y70" s="599">
        <f t="shared" si="10"/>
        <v>107369.66533333332</v>
      </c>
      <c r="Z70" s="274">
        <f t="shared" si="6"/>
        <v>0</v>
      </c>
      <c r="AA70" s="274">
        <f t="shared" si="6"/>
        <v>0</v>
      </c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</row>
    <row r="71" spans="1:44" s="80" customFormat="1" ht="17.25" customHeight="1">
      <c r="A71" s="547">
        <v>45</v>
      </c>
      <c r="B71" s="159" t="s">
        <v>191</v>
      </c>
      <c r="C71" s="600" t="s">
        <v>99</v>
      </c>
      <c r="D71" s="601" t="s">
        <v>25</v>
      </c>
      <c r="E71" s="602" t="s">
        <v>498</v>
      </c>
      <c r="F71" s="585" t="s">
        <v>73</v>
      </c>
      <c r="G71" s="603">
        <v>1</v>
      </c>
      <c r="H71" s="601" t="s">
        <v>102</v>
      </c>
      <c r="I71" s="601" t="s">
        <v>103</v>
      </c>
      <c r="J71" s="604">
        <v>2</v>
      </c>
      <c r="K71" s="605">
        <v>17697</v>
      </c>
      <c r="L71" s="606">
        <v>20</v>
      </c>
      <c r="M71" s="554">
        <f t="shared" si="8"/>
        <v>1.1111111111111112</v>
      </c>
      <c r="N71" s="566" t="s">
        <v>104</v>
      </c>
      <c r="O71" s="579">
        <v>3.62</v>
      </c>
      <c r="P71" s="579"/>
      <c r="Q71" s="607">
        <f t="shared" si="9"/>
        <v>71181.266666666663</v>
      </c>
      <c r="R71" s="608"/>
      <c r="S71" s="605"/>
      <c r="T71" s="605">
        <v>0.1</v>
      </c>
      <c r="U71" s="607">
        <f t="shared" si="7"/>
        <v>7118.126666666667</v>
      </c>
      <c r="V71" s="609"/>
      <c r="W71" s="605"/>
      <c r="X71" s="888"/>
      <c r="Y71" s="610">
        <f t="shared" si="10"/>
        <v>78299.393333333326</v>
      </c>
      <c r="Z71" s="304">
        <f t="shared" si="6"/>
        <v>0</v>
      </c>
      <c r="AA71" s="304">
        <f t="shared" si="6"/>
        <v>0</v>
      </c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</row>
    <row r="72" spans="1:44" s="80" customFormat="1" ht="17.25" customHeight="1">
      <c r="A72" s="560">
        <v>46</v>
      </c>
      <c r="B72" s="159" t="s">
        <v>193</v>
      </c>
      <c r="C72" s="600" t="s">
        <v>99</v>
      </c>
      <c r="D72" s="601" t="s">
        <v>64</v>
      </c>
      <c r="E72" s="602" t="s">
        <v>459</v>
      </c>
      <c r="F72" s="562" t="s">
        <v>252</v>
      </c>
      <c r="G72" s="603">
        <v>1</v>
      </c>
      <c r="H72" s="563" t="s">
        <v>102</v>
      </c>
      <c r="I72" s="563" t="s">
        <v>118</v>
      </c>
      <c r="J72" s="581">
        <v>3</v>
      </c>
      <c r="K72" s="554">
        <v>17697</v>
      </c>
      <c r="L72" s="606">
        <v>31</v>
      </c>
      <c r="M72" s="554">
        <f t="shared" si="8"/>
        <v>1.7222222222222223</v>
      </c>
      <c r="N72" s="566" t="s">
        <v>109</v>
      </c>
      <c r="O72" s="579">
        <v>3.03</v>
      </c>
      <c r="P72" s="579"/>
      <c r="Q72" s="607">
        <f t="shared" si="9"/>
        <v>92348.845000000001</v>
      </c>
      <c r="R72" s="608"/>
      <c r="S72" s="605"/>
      <c r="T72" s="605">
        <v>0.1</v>
      </c>
      <c r="U72" s="607">
        <f t="shared" si="7"/>
        <v>9234.8845000000001</v>
      </c>
      <c r="V72" s="609"/>
      <c r="W72" s="605"/>
      <c r="X72" s="888"/>
      <c r="Y72" s="611">
        <f t="shared" si="10"/>
        <v>101583.7295</v>
      </c>
      <c r="Z72" s="304"/>
      <c r="AA72" s="30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</row>
    <row r="73" spans="1:44" s="80" customFormat="1" ht="17.25" customHeight="1">
      <c r="A73" s="547">
        <v>47</v>
      </c>
      <c r="B73" s="159" t="s">
        <v>197</v>
      </c>
      <c r="C73" s="600" t="s">
        <v>99</v>
      </c>
      <c r="D73" s="563" t="s">
        <v>25</v>
      </c>
      <c r="E73" s="210" t="s">
        <v>499</v>
      </c>
      <c r="F73" s="562" t="s">
        <v>34</v>
      </c>
      <c r="G73" s="603">
        <v>1</v>
      </c>
      <c r="H73" s="601" t="s">
        <v>102</v>
      </c>
      <c r="I73" s="601" t="s">
        <v>103</v>
      </c>
      <c r="J73" s="604">
        <v>1</v>
      </c>
      <c r="K73" s="605">
        <v>17697</v>
      </c>
      <c r="L73" s="606">
        <v>28</v>
      </c>
      <c r="M73" s="554">
        <f t="shared" si="8"/>
        <v>1.5555555555555556</v>
      </c>
      <c r="N73" s="574" t="s">
        <v>152</v>
      </c>
      <c r="O73" s="566">
        <v>4.32</v>
      </c>
      <c r="P73" s="579"/>
      <c r="Q73" s="607">
        <f t="shared" si="9"/>
        <v>118923.84000000003</v>
      </c>
      <c r="R73" s="608"/>
      <c r="S73" s="605"/>
      <c r="T73" s="605">
        <v>0.1</v>
      </c>
      <c r="U73" s="607">
        <f t="shared" si="7"/>
        <v>11892.384000000004</v>
      </c>
      <c r="V73" s="609"/>
      <c r="W73" s="605"/>
      <c r="X73" s="888"/>
      <c r="Y73" s="611">
        <f t="shared" si="10"/>
        <v>130816.22400000003</v>
      </c>
      <c r="Z73" s="304">
        <f>V73+R73</f>
        <v>0</v>
      </c>
      <c r="AA73" s="304">
        <f>W73+S73</f>
        <v>0</v>
      </c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</row>
    <row r="74" spans="1:44" s="80" customFormat="1" ht="17.25" customHeight="1">
      <c r="A74" s="560">
        <v>48</v>
      </c>
      <c r="B74" s="159" t="s">
        <v>199</v>
      </c>
      <c r="C74" s="600" t="s">
        <v>99</v>
      </c>
      <c r="D74" s="563" t="s">
        <v>25</v>
      </c>
      <c r="E74" s="210" t="s">
        <v>457</v>
      </c>
      <c r="F74" s="562" t="s">
        <v>122</v>
      </c>
      <c r="G74" s="603">
        <v>1</v>
      </c>
      <c r="H74" s="563" t="s">
        <v>102</v>
      </c>
      <c r="I74" s="563" t="s">
        <v>118</v>
      </c>
      <c r="J74" s="581">
        <v>4</v>
      </c>
      <c r="K74" s="605">
        <v>17697</v>
      </c>
      <c r="L74" s="606">
        <v>14</v>
      </c>
      <c r="M74" s="554">
        <f t="shared" si="8"/>
        <v>0.77777777777777779</v>
      </c>
      <c r="N74" s="574" t="s">
        <v>112</v>
      </c>
      <c r="O74" s="579">
        <v>2.8</v>
      </c>
      <c r="P74" s="579"/>
      <c r="Q74" s="607">
        <f t="shared" si="9"/>
        <v>38540.133333333331</v>
      </c>
      <c r="R74" s="608"/>
      <c r="S74" s="605"/>
      <c r="T74" s="605">
        <v>0.1</v>
      </c>
      <c r="U74" s="607">
        <f t="shared" si="7"/>
        <v>3854.0133333333333</v>
      </c>
      <c r="V74" s="609"/>
      <c r="W74" s="605"/>
      <c r="X74" s="888"/>
      <c r="Y74" s="611">
        <f t="shared" si="10"/>
        <v>42394.146666666667</v>
      </c>
      <c r="Z74" s="304">
        <f>V74+R74</f>
        <v>0</v>
      </c>
      <c r="AA74" s="304">
        <f>W74+S74</f>
        <v>0</v>
      </c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</row>
    <row r="75" spans="1:44" s="80" customFormat="1" ht="17.25" customHeight="1">
      <c r="A75" s="547">
        <v>49</v>
      </c>
      <c r="B75" s="159" t="s">
        <v>439</v>
      </c>
      <c r="C75" s="600" t="s">
        <v>99</v>
      </c>
      <c r="D75" s="563" t="s">
        <v>75</v>
      </c>
      <c r="E75" s="562" t="s">
        <v>504</v>
      </c>
      <c r="F75" s="562" t="s">
        <v>159</v>
      </c>
      <c r="G75" s="612">
        <v>1</v>
      </c>
      <c r="H75" s="580" t="s">
        <v>102</v>
      </c>
      <c r="I75" s="580" t="s">
        <v>118</v>
      </c>
      <c r="J75" s="574">
        <v>4</v>
      </c>
      <c r="K75" s="554">
        <v>17697</v>
      </c>
      <c r="L75" s="606">
        <v>25</v>
      </c>
      <c r="M75" s="554">
        <f t="shared" si="8"/>
        <v>1.3888888888888888</v>
      </c>
      <c r="N75" s="574" t="s">
        <v>112</v>
      </c>
      <c r="O75" s="579">
        <v>2.75</v>
      </c>
      <c r="P75" s="579"/>
      <c r="Q75" s="607">
        <f t="shared" si="9"/>
        <v>67592.708333333343</v>
      </c>
      <c r="R75" s="608"/>
      <c r="S75" s="605"/>
      <c r="T75" s="605">
        <v>0.1</v>
      </c>
      <c r="U75" s="607">
        <f t="shared" si="7"/>
        <v>6759.2708333333348</v>
      </c>
      <c r="V75" s="609"/>
      <c r="W75" s="605"/>
      <c r="X75" s="888"/>
      <c r="Y75" s="611">
        <f t="shared" si="10"/>
        <v>74351.979166666672</v>
      </c>
      <c r="Z75" s="304"/>
      <c r="AA75" s="30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</row>
    <row r="76" spans="1:44" s="80" customFormat="1" ht="17.25" customHeight="1">
      <c r="A76" s="560">
        <v>50</v>
      </c>
      <c r="B76" s="159" t="s">
        <v>200</v>
      </c>
      <c r="C76" s="600" t="s">
        <v>99</v>
      </c>
      <c r="D76" s="563" t="s">
        <v>25</v>
      </c>
      <c r="E76" s="210" t="s">
        <v>500</v>
      </c>
      <c r="F76" s="562" t="s">
        <v>34</v>
      </c>
      <c r="G76" s="603">
        <v>1</v>
      </c>
      <c r="H76" s="563" t="s">
        <v>102</v>
      </c>
      <c r="I76" s="563" t="s">
        <v>103</v>
      </c>
      <c r="J76" s="581">
        <v>2</v>
      </c>
      <c r="K76" s="554">
        <v>17697</v>
      </c>
      <c r="L76" s="565">
        <v>18</v>
      </c>
      <c r="M76" s="554">
        <f t="shared" si="8"/>
        <v>1</v>
      </c>
      <c r="N76" s="566" t="s">
        <v>104</v>
      </c>
      <c r="O76" s="566">
        <v>3.92</v>
      </c>
      <c r="P76" s="579"/>
      <c r="Q76" s="607">
        <f t="shared" si="9"/>
        <v>69372.240000000005</v>
      </c>
      <c r="R76" s="608"/>
      <c r="S76" s="605"/>
      <c r="T76" s="605">
        <v>0.1</v>
      </c>
      <c r="U76" s="607">
        <f t="shared" si="7"/>
        <v>6937.2240000000011</v>
      </c>
      <c r="V76" s="609"/>
      <c r="W76" s="605"/>
      <c r="X76" s="888"/>
      <c r="Y76" s="611">
        <f t="shared" si="10"/>
        <v>76309.464000000007</v>
      </c>
      <c r="Z76" s="304"/>
      <c r="AA76" s="30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</row>
    <row r="77" spans="1:44" s="80" customFormat="1" ht="17.25" customHeight="1">
      <c r="A77" s="547">
        <v>51</v>
      </c>
      <c r="B77" s="153" t="s">
        <v>202</v>
      </c>
      <c r="C77" s="561" t="s">
        <v>99</v>
      </c>
      <c r="D77" s="563" t="s">
        <v>75</v>
      </c>
      <c r="E77" s="210" t="s">
        <v>203</v>
      </c>
      <c r="F77" s="562" t="s">
        <v>66</v>
      </c>
      <c r="G77" s="560">
        <v>1</v>
      </c>
      <c r="H77" s="563" t="s">
        <v>102</v>
      </c>
      <c r="I77" s="563" t="s">
        <v>103</v>
      </c>
      <c r="J77" s="581">
        <v>3</v>
      </c>
      <c r="K77" s="554">
        <v>17697</v>
      </c>
      <c r="L77" s="606">
        <v>32</v>
      </c>
      <c r="M77" s="554">
        <f t="shared" si="8"/>
        <v>1.7777777777777777</v>
      </c>
      <c r="N77" s="566" t="s">
        <v>109</v>
      </c>
      <c r="O77" s="579">
        <v>3.57</v>
      </c>
      <c r="P77" s="579"/>
      <c r="Q77" s="607">
        <f t="shared" si="9"/>
        <v>112316.95999999999</v>
      </c>
      <c r="R77" s="608"/>
      <c r="S77" s="605"/>
      <c r="T77" s="605">
        <v>0.1</v>
      </c>
      <c r="U77" s="607">
        <f t="shared" si="7"/>
        <v>11231.696</v>
      </c>
      <c r="V77" s="609"/>
      <c r="W77" s="605"/>
      <c r="X77" s="888"/>
      <c r="Y77" s="611">
        <f t="shared" si="10"/>
        <v>123548.65599999999</v>
      </c>
      <c r="Z77" s="304"/>
      <c r="AA77" s="30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</row>
    <row r="78" spans="1:44" s="112" customFormat="1" ht="17.25" customHeight="1">
      <c r="A78" s="613"/>
      <c r="B78" s="250"/>
      <c r="C78" s="614"/>
      <c r="D78" s="615"/>
      <c r="E78" s="616"/>
      <c r="F78" s="616"/>
      <c r="G78" s="617"/>
      <c r="H78" s="615"/>
      <c r="I78" s="615"/>
      <c r="J78" s="618"/>
      <c r="K78" s="619"/>
      <c r="L78" s="620">
        <f>SUM(L27:L77)</f>
        <v>1099</v>
      </c>
      <c r="M78" s="619"/>
      <c r="N78" s="621"/>
      <c r="O78" s="622"/>
      <c r="P78" s="621"/>
      <c r="Q78" s="623"/>
      <c r="R78" s="624"/>
      <c r="S78" s="619"/>
      <c r="T78" s="619"/>
      <c r="U78" s="623"/>
      <c r="V78" s="625"/>
      <c r="W78" s="619"/>
      <c r="X78" s="889"/>
      <c r="Y78" s="626"/>
      <c r="Z78" s="104"/>
      <c r="AA78" s="10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</row>
    <row r="79" spans="1:44" s="80" customFormat="1" ht="15.75">
      <c r="A79" s="560">
        <v>1</v>
      </c>
      <c r="B79" s="153" t="s">
        <v>215</v>
      </c>
      <c r="C79" s="561" t="s">
        <v>99</v>
      </c>
      <c r="D79" s="563" t="s">
        <v>25</v>
      </c>
      <c r="E79" s="562" t="s">
        <v>441</v>
      </c>
      <c r="F79" s="562" t="s">
        <v>217</v>
      </c>
      <c r="G79" s="571">
        <v>1</v>
      </c>
      <c r="H79" s="580" t="s">
        <v>102</v>
      </c>
      <c r="I79" s="580" t="s">
        <v>103</v>
      </c>
      <c r="J79" s="574">
        <v>1</v>
      </c>
      <c r="K79" s="554">
        <v>17697</v>
      </c>
      <c r="L79" s="573">
        <v>20</v>
      </c>
      <c r="M79" s="554">
        <f t="shared" ref="M79:M101" si="11">L79/18</f>
        <v>1.1111111111111112</v>
      </c>
      <c r="N79" s="574" t="s">
        <v>152</v>
      </c>
      <c r="O79" s="575">
        <v>4.26</v>
      </c>
      <c r="P79" s="575"/>
      <c r="Q79" s="567">
        <f t="shared" ref="Q79:Q101" si="12">O79*K79/18*L79</f>
        <v>83765.8</v>
      </c>
      <c r="R79" s="568"/>
      <c r="S79" s="554"/>
      <c r="T79" s="554">
        <v>0.1</v>
      </c>
      <c r="U79" s="567">
        <f>Q79*T79</f>
        <v>8376.58</v>
      </c>
      <c r="V79" s="569"/>
      <c r="W79" s="554"/>
      <c r="X79" s="700"/>
      <c r="Y79" s="570">
        <f t="shared" ref="Y79:Y101" si="13">U79+Q79</f>
        <v>92142.38</v>
      </c>
      <c r="Z79" s="274">
        <f t="shared" ref="Z79:AA94" si="14">V79+R79</f>
        <v>0</v>
      </c>
      <c r="AA79" s="274">
        <f t="shared" si="14"/>
        <v>0</v>
      </c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</row>
    <row r="80" spans="1:44" s="80" customFormat="1" ht="17.25" customHeight="1">
      <c r="A80" s="560">
        <v>2</v>
      </c>
      <c r="B80" s="153" t="s">
        <v>222</v>
      </c>
      <c r="C80" s="561" t="s">
        <v>148</v>
      </c>
      <c r="D80" s="563" t="s">
        <v>25</v>
      </c>
      <c r="E80" s="562" t="s">
        <v>223</v>
      </c>
      <c r="F80" s="562" t="s">
        <v>224</v>
      </c>
      <c r="G80" s="571">
        <v>1</v>
      </c>
      <c r="H80" s="580" t="s">
        <v>102</v>
      </c>
      <c r="I80" s="580" t="s">
        <v>103</v>
      </c>
      <c r="J80" s="574">
        <v>3</v>
      </c>
      <c r="K80" s="554">
        <v>17697</v>
      </c>
      <c r="L80" s="573">
        <v>34</v>
      </c>
      <c r="M80" s="554">
        <f t="shared" si="11"/>
        <v>1.8888888888888888</v>
      </c>
      <c r="N80" s="566" t="s">
        <v>109</v>
      </c>
      <c r="O80" s="575">
        <v>3.45</v>
      </c>
      <c r="P80" s="575"/>
      <c r="Q80" s="567">
        <f t="shared" si="12"/>
        <v>115325.45000000001</v>
      </c>
      <c r="R80" s="568"/>
      <c r="S80" s="554"/>
      <c r="T80" s="554">
        <v>0.1</v>
      </c>
      <c r="U80" s="567">
        <f>Q80*T80</f>
        <v>11532.545000000002</v>
      </c>
      <c r="V80" s="569"/>
      <c r="W80" s="554"/>
      <c r="X80" s="700"/>
      <c r="Y80" s="570">
        <f t="shared" si="13"/>
        <v>126857.99500000001</v>
      </c>
      <c r="Z80" s="274">
        <f t="shared" si="14"/>
        <v>0</v>
      </c>
      <c r="AA80" s="274">
        <f t="shared" si="14"/>
        <v>0</v>
      </c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</row>
    <row r="81" spans="1:44" s="80" customFormat="1" ht="17.25" customHeight="1">
      <c r="A81" s="560">
        <v>3</v>
      </c>
      <c r="B81" s="153" t="s">
        <v>124</v>
      </c>
      <c r="C81" s="561" t="s">
        <v>125</v>
      </c>
      <c r="D81" s="560" t="s">
        <v>75</v>
      </c>
      <c r="E81" s="582" t="s">
        <v>126</v>
      </c>
      <c r="F81" s="562" t="s">
        <v>108</v>
      </c>
      <c r="G81" s="560">
        <v>1</v>
      </c>
      <c r="H81" s="563" t="s">
        <v>102</v>
      </c>
      <c r="I81" s="563" t="s">
        <v>118</v>
      </c>
      <c r="J81" s="581">
        <v>3</v>
      </c>
      <c r="K81" s="554">
        <v>17697</v>
      </c>
      <c r="L81" s="565">
        <v>13</v>
      </c>
      <c r="M81" s="554">
        <f t="shared" si="11"/>
        <v>0.72222222222222221</v>
      </c>
      <c r="N81" s="574" t="s">
        <v>109</v>
      </c>
      <c r="O81" s="566">
        <v>2.96</v>
      </c>
      <c r="P81" s="566">
        <v>2.85</v>
      </c>
      <c r="Q81" s="567">
        <f t="shared" si="12"/>
        <v>37832.253333333334</v>
      </c>
      <c r="R81" s="568"/>
      <c r="S81" s="554"/>
      <c r="T81" s="554">
        <v>0.1</v>
      </c>
      <c r="U81" s="567">
        <f>T81*Q81</f>
        <v>3783.2253333333338</v>
      </c>
      <c r="V81" s="569"/>
      <c r="W81" s="554"/>
      <c r="X81" s="700"/>
      <c r="Y81" s="570">
        <f t="shared" si="13"/>
        <v>41615.47866666667</v>
      </c>
      <c r="Z81" s="274">
        <f t="shared" si="14"/>
        <v>0</v>
      </c>
      <c r="AA81" s="274">
        <f t="shared" si="14"/>
        <v>0</v>
      </c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</row>
    <row r="82" spans="1:44" s="80" customFormat="1" ht="17.25" customHeight="1">
      <c r="A82" s="560">
        <v>4</v>
      </c>
      <c r="B82" s="153" t="s">
        <v>116</v>
      </c>
      <c r="C82" s="561" t="s">
        <v>99</v>
      </c>
      <c r="D82" s="560" t="s">
        <v>64</v>
      </c>
      <c r="E82" s="583" t="s">
        <v>117</v>
      </c>
      <c r="F82" s="562" t="s">
        <v>114</v>
      </c>
      <c r="G82" s="560">
        <v>1</v>
      </c>
      <c r="H82" s="563" t="s">
        <v>102</v>
      </c>
      <c r="I82" s="563" t="s">
        <v>118</v>
      </c>
      <c r="J82" s="564">
        <v>1</v>
      </c>
      <c r="K82" s="554">
        <v>17697</v>
      </c>
      <c r="L82" s="565">
        <v>5</v>
      </c>
      <c r="M82" s="554">
        <f t="shared" si="11"/>
        <v>0.27777777777777779</v>
      </c>
      <c r="N82" s="574" t="s">
        <v>152</v>
      </c>
      <c r="O82" s="566">
        <v>3.89</v>
      </c>
      <c r="P82" s="566">
        <v>3.89</v>
      </c>
      <c r="Q82" s="567">
        <f t="shared" si="12"/>
        <v>19122.591666666667</v>
      </c>
      <c r="R82" s="568"/>
      <c r="S82" s="554"/>
      <c r="T82" s="554">
        <v>0.1</v>
      </c>
      <c r="U82" s="567">
        <f>T82*Q82</f>
        <v>1912.2591666666667</v>
      </c>
      <c r="V82" s="569"/>
      <c r="W82" s="554"/>
      <c r="X82" s="700"/>
      <c r="Y82" s="570">
        <f t="shared" si="13"/>
        <v>21034.850833333334</v>
      </c>
      <c r="Z82" s="274">
        <f t="shared" si="14"/>
        <v>0</v>
      </c>
      <c r="AA82" s="274">
        <f t="shared" si="14"/>
        <v>0</v>
      </c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</row>
    <row r="83" spans="1:44" s="80" customFormat="1" ht="17.25" customHeight="1">
      <c r="A83" s="560">
        <v>5</v>
      </c>
      <c r="B83" s="153" t="s">
        <v>127</v>
      </c>
      <c r="C83" s="561" t="s">
        <v>99</v>
      </c>
      <c r="D83" s="560" t="s">
        <v>25</v>
      </c>
      <c r="E83" s="562" t="s">
        <v>128</v>
      </c>
      <c r="F83" s="562" t="s">
        <v>34</v>
      </c>
      <c r="G83" s="560">
        <v>1</v>
      </c>
      <c r="H83" s="563" t="s">
        <v>102</v>
      </c>
      <c r="I83" s="563" t="s">
        <v>103</v>
      </c>
      <c r="J83" s="564">
        <v>1</v>
      </c>
      <c r="K83" s="554">
        <v>17697</v>
      </c>
      <c r="L83" s="565">
        <v>6</v>
      </c>
      <c r="M83" s="554">
        <f t="shared" si="11"/>
        <v>0.33333333333333331</v>
      </c>
      <c r="N83" s="574" t="s">
        <v>152</v>
      </c>
      <c r="O83" s="566">
        <v>4.32</v>
      </c>
      <c r="P83" s="566"/>
      <c r="Q83" s="567">
        <f t="shared" si="12"/>
        <v>25483.680000000004</v>
      </c>
      <c r="R83" s="568"/>
      <c r="S83" s="554"/>
      <c r="T83" s="554">
        <v>0.1</v>
      </c>
      <c r="U83" s="567">
        <f>T83*Q83</f>
        <v>2548.3680000000004</v>
      </c>
      <c r="V83" s="569"/>
      <c r="W83" s="554"/>
      <c r="X83" s="700"/>
      <c r="Y83" s="570">
        <f t="shared" si="13"/>
        <v>28032.048000000003</v>
      </c>
      <c r="Z83" s="274">
        <f t="shared" si="14"/>
        <v>0</v>
      </c>
      <c r="AA83" s="274">
        <f t="shared" si="14"/>
        <v>0</v>
      </c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</row>
    <row r="84" spans="1:44" s="80" customFormat="1" ht="17.25" customHeight="1">
      <c r="A84" s="560">
        <v>6</v>
      </c>
      <c r="B84" s="153" t="s">
        <v>227</v>
      </c>
      <c r="C84" s="561" t="s">
        <v>99</v>
      </c>
      <c r="D84" s="560" t="s">
        <v>25</v>
      </c>
      <c r="E84" s="562" t="s">
        <v>228</v>
      </c>
      <c r="F84" s="562" t="s">
        <v>229</v>
      </c>
      <c r="G84" s="571">
        <v>1</v>
      </c>
      <c r="H84" s="580" t="s">
        <v>102</v>
      </c>
      <c r="I84" s="580" t="s">
        <v>103</v>
      </c>
      <c r="J84" s="574">
        <v>3</v>
      </c>
      <c r="K84" s="554">
        <v>17697</v>
      </c>
      <c r="L84" s="573">
        <v>28</v>
      </c>
      <c r="M84" s="554">
        <f t="shared" si="11"/>
        <v>1.5555555555555556</v>
      </c>
      <c r="N84" s="566" t="s">
        <v>109</v>
      </c>
      <c r="O84" s="575">
        <v>3.33</v>
      </c>
      <c r="P84" s="575"/>
      <c r="Q84" s="567">
        <f t="shared" si="12"/>
        <v>91670.46</v>
      </c>
      <c r="R84" s="568"/>
      <c r="S84" s="554"/>
      <c r="T84" s="554">
        <v>0.1</v>
      </c>
      <c r="U84" s="567">
        <f>Q84*T84</f>
        <v>9167.0460000000003</v>
      </c>
      <c r="V84" s="569"/>
      <c r="W84" s="554"/>
      <c r="X84" s="700"/>
      <c r="Y84" s="570">
        <f t="shared" si="13"/>
        <v>100837.50600000001</v>
      </c>
      <c r="Z84" s="274">
        <f t="shared" si="14"/>
        <v>0</v>
      </c>
      <c r="AA84" s="274">
        <f t="shared" si="14"/>
        <v>0</v>
      </c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</row>
    <row r="85" spans="1:44" s="80" customFormat="1" ht="17.25" customHeight="1">
      <c r="A85" s="560">
        <v>7</v>
      </c>
      <c r="B85" s="153" t="s">
        <v>230</v>
      </c>
      <c r="C85" s="561" t="s">
        <v>99</v>
      </c>
      <c r="D85" s="560" t="s">
        <v>25</v>
      </c>
      <c r="E85" s="582" t="s">
        <v>231</v>
      </c>
      <c r="F85" s="582" t="s">
        <v>40</v>
      </c>
      <c r="G85" s="627">
        <v>1</v>
      </c>
      <c r="H85" s="580" t="s">
        <v>232</v>
      </c>
      <c r="I85" s="580" t="s">
        <v>233</v>
      </c>
      <c r="J85" s="574">
        <v>1</v>
      </c>
      <c r="K85" s="554">
        <v>17697</v>
      </c>
      <c r="L85" s="573">
        <v>36</v>
      </c>
      <c r="M85" s="554">
        <f t="shared" si="11"/>
        <v>2</v>
      </c>
      <c r="N85" s="574" t="s">
        <v>152</v>
      </c>
      <c r="O85" s="566">
        <v>4.32</v>
      </c>
      <c r="P85" s="566"/>
      <c r="Q85" s="567">
        <f t="shared" si="12"/>
        <v>152902.08000000002</v>
      </c>
      <c r="R85" s="568"/>
      <c r="S85" s="554"/>
      <c r="T85" s="554">
        <v>0.1</v>
      </c>
      <c r="U85" s="567">
        <f>Q85*T85</f>
        <v>15290.208000000002</v>
      </c>
      <c r="V85" s="569"/>
      <c r="W85" s="554"/>
      <c r="X85" s="700"/>
      <c r="Y85" s="570">
        <f t="shared" si="13"/>
        <v>168192.28800000003</v>
      </c>
      <c r="Z85" s="274">
        <f t="shared" si="14"/>
        <v>0</v>
      </c>
      <c r="AA85" s="274">
        <f t="shared" si="14"/>
        <v>0</v>
      </c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</row>
    <row r="86" spans="1:44" s="80" customFormat="1" ht="17.25" customHeight="1">
      <c r="A86" s="560">
        <v>8</v>
      </c>
      <c r="B86" s="153" t="s">
        <v>133</v>
      </c>
      <c r="C86" s="561" t="s">
        <v>99</v>
      </c>
      <c r="D86" s="563" t="s">
        <v>25</v>
      </c>
      <c r="E86" s="562" t="s">
        <v>474</v>
      </c>
      <c r="F86" s="562" t="s">
        <v>34</v>
      </c>
      <c r="G86" s="560">
        <v>1</v>
      </c>
      <c r="H86" s="563" t="s">
        <v>102</v>
      </c>
      <c r="I86" s="563" t="s">
        <v>103</v>
      </c>
      <c r="J86" s="581">
        <v>1</v>
      </c>
      <c r="K86" s="554">
        <v>17697</v>
      </c>
      <c r="L86" s="565">
        <v>17</v>
      </c>
      <c r="M86" s="554">
        <f t="shared" si="11"/>
        <v>0.94444444444444442</v>
      </c>
      <c r="N86" s="574" t="s">
        <v>152</v>
      </c>
      <c r="O86" s="566">
        <v>4.32</v>
      </c>
      <c r="P86" s="566"/>
      <c r="Q86" s="567">
        <f t="shared" si="12"/>
        <v>72203.760000000009</v>
      </c>
      <c r="R86" s="568"/>
      <c r="S86" s="554"/>
      <c r="T86" s="554">
        <v>0.1</v>
      </c>
      <c r="U86" s="567">
        <f>T86*Q86</f>
        <v>7220.3760000000011</v>
      </c>
      <c r="V86" s="569"/>
      <c r="W86" s="554"/>
      <c r="X86" s="700"/>
      <c r="Y86" s="570">
        <f t="shared" si="13"/>
        <v>79424.136000000013</v>
      </c>
      <c r="Z86" s="274">
        <f t="shared" si="14"/>
        <v>0</v>
      </c>
      <c r="AA86" s="274">
        <f t="shared" si="14"/>
        <v>0</v>
      </c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</row>
    <row r="87" spans="1:44" s="80" customFormat="1" ht="17.25" customHeight="1">
      <c r="A87" s="560">
        <v>9</v>
      </c>
      <c r="B87" s="153" t="s">
        <v>160</v>
      </c>
      <c r="C87" s="561" t="s">
        <v>148</v>
      </c>
      <c r="D87" s="563" t="s">
        <v>25</v>
      </c>
      <c r="E87" s="562" t="s">
        <v>484</v>
      </c>
      <c r="F87" s="562" t="s">
        <v>34</v>
      </c>
      <c r="G87" s="560">
        <v>1</v>
      </c>
      <c r="H87" s="563" t="s">
        <v>102</v>
      </c>
      <c r="I87" s="563" t="s">
        <v>103</v>
      </c>
      <c r="J87" s="564">
        <v>2</v>
      </c>
      <c r="K87" s="554">
        <v>17697</v>
      </c>
      <c r="L87" s="565">
        <v>11</v>
      </c>
      <c r="M87" s="554">
        <f t="shared" si="11"/>
        <v>0.61111111111111116</v>
      </c>
      <c r="N87" s="566" t="s">
        <v>104</v>
      </c>
      <c r="O87" s="566">
        <v>3.92</v>
      </c>
      <c r="P87" s="566"/>
      <c r="Q87" s="567">
        <f t="shared" si="12"/>
        <v>42394.146666666675</v>
      </c>
      <c r="R87" s="568"/>
      <c r="S87" s="554"/>
      <c r="T87" s="554">
        <v>0.1</v>
      </c>
      <c r="U87" s="567">
        <f>T87*Q87</f>
        <v>4239.4146666666675</v>
      </c>
      <c r="V87" s="569"/>
      <c r="W87" s="554"/>
      <c r="X87" s="700"/>
      <c r="Y87" s="570">
        <f t="shared" si="13"/>
        <v>46633.561333333346</v>
      </c>
      <c r="Z87" s="274">
        <f t="shared" si="14"/>
        <v>0</v>
      </c>
      <c r="AA87" s="274">
        <f t="shared" si="14"/>
        <v>0</v>
      </c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</row>
    <row r="88" spans="1:44" s="80" customFormat="1" ht="17.25" customHeight="1">
      <c r="A88" s="560">
        <v>10</v>
      </c>
      <c r="B88" s="153" t="s">
        <v>360</v>
      </c>
      <c r="C88" s="561" t="s">
        <v>99</v>
      </c>
      <c r="D88" s="563" t="s">
        <v>25</v>
      </c>
      <c r="E88" s="562" t="s">
        <v>361</v>
      </c>
      <c r="F88" s="562" t="s">
        <v>362</v>
      </c>
      <c r="G88" s="571">
        <v>1</v>
      </c>
      <c r="H88" s="580" t="s">
        <v>102</v>
      </c>
      <c r="I88" s="580" t="s">
        <v>103</v>
      </c>
      <c r="J88" s="574">
        <v>1</v>
      </c>
      <c r="K88" s="554">
        <v>17697</v>
      </c>
      <c r="L88" s="573">
        <v>24</v>
      </c>
      <c r="M88" s="554">
        <f t="shared" si="11"/>
        <v>1.3333333333333333</v>
      </c>
      <c r="N88" s="566" t="s">
        <v>152</v>
      </c>
      <c r="O88" s="575">
        <v>4.1399999999999997</v>
      </c>
      <c r="P88" s="575"/>
      <c r="Q88" s="567">
        <f t="shared" si="12"/>
        <v>97687.439999999988</v>
      </c>
      <c r="R88" s="568"/>
      <c r="S88" s="554"/>
      <c r="T88" s="554">
        <v>0.1</v>
      </c>
      <c r="U88" s="567">
        <f>Q88*T88</f>
        <v>9768.7439999999988</v>
      </c>
      <c r="V88" s="569"/>
      <c r="W88" s="554"/>
      <c r="X88" s="700"/>
      <c r="Y88" s="570">
        <f t="shared" si="13"/>
        <v>107456.18399999998</v>
      </c>
      <c r="Z88" s="274"/>
      <c r="AA88" s="27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</row>
    <row r="89" spans="1:44" s="80" customFormat="1" ht="17.25" customHeight="1">
      <c r="A89" s="560">
        <v>11</v>
      </c>
      <c r="B89" s="153" t="s">
        <v>162</v>
      </c>
      <c r="C89" s="561" t="s">
        <v>99</v>
      </c>
      <c r="D89" s="563" t="s">
        <v>25</v>
      </c>
      <c r="E89" s="562" t="s">
        <v>485</v>
      </c>
      <c r="F89" s="562" t="s">
        <v>77</v>
      </c>
      <c r="G89" s="560">
        <v>1</v>
      </c>
      <c r="H89" s="563" t="s">
        <v>102</v>
      </c>
      <c r="I89" s="580" t="s">
        <v>103</v>
      </c>
      <c r="J89" s="581">
        <v>4</v>
      </c>
      <c r="K89" s="554">
        <v>17697</v>
      </c>
      <c r="L89" s="565">
        <v>22</v>
      </c>
      <c r="M89" s="554">
        <f t="shared" si="11"/>
        <v>1.2222222222222223</v>
      </c>
      <c r="N89" s="574" t="s">
        <v>112</v>
      </c>
      <c r="O89" s="566">
        <v>2.92</v>
      </c>
      <c r="P89" s="566"/>
      <c r="Q89" s="567">
        <f t="shared" si="12"/>
        <v>63158.626666666663</v>
      </c>
      <c r="R89" s="568"/>
      <c r="S89" s="554"/>
      <c r="T89" s="554">
        <v>0.1</v>
      </c>
      <c r="U89" s="567">
        <f>T89*Q89</f>
        <v>6315.8626666666669</v>
      </c>
      <c r="V89" s="569"/>
      <c r="W89" s="554"/>
      <c r="X89" s="700"/>
      <c r="Y89" s="570">
        <f t="shared" si="13"/>
        <v>69474.489333333331</v>
      </c>
      <c r="Z89" s="274">
        <f t="shared" si="14"/>
        <v>0</v>
      </c>
      <c r="AA89" s="274">
        <f t="shared" si="14"/>
        <v>0</v>
      </c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</row>
    <row r="90" spans="1:44" s="80" customFormat="1" ht="17.25" customHeight="1">
      <c r="A90" s="560">
        <v>12</v>
      </c>
      <c r="B90" s="153" t="s">
        <v>237</v>
      </c>
      <c r="C90" s="561" t="s">
        <v>99</v>
      </c>
      <c r="D90" s="563" t="s">
        <v>25</v>
      </c>
      <c r="E90" s="562" t="s">
        <v>238</v>
      </c>
      <c r="F90" s="562" t="s">
        <v>239</v>
      </c>
      <c r="G90" s="571">
        <v>1</v>
      </c>
      <c r="H90" s="580" t="s">
        <v>102</v>
      </c>
      <c r="I90" s="580" t="s">
        <v>103</v>
      </c>
      <c r="J90" s="574">
        <v>2</v>
      </c>
      <c r="K90" s="554">
        <v>17697</v>
      </c>
      <c r="L90" s="573">
        <v>25</v>
      </c>
      <c r="M90" s="554">
        <f t="shared" si="11"/>
        <v>1.3888888888888888</v>
      </c>
      <c r="N90" s="566" t="s">
        <v>104</v>
      </c>
      <c r="O90" s="575">
        <v>3.68</v>
      </c>
      <c r="P90" s="575"/>
      <c r="Q90" s="567">
        <f t="shared" si="12"/>
        <v>90451.333333333343</v>
      </c>
      <c r="R90" s="568"/>
      <c r="S90" s="554"/>
      <c r="T90" s="554">
        <v>0.1</v>
      </c>
      <c r="U90" s="567">
        <f>Q90*T90</f>
        <v>9045.133333333335</v>
      </c>
      <c r="V90" s="569"/>
      <c r="W90" s="554"/>
      <c r="X90" s="700"/>
      <c r="Y90" s="570">
        <f t="shared" si="13"/>
        <v>99496.466666666674</v>
      </c>
      <c r="Z90" s="274">
        <f t="shared" si="14"/>
        <v>0</v>
      </c>
      <c r="AA90" s="274">
        <f t="shared" si="14"/>
        <v>0</v>
      </c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</row>
    <row r="91" spans="1:44" s="80" customFormat="1" ht="17.25" customHeight="1">
      <c r="A91" s="560">
        <v>13</v>
      </c>
      <c r="B91" s="153" t="s">
        <v>281</v>
      </c>
      <c r="C91" s="561" t="s">
        <v>99</v>
      </c>
      <c r="D91" s="628" t="s">
        <v>25</v>
      </c>
      <c r="E91" s="586" t="s">
        <v>430</v>
      </c>
      <c r="F91" s="562" t="s">
        <v>40</v>
      </c>
      <c r="G91" s="560">
        <v>1</v>
      </c>
      <c r="H91" s="563" t="s">
        <v>102</v>
      </c>
      <c r="I91" s="563" t="s">
        <v>103</v>
      </c>
      <c r="J91" s="629">
        <v>1</v>
      </c>
      <c r="K91" s="554">
        <v>17697</v>
      </c>
      <c r="L91" s="573">
        <v>12</v>
      </c>
      <c r="M91" s="554">
        <f t="shared" si="11"/>
        <v>0.66666666666666663</v>
      </c>
      <c r="N91" s="574" t="s">
        <v>152</v>
      </c>
      <c r="O91" s="566">
        <v>4.32</v>
      </c>
      <c r="P91" s="575"/>
      <c r="Q91" s="567">
        <f t="shared" si="12"/>
        <v>50967.360000000008</v>
      </c>
      <c r="R91" s="568"/>
      <c r="S91" s="554"/>
      <c r="T91" s="554">
        <v>0.1</v>
      </c>
      <c r="U91" s="567">
        <f>Q91*T91</f>
        <v>5096.7360000000008</v>
      </c>
      <c r="V91" s="569"/>
      <c r="W91" s="554"/>
      <c r="X91" s="700"/>
      <c r="Y91" s="570">
        <f t="shared" si="13"/>
        <v>56064.096000000005</v>
      </c>
      <c r="Z91" s="274">
        <f t="shared" si="14"/>
        <v>0</v>
      </c>
      <c r="AA91" s="274">
        <f t="shared" si="14"/>
        <v>0</v>
      </c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</row>
    <row r="92" spans="1:44" s="80" customFormat="1" ht="17.25" customHeight="1">
      <c r="A92" s="560">
        <v>14</v>
      </c>
      <c r="B92" s="477" t="s">
        <v>436</v>
      </c>
      <c r="C92" s="561" t="s">
        <v>99</v>
      </c>
      <c r="D92" s="563" t="s">
        <v>75</v>
      </c>
      <c r="E92" s="562" t="s">
        <v>437</v>
      </c>
      <c r="F92" s="562" t="s">
        <v>438</v>
      </c>
      <c r="G92" s="560"/>
      <c r="H92" s="563" t="s">
        <v>102</v>
      </c>
      <c r="I92" s="563" t="s">
        <v>118</v>
      </c>
      <c r="J92" s="581">
        <v>4</v>
      </c>
      <c r="K92" s="554">
        <v>17697</v>
      </c>
      <c r="L92" s="565">
        <v>6</v>
      </c>
      <c r="M92" s="554">
        <f t="shared" si="11"/>
        <v>0.33333333333333331</v>
      </c>
      <c r="N92" s="574" t="s">
        <v>112</v>
      </c>
      <c r="O92" s="566">
        <v>2.9</v>
      </c>
      <c r="P92" s="566"/>
      <c r="Q92" s="567">
        <f t="shared" si="12"/>
        <v>17107.099999999999</v>
      </c>
      <c r="R92" s="568"/>
      <c r="S92" s="554"/>
      <c r="T92" s="554">
        <v>0.1</v>
      </c>
      <c r="U92" s="567">
        <f>T92*Q92</f>
        <v>1710.71</v>
      </c>
      <c r="V92" s="569"/>
      <c r="W92" s="554"/>
      <c r="X92" s="700"/>
      <c r="Y92" s="570">
        <f t="shared" si="13"/>
        <v>18817.809999999998</v>
      </c>
      <c r="Z92" s="274">
        <f>V92+R92</f>
        <v>0</v>
      </c>
      <c r="AA92" s="274">
        <f>W92+S92</f>
        <v>0</v>
      </c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</row>
    <row r="93" spans="1:44" s="80" customFormat="1" ht="17.25" customHeight="1">
      <c r="A93" s="560">
        <v>15</v>
      </c>
      <c r="B93" s="153" t="s">
        <v>243</v>
      </c>
      <c r="C93" s="561" t="s">
        <v>99</v>
      </c>
      <c r="D93" s="563" t="s">
        <v>25</v>
      </c>
      <c r="E93" s="562" t="s">
        <v>244</v>
      </c>
      <c r="F93" s="562" t="s">
        <v>239</v>
      </c>
      <c r="G93" s="571">
        <v>1</v>
      </c>
      <c r="H93" s="580" t="s">
        <v>102</v>
      </c>
      <c r="I93" s="580" t="s">
        <v>103</v>
      </c>
      <c r="J93" s="574">
        <v>3</v>
      </c>
      <c r="K93" s="554">
        <v>17697</v>
      </c>
      <c r="L93" s="573">
        <v>36</v>
      </c>
      <c r="M93" s="554">
        <f t="shared" si="11"/>
        <v>2</v>
      </c>
      <c r="N93" s="566" t="s">
        <v>109</v>
      </c>
      <c r="O93" s="575">
        <v>3.51</v>
      </c>
      <c r="P93" s="575"/>
      <c r="Q93" s="567">
        <f t="shared" si="12"/>
        <v>124232.93999999999</v>
      </c>
      <c r="R93" s="568"/>
      <c r="S93" s="554"/>
      <c r="T93" s="554">
        <v>0.1</v>
      </c>
      <c r="U93" s="567">
        <f t="shared" ref="U93:U99" si="15">Q93*T93</f>
        <v>12423.294</v>
      </c>
      <c r="V93" s="569"/>
      <c r="W93" s="554"/>
      <c r="X93" s="700"/>
      <c r="Y93" s="570">
        <f t="shared" si="13"/>
        <v>136656.234</v>
      </c>
      <c r="Z93" s="274"/>
      <c r="AA93" s="27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</row>
    <row r="94" spans="1:44" s="80" customFormat="1" ht="17.25" customHeight="1">
      <c r="A94" s="560">
        <v>16</v>
      </c>
      <c r="B94" s="153" t="s">
        <v>245</v>
      </c>
      <c r="C94" s="561" t="s">
        <v>99</v>
      </c>
      <c r="D94" s="563" t="s">
        <v>25</v>
      </c>
      <c r="E94" s="562" t="s">
        <v>246</v>
      </c>
      <c r="F94" s="562" t="s">
        <v>40</v>
      </c>
      <c r="G94" s="571">
        <v>1</v>
      </c>
      <c r="H94" s="580" t="s">
        <v>102</v>
      </c>
      <c r="I94" s="580" t="s">
        <v>103</v>
      </c>
      <c r="J94" s="574">
        <v>1</v>
      </c>
      <c r="K94" s="554">
        <v>17697</v>
      </c>
      <c r="L94" s="573">
        <v>33</v>
      </c>
      <c r="M94" s="554">
        <f t="shared" si="11"/>
        <v>1.8333333333333333</v>
      </c>
      <c r="N94" s="574" t="s">
        <v>152</v>
      </c>
      <c r="O94" s="566">
        <v>4.32</v>
      </c>
      <c r="P94" s="575"/>
      <c r="Q94" s="567">
        <f t="shared" si="12"/>
        <v>140160.24000000002</v>
      </c>
      <c r="R94" s="568"/>
      <c r="S94" s="554"/>
      <c r="T94" s="554">
        <v>0.1</v>
      </c>
      <c r="U94" s="567">
        <f t="shared" si="15"/>
        <v>14016.024000000003</v>
      </c>
      <c r="V94" s="569"/>
      <c r="W94" s="554"/>
      <c r="X94" s="700"/>
      <c r="Y94" s="570">
        <f t="shared" si="13"/>
        <v>154176.26400000002</v>
      </c>
      <c r="Z94" s="274">
        <f t="shared" si="14"/>
        <v>0</v>
      </c>
      <c r="AA94" s="274">
        <f t="shared" si="14"/>
        <v>0</v>
      </c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</row>
    <row r="95" spans="1:44" s="80" customFormat="1" ht="17.25" customHeight="1">
      <c r="A95" s="560">
        <v>17</v>
      </c>
      <c r="B95" s="153" t="s">
        <v>250</v>
      </c>
      <c r="C95" s="561" t="s">
        <v>99</v>
      </c>
      <c r="D95" s="563" t="s">
        <v>64</v>
      </c>
      <c r="E95" s="562" t="s">
        <v>251</v>
      </c>
      <c r="F95" s="562" t="s">
        <v>252</v>
      </c>
      <c r="G95" s="571">
        <v>1</v>
      </c>
      <c r="H95" s="580" t="s">
        <v>102</v>
      </c>
      <c r="I95" s="580" t="s">
        <v>118</v>
      </c>
      <c r="J95" s="574">
        <v>3</v>
      </c>
      <c r="K95" s="554">
        <v>17697</v>
      </c>
      <c r="L95" s="573">
        <v>22</v>
      </c>
      <c r="M95" s="554">
        <f t="shared" si="11"/>
        <v>1.2222222222222223</v>
      </c>
      <c r="N95" s="566" t="s">
        <v>109</v>
      </c>
      <c r="O95" s="575">
        <v>2.94</v>
      </c>
      <c r="P95" s="575"/>
      <c r="Q95" s="567">
        <f t="shared" si="12"/>
        <v>63591.22</v>
      </c>
      <c r="R95" s="568"/>
      <c r="S95" s="554"/>
      <c r="T95" s="554">
        <v>0.1</v>
      </c>
      <c r="U95" s="567">
        <f t="shared" si="15"/>
        <v>6359.1220000000003</v>
      </c>
      <c r="V95" s="569"/>
      <c r="W95" s="554"/>
      <c r="X95" s="700"/>
      <c r="Y95" s="570">
        <f t="shared" si="13"/>
        <v>69950.342000000004</v>
      </c>
      <c r="Z95" s="274">
        <f t="shared" ref="Z95:AA118" si="16">V95+R95</f>
        <v>0</v>
      </c>
      <c r="AA95" s="274">
        <f t="shared" si="16"/>
        <v>0</v>
      </c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</row>
    <row r="96" spans="1:44" s="80" customFormat="1" ht="17.25" customHeight="1">
      <c r="A96" s="560">
        <v>18</v>
      </c>
      <c r="B96" s="153" t="s">
        <v>253</v>
      </c>
      <c r="C96" s="561" t="s">
        <v>148</v>
      </c>
      <c r="D96" s="563" t="s">
        <v>25</v>
      </c>
      <c r="E96" s="562" t="s">
        <v>254</v>
      </c>
      <c r="F96" s="562" t="s">
        <v>242</v>
      </c>
      <c r="G96" s="571">
        <v>1</v>
      </c>
      <c r="H96" s="580" t="s">
        <v>102</v>
      </c>
      <c r="I96" s="580" t="s">
        <v>103</v>
      </c>
      <c r="J96" s="574">
        <v>1</v>
      </c>
      <c r="K96" s="554">
        <v>17697</v>
      </c>
      <c r="L96" s="573">
        <v>35</v>
      </c>
      <c r="M96" s="554">
        <f t="shared" si="11"/>
        <v>1.9444444444444444</v>
      </c>
      <c r="N96" s="566" t="s">
        <v>104</v>
      </c>
      <c r="O96" s="566">
        <v>4.32</v>
      </c>
      <c r="P96" s="575"/>
      <c r="Q96" s="567">
        <f t="shared" si="12"/>
        <v>148654.80000000002</v>
      </c>
      <c r="R96" s="568"/>
      <c r="S96" s="554"/>
      <c r="T96" s="554">
        <v>0.1</v>
      </c>
      <c r="U96" s="567">
        <f t="shared" si="15"/>
        <v>14865.480000000003</v>
      </c>
      <c r="V96" s="569"/>
      <c r="W96" s="554"/>
      <c r="X96" s="700"/>
      <c r="Y96" s="570">
        <f t="shared" si="13"/>
        <v>163520.28000000003</v>
      </c>
      <c r="Z96" s="274">
        <f t="shared" si="16"/>
        <v>0</v>
      </c>
      <c r="AA96" s="274">
        <f t="shared" si="16"/>
        <v>0</v>
      </c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</row>
    <row r="97" spans="1:44" s="80" customFormat="1" ht="17.25" customHeight="1">
      <c r="A97" s="560">
        <v>19</v>
      </c>
      <c r="B97" s="153" t="s">
        <v>255</v>
      </c>
      <c r="C97" s="561" t="s">
        <v>99</v>
      </c>
      <c r="D97" s="563" t="s">
        <v>25</v>
      </c>
      <c r="E97" s="562" t="s">
        <v>256</v>
      </c>
      <c r="F97" s="562" t="s">
        <v>40</v>
      </c>
      <c r="G97" s="571">
        <v>1</v>
      </c>
      <c r="H97" s="580" t="s">
        <v>102</v>
      </c>
      <c r="I97" s="580" t="s">
        <v>103</v>
      </c>
      <c r="J97" s="574">
        <v>1</v>
      </c>
      <c r="K97" s="554">
        <v>17697</v>
      </c>
      <c r="L97" s="573">
        <v>35</v>
      </c>
      <c r="M97" s="554">
        <f t="shared" si="11"/>
        <v>1.9444444444444444</v>
      </c>
      <c r="N97" s="574" t="s">
        <v>152</v>
      </c>
      <c r="O97" s="566">
        <v>4.32</v>
      </c>
      <c r="P97" s="566"/>
      <c r="Q97" s="567">
        <f t="shared" si="12"/>
        <v>148654.80000000002</v>
      </c>
      <c r="R97" s="568"/>
      <c r="S97" s="554"/>
      <c r="T97" s="554">
        <v>0.1</v>
      </c>
      <c r="U97" s="567">
        <f t="shared" si="15"/>
        <v>14865.480000000003</v>
      </c>
      <c r="V97" s="569"/>
      <c r="W97" s="554"/>
      <c r="X97" s="700"/>
      <c r="Y97" s="570">
        <f t="shared" si="13"/>
        <v>163520.28000000003</v>
      </c>
      <c r="Z97" s="274">
        <f t="shared" si="16"/>
        <v>0</v>
      </c>
      <c r="AA97" s="274">
        <f t="shared" si="16"/>
        <v>0</v>
      </c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</row>
    <row r="98" spans="1:44" s="80" customFormat="1" ht="17.25" customHeight="1">
      <c r="A98" s="560">
        <v>20</v>
      </c>
      <c r="B98" s="159" t="s">
        <v>257</v>
      </c>
      <c r="C98" s="600" t="s">
        <v>99</v>
      </c>
      <c r="D98" s="601" t="s">
        <v>25</v>
      </c>
      <c r="E98" s="585" t="s">
        <v>258</v>
      </c>
      <c r="F98" s="585" t="s">
        <v>259</v>
      </c>
      <c r="G98" s="612">
        <v>1</v>
      </c>
      <c r="H98" s="630" t="s">
        <v>102</v>
      </c>
      <c r="I98" s="630" t="s">
        <v>103</v>
      </c>
      <c r="J98" s="631">
        <v>2</v>
      </c>
      <c r="K98" s="605">
        <v>17697</v>
      </c>
      <c r="L98" s="632">
        <v>30</v>
      </c>
      <c r="M98" s="554">
        <f t="shared" si="11"/>
        <v>1.6666666666666667</v>
      </c>
      <c r="N98" s="566" t="s">
        <v>104</v>
      </c>
      <c r="O98" s="633">
        <v>3.62</v>
      </c>
      <c r="P98" s="633"/>
      <c r="Q98" s="607">
        <f t="shared" si="12"/>
        <v>106771.90000000001</v>
      </c>
      <c r="R98" s="608"/>
      <c r="S98" s="605"/>
      <c r="T98" s="605">
        <v>0.1</v>
      </c>
      <c r="U98" s="607">
        <f t="shared" si="15"/>
        <v>10677.190000000002</v>
      </c>
      <c r="V98" s="609"/>
      <c r="W98" s="605"/>
      <c r="X98" s="888"/>
      <c r="Y98" s="611">
        <f t="shared" si="13"/>
        <v>117449.09000000001</v>
      </c>
      <c r="Z98" s="304">
        <f t="shared" si="16"/>
        <v>0</v>
      </c>
      <c r="AA98" s="304">
        <f t="shared" si="16"/>
        <v>0</v>
      </c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</row>
    <row r="99" spans="1:44" s="115" customFormat="1" ht="17.25" customHeight="1">
      <c r="A99" s="560">
        <v>21</v>
      </c>
      <c r="B99" s="153" t="s">
        <v>388</v>
      </c>
      <c r="C99" s="561" t="s">
        <v>99</v>
      </c>
      <c r="D99" s="563" t="s">
        <v>189</v>
      </c>
      <c r="E99" s="562" t="s">
        <v>390</v>
      </c>
      <c r="F99" s="562" t="s">
        <v>34</v>
      </c>
      <c r="G99" s="571">
        <v>1</v>
      </c>
      <c r="H99" s="580" t="s">
        <v>102</v>
      </c>
      <c r="I99" s="580" t="s">
        <v>103</v>
      </c>
      <c r="J99" s="574">
        <v>1</v>
      </c>
      <c r="K99" s="554">
        <v>17697</v>
      </c>
      <c r="L99" s="573">
        <v>9</v>
      </c>
      <c r="M99" s="554">
        <f t="shared" si="11"/>
        <v>0.5</v>
      </c>
      <c r="N99" s="574" t="s">
        <v>152</v>
      </c>
      <c r="O99" s="566">
        <v>4.32</v>
      </c>
      <c r="P99" s="575"/>
      <c r="Q99" s="567">
        <f t="shared" si="12"/>
        <v>38225.520000000004</v>
      </c>
      <c r="R99" s="568"/>
      <c r="S99" s="554"/>
      <c r="T99" s="554">
        <v>0.1</v>
      </c>
      <c r="U99" s="567">
        <f t="shared" si="15"/>
        <v>3822.5520000000006</v>
      </c>
      <c r="V99" s="569"/>
      <c r="W99" s="554"/>
      <c r="X99" s="700"/>
      <c r="Y99" s="570">
        <f t="shared" si="13"/>
        <v>42048.072000000007</v>
      </c>
      <c r="Z99" s="274">
        <f t="shared" si="16"/>
        <v>0</v>
      </c>
      <c r="AA99" s="274">
        <f t="shared" si="16"/>
        <v>0</v>
      </c>
      <c r="AB99" s="917"/>
      <c r="AC99" s="917"/>
      <c r="AD99" s="917"/>
      <c r="AE99" s="917"/>
      <c r="AF99" s="917"/>
      <c r="AG99" s="917"/>
      <c r="AH99" s="917"/>
      <c r="AI99" s="917"/>
      <c r="AJ99" s="917"/>
      <c r="AK99" s="917"/>
      <c r="AL99" s="917"/>
      <c r="AM99" s="917"/>
      <c r="AN99" s="917"/>
      <c r="AO99" s="917"/>
      <c r="AP99" s="917"/>
      <c r="AQ99" s="917"/>
      <c r="AR99" s="917"/>
    </row>
    <row r="100" spans="1:44" s="81" customFormat="1" ht="17.25" customHeight="1">
      <c r="A100" s="560">
        <v>22</v>
      </c>
      <c r="B100" s="153" t="s">
        <v>199</v>
      </c>
      <c r="C100" s="561" t="s">
        <v>99</v>
      </c>
      <c r="D100" s="563" t="s">
        <v>25</v>
      </c>
      <c r="E100" s="210" t="s">
        <v>158</v>
      </c>
      <c r="F100" s="562" t="s">
        <v>159</v>
      </c>
      <c r="G100" s="560">
        <v>1</v>
      </c>
      <c r="H100" s="563" t="s">
        <v>102</v>
      </c>
      <c r="I100" s="563" t="s">
        <v>118</v>
      </c>
      <c r="J100" s="581">
        <v>4</v>
      </c>
      <c r="K100" s="554">
        <v>17697</v>
      </c>
      <c r="L100" s="565">
        <v>12</v>
      </c>
      <c r="M100" s="554">
        <f t="shared" si="11"/>
        <v>0.66666666666666663</v>
      </c>
      <c r="N100" s="574" t="s">
        <v>112</v>
      </c>
      <c r="O100" s="566">
        <v>2.8</v>
      </c>
      <c r="P100" s="566"/>
      <c r="Q100" s="567">
        <f t="shared" si="12"/>
        <v>33034.400000000001</v>
      </c>
      <c r="R100" s="568"/>
      <c r="S100" s="554"/>
      <c r="T100" s="554">
        <v>0.1</v>
      </c>
      <c r="U100" s="567">
        <f>T100*Q100</f>
        <v>3303.4400000000005</v>
      </c>
      <c r="V100" s="569"/>
      <c r="W100" s="554"/>
      <c r="X100" s="700"/>
      <c r="Y100" s="570">
        <f t="shared" si="13"/>
        <v>36337.840000000004</v>
      </c>
      <c r="Z100" s="274"/>
      <c r="AA100" s="274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</row>
    <row r="101" spans="1:44" s="81" customFormat="1" ht="17.25" customHeight="1">
      <c r="A101" s="560">
        <v>23</v>
      </c>
      <c r="B101" s="153" t="s">
        <v>439</v>
      </c>
      <c r="C101" s="561" t="s">
        <v>99</v>
      </c>
      <c r="D101" s="563"/>
      <c r="E101" s="562" t="s">
        <v>440</v>
      </c>
      <c r="F101" s="562" t="s">
        <v>159</v>
      </c>
      <c r="G101" s="571">
        <v>1</v>
      </c>
      <c r="H101" s="580" t="s">
        <v>102</v>
      </c>
      <c r="I101" s="580" t="s">
        <v>118</v>
      </c>
      <c r="J101" s="574">
        <v>4</v>
      </c>
      <c r="K101" s="554">
        <v>17697</v>
      </c>
      <c r="L101" s="573">
        <v>6</v>
      </c>
      <c r="M101" s="554">
        <f t="shared" si="11"/>
        <v>0.33333333333333331</v>
      </c>
      <c r="N101" s="574" t="s">
        <v>112</v>
      </c>
      <c r="O101" s="575">
        <v>2.75</v>
      </c>
      <c r="P101" s="575"/>
      <c r="Q101" s="567">
        <f t="shared" si="12"/>
        <v>16222.25</v>
      </c>
      <c r="R101" s="568"/>
      <c r="S101" s="554"/>
      <c r="T101" s="554">
        <v>0.1</v>
      </c>
      <c r="U101" s="567">
        <f>Q101*T101</f>
        <v>1622.2250000000001</v>
      </c>
      <c r="V101" s="569"/>
      <c r="W101" s="554"/>
      <c r="X101" s="700"/>
      <c r="Y101" s="570">
        <f t="shared" si="13"/>
        <v>17844.474999999999</v>
      </c>
      <c r="Z101" s="274">
        <f>V101+R101</f>
        <v>0</v>
      </c>
      <c r="AA101" s="274">
        <f>W101+S101</f>
        <v>0</v>
      </c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</row>
    <row r="102" spans="1:44" s="205" customFormat="1" ht="17.25" customHeight="1">
      <c r="A102" s="617"/>
      <c r="B102" s="250"/>
      <c r="C102" s="614"/>
      <c r="D102" s="615"/>
      <c r="E102" s="616"/>
      <c r="F102" s="616"/>
      <c r="G102" s="634"/>
      <c r="H102" s="635"/>
      <c r="I102" s="635"/>
      <c r="J102" s="636"/>
      <c r="K102" s="619"/>
      <c r="L102" s="637">
        <f>SUM(L79:L101)</f>
        <v>477</v>
      </c>
      <c r="M102" s="619"/>
      <c r="N102" s="636"/>
      <c r="O102" s="638"/>
      <c r="P102" s="639"/>
      <c r="Q102" s="623"/>
      <c r="R102" s="624"/>
      <c r="S102" s="619"/>
      <c r="T102" s="619"/>
      <c r="U102" s="623"/>
      <c r="V102" s="625"/>
      <c r="W102" s="619"/>
      <c r="X102" s="889"/>
      <c r="Y102" s="626"/>
      <c r="Z102" s="104"/>
      <c r="AA102" s="10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</row>
    <row r="103" spans="1:44" s="80" customFormat="1" ht="17.25" customHeight="1">
      <c r="A103" s="547">
        <v>1</v>
      </c>
      <c r="B103" s="640" t="s">
        <v>36</v>
      </c>
      <c r="C103" s="641" t="s">
        <v>99</v>
      </c>
      <c r="D103" s="642" t="s">
        <v>25</v>
      </c>
      <c r="E103" s="643" t="s">
        <v>424</v>
      </c>
      <c r="F103" s="583" t="s">
        <v>40</v>
      </c>
      <c r="G103" s="547">
        <v>1</v>
      </c>
      <c r="H103" s="577" t="s">
        <v>102</v>
      </c>
      <c r="I103" s="577" t="s">
        <v>103</v>
      </c>
      <c r="J103" s="644">
        <v>1</v>
      </c>
      <c r="K103" s="552">
        <v>17697</v>
      </c>
      <c r="L103" s="645">
        <v>9</v>
      </c>
      <c r="M103" s="552">
        <f t="shared" ref="M103:M121" si="17">L103/18</f>
        <v>0.5</v>
      </c>
      <c r="N103" s="574" t="s">
        <v>152</v>
      </c>
      <c r="O103" s="566">
        <v>4.32</v>
      </c>
      <c r="P103" s="642"/>
      <c r="Q103" s="556">
        <f t="shared" ref="Q103:Q121" si="18">O103*K103/18*L103</f>
        <v>38225.520000000004</v>
      </c>
      <c r="R103" s="557"/>
      <c r="S103" s="552"/>
      <c r="T103" s="552">
        <v>0.1</v>
      </c>
      <c r="U103" s="556">
        <f t="shared" ref="U103:U113" si="19">Q103*T103</f>
        <v>3822.5520000000006</v>
      </c>
      <c r="V103" s="558"/>
      <c r="W103" s="552"/>
      <c r="X103" s="552"/>
      <c r="Y103" s="559">
        <f t="shared" ref="Y103:Y121" si="20">U103+Q103</f>
        <v>42048.072000000007</v>
      </c>
      <c r="Z103" s="319">
        <f t="shared" si="16"/>
        <v>0</v>
      </c>
      <c r="AA103" s="319">
        <f t="shared" si="16"/>
        <v>0</v>
      </c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</row>
    <row r="104" spans="1:44" s="80" customFormat="1" ht="17.25" customHeight="1">
      <c r="A104" s="547">
        <v>2</v>
      </c>
      <c r="B104" s="646" t="s">
        <v>261</v>
      </c>
      <c r="C104" s="647" t="s">
        <v>99</v>
      </c>
      <c r="D104" s="628" t="s">
        <v>25</v>
      </c>
      <c r="E104" s="586" t="s">
        <v>435</v>
      </c>
      <c r="F104" s="562" t="s">
        <v>425</v>
      </c>
      <c r="G104" s="560">
        <v>1</v>
      </c>
      <c r="H104" s="563" t="s">
        <v>102</v>
      </c>
      <c r="I104" s="563" t="s">
        <v>103</v>
      </c>
      <c r="J104" s="629">
        <v>2</v>
      </c>
      <c r="K104" s="554">
        <v>17697</v>
      </c>
      <c r="L104" s="648">
        <v>35</v>
      </c>
      <c r="M104" s="554">
        <f t="shared" si="17"/>
        <v>1.9444444444444444</v>
      </c>
      <c r="N104" s="566" t="s">
        <v>104</v>
      </c>
      <c r="O104" s="628">
        <v>3.68</v>
      </c>
      <c r="P104" s="628"/>
      <c r="Q104" s="567">
        <f t="shared" si="18"/>
        <v>126631.86666666668</v>
      </c>
      <c r="R104" s="568"/>
      <c r="S104" s="554"/>
      <c r="T104" s="554">
        <v>0.1</v>
      </c>
      <c r="U104" s="567">
        <f t="shared" si="19"/>
        <v>12663.186666666668</v>
      </c>
      <c r="V104" s="569"/>
      <c r="W104" s="554"/>
      <c r="X104" s="700"/>
      <c r="Y104" s="570">
        <f t="shared" si="20"/>
        <v>139295.05333333334</v>
      </c>
      <c r="Z104" s="274">
        <f t="shared" si="16"/>
        <v>0</v>
      </c>
      <c r="AA104" s="274">
        <f t="shared" si="16"/>
        <v>0</v>
      </c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</row>
    <row r="105" spans="1:44" s="80" customFormat="1" ht="16.5" customHeight="1">
      <c r="A105" s="547">
        <v>3</v>
      </c>
      <c r="B105" s="647" t="s">
        <v>264</v>
      </c>
      <c r="C105" s="647" t="s">
        <v>99</v>
      </c>
      <c r="D105" s="628" t="s">
        <v>25</v>
      </c>
      <c r="E105" s="586" t="s">
        <v>426</v>
      </c>
      <c r="F105" s="562" t="s">
        <v>40</v>
      </c>
      <c r="G105" s="560">
        <v>1</v>
      </c>
      <c r="H105" s="563" t="s">
        <v>102</v>
      </c>
      <c r="I105" s="563" t="s">
        <v>103</v>
      </c>
      <c r="J105" s="629">
        <v>1</v>
      </c>
      <c r="K105" s="554">
        <v>17697</v>
      </c>
      <c r="L105" s="648">
        <v>36</v>
      </c>
      <c r="M105" s="554">
        <f t="shared" si="17"/>
        <v>2</v>
      </c>
      <c r="N105" s="574" t="s">
        <v>152</v>
      </c>
      <c r="O105" s="566">
        <v>4.32</v>
      </c>
      <c r="P105" s="628"/>
      <c r="Q105" s="567">
        <f t="shared" si="18"/>
        <v>152902.08000000002</v>
      </c>
      <c r="R105" s="568"/>
      <c r="S105" s="554"/>
      <c r="T105" s="554">
        <v>0.1</v>
      </c>
      <c r="U105" s="567">
        <f t="shared" si="19"/>
        <v>15290.208000000002</v>
      </c>
      <c r="V105" s="569"/>
      <c r="W105" s="554"/>
      <c r="X105" s="700"/>
      <c r="Y105" s="570">
        <f t="shared" si="20"/>
        <v>168192.28800000003</v>
      </c>
      <c r="Z105" s="274">
        <f t="shared" si="16"/>
        <v>0</v>
      </c>
      <c r="AA105" s="274">
        <f t="shared" si="16"/>
        <v>0</v>
      </c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</row>
    <row r="106" spans="1:44" s="80" customFormat="1" ht="17.25" customHeight="1">
      <c r="A106" s="547">
        <v>4</v>
      </c>
      <c r="B106" s="647" t="s">
        <v>268</v>
      </c>
      <c r="C106" s="647" t="s">
        <v>99</v>
      </c>
      <c r="D106" s="628" t="s">
        <v>25</v>
      </c>
      <c r="E106" s="586" t="s">
        <v>427</v>
      </c>
      <c r="F106" s="562" t="s">
        <v>40</v>
      </c>
      <c r="G106" s="560">
        <v>1</v>
      </c>
      <c r="H106" s="563" t="s">
        <v>102</v>
      </c>
      <c r="I106" s="563" t="s">
        <v>103</v>
      </c>
      <c r="J106" s="629">
        <v>1</v>
      </c>
      <c r="K106" s="554">
        <v>17697</v>
      </c>
      <c r="L106" s="648">
        <v>36</v>
      </c>
      <c r="M106" s="554">
        <f t="shared" si="17"/>
        <v>2</v>
      </c>
      <c r="N106" s="574" t="s">
        <v>152</v>
      </c>
      <c r="O106" s="566">
        <v>4.32</v>
      </c>
      <c r="P106" s="628"/>
      <c r="Q106" s="567">
        <f t="shared" si="18"/>
        <v>152902.08000000002</v>
      </c>
      <c r="R106" s="568"/>
      <c r="S106" s="554"/>
      <c r="T106" s="554">
        <v>0.1</v>
      </c>
      <c r="U106" s="567">
        <f t="shared" si="19"/>
        <v>15290.208000000002</v>
      </c>
      <c r="V106" s="569"/>
      <c r="W106" s="554"/>
      <c r="X106" s="700"/>
      <c r="Y106" s="570">
        <f t="shared" si="20"/>
        <v>168192.28800000003</v>
      </c>
      <c r="Z106" s="274">
        <f t="shared" si="16"/>
        <v>0</v>
      </c>
      <c r="AA106" s="274">
        <f t="shared" si="16"/>
        <v>0</v>
      </c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</row>
    <row r="107" spans="1:44" s="80" customFormat="1" ht="17.25" customHeight="1">
      <c r="A107" s="547">
        <v>5</v>
      </c>
      <c r="B107" s="647" t="s">
        <v>269</v>
      </c>
      <c r="C107" s="647" t="s">
        <v>99</v>
      </c>
      <c r="D107" s="628" t="s">
        <v>25</v>
      </c>
      <c r="E107" s="586" t="s">
        <v>428</v>
      </c>
      <c r="F107" s="582" t="s">
        <v>271</v>
      </c>
      <c r="G107" s="560">
        <v>1</v>
      </c>
      <c r="H107" s="563" t="s">
        <v>102</v>
      </c>
      <c r="I107" s="563" t="s">
        <v>103</v>
      </c>
      <c r="J107" s="629">
        <v>1</v>
      </c>
      <c r="K107" s="554">
        <v>17697</v>
      </c>
      <c r="L107" s="648">
        <v>36</v>
      </c>
      <c r="M107" s="554">
        <f t="shared" si="17"/>
        <v>2</v>
      </c>
      <c r="N107" s="566" t="s">
        <v>104</v>
      </c>
      <c r="O107" s="628">
        <v>4.26</v>
      </c>
      <c r="P107" s="628"/>
      <c r="Q107" s="567">
        <f t="shared" si="18"/>
        <v>150778.44</v>
      </c>
      <c r="R107" s="568"/>
      <c r="S107" s="554"/>
      <c r="T107" s="554">
        <v>0.1</v>
      </c>
      <c r="U107" s="567">
        <f t="shared" si="19"/>
        <v>15077.844000000001</v>
      </c>
      <c r="V107" s="569"/>
      <c r="W107" s="554"/>
      <c r="X107" s="700"/>
      <c r="Y107" s="570">
        <f t="shared" si="20"/>
        <v>165856.28400000001</v>
      </c>
      <c r="Z107" s="274">
        <f t="shared" si="16"/>
        <v>0</v>
      </c>
      <c r="AA107" s="274">
        <f t="shared" si="16"/>
        <v>0</v>
      </c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</row>
    <row r="108" spans="1:44" s="80" customFormat="1" ht="17.25" customHeight="1">
      <c r="A108" s="547">
        <v>6</v>
      </c>
      <c r="B108" s="647" t="s">
        <v>421</v>
      </c>
      <c r="C108" s="647" t="s">
        <v>99</v>
      </c>
      <c r="D108" s="628" t="s">
        <v>75</v>
      </c>
      <c r="E108" s="586" t="s">
        <v>422</v>
      </c>
      <c r="F108" s="562" t="s">
        <v>159</v>
      </c>
      <c r="G108" s="560">
        <v>1</v>
      </c>
      <c r="H108" s="563" t="s">
        <v>102</v>
      </c>
      <c r="I108" s="563" t="s">
        <v>118</v>
      </c>
      <c r="J108" s="629">
        <v>4</v>
      </c>
      <c r="K108" s="554">
        <v>17697</v>
      </c>
      <c r="L108" s="649">
        <v>10</v>
      </c>
      <c r="M108" s="554">
        <f t="shared" si="17"/>
        <v>0.55555555555555558</v>
      </c>
      <c r="N108" s="574" t="s">
        <v>112</v>
      </c>
      <c r="O108" s="628">
        <v>2.9</v>
      </c>
      <c r="P108" s="628"/>
      <c r="Q108" s="567">
        <f t="shared" si="18"/>
        <v>28511.833333333328</v>
      </c>
      <c r="R108" s="568"/>
      <c r="S108" s="554"/>
      <c r="T108" s="554">
        <v>0.1</v>
      </c>
      <c r="U108" s="567">
        <f t="shared" si="19"/>
        <v>2851.1833333333329</v>
      </c>
      <c r="V108" s="569"/>
      <c r="W108" s="554"/>
      <c r="X108" s="700"/>
      <c r="Y108" s="570">
        <f t="shared" si="20"/>
        <v>31363.016666666663</v>
      </c>
      <c r="Z108" s="274">
        <f t="shared" si="16"/>
        <v>0</v>
      </c>
      <c r="AA108" s="274">
        <f t="shared" si="16"/>
        <v>0</v>
      </c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</row>
    <row r="109" spans="1:44" s="80" customFormat="1" ht="17.25" customHeight="1">
      <c r="A109" s="547">
        <v>7</v>
      </c>
      <c r="B109" s="647" t="s">
        <v>391</v>
      </c>
      <c r="C109" s="647" t="s">
        <v>99</v>
      </c>
      <c r="D109" s="563" t="s">
        <v>75</v>
      </c>
      <c r="E109" s="586" t="s">
        <v>433</v>
      </c>
      <c r="F109" s="582" t="s">
        <v>77</v>
      </c>
      <c r="G109" s="560">
        <v>1</v>
      </c>
      <c r="H109" s="563" t="s">
        <v>102</v>
      </c>
      <c r="I109" s="563" t="s">
        <v>118</v>
      </c>
      <c r="J109" s="629">
        <v>4</v>
      </c>
      <c r="K109" s="554">
        <v>17697</v>
      </c>
      <c r="L109" s="648">
        <v>33</v>
      </c>
      <c r="M109" s="554">
        <f t="shared" si="17"/>
        <v>1.8333333333333333</v>
      </c>
      <c r="N109" s="574" t="s">
        <v>112</v>
      </c>
      <c r="O109" s="650">
        <v>3</v>
      </c>
      <c r="P109" s="650"/>
      <c r="Q109" s="567">
        <f t="shared" si="18"/>
        <v>97333.5</v>
      </c>
      <c r="R109" s="568"/>
      <c r="S109" s="554"/>
      <c r="T109" s="554">
        <v>0.1</v>
      </c>
      <c r="U109" s="567">
        <f t="shared" si="19"/>
        <v>9733.35</v>
      </c>
      <c r="V109" s="569"/>
      <c r="W109" s="554"/>
      <c r="X109" s="700"/>
      <c r="Y109" s="570">
        <f t="shared" si="20"/>
        <v>107066.85</v>
      </c>
      <c r="Z109" s="274">
        <f>V109+R109</f>
        <v>0</v>
      </c>
      <c r="AA109" s="274">
        <f>W109+S109</f>
        <v>0</v>
      </c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</row>
    <row r="110" spans="1:44" s="80" customFormat="1" ht="16.5" customHeight="1">
      <c r="A110" s="547">
        <v>8</v>
      </c>
      <c r="B110" s="647" t="s">
        <v>272</v>
      </c>
      <c r="C110" s="647" t="s">
        <v>99</v>
      </c>
      <c r="D110" s="628" t="s">
        <v>25</v>
      </c>
      <c r="E110" s="586" t="s">
        <v>429</v>
      </c>
      <c r="F110" s="582" t="s">
        <v>434</v>
      </c>
      <c r="G110" s="560">
        <v>1</v>
      </c>
      <c r="H110" s="563" t="s">
        <v>102</v>
      </c>
      <c r="I110" s="563" t="s">
        <v>103</v>
      </c>
      <c r="J110" s="629">
        <v>1</v>
      </c>
      <c r="K110" s="554">
        <v>17697</v>
      </c>
      <c r="L110" s="648">
        <v>36</v>
      </c>
      <c r="M110" s="554">
        <f t="shared" si="17"/>
        <v>2</v>
      </c>
      <c r="N110" s="574" t="s">
        <v>152</v>
      </c>
      <c r="O110" s="628">
        <v>4.26</v>
      </c>
      <c r="P110" s="628"/>
      <c r="Q110" s="567">
        <f t="shared" si="18"/>
        <v>150778.44</v>
      </c>
      <c r="R110" s="568"/>
      <c r="S110" s="554"/>
      <c r="T110" s="554">
        <v>0.1</v>
      </c>
      <c r="U110" s="567">
        <f t="shared" si="19"/>
        <v>15077.844000000001</v>
      </c>
      <c r="V110" s="569"/>
      <c r="W110" s="554"/>
      <c r="X110" s="700"/>
      <c r="Y110" s="570">
        <f t="shared" si="20"/>
        <v>165856.28400000001</v>
      </c>
      <c r="Z110" s="274"/>
      <c r="AA110" s="27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</row>
    <row r="111" spans="1:44" s="80" customFormat="1" ht="17.25" customHeight="1">
      <c r="A111" s="547">
        <v>9</v>
      </c>
      <c r="B111" s="646" t="s">
        <v>274</v>
      </c>
      <c r="C111" s="647" t="s">
        <v>99</v>
      </c>
      <c r="D111" s="628" t="s">
        <v>25</v>
      </c>
      <c r="E111" s="586" t="s">
        <v>442</v>
      </c>
      <c r="F111" s="582" t="s">
        <v>403</v>
      </c>
      <c r="G111" s="560">
        <v>1</v>
      </c>
      <c r="H111" s="563" t="s">
        <v>102</v>
      </c>
      <c r="I111" s="563" t="s">
        <v>103</v>
      </c>
      <c r="J111" s="629">
        <v>2</v>
      </c>
      <c r="K111" s="554">
        <v>17697</v>
      </c>
      <c r="L111" s="648">
        <v>27</v>
      </c>
      <c r="M111" s="554">
        <f t="shared" si="17"/>
        <v>1.5</v>
      </c>
      <c r="N111" s="566" t="s">
        <v>104</v>
      </c>
      <c r="O111" s="628">
        <v>3.62</v>
      </c>
      <c r="P111" s="628"/>
      <c r="Q111" s="567">
        <f t="shared" si="18"/>
        <v>96094.71</v>
      </c>
      <c r="R111" s="568"/>
      <c r="S111" s="554"/>
      <c r="T111" s="554">
        <v>0.1</v>
      </c>
      <c r="U111" s="567">
        <f t="shared" si="19"/>
        <v>9609.4710000000014</v>
      </c>
      <c r="V111" s="569"/>
      <c r="W111" s="554"/>
      <c r="X111" s="700"/>
      <c r="Y111" s="570">
        <f t="shared" si="20"/>
        <v>105704.18100000001</v>
      </c>
      <c r="Z111" s="274">
        <f t="shared" si="16"/>
        <v>0</v>
      </c>
      <c r="AA111" s="274">
        <f t="shared" si="16"/>
        <v>0</v>
      </c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</row>
    <row r="112" spans="1:44" s="80" customFormat="1" ht="17.25" customHeight="1">
      <c r="A112" s="547">
        <v>10</v>
      </c>
      <c r="B112" s="646" t="s">
        <v>420</v>
      </c>
      <c r="C112" s="647" t="s">
        <v>99</v>
      </c>
      <c r="D112" s="628" t="s">
        <v>25</v>
      </c>
      <c r="E112" s="586" t="s">
        <v>443</v>
      </c>
      <c r="F112" s="582" t="s">
        <v>403</v>
      </c>
      <c r="G112" s="560"/>
      <c r="H112" s="563" t="s">
        <v>102</v>
      </c>
      <c r="I112" s="563" t="s">
        <v>103</v>
      </c>
      <c r="J112" s="629">
        <v>4</v>
      </c>
      <c r="K112" s="554">
        <v>17697</v>
      </c>
      <c r="L112" s="648">
        <v>18</v>
      </c>
      <c r="M112" s="554">
        <f t="shared" si="17"/>
        <v>1</v>
      </c>
      <c r="N112" s="574" t="s">
        <v>112</v>
      </c>
      <c r="O112" s="628">
        <v>3.04</v>
      </c>
      <c r="P112" s="628"/>
      <c r="Q112" s="567">
        <f t="shared" si="18"/>
        <v>53798.879999999997</v>
      </c>
      <c r="R112" s="568"/>
      <c r="S112" s="554"/>
      <c r="T112" s="554">
        <v>0.1</v>
      </c>
      <c r="U112" s="567">
        <f t="shared" si="19"/>
        <v>5379.8879999999999</v>
      </c>
      <c r="V112" s="569"/>
      <c r="W112" s="554"/>
      <c r="X112" s="700"/>
      <c r="Y112" s="570">
        <f t="shared" si="20"/>
        <v>59178.767999999996</v>
      </c>
      <c r="Z112" s="274">
        <f t="shared" si="16"/>
        <v>0</v>
      </c>
      <c r="AA112" s="274">
        <f t="shared" si="16"/>
        <v>0</v>
      </c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</row>
    <row r="113" spans="1:44" s="80" customFormat="1" ht="17.25" customHeight="1">
      <c r="A113" s="547">
        <v>11</v>
      </c>
      <c r="B113" s="646" t="s">
        <v>277</v>
      </c>
      <c r="C113" s="647" t="s">
        <v>99</v>
      </c>
      <c r="D113" s="628" t="s">
        <v>25</v>
      </c>
      <c r="E113" s="586" t="s">
        <v>430</v>
      </c>
      <c r="F113" s="562" t="s">
        <v>40</v>
      </c>
      <c r="G113" s="560">
        <v>1</v>
      </c>
      <c r="H113" s="563" t="s">
        <v>102</v>
      </c>
      <c r="I113" s="563" t="s">
        <v>103</v>
      </c>
      <c r="J113" s="629">
        <v>1</v>
      </c>
      <c r="K113" s="554">
        <v>17697</v>
      </c>
      <c r="L113" s="648">
        <v>15</v>
      </c>
      <c r="M113" s="554">
        <f t="shared" si="17"/>
        <v>0.83333333333333337</v>
      </c>
      <c r="N113" s="574" t="s">
        <v>152</v>
      </c>
      <c r="O113" s="566">
        <v>4.32</v>
      </c>
      <c r="P113" s="628"/>
      <c r="Q113" s="567">
        <f t="shared" si="18"/>
        <v>63709.200000000012</v>
      </c>
      <c r="R113" s="568"/>
      <c r="S113" s="554"/>
      <c r="T113" s="554">
        <v>0.1</v>
      </c>
      <c r="U113" s="567">
        <f t="shared" si="19"/>
        <v>6370.9200000000019</v>
      </c>
      <c r="V113" s="569"/>
      <c r="W113" s="554"/>
      <c r="X113" s="700"/>
      <c r="Y113" s="570">
        <f t="shared" si="20"/>
        <v>70080.12000000001</v>
      </c>
      <c r="Z113" s="274">
        <f t="shared" si="16"/>
        <v>0</v>
      </c>
      <c r="AA113" s="274">
        <f t="shared" si="16"/>
        <v>0</v>
      </c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</row>
    <row r="114" spans="1:44" s="80" customFormat="1" ht="17.25" customHeight="1">
      <c r="A114" s="547">
        <v>12</v>
      </c>
      <c r="B114" s="153" t="s">
        <v>175</v>
      </c>
      <c r="C114" s="561" t="s">
        <v>99</v>
      </c>
      <c r="D114" s="563" t="s">
        <v>25</v>
      </c>
      <c r="E114" s="562" t="s">
        <v>491</v>
      </c>
      <c r="F114" s="562" t="s">
        <v>114</v>
      </c>
      <c r="G114" s="560">
        <v>1</v>
      </c>
      <c r="H114" s="563" t="s">
        <v>102</v>
      </c>
      <c r="I114" s="563" t="s">
        <v>103</v>
      </c>
      <c r="J114" s="581">
        <v>1</v>
      </c>
      <c r="K114" s="554">
        <v>17697</v>
      </c>
      <c r="L114" s="565">
        <v>14</v>
      </c>
      <c r="M114" s="554">
        <f t="shared" si="17"/>
        <v>0.77777777777777779</v>
      </c>
      <c r="N114" s="574" t="s">
        <v>152</v>
      </c>
      <c r="O114" s="566">
        <v>4.32</v>
      </c>
      <c r="P114" s="566"/>
      <c r="Q114" s="567">
        <f t="shared" si="18"/>
        <v>59461.920000000013</v>
      </c>
      <c r="R114" s="568"/>
      <c r="S114" s="554"/>
      <c r="T114" s="554">
        <v>0.1</v>
      </c>
      <c r="U114" s="567">
        <f>T114*Q114</f>
        <v>5946.1920000000018</v>
      </c>
      <c r="V114" s="569"/>
      <c r="W114" s="554"/>
      <c r="X114" s="700"/>
      <c r="Y114" s="570">
        <f t="shared" si="20"/>
        <v>65408.112000000016</v>
      </c>
      <c r="Z114" s="274">
        <f t="shared" si="16"/>
        <v>0</v>
      </c>
      <c r="AA114" s="274">
        <f t="shared" si="16"/>
        <v>0</v>
      </c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</row>
    <row r="115" spans="1:44" s="80" customFormat="1" ht="17.25" customHeight="1">
      <c r="A115" s="547">
        <v>13</v>
      </c>
      <c r="B115" s="647" t="s">
        <v>281</v>
      </c>
      <c r="C115" s="647" t="s">
        <v>99</v>
      </c>
      <c r="D115" s="628" t="s">
        <v>25</v>
      </c>
      <c r="E115" s="586" t="s">
        <v>430</v>
      </c>
      <c r="F115" s="562" t="s">
        <v>40</v>
      </c>
      <c r="G115" s="560">
        <v>1</v>
      </c>
      <c r="H115" s="563" t="s">
        <v>102</v>
      </c>
      <c r="I115" s="563" t="s">
        <v>103</v>
      </c>
      <c r="J115" s="629">
        <v>1</v>
      </c>
      <c r="K115" s="554">
        <v>17697</v>
      </c>
      <c r="L115" s="648">
        <v>24</v>
      </c>
      <c r="M115" s="554">
        <f t="shared" si="17"/>
        <v>1.3333333333333333</v>
      </c>
      <c r="N115" s="574" t="s">
        <v>152</v>
      </c>
      <c r="O115" s="566">
        <v>4.32</v>
      </c>
      <c r="P115" s="628"/>
      <c r="Q115" s="567">
        <f t="shared" si="18"/>
        <v>101934.72000000002</v>
      </c>
      <c r="R115" s="568"/>
      <c r="S115" s="554"/>
      <c r="T115" s="554">
        <v>0.1</v>
      </c>
      <c r="U115" s="567">
        <f t="shared" ref="U115:U121" si="21">Q115*T115</f>
        <v>10193.472000000002</v>
      </c>
      <c r="V115" s="569"/>
      <c r="W115" s="554"/>
      <c r="X115" s="700"/>
      <c r="Y115" s="570">
        <f t="shared" si="20"/>
        <v>112128.19200000001</v>
      </c>
      <c r="Z115" s="274"/>
      <c r="AA115" s="27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</row>
    <row r="116" spans="1:44" s="80" customFormat="1" ht="17.25" customHeight="1">
      <c r="A116" s="547">
        <v>14</v>
      </c>
      <c r="B116" s="647" t="s">
        <v>180</v>
      </c>
      <c r="C116" s="647" t="s">
        <v>284</v>
      </c>
      <c r="D116" s="628" t="s">
        <v>25</v>
      </c>
      <c r="E116" s="586" t="s">
        <v>493</v>
      </c>
      <c r="F116" s="562" t="s">
        <v>40</v>
      </c>
      <c r="G116" s="560"/>
      <c r="H116" s="563" t="s">
        <v>102</v>
      </c>
      <c r="I116" s="563" t="s">
        <v>103</v>
      </c>
      <c r="J116" s="629">
        <v>3</v>
      </c>
      <c r="K116" s="554">
        <v>17697</v>
      </c>
      <c r="L116" s="649">
        <v>20</v>
      </c>
      <c r="M116" s="554">
        <f t="shared" si="17"/>
        <v>1.1111111111111112</v>
      </c>
      <c r="N116" s="566" t="s">
        <v>109</v>
      </c>
      <c r="O116" s="628">
        <v>3.75</v>
      </c>
      <c r="P116" s="628"/>
      <c r="Q116" s="567">
        <f t="shared" si="18"/>
        <v>73737.5</v>
      </c>
      <c r="R116" s="568"/>
      <c r="S116" s="554"/>
      <c r="T116" s="554">
        <v>0.1</v>
      </c>
      <c r="U116" s="567">
        <f t="shared" si="21"/>
        <v>7373.75</v>
      </c>
      <c r="V116" s="569"/>
      <c r="W116" s="554"/>
      <c r="X116" s="700"/>
      <c r="Y116" s="570">
        <f t="shared" si="20"/>
        <v>81111.25</v>
      </c>
      <c r="Z116" s="274"/>
      <c r="AA116" s="27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</row>
    <row r="117" spans="1:44" s="80" customFormat="1" ht="17.25" customHeight="1">
      <c r="A117" s="547">
        <v>15</v>
      </c>
      <c r="B117" s="647" t="s">
        <v>282</v>
      </c>
      <c r="C117" s="647" t="s">
        <v>99</v>
      </c>
      <c r="D117" s="628" t="s">
        <v>25</v>
      </c>
      <c r="E117" s="586" t="s">
        <v>431</v>
      </c>
      <c r="F117" s="562" t="s">
        <v>40</v>
      </c>
      <c r="G117" s="560">
        <v>1</v>
      </c>
      <c r="H117" s="563" t="s">
        <v>102</v>
      </c>
      <c r="I117" s="563" t="s">
        <v>103</v>
      </c>
      <c r="J117" s="629">
        <v>1</v>
      </c>
      <c r="K117" s="554">
        <v>17697</v>
      </c>
      <c r="L117" s="648">
        <v>36</v>
      </c>
      <c r="M117" s="554">
        <f t="shared" si="17"/>
        <v>2</v>
      </c>
      <c r="N117" s="574" t="s">
        <v>152</v>
      </c>
      <c r="O117" s="566">
        <v>4.32</v>
      </c>
      <c r="P117" s="628"/>
      <c r="Q117" s="567">
        <f t="shared" si="18"/>
        <v>152902.08000000002</v>
      </c>
      <c r="R117" s="568"/>
      <c r="S117" s="554"/>
      <c r="T117" s="554">
        <v>0.1</v>
      </c>
      <c r="U117" s="567">
        <f t="shared" si="21"/>
        <v>15290.208000000002</v>
      </c>
      <c r="V117" s="569"/>
      <c r="W117" s="554"/>
      <c r="X117" s="700"/>
      <c r="Y117" s="570">
        <f t="shared" si="20"/>
        <v>168192.28800000003</v>
      </c>
      <c r="Z117" s="274">
        <f t="shared" si="16"/>
        <v>0</v>
      </c>
      <c r="AA117" s="274">
        <f t="shared" si="16"/>
        <v>0</v>
      </c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</row>
    <row r="118" spans="1:44" s="80" customFormat="1" ht="17.25" customHeight="1">
      <c r="A118" s="547">
        <v>16</v>
      </c>
      <c r="B118" s="647" t="s">
        <v>392</v>
      </c>
      <c r="C118" s="647" t="s">
        <v>99</v>
      </c>
      <c r="D118" s="563" t="s">
        <v>189</v>
      </c>
      <c r="E118" s="586" t="s">
        <v>444</v>
      </c>
      <c r="F118" s="582" t="s">
        <v>434</v>
      </c>
      <c r="G118" s="560">
        <v>1</v>
      </c>
      <c r="H118" s="563" t="s">
        <v>102</v>
      </c>
      <c r="I118" s="563" t="s">
        <v>103</v>
      </c>
      <c r="J118" s="572">
        <v>2</v>
      </c>
      <c r="K118" s="554">
        <v>17697</v>
      </c>
      <c r="L118" s="648">
        <v>14</v>
      </c>
      <c r="M118" s="554">
        <f t="shared" si="17"/>
        <v>0.77777777777777779</v>
      </c>
      <c r="N118" s="566" t="s">
        <v>104</v>
      </c>
      <c r="O118" s="650">
        <v>3.86</v>
      </c>
      <c r="P118" s="650"/>
      <c r="Q118" s="567">
        <f t="shared" si="18"/>
        <v>53130.32666666666</v>
      </c>
      <c r="R118" s="568"/>
      <c r="S118" s="554"/>
      <c r="T118" s="554">
        <v>0.1</v>
      </c>
      <c r="U118" s="567">
        <f t="shared" si="21"/>
        <v>5313.032666666666</v>
      </c>
      <c r="V118" s="569"/>
      <c r="W118" s="554"/>
      <c r="X118" s="700"/>
      <c r="Y118" s="570">
        <f t="shared" si="20"/>
        <v>58443.359333333327</v>
      </c>
      <c r="Z118" s="274">
        <f t="shared" si="16"/>
        <v>0</v>
      </c>
      <c r="AA118" s="274">
        <f t="shared" si="16"/>
        <v>0</v>
      </c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</row>
    <row r="119" spans="1:44" s="80" customFormat="1" ht="17.25" customHeight="1">
      <c r="A119" s="547">
        <v>17</v>
      </c>
      <c r="B119" s="647" t="s">
        <v>184</v>
      </c>
      <c r="C119" s="647" t="s">
        <v>99</v>
      </c>
      <c r="D119" s="628" t="s">
        <v>25</v>
      </c>
      <c r="E119" s="586" t="s">
        <v>427</v>
      </c>
      <c r="F119" s="562" t="s">
        <v>40</v>
      </c>
      <c r="G119" s="560">
        <v>1</v>
      </c>
      <c r="H119" s="563" t="s">
        <v>102</v>
      </c>
      <c r="I119" s="563" t="s">
        <v>103</v>
      </c>
      <c r="J119" s="629">
        <v>1</v>
      </c>
      <c r="K119" s="554">
        <v>17697</v>
      </c>
      <c r="L119" s="648">
        <v>4</v>
      </c>
      <c r="M119" s="554">
        <f t="shared" si="17"/>
        <v>0.22222222222222221</v>
      </c>
      <c r="N119" s="574" t="s">
        <v>152</v>
      </c>
      <c r="O119" s="566">
        <v>4.32</v>
      </c>
      <c r="P119" s="628"/>
      <c r="Q119" s="567">
        <f t="shared" si="18"/>
        <v>16989.120000000003</v>
      </c>
      <c r="R119" s="568"/>
      <c r="S119" s="554"/>
      <c r="T119" s="554">
        <v>0.1</v>
      </c>
      <c r="U119" s="567">
        <f t="shared" si="21"/>
        <v>1698.9120000000003</v>
      </c>
      <c r="V119" s="569"/>
      <c r="W119" s="554"/>
      <c r="X119" s="700"/>
      <c r="Y119" s="570">
        <f t="shared" si="20"/>
        <v>18688.032000000003</v>
      </c>
      <c r="Z119" s="274">
        <f t="shared" ref="Z119:AA121" si="22">V119+R119</f>
        <v>0</v>
      </c>
      <c r="AA119" s="274">
        <f t="shared" si="22"/>
        <v>0</v>
      </c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</row>
    <row r="120" spans="1:44" s="80" customFormat="1" ht="17.25" customHeight="1">
      <c r="A120" s="547">
        <v>18</v>
      </c>
      <c r="B120" s="647" t="s">
        <v>287</v>
      </c>
      <c r="C120" s="647" t="s">
        <v>99</v>
      </c>
      <c r="D120" s="628" t="s">
        <v>25</v>
      </c>
      <c r="E120" s="586" t="s">
        <v>432</v>
      </c>
      <c r="F120" s="562" t="s">
        <v>40</v>
      </c>
      <c r="G120" s="560">
        <v>1</v>
      </c>
      <c r="H120" s="563" t="s">
        <v>102</v>
      </c>
      <c r="I120" s="563" t="s">
        <v>103</v>
      </c>
      <c r="J120" s="629">
        <v>1</v>
      </c>
      <c r="K120" s="554">
        <v>17697</v>
      </c>
      <c r="L120" s="648">
        <v>29</v>
      </c>
      <c r="M120" s="554">
        <f t="shared" si="17"/>
        <v>1.6111111111111112</v>
      </c>
      <c r="N120" s="574" t="s">
        <v>152</v>
      </c>
      <c r="O120" s="566">
        <v>4.32</v>
      </c>
      <c r="P120" s="628"/>
      <c r="Q120" s="567">
        <f t="shared" si="18"/>
        <v>123171.12000000002</v>
      </c>
      <c r="R120" s="568"/>
      <c r="S120" s="554"/>
      <c r="T120" s="554">
        <v>0.1</v>
      </c>
      <c r="U120" s="567">
        <f t="shared" si="21"/>
        <v>12317.112000000003</v>
      </c>
      <c r="V120" s="569"/>
      <c r="W120" s="554"/>
      <c r="X120" s="700"/>
      <c r="Y120" s="570">
        <f t="shared" si="20"/>
        <v>135488.23200000002</v>
      </c>
      <c r="Z120" s="274">
        <f t="shared" si="22"/>
        <v>0</v>
      </c>
      <c r="AA120" s="274">
        <f t="shared" si="22"/>
        <v>0</v>
      </c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</row>
    <row r="121" spans="1:44" s="80" customFormat="1" ht="17.25" customHeight="1">
      <c r="A121" s="547">
        <v>19</v>
      </c>
      <c r="B121" s="647" t="s">
        <v>289</v>
      </c>
      <c r="C121" s="647" t="s">
        <v>99</v>
      </c>
      <c r="D121" s="563" t="s">
        <v>64</v>
      </c>
      <c r="E121" s="586" t="s">
        <v>423</v>
      </c>
      <c r="F121" s="582" t="s">
        <v>108</v>
      </c>
      <c r="G121" s="560">
        <v>1</v>
      </c>
      <c r="H121" s="563" t="s">
        <v>102</v>
      </c>
      <c r="I121" s="563" t="s">
        <v>118</v>
      </c>
      <c r="J121" s="629">
        <v>4</v>
      </c>
      <c r="K121" s="554">
        <v>17697</v>
      </c>
      <c r="L121" s="648">
        <v>30</v>
      </c>
      <c r="M121" s="554">
        <f t="shared" si="17"/>
        <v>1.6666666666666667</v>
      </c>
      <c r="N121" s="574" t="s">
        <v>112</v>
      </c>
      <c r="O121" s="650">
        <v>2.96</v>
      </c>
      <c r="P121" s="650"/>
      <c r="Q121" s="567">
        <f t="shared" si="18"/>
        <v>87305.200000000012</v>
      </c>
      <c r="R121" s="568"/>
      <c r="S121" s="554"/>
      <c r="T121" s="554">
        <v>0.1</v>
      </c>
      <c r="U121" s="567">
        <f t="shared" si="21"/>
        <v>8730.5200000000023</v>
      </c>
      <c r="V121" s="569"/>
      <c r="W121" s="554"/>
      <c r="X121" s="700"/>
      <c r="Y121" s="570">
        <f t="shared" si="20"/>
        <v>96035.720000000016</v>
      </c>
      <c r="Z121" s="274">
        <f t="shared" si="22"/>
        <v>0</v>
      </c>
      <c r="AA121" s="274">
        <f t="shared" si="22"/>
        <v>0</v>
      </c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</row>
    <row r="122" spans="1:44" s="24" customFormat="1" ht="17.25" customHeight="1">
      <c r="A122" s="651"/>
      <c r="B122" s="652"/>
      <c r="C122" s="652"/>
      <c r="D122" s="653"/>
      <c r="E122" s="654"/>
      <c r="F122" s="655"/>
      <c r="G122" s="656"/>
      <c r="H122" s="653"/>
      <c r="I122" s="653"/>
      <c r="J122" s="657"/>
      <c r="K122" s="658"/>
      <c r="L122" s="659">
        <f>SUM(L103:L121)</f>
        <v>462</v>
      </c>
      <c r="M122" s="659"/>
      <c r="N122" s="659"/>
      <c r="O122" s="660"/>
      <c r="P122" s="659"/>
      <c r="Q122" s="659"/>
      <c r="R122" s="659"/>
      <c r="S122" s="659"/>
      <c r="T122" s="659"/>
      <c r="U122" s="659"/>
      <c r="V122" s="659"/>
      <c r="W122" s="659"/>
      <c r="X122" s="890"/>
      <c r="Y122" s="660"/>
      <c r="Z122" s="98"/>
      <c r="AA122" s="98"/>
    </row>
    <row r="123" spans="1:44" s="80" customFormat="1" ht="17.25" customHeight="1">
      <c r="A123" s="560">
        <v>1</v>
      </c>
      <c r="B123" s="661" t="s">
        <v>291</v>
      </c>
      <c r="C123" s="647" t="s">
        <v>99</v>
      </c>
      <c r="D123" s="663" t="s">
        <v>25</v>
      </c>
      <c r="E123" s="664" t="s">
        <v>293</v>
      </c>
      <c r="F123" s="664" t="s">
        <v>40</v>
      </c>
      <c r="G123" s="177">
        <v>1</v>
      </c>
      <c r="H123" s="177" t="s">
        <v>102</v>
      </c>
      <c r="I123" s="177" t="s">
        <v>103</v>
      </c>
      <c r="J123" s="178">
        <v>1</v>
      </c>
      <c r="K123" s="554">
        <v>17697</v>
      </c>
      <c r="L123" s="665">
        <v>31</v>
      </c>
      <c r="M123" s="567">
        <f>L123/18</f>
        <v>1.7222222222222223</v>
      </c>
      <c r="N123" s="574" t="s">
        <v>152</v>
      </c>
      <c r="O123" s="567">
        <v>4.32</v>
      </c>
      <c r="P123" s="567"/>
      <c r="Q123" s="567">
        <f t="shared" ref="Q123:Q137" si="23">K123*O123/18*L123</f>
        <v>131665.68000000002</v>
      </c>
      <c r="R123" s="666">
        <v>0.25</v>
      </c>
      <c r="S123" s="554">
        <f t="shared" ref="S123:S137" si="24">R123*Q123</f>
        <v>32916.420000000006</v>
      </c>
      <c r="T123" s="554">
        <v>0.1</v>
      </c>
      <c r="U123" s="567">
        <f t="shared" ref="U123:U137" si="25">(Q123+S123)*10%</f>
        <v>16458.210000000003</v>
      </c>
      <c r="V123" s="569"/>
      <c r="W123" s="554"/>
      <c r="X123" s="700"/>
      <c r="Y123" s="570">
        <f>U123+S123+Q123</f>
        <v>181040.31000000003</v>
      </c>
      <c r="Z123" s="274">
        <f>V123+T123+R123</f>
        <v>0.35</v>
      </c>
      <c r="AA123" s="274">
        <f>W123+U123+S123</f>
        <v>49374.630000000005</v>
      </c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</row>
    <row r="124" spans="1:44" s="80" customFormat="1" ht="17.25" customHeight="1">
      <c r="A124" s="560">
        <v>2</v>
      </c>
      <c r="B124" s="661" t="s">
        <v>516</v>
      </c>
      <c r="C124" s="647" t="s">
        <v>99</v>
      </c>
      <c r="D124" s="663" t="s">
        <v>25</v>
      </c>
      <c r="E124" s="664" t="s">
        <v>430</v>
      </c>
      <c r="F124" s="664" t="s">
        <v>40</v>
      </c>
      <c r="G124" s="177">
        <v>1</v>
      </c>
      <c r="H124" s="177" t="s">
        <v>102</v>
      </c>
      <c r="I124" s="177" t="s">
        <v>103</v>
      </c>
      <c r="J124" s="178">
        <v>1</v>
      </c>
      <c r="K124" s="554">
        <v>17697</v>
      </c>
      <c r="L124" s="665">
        <v>18</v>
      </c>
      <c r="M124" s="567">
        <f t="shared" ref="M124:M137" si="26">L124/18</f>
        <v>1</v>
      </c>
      <c r="N124" s="574" t="s">
        <v>152</v>
      </c>
      <c r="O124" s="567">
        <v>4.32</v>
      </c>
      <c r="P124" s="567"/>
      <c r="Q124" s="567">
        <f t="shared" si="23"/>
        <v>76451.040000000008</v>
      </c>
      <c r="R124" s="666">
        <v>0.25</v>
      </c>
      <c r="S124" s="554">
        <f t="shared" si="24"/>
        <v>19112.760000000002</v>
      </c>
      <c r="T124" s="554">
        <v>0.1</v>
      </c>
      <c r="U124" s="567">
        <f t="shared" si="25"/>
        <v>9556.3800000000028</v>
      </c>
      <c r="V124" s="569"/>
      <c r="W124" s="554"/>
      <c r="X124" s="700"/>
      <c r="Y124" s="570">
        <f>U124+S124+Q124</f>
        <v>105120.18000000002</v>
      </c>
      <c r="Z124" s="274"/>
      <c r="AA124" s="27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</row>
    <row r="125" spans="1:44" s="80" customFormat="1" ht="17.25" customHeight="1">
      <c r="A125" s="560">
        <v>3</v>
      </c>
      <c r="B125" s="690" t="s">
        <v>517</v>
      </c>
      <c r="C125" s="647" t="s">
        <v>99</v>
      </c>
      <c r="D125" s="663" t="s">
        <v>25</v>
      </c>
      <c r="E125" s="664" t="s">
        <v>518</v>
      </c>
      <c r="F125" s="664" t="s">
        <v>366</v>
      </c>
      <c r="G125" s="177">
        <v>1</v>
      </c>
      <c r="H125" s="177" t="s">
        <v>102</v>
      </c>
      <c r="I125" s="177" t="s">
        <v>103</v>
      </c>
      <c r="J125" s="178">
        <v>1</v>
      </c>
      <c r="K125" s="554">
        <v>17697</v>
      </c>
      <c r="L125" s="665">
        <v>4</v>
      </c>
      <c r="M125" s="567">
        <f t="shared" si="26"/>
        <v>0.22222222222222221</v>
      </c>
      <c r="N125" s="574" t="s">
        <v>152</v>
      </c>
      <c r="O125" s="567">
        <v>4.26</v>
      </c>
      <c r="P125" s="567"/>
      <c r="Q125" s="567">
        <f t="shared" si="23"/>
        <v>16753.16</v>
      </c>
      <c r="R125" s="666">
        <v>0.25</v>
      </c>
      <c r="S125" s="554">
        <f t="shared" si="24"/>
        <v>4188.29</v>
      </c>
      <c r="T125" s="554">
        <v>0.1</v>
      </c>
      <c r="U125" s="567">
        <f t="shared" si="25"/>
        <v>2094.145</v>
      </c>
      <c r="V125" s="569"/>
      <c r="W125" s="554"/>
      <c r="X125" s="700"/>
      <c r="Y125" s="570">
        <f>U125+S125+Q125</f>
        <v>23035.595000000001</v>
      </c>
      <c r="Z125" s="274"/>
      <c r="AA125" s="27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</row>
    <row r="126" spans="1:44" s="80" customFormat="1" ht="17.25" customHeight="1">
      <c r="A126" s="560">
        <v>4</v>
      </c>
      <c r="B126" s="691" t="s">
        <v>421</v>
      </c>
      <c r="C126" s="647" t="s">
        <v>99</v>
      </c>
      <c r="D126" s="663" t="s">
        <v>75</v>
      </c>
      <c r="E126" s="664" t="s">
        <v>520</v>
      </c>
      <c r="F126" s="664" t="s">
        <v>159</v>
      </c>
      <c r="G126" s="177">
        <v>1</v>
      </c>
      <c r="H126" s="177" t="s">
        <v>102</v>
      </c>
      <c r="I126" s="177" t="s">
        <v>118</v>
      </c>
      <c r="J126" s="178">
        <v>4</v>
      </c>
      <c r="K126" s="554">
        <v>17697</v>
      </c>
      <c r="L126" s="665">
        <v>10</v>
      </c>
      <c r="M126" s="567">
        <f t="shared" si="26"/>
        <v>0.55555555555555558</v>
      </c>
      <c r="N126" s="574" t="s">
        <v>385</v>
      </c>
      <c r="O126" s="567">
        <v>2.9</v>
      </c>
      <c r="P126" s="567"/>
      <c r="Q126" s="567">
        <f t="shared" si="23"/>
        <v>28511.833333333328</v>
      </c>
      <c r="R126" s="666">
        <v>0.25</v>
      </c>
      <c r="S126" s="554">
        <f t="shared" si="24"/>
        <v>7127.9583333333321</v>
      </c>
      <c r="T126" s="554">
        <v>0.1</v>
      </c>
      <c r="U126" s="567">
        <f t="shared" si="25"/>
        <v>3563.9791666666661</v>
      </c>
      <c r="V126" s="569"/>
      <c r="W126" s="554"/>
      <c r="X126" s="700"/>
      <c r="Y126" s="570">
        <f>U126+S126+Q126</f>
        <v>39203.770833333328</v>
      </c>
      <c r="Z126" s="274"/>
      <c r="AA126" s="27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</row>
    <row r="127" spans="1:44" s="80" customFormat="1" ht="17.25" customHeight="1">
      <c r="A127" s="560">
        <v>5</v>
      </c>
      <c r="B127" s="691" t="s">
        <v>519</v>
      </c>
      <c r="C127" s="692" t="s">
        <v>99</v>
      </c>
      <c r="D127" s="693" t="s">
        <v>25</v>
      </c>
      <c r="E127" s="694" t="s">
        <v>521</v>
      </c>
      <c r="F127" s="664" t="s">
        <v>366</v>
      </c>
      <c r="G127" s="695">
        <v>1</v>
      </c>
      <c r="H127" s="177" t="s">
        <v>102</v>
      </c>
      <c r="I127" s="177" t="s">
        <v>103</v>
      </c>
      <c r="J127" s="178">
        <v>1</v>
      </c>
      <c r="K127" s="554">
        <v>17697</v>
      </c>
      <c r="L127" s="696">
        <v>18</v>
      </c>
      <c r="M127" s="697">
        <f t="shared" si="26"/>
        <v>1</v>
      </c>
      <c r="N127" s="698" t="s">
        <v>152</v>
      </c>
      <c r="O127" s="697">
        <v>4.26</v>
      </c>
      <c r="P127" s="697"/>
      <c r="Q127" s="567">
        <f t="shared" si="23"/>
        <v>75389.22</v>
      </c>
      <c r="R127" s="666">
        <v>0.25</v>
      </c>
      <c r="S127" s="554">
        <f t="shared" si="24"/>
        <v>18847.305</v>
      </c>
      <c r="T127" s="554">
        <v>0.1</v>
      </c>
      <c r="U127" s="567">
        <f t="shared" si="25"/>
        <v>9423.6525000000001</v>
      </c>
      <c r="V127" s="699"/>
      <c r="W127" s="700"/>
      <c r="X127" s="700"/>
      <c r="Y127" s="570">
        <f>U127+S127+Q127</f>
        <v>103660.17750000001</v>
      </c>
      <c r="Z127" s="688"/>
      <c r="AA127" s="688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</row>
    <row r="128" spans="1:44" s="80" customFormat="1" ht="16.5" customHeight="1">
      <c r="A128" s="560">
        <v>6</v>
      </c>
      <c r="B128" s="662" t="s">
        <v>298</v>
      </c>
      <c r="C128" s="647" t="s">
        <v>99</v>
      </c>
      <c r="D128" s="663" t="s">
        <v>300</v>
      </c>
      <c r="E128" s="664" t="s">
        <v>522</v>
      </c>
      <c r="F128" s="667" t="s">
        <v>40</v>
      </c>
      <c r="G128" s="177">
        <v>1</v>
      </c>
      <c r="H128" s="177" t="s">
        <v>102</v>
      </c>
      <c r="I128" s="177" t="s">
        <v>118</v>
      </c>
      <c r="J128" s="178">
        <v>2</v>
      </c>
      <c r="K128" s="554">
        <v>17697</v>
      </c>
      <c r="L128" s="665">
        <v>9</v>
      </c>
      <c r="M128" s="567">
        <f t="shared" si="26"/>
        <v>0.5</v>
      </c>
      <c r="N128" s="566" t="s">
        <v>104</v>
      </c>
      <c r="O128" s="663">
        <v>3.41</v>
      </c>
      <c r="P128" s="663"/>
      <c r="Q128" s="567">
        <f t="shared" si="23"/>
        <v>30173.385000000002</v>
      </c>
      <c r="R128" s="666">
        <v>0.25</v>
      </c>
      <c r="S128" s="554">
        <f t="shared" si="24"/>
        <v>7543.3462500000005</v>
      </c>
      <c r="T128" s="554">
        <v>0.1</v>
      </c>
      <c r="U128" s="567">
        <f t="shared" si="25"/>
        <v>3771.6731250000007</v>
      </c>
      <c r="V128" s="569"/>
      <c r="W128" s="554"/>
      <c r="X128" s="700"/>
      <c r="Y128" s="570">
        <f t="shared" ref="Y128:AA137" si="27">U128+S128+Q128</f>
        <v>41488.404375000006</v>
      </c>
      <c r="Z128" s="274">
        <f t="shared" si="27"/>
        <v>0.35</v>
      </c>
      <c r="AA128" s="274">
        <f t="shared" si="27"/>
        <v>11315.019375000002</v>
      </c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</row>
    <row r="129" spans="1:44" s="80" customFormat="1" ht="17.25" customHeight="1">
      <c r="A129" s="560">
        <v>7</v>
      </c>
      <c r="B129" s="153" t="s">
        <v>116</v>
      </c>
      <c r="C129" s="561" t="s">
        <v>99</v>
      </c>
      <c r="D129" s="560" t="s">
        <v>64</v>
      </c>
      <c r="E129" s="583" t="s">
        <v>470</v>
      </c>
      <c r="F129" s="562" t="s">
        <v>114</v>
      </c>
      <c r="G129" s="560">
        <v>1</v>
      </c>
      <c r="H129" s="563" t="s">
        <v>102</v>
      </c>
      <c r="I129" s="563" t="s">
        <v>118</v>
      </c>
      <c r="J129" s="564">
        <v>1</v>
      </c>
      <c r="K129" s="554">
        <v>17697</v>
      </c>
      <c r="L129" s="565">
        <v>12</v>
      </c>
      <c r="M129" s="554">
        <f t="shared" si="26"/>
        <v>0.66666666666666663</v>
      </c>
      <c r="N129" s="574" t="s">
        <v>152</v>
      </c>
      <c r="O129" s="566">
        <v>3.89</v>
      </c>
      <c r="P129" s="566">
        <v>3.89</v>
      </c>
      <c r="Q129" s="567">
        <f>O129*K129/18*L129</f>
        <v>45894.22</v>
      </c>
      <c r="R129" s="666">
        <v>0.25</v>
      </c>
      <c r="S129" s="554">
        <f t="shared" si="24"/>
        <v>11473.555</v>
      </c>
      <c r="T129" s="554">
        <v>0.1</v>
      </c>
      <c r="U129" s="567">
        <f t="shared" si="25"/>
        <v>5736.7775000000001</v>
      </c>
      <c r="V129" s="569"/>
      <c r="W129" s="554"/>
      <c r="X129" s="700"/>
      <c r="Y129" s="570">
        <f t="shared" si="27"/>
        <v>63104.552500000005</v>
      </c>
      <c r="Z129" s="274">
        <f>V129+R129</f>
        <v>0.25</v>
      </c>
      <c r="AA129" s="274">
        <f>W129+S129</f>
        <v>11473.555</v>
      </c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</row>
    <row r="130" spans="1:44" s="80" customFormat="1" ht="17.25" customHeight="1">
      <c r="A130" s="560">
        <v>8</v>
      </c>
      <c r="B130" s="661" t="s">
        <v>38</v>
      </c>
      <c r="C130" s="647" t="s">
        <v>99</v>
      </c>
      <c r="D130" s="663" t="s">
        <v>25</v>
      </c>
      <c r="E130" s="664" t="s">
        <v>305</v>
      </c>
      <c r="F130" s="667" t="s">
        <v>40</v>
      </c>
      <c r="G130" s="177">
        <v>1</v>
      </c>
      <c r="H130" s="177" t="s">
        <v>102</v>
      </c>
      <c r="I130" s="177" t="s">
        <v>103</v>
      </c>
      <c r="J130" s="178">
        <v>1</v>
      </c>
      <c r="K130" s="554">
        <v>17697</v>
      </c>
      <c r="L130" s="665">
        <v>9</v>
      </c>
      <c r="M130" s="567">
        <f t="shared" si="26"/>
        <v>0.5</v>
      </c>
      <c r="N130" s="574" t="s">
        <v>152</v>
      </c>
      <c r="O130" s="567">
        <v>4.32</v>
      </c>
      <c r="P130" s="567"/>
      <c r="Q130" s="567">
        <f t="shared" si="23"/>
        <v>38225.520000000004</v>
      </c>
      <c r="R130" s="666">
        <v>0.25</v>
      </c>
      <c r="S130" s="554">
        <f t="shared" si="24"/>
        <v>9556.380000000001</v>
      </c>
      <c r="T130" s="554">
        <v>0.1</v>
      </c>
      <c r="U130" s="567">
        <f t="shared" si="25"/>
        <v>4778.1900000000014</v>
      </c>
      <c r="V130" s="569"/>
      <c r="W130" s="554"/>
      <c r="X130" s="700"/>
      <c r="Y130" s="570">
        <f t="shared" si="27"/>
        <v>52560.090000000011</v>
      </c>
      <c r="Z130" s="274">
        <f t="shared" si="27"/>
        <v>0.35</v>
      </c>
      <c r="AA130" s="274">
        <f t="shared" si="27"/>
        <v>14334.570000000003</v>
      </c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</row>
    <row r="131" spans="1:44" s="80" customFormat="1" ht="17.25" customHeight="1">
      <c r="A131" s="560">
        <v>9</v>
      </c>
      <c r="B131" s="669" t="s">
        <v>306</v>
      </c>
      <c r="C131" s="647" t="s">
        <v>99</v>
      </c>
      <c r="D131" s="663" t="s">
        <v>25</v>
      </c>
      <c r="E131" s="670" t="s">
        <v>307</v>
      </c>
      <c r="F131" s="671" t="s">
        <v>308</v>
      </c>
      <c r="G131" s="182">
        <v>1</v>
      </c>
      <c r="H131" s="177" t="s">
        <v>102</v>
      </c>
      <c r="I131" s="177" t="s">
        <v>103</v>
      </c>
      <c r="J131" s="182">
        <v>4</v>
      </c>
      <c r="K131" s="554">
        <v>17697</v>
      </c>
      <c r="L131" s="665">
        <v>20</v>
      </c>
      <c r="M131" s="567">
        <f t="shared" si="26"/>
        <v>1.1111111111111112</v>
      </c>
      <c r="N131" s="574" t="s">
        <v>112</v>
      </c>
      <c r="O131" s="663">
        <v>2.77</v>
      </c>
      <c r="P131" s="663"/>
      <c r="Q131" s="567">
        <f t="shared" si="23"/>
        <v>54467.433333333334</v>
      </c>
      <c r="R131" s="666">
        <v>0.25</v>
      </c>
      <c r="S131" s="554">
        <f t="shared" si="24"/>
        <v>13616.858333333334</v>
      </c>
      <c r="T131" s="554">
        <v>0.1</v>
      </c>
      <c r="U131" s="567">
        <f t="shared" si="25"/>
        <v>6808.4291666666677</v>
      </c>
      <c r="V131" s="569"/>
      <c r="W131" s="554"/>
      <c r="X131" s="700"/>
      <c r="Y131" s="570">
        <f t="shared" si="27"/>
        <v>74892.72083333334</v>
      </c>
      <c r="Z131" s="274">
        <f t="shared" si="27"/>
        <v>0.35</v>
      </c>
      <c r="AA131" s="274">
        <f t="shared" si="27"/>
        <v>20425.287500000002</v>
      </c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</row>
    <row r="132" spans="1:44" s="80" customFormat="1" ht="17.25" customHeight="1">
      <c r="A132" s="560">
        <v>10</v>
      </c>
      <c r="B132" s="661" t="s">
        <v>309</v>
      </c>
      <c r="C132" s="647" t="s">
        <v>99</v>
      </c>
      <c r="D132" s="663" t="s">
        <v>25</v>
      </c>
      <c r="E132" s="664" t="s">
        <v>311</v>
      </c>
      <c r="F132" s="667" t="s">
        <v>40</v>
      </c>
      <c r="G132" s="177">
        <v>1</v>
      </c>
      <c r="H132" s="177" t="s">
        <v>102</v>
      </c>
      <c r="I132" s="177" t="s">
        <v>103</v>
      </c>
      <c r="J132" s="178">
        <v>1</v>
      </c>
      <c r="K132" s="554">
        <v>17697</v>
      </c>
      <c r="L132" s="665">
        <v>26</v>
      </c>
      <c r="M132" s="567">
        <f t="shared" si="26"/>
        <v>1.4444444444444444</v>
      </c>
      <c r="N132" s="574" t="s">
        <v>152</v>
      </c>
      <c r="O132" s="567">
        <v>4.32</v>
      </c>
      <c r="P132" s="567"/>
      <c r="Q132" s="567">
        <f t="shared" si="23"/>
        <v>110429.28000000001</v>
      </c>
      <c r="R132" s="666">
        <v>0.25</v>
      </c>
      <c r="S132" s="554">
        <f t="shared" si="24"/>
        <v>27607.320000000003</v>
      </c>
      <c r="T132" s="554">
        <v>0.1</v>
      </c>
      <c r="U132" s="567">
        <f t="shared" si="25"/>
        <v>13803.660000000002</v>
      </c>
      <c r="V132" s="569"/>
      <c r="W132" s="554"/>
      <c r="X132" s="700"/>
      <c r="Y132" s="570">
        <f t="shared" si="27"/>
        <v>151840.26</v>
      </c>
      <c r="Z132" s="274">
        <f t="shared" si="27"/>
        <v>0.35</v>
      </c>
      <c r="AA132" s="274">
        <f t="shared" si="27"/>
        <v>41410.980000000003</v>
      </c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</row>
    <row r="133" spans="1:44" s="80" customFormat="1" ht="17.25" customHeight="1">
      <c r="A133" s="560">
        <v>11</v>
      </c>
      <c r="B133" s="701" t="s">
        <v>447</v>
      </c>
      <c r="C133" s="692" t="s">
        <v>99</v>
      </c>
      <c r="D133" s="663" t="s">
        <v>300</v>
      </c>
      <c r="E133" s="664" t="s">
        <v>520</v>
      </c>
      <c r="F133" s="664" t="s">
        <v>159</v>
      </c>
      <c r="G133" s="695">
        <v>1</v>
      </c>
      <c r="H133" s="177" t="s">
        <v>102</v>
      </c>
      <c r="I133" s="177" t="s">
        <v>118</v>
      </c>
      <c r="J133" s="178">
        <v>4</v>
      </c>
      <c r="K133" s="554">
        <v>17697</v>
      </c>
      <c r="L133" s="696">
        <v>20</v>
      </c>
      <c r="M133" s="697">
        <f t="shared" si="26"/>
        <v>1.1111111111111112</v>
      </c>
      <c r="N133" s="698" t="s">
        <v>385</v>
      </c>
      <c r="O133" s="697">
        <v>2.9</v>
      </c>
      <c r="P133" s="697"/>
      <c r="Q133" s="567">
        <f t="shared" si="23"/>
        <v>57023.666666666657</v>
      </c>
      <c r="R133" s="666">
        <v>0.25</v>
      </c>
      <c r="S133" s="554">
        <f t="shared" si="24"/>
        <v>14255.916666666664</v>
      </c>
      <c r="T133" s="554">
        <v>0.1</v>
      </c>
      <c r="U133" s="567">
        <f t="shared" si="25"/>
        <v>7127.9583333333321</v>
      </c>
      <c r="V133" s="699"/>
      <c r="W133" s="700"/>
      <c r="X133" s="700"/>
      <c r="Y133" s="570">
        <f t="shared" si="27"/>
        <v>78407.541666666657</v>
      </c>
      <c r="Z133" s="688"/>
      <c r="AA133" s="688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</row>
    <row r="134" spans="1:44" s="80" customFormat="1" ht="17.25" customHeight="1">
      <c r="A134" s="560">
        <v>12</v>
      </c>
      <c r="B134" s="702" t="s">
        <v>274</v>
      </c>
      <c r="C134" s="692" t="s">
        <v>136</v>
      </c>
      <c r="D134" s="663" t="s">
        <v>25</v>
      </c>
      <c r="E134" s="694" t="s">
        <v>523</v>
      </c>
      <c r="F134" s="694" t="s">
        <v>403</v>
      </c>
      <c r="G134" s="695">
        <v>1</v>
      </c>
      <c r="H134" s="177" t="s">
        <v>102</v>
      </c>
      <c r="I134" s="177" t="s">
        <v>103</v>
      </c>
      <c r="J134" s="178">
        <v>1</v>
      </c>
      <c r="K134" s="554">
        <v>17697</v>
      </c>
      <c r="L134" s="696">
        <v>10</v>
      </c>
      <c r="M134" s="697">
        <f t="shared" si="26"/>
        <v>0.55555555555555558</v>
      </c>
      <c r="N134" s="698" t="s">
        <v>152</v>
      </c>
      <c r="O134" s="697">
        <v>3.62</v>
      </c>
      <c r="P134" s="697"/>
      <c r="Q134" s="567">
        <f t="shared" si="23"/>
        <v>35590.633333333331</v>
      </c>
      <c r="R134" s="666">
        <v>0.25</v>
      </c>
      <c r="S134" s="554">
        <f t="shared" si="24"/>
        <v>8897.6583333333328</v>
      </c>
      <c r="T134" s="554">
        <v>0.1</v>
      </c>
      <c r="U134" s="567">
        <f t="shared" si="25"/>
        <v>4448.8291666666664</v>
      </c>
      <c r="V134" s="699"/>
      <c r="W134" s="700"/>
      <c r="X134" s="700"/>
      <c r="Y134" s="570">
        <f t="shared" si="27"/>
        <v>48937.120833333334</v>
      </c>
      <c r="Z134" s="688"/>
      <c r="AA134" s="688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</row>
    <row r="135" spans="1:44" s="80" customFormat="1" ht="17.25" customHeight="1">
      <c r="A135" s="560">
        <v>13</v>
      </c>
      <c r="B135" s="176" t="s">
        <v>524</v>
      </c>
      <c r="C135" s="692" t="s">
        <v>525</v>
      </c>
      <c r="D135" s="693" t="s">
        <v>25</v>
      </c>
      <c r="E135" s="694" t="s">
        <v>526</v>
      </c>
      <c r="F135" s="664" t="s">
        <v>366</v>
      </c>
      <c r="G135" s="695">
        <v>1</v>
      </c>
      <c r="H135" s="177" t="s">
        <v>102</v>
      </c>
      <c r="I135" s="177" t="s">
        <v>103</v>
      </c>
      <c r="J135" s="178">
        <v>1</v>
      </c>
      <c r="K135" s="554">
        <v>17697</v>
      </c>
      <c r="L135" s="696">
        <v>18</v>
      </c>
      <c r="M135" s="697">
        <f t="shared" si="26"/>
        <v>1</v>
      </c>
      <c r="N135" s="698" t="s">
        <v>152</v>
      </c>
      <c r="O135" s="697">
        <v>4.26</v>
      </c>
      <c r="P135" s="697"/>
      <c r="Q135" s="567">
        <f t="shared" si="23"/>
        <v>75389.22</v>
      </c>
      <c r="R135" s="666">
        <v>0.25</v>
      </c>
      <c r="S135" s="554">
        <f t="shared" si="24"/>
        <v>18847.305</v>
      </c>
      <c r="T135" s="554">
        <v>0.1</v>
      </c>
      <c r="U135" s="567">
        <f t="shared" si="25"/>
        <v>9423.6525000000001</v>
      </c>
      <c r="V135" s="699"/>
      <c r="W135" s="700"/>
      <c r="X135" s="700"/>
      <c r="Y135" s="570">
        <f t="shared" si="27"/>
        <v>103660.17750000001</v>
      </c>
      <c r="Z135" s="688"/>
      <c r="AA135" s="688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</row>
    <row r="136" spans="1:44" s="80" customFormat="1" ht="17.25" customHeight="1">
      <c r="A136" s="560">
        <v>14</v>
      </c>
      <c r="B136" s="662" t="s">
        <v>319</v>
      </c>
      <c r="C136" s="647" t="s">
        <v>99</v>
      </c>
      <c r="D136" s="663" t="s">
        <v>25</v>
      </c>
      <c r="E136" s="664" t="s">
        <v>320</v>
      </c>
      <c r="F136" s="667" t="s">
        <v>249</v>
      </c>
      <c r="G136" s="177">
        <v>1</v>
      </c>
      <c r="H136" s="177" t="s">
        <v>232</v>
      </c>
      <c r="I136" s="177" t="s">
        <v>233</v>
      </c>
      <c r="J136" s="178">
        <v>3</v>
      </c>
      <c r="K136" s="554">
        <v>17697</v>
      </c>
      <c r="L136" s="665">
        <v>27</v>
      </c>
      <c r="M136" s="567">
        <f t="shared" si="26"/>
        <v>1.5</v>
      </c>
      <c r="N136" s="566" t="s">
        <v>109</v>
      </c>
      <c r="O136" s="663">
        <v>3.45</v>
      </c>
      <c r="P136" s="663"/>
      <c r="Q136" s="567">
        <f t="shared" si="23"/>
        <v>91581.975000000006</v>
      </c>
      <c r="R136" s="666">
        <v>0.25</v>
      </c>
      <c r="S136" s="554">
        <f t="shared" si="24"/>
        <v>22895.493750000001</v>
      </c>
      <c r="T136" s="554">
        <v>0.1</v>
      </c>
      <c r="U136" s="567">
        <f t="shared" si="25"/>
        <v>11447.746875000001</v>
      </c>
      <c r="V136" s="569"/>
      <c r="W136" s="554"/>
      <c r="X136" s="700"/>
      <c r="Y136" s="570">
        <f t="shared" si="27"/>
        <v>125925.21562500001</v>
      </c>
      <c r="Z136" s="10">
        <f t="shared" si="27"/>
        <v>0.35</v>
      </c>
      <c r="AA136" s="10">
        <f t="shared" si="27"/>
        <v>34343.240625000006</v>
      </c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</row>
    <row r="137" spans="1:44" s="80" customFormat="1" ht="17.25" customHeight="1">
      <c r="A137" s="560">
        <v>15</v>
      </c>
      <c r="B137" s="661" t="s">
        <v>324</v>
      </c>
      <c r="C137" s="647" t="s">
        <v>99</v>
      </c>
      <c r="D137" s="663" t="s">
        <v>25</v>
      </c>
      <c r="E137" s="664" t="s">
        <v>325</v>
      </c>
      <c r="F137" s="667" t="s">
        <v>40</v>
      </c>
      <c r="G137" s="177">
        <v>1</v>
      </c>
      <c r="H137" s="177" t="s">
        <v>102</v>
      </c>
      <c r="I137" s="177" t="s">
        <v>103</v>
      </c>
      <c r="J137" s="178">
        <v>1</v>
      </c>
      <c r="K137" s="554">
        <v>17697</v>
      </c>
      <c r="L137" s="665">
        <v>14</v>
      </c>
      <c r="M137" s="567">
        <f t="shared" si="26"/>
        <v>0.77777777777777779</v>
      </c>
      <c r="N137" s="574" t="s">
        <v>152</v>
      </c>
      <c r="O137" s="567">
        <v>4.32</v>
      </c>
      <c r="P137" s="567"/>
      <c r="Q137" s="567">
        <f t="shared" si="23"/>
        <v>59461.920000000013</v>
      </c>
      <c r="R137" s="666">
        <v>0.25</v>
      </c>
      <c r="S137" s="554">
        <f t="shared" si="24"/>
        <v>14865.480000000003</v>
      </c>
      <c r="T137" s="554">
        <v>0.1</v>
      </c>
      <c r="U137" s="567">
        <f t="shared" si="25"/>
        <v>7432.7400000000025</v>
      </c>
      <c r="V137" s="569"/>
      <c r="W137" s="554"/>
      <c r="X137" s="700"/>
      <c r="Y137" s="570">
        <f t="shared" si="27"/>
        <v>81760.140000000014</v>
      </c>
      <c r="Z137" s="274">
        <f t="shared" si="27"/>
        <v>0.35</v>
      </c>
      <c r="AA137" s="274">
        <f t="shared" si="27"/>
        <v>22298.220000000005</v>
      </c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</row>
    <row r="138" spans="1:44" s="24" customFormat="1" ht="17.25" customHeight="1">
      <c r="A138" s="617"/>
      <c r="B138" s="672"/>
      <c r="C138" s="672"/>
      <c r="D138" s="673"/>
      <c r="E138" s="673"/>
      <c r="F138" s="672"/>
      <c r="G138" s="119"/>
      <c r="H138" s="119"/>
      <c r="I138" s="119"/>
      <c r="J138" s="120"/>
      <c r="K138" s="619"/>
      <c r="L138" s="674">
        <f>SUM(L129:L137)</f>
        <v>156</v>
      </c>
      <c r="M138" s="623"/>
      <c r="N138" s="675"/>
      <c r="O138" s="668"/>
      <c r="P138" s="673"/>
      <c r="Q138" s="623"/>
      <c r="R138" s="676"/>
      <c r="S138" s="619"/>
      <c r="T138" s="619"/>
      <c r="U138" s="623"/>
      <c r="V138" s="625"/>
      <c r="W138" s="619"/>
      <c r="X138" s="889"/>
      <c r="Y138" s="626"/>
      <c r="Z138" s="104"/>
      <c r="AA138" s="104"/>
    </row>
    <row r="139" spans="1:44" s="78" customFormat="1" ht="18" customHeight="1">
      <c r="A139" s="703">
        <v>141</v>
      </c>
      <c r="B139" s="548" t="s">
        <v>368</v>
      </c>
      <c r="C139" s="647" t="s">
        <v>338</v>
      </c>
      <c r="D139" s="547" t="s">
        <v>64</v>
      </c>
      <c r="E139" s="704"/>
      <c r="F139" s="705"/>
      <c r="G139" s="706" t="s">
        <v>409</v>
      </c>
      <c r="H139" s="577"/>
      <c r="I139" s="707"/>
      <c r="J139" s="577">
        <v>2</v>
      </c>
      <c r="K139" s="552">
        <v>17697</v>
      </c>
      <c r="L139" s="552"/>
      <c r="M139" s="556">
        <v>1.5</v>
      </c>
      <c r="N139" s="552"/>
      <c r="O139" s="552">
        <v>2.44</v>
      </c>
      <c r="P139" s="552"/>
      <c r="Q139" s="567">
        <f>K139*O139*M139</f>
        <v>64771.020000000004</v>
      </c>
      <c r="R139" s="552">
        <f t="shared" ref="R139:R165" si="28">K139*Q140*N139</f>
        <v>0</v>
      </c>
      <c r="S139" s="557"/>
      <c r="T139" s="708">
        <v>0.1</v>
      </c>
      <c r="U139" s="552">
        <f t="shared" ref="U139:U165" si="29">T139*Q139</f>
        <v>6477.1020000000008</v>
      </c>
      <c r="V139" s="552"/>
      <c r="W139" s="558"/>
      <c r="X139" s="558"/>
      <c r="Y139" s="559">
        <f t="shared" ref="Y139:Y165" si="30">Q139+U139+W139</f>
        <v>71248.122000000003</v>
      </c>
      <c r="Z139" s="319">
        <f t="shared" ref="Z139:Z165" si="31">R139+V139+Y139</f>
        <v>71248.122000000003</v>
      </c>
      <c r="AA139" s="319">
        <f t="shared" ref="AA139:AA165" si="32">S139+W139+Z139</f>
        <v>71248.122000000003</v>
      </c>
      <c r="AB139" s="914"/>
      <c r="AC139" s="914"/>
      <c r="AD139" s="914"/>
      <c r="AE139" s="914"/>
      <c r="AF139" s="914"/>
      <c r="AG139" s="914"/>
      <c r="AH139" s="914"/>
      <c r="AI139" s="914"/>
      <c r="AJ139" s="914"/>
      <c r="AK139" s="914"/>
      <c r="AL139" s="914"/>
      <c r="AM139" s="914"/>
      <c r="AN139" s="915"/>
      <c r="AO139" s="915"/>
      <c r="AP139" s="915"/>
      <c r="AQ139" s="915"/>
      <c r="AR139" s="915"/>
    </row>
    <row r="140" spans="1:44" s="78" customFormat="1" ht="15.75" customHeight="1">
      <c r="A140" s="709">
        <v>142</v>
      </c>
      <c r="B140" s="153" t="s">
        <v>332</v>
      </c>
      <c r="C140" s="647" t="s">
        <v>338</v>
      </c>
      <c r="D140" s="560" t="s">
        <v>64</v>
      </c>
      <c r="E140" s="710"/>
      <c r="F140" s="711"/>
      <c r="G140" s="712" t="s">
        <v>404</v>
      </c>
      <c r="H140" s="563"/>
      <c r="I140" s="689"/>
      <c r="J140" s="563">
        <v>2</v>
      </c>
      <c r="K140" s="554">
        <v>17697</v>
      </c>
      <c r="L140" s="554"/>
      <c r="M140" s="552">
        <v>0.5</v>
      </c>
      <c r="N140" s="554"/>
      <c r="O140" s="552">
        <v>2.44</v>
      </c>
      <c r="P140" s="552"/>
      <c r="Q140" s="567">
        <f t="shared" ref="Q140:Q165" si="33">K140*O140*M140</f>
        <v>21590.34</v>
      </c>
      <c r="R140" s="552">
        <f t="shared" si="28"/>
        <v>0</v>
      </c>
      <c r="S140" s="568"/>
      <c r="T140" s="708">
        <v>0.1</v>
      </c>
      <c r="U140" s="552">
        <f t="shared" si="29"/>
        <v>2159.0340000000001</v>
      </c>
      <c r="V140" s="554"/>
      <c r="W140" s="554"/>
      <c r="X140" s="552"/>
      <c r="Y140" s="559">
        <f t="shared" si="30"/>
        <v>23749.374</v>
      </c>
      <c r="Z140" s="319">
        <f t="shared" si="31"/>
        <v>23749.374</v>
      </c>
      <c r="AA140" s="319">
        <f t="shared" si="32"/>
        <v>23749.374</v>
      </c>
      <c r="AB140" s="914"/>
      <c r="AC140" s="914"/>
      <c r="AD140" s="914"/>
      <c r="AE140" s="914"/>
      <c r="AF140" s="914"/>
      <c r="AG140" s="914"/>
      <c r="AH140" s="914"/>
      <c r="AI140" s="914"/>
      <c r="AJ140" s="914"/>
      <c r="AK140" s="914"/>
      <c r="AL140" s="914"/>
      <c r="AM140" s="914"/>
      <c r="AN140" s="915"/>
      <c r="AO140" s="915"/>
      <c r="AP140" s="915"/>
      <c r="AQ140" s="915"/>
      <c r="AR140" s="915"/>
    </row>
    <row r="141" spans="1:44" s="80" customFormat="1" ht="15.75">
      <c r="A141" s="703">
        <v>143</v>
      </c>
      <c r="B141" s="153" t="s">
        <v>350</v>
      </c>
      <c r="C141" s="647" t="s">
        <v>338</v>
      </c>
      <c r="D141" s="560" t="s">
        <v>64</v>
      </c>
      <c r="E141" s="710"/>
      <c r="F141" s="560"/>
      <c r="G141" s="712" t="s">
        <v>404</v>
      </c>
      <c r="H141" s="563"/>
      <c r="I141" s="689"/>
      <c r="J141" s="563">
        <v>2</v>
      </c>
      <c r="K141" s="554">
        <v>17697</v>
      </c>
      <c r="L141" s="554"/>
      <c r="M141" s="554">
        <v>0.5</v>
      </c>
      <c r="N141" s="554"/>
      <c r="O141" s="552">
        <v>2.44</v>
      </c>
      <c r="P141" s="554"/>
      <c r="Q141" s="567">
        <f t="shared" si="33"/>
        <v>21590.34</v>
      </c>
      <c r="R141" s="552">
        <f t="shared" si="28"/>
        <v>0</v>
      </c>
      <c r="S141" s="554"/>
      <c r="T141" s="708">
        <v>0.1</v>
      </c>
      <c r="U141" s="552">
        <f t="shared" si="29"/>
        <v>2159.0340000000001</v>
      </c>
      <c r="V141" s="554"/>
      <c r="W141" s="554"/>
      <c r="X141" s="552"/>
      <c r="Y141" s="559">
        <f t="shared" si="30"/>
        <v>23749.374</v>
      </c>
      <c r="Z141" s="319">
        <f t="shared" si="31"/>
        <v>23749.374</v>
      </c>
      <c r="AA141" s="319">
        <f t="shared" si="32"/>
        <v>23749.374</v>
      </c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</row>
    <row r="142" spans="1:44" s="80" customFormat="1" ht="15.75">
      <c r="A142" s="709">
        <v>144</v>
      </c>
      <c r="B142" s="153" t="s">
        <v>335</v>
      </c>
      <c r="C142" s="561" t="s">
        <v>336</v>
      </c>
      <c r="D142" s="560" t="s">
        <v>64</v>
      </c>
      <c r="E142" s="710"/>
      <c r="F142" s="560"/>
      <c r="G142" s="712" t="s">
        <v>409</v>
      </c>
      <c r="H142" s="563"/>
      <c r="I142" s="689"/>
      <c r="J142" s="563">
        <v>4</v>
      </c>
      <c r="K142" s="554">
        <v>17697</v>
      </c>
      <c r="L142" s="554"/>
      <c r="M142" s="554">
        <v>1.5</v>
      </c>
      <c r="N142" s="554"/>
      <c r="O142" s="554">
        <v>2.5099999999999998</v>
      </c>
      <c r="P142" s="554"/>
      <c r="Q142" s="567">
        <f t="shared" si="33"/>
        <v>66629.204999999987</v>
      </c>
      <c r="R142" s="552">
        <f t="shared" si="28"/>
        <v>0</v>
      </c>
      <c r="S142" s="554"/>
      <c r="T142" s="708">
        <v>0.1</v>
      </c>
      <c r="U142" s="552">
        <f t="shared" si="29"/>
        <v>6662.9204999999993</v>
      </c>
      <c r="V142" s="554"/>
      <c r="W142" s="554"/>
      <c r="X142" s="552"/>
      <c r="Y142" s="559">
        <f t="shared" si="30"/>
        <v>73292.12549999998</v>
      </c>
      <c r="Z142" s="319">
        <f t="shared" si="31"/>
        <v>73292.12549999998</v>
      </c>
      <c r="AA142" s="319">
        <f t="shared" si="32"/>
        <v>73292.12549999998</v>
      </c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</row>
    <row r="143" spans="1:44" s="129" customFormat="1" ht="15.75">
      <c r="A143" s="703">
        <v>145</v>
      </c>
      <c r="B143" s="646" t="s">
        <v>337</v>
      </c>
      <c r="C143" s="647" t="s">
        <v>338</v>
      </c>
      <c r="D143" s="628" t="s">
        <v>64</v>
      </c>
      <c r="E143" s="713"/>
      <c r="F143" s="628"/>
      <c r="G143" s="628">
        <v>0.5</v>
      </c>
      <c r="H143" s="714"/>
      <c r="I143" s="715"/>
      <c r="J143" s="628">
        <v>2</v>
      </c>
      <c r="K143" s="715">
        <v>17697</v>
      </c>
      <c r="L143" s="715"/>
      <c r="M143" s="554">
        <v>0.5</v>
      </c>
      <c r="N143" s="554"/>
      <c r="O143" s="552">
        <v>2.44</v>
      </c>
      <c r="P143" s="552"/>
      <c r="Q143" s="567">
        <f t="shared" si="33"/>
        <v>21590.34</v>
      </c>
      <c r="R143" s="552">
        <f t="shared" si="28"/>
        <v>0</v>
      </c>
      <c r="S143" s="554"/>
      <c r="T143" s="708">
        <v>0.1</v>
      </c>
      <c r="U143" s="552">
        <f t="shared" si="29"/>
        <v>2159.0340000000001</v>
      </c>
      <c r="V143" s="554"/>
      <c r="W143" s="554"/>
      <c r="X143" s="552"/>
      <c r="Y143" s="559">
        <f t="shared" si="30"/>
        <v>23749.374</v>
      </c>
      <c r="Z143" s="319">
        <f t="shared" si="31"/>
        <v>23749.374</v>
      </c>
      <c r="AA143" s="319">
        <f t="shared" si="32"/>
        <v>23749.374</v>
      </c>
      <c r="AB143" s="908"/>
      <c r="AC143" s="908"/>
      <c r="AD143" s="908"/>
      <c r="AE143" s="908"/>
      <c r="AF143" s="908"/>
      <c r="AG143" s="908"/>
      <c r="AH143" s="908"/>
      <c r="AI143" s="908"/>
      <c r="AJ143" s="908"/>
      <c r="AK143" s="908"/>
      <c r="AL143" s="908"/>
      <c r="AM143" s="908"/>
      <c r="AN143" s="908"/>
      <c r="AO143" s="908"/>
      <c r="AP143" s="908"/>
      <c r="AQ143" s="908"/>
      <c r="AR143" s="908"/>
    </row>
    <row r="144" spans="1:44" s="129" customFormat="1" ht="15.75">
      <c r="A144" s="709">
        <v>146</v>
      </c>
      <c r="B144" s="646" t="s">
        <v>382</v>
      </c>
      <c r="C144" s="647" t="s">
        <v>338</v>
      </c>
      <c r="D144" s="560" t="s">
        <v>64</v>
      </c>
      <c r="E144" s="713"/>
      <c r="F144" s="646"/>
      <c r="G144" s="628">
        <v>0.5</v>
      </c>
      <c r="H144" s="714"/>
      <c r="I144" s="715"/>
      <c r="J144" s="628">
        <v>2</v>
      </c>
      <c r="K144" s="715">
        <v>17697</v>
      </c>
      <c r="L144" s="715"/>
      <c r="M144" s="554">
        <v>0.5</v>
      </c>
      <c r="N144" s="554"/>
      <c r="O144" s="552">
        <v>2.44</v>
      </c>
      <c r="P144" s="552"/>
      <c r="Q144" s="567">
        <f t="shared" si="33"/>
        <v>21590.34</v>
      </c>
      <c r="R144" s="552">
        <f>K144*Q146*N144</f>
        <v>0</v>
      </c>
      <c r="S144" s="554"/>
      <c r="T144" s="708">
        <v>0.1</v>
      </c>
      <c r="U144" s="552">
        <f t="shared" si="29"/>
        <v>2159.0340000000001</v>
      </c>
      <c r="V144" s="554"/>
      <c r="W144" s="554"/>
      <c r="X144" s="552"/>
      <c r="Y144" s="559">
        <f t="shared" si="30"/>
        <v>23749.374</v>
      </c>
      <c r="Z144" s="319">
        <f t="shared" si="31"/>
        <v>23749.374</v>
      </c>
      <c r="AA144" s="319">
        <f t="shared" si="32"/>
        <v>23749.374</v>
      </c>
      <c r="AB144" s="908"/>
      <c r="AC144" s="908"/>
      <c r="AD144" s="908"/>
      <c r="AE144" s="908"/>
      <c r="AF144" s="908"/>
      <c r="AG144" s="908"/>
      <c r="AH144" s="908"/>
      <c r="AI144" s="908"/>
      <c r="AJ144" s="908"/>
      <c r="AK144" s="908"/>
      <c r="AL144" s="908"/>
      <c r="AM144" s="908"/>
      <c r="AN144" s="908"/>
      <c r="AO144" s="908"/>
      <c r="AP144" s="908"/>
      <c r="AQ144" s="908"/>
      <c r="AR144" s="908"/>
    </row>
    <row r="145" spans="1:44" s="129" customFormat="1" ht="15.75">
      <c r="A145" s="703">
        <v>147</v>
      </c>
      <c r="B145" s="646" t="s">
        <v>383</v>
      </c>
      <c r="C145" s="647" t="s">
        <v>338</v>
      </c>
      <c r="D145" s="560" t="s">
        <v>75</v>
      </c>
      <c r="E145" s="713"/>
      <c r="F145" s="716"/>
      <c r="G145" s="628">
        <v>1</v>
      </c>
      <c r="H145" s="714"/>
      <c r="I145" s="715"/>
      <c r="J145" s="628">
        <v>2</v>
      </c>
      <c r="K145" s="715">
        <v>17697</v>
      </c>
      <c r="L145" s="715"/>
      <c r="M145" s="554">
        <v>1</v>
      </c>
      <c r="N145" s="554"/>
      <c r="O145" s="552">
        <v>2.44</v>
      </c>
      <c r="P145" s="552"/>
      <c r="Q145" s="567">
        <f t="shared" si="33"/>
        <v>43180.68</v>
      </c>
      <c r="R145" s="552">
        <f>K145*Q147*N145</f>
        <v>0</v>
      </c>
      <c r="S145" s="554"/>
      <c r="T145" s="708">
        <v>0.1</v>
      </c>
      <c r="U145" s="552">
        <f t="shared" si="29"/>
        <v>4318.0680000000002</v>
      </c>
      <c r="V145" s="554"/>
      <c r="W145" s="554"/>
      <c r="X145" s="552"/>
      <c r="Y145" s="559">
        <f t="shared" si="30"/>
        <v>47498.748</v>
      </c>
      <c r="Z145" s="319">
        <f t="shared" si="31"/>
        <v>47498.748</v>
      </c>
      <c r="AA145" s="319">
        <f t="shared" si="32"/>
        <v>47498.748</v>
      </c>
      <c r="AB145" s="908"/>
      <c r="AC145" s="908"/>
      <c r="AD145" s="908"/>
      <c r="AE145" s="908"/>
      <c r="AF145" s="908"/>
      <c r="AG145" s="908"/>
      <c r="AH145" s="908"/>
      <c r="AI145" s="908"/>
      <c r="AJ145" s="908"/>
      <c r="AK145" s="908"/>
      <c r="AL145" s="908"/>
      <c r="AM145" s="908"/>
      <c r="AN145" s="908"/>
      <c r="AO145" s="908"/>
      <c r="AP145" s="908"/>
      <c r="AQ145" s="908"/>
      <c r="AR145" s="908"/>
    </row>
    <row r="146" spans="1:44" s="78" customFormat="1" ht="15.75">
      <c r="A146" s="703">
        <v>148</v>
      </c>
      <c r="B146" s="153" t="s">
        <v>339</v>
      </c>
      <c r="C146" s="647" t="s">
        <v>340</v>
      </c>
      <c r="D146" s="560" t="s">
        <v>64</v>
      </c>
      <c r="E146" s="563"/>
      <c r="F146" s="711"/>
      <c r="G146" s="712">
        <v>1</v>
      </c>
      <c r="H146" s="563"/>
      <c r="I146" s="689"/>
      <c r="J146" s="563">
        <v>2</v>
      </c>
      <c r="K146" s="554">
        <v>17697</v>
      </c>
      <c r="L146" s="554"/>
      <c r="M146" s="554">
        <v>1</v>
      </c>
      <c r="N146" s="554"/>
      <c r="O146" s="552">
        <v>2.44</v>
      </c>
      <c r="P146" s="552"/>
      <c r="Q146" s="567">
        <f t="shared" si="33"/>
        <v>43180.68</v>
      </c>
      <c r="R146" s="552">
        <f t="shared" si="28"/>
        <v>0</v>
      </c>
      <c r="S146" s="568"/>
      <c r="T146" s="708">
        <v>0.1</v>
      </c>
      <c r="U146" s="552">
        <f t="shared" si="29"/>
        <v>4318.0680000000002</v>
      </c>
      <c r="V146" s="569">
        <v>0.3</v>
      </c>
      <c r="W146" s="554">
        <f t="shared" ref="W146:W152" si="34">V146*K146</f>
        <v>5309.0999999999995</v>
      </c>
      <c r="X146" s="552"/>
      <c r="Y146" s="559">
        <f t="shared" si="30"/>
        <v>52807.847999999998</v>
      </c>
      <c r="Z146" s="319">
        <f t="shared" si="31"/>
        <v>52808.148000000001</v>
      </c>
      <c r="AA146" s="319">
        <f t="shared" si="32"/>
        <v>58117.248</v>
      </c>
      <c r="AB146" s="914"/>
      <c r="AC146" s="914"/>
      <c r="AD146" s="914"/>
      <c r="AE146" s="914"/>
      <c r="AF146" s="914"/>
      <c r="AG146" s="914"/>
      <c r="AH146" s="914"/>
      <c r="AI146" s="914"/>
      <c r="AJ146" s="914"/>
      <c r="AK146" s="914"/>
      <c r="AL146" s="914"/>
      <c r="AM146" s="914"/>
      <c r="AN146" s="915"/>
      <c r="AO146" s="915"/>
      <c r="AP146" s="915"/>
      <c r="AQ146" s="915"/>
      <c r="AR146" s="915"/>
    </row>
    <row r="147" spans="1:44" s="78" customFormat="1" ht="15.75">
      <c r="A147" s="709">
        <v>149</v>
      </c>
      <c r="B147" s="153" t="s">
        <v>341</v>
      </c>
      <c r="C147" s="647" t="s">
        <v>340</v>
      </c>
      <c r="D147" s="560" t="s">
        <v>64</v>
      </c>
      <c r="E147" s="563"/>
      <c r="F147" s="711"/>
      <c r="G147" s="712">
        <v>1</v>
      </c>
      <c r="H147" s="563"/>
      <c r="I147" s="689"/>
      <c r="J147" s="563">
        <v>2</v>
      </c>
      <c r="K147" s="554">
        <v>17697</v>
      </c>
      <c r="L147" s="554"/>
      <c r="M147" s="554">
        <v>1</v>
      </c>
      <c r="N147" s="554"/>
      <c r="O147" s="552">
        <v>2.44</v>
      </c>
      <c r="P147" s="552"/>
      <c r="Q147" s="567">
        <f t="shared" si="33"/>
        <v>43180.68</v>
      </c>
      <c r="R147" s="552">
        <f t="shared" si="28"/>
        <v>0</v>
      </c>
      <c r="S147" s="568"/>
      <c r="T147" s="708">
        <v>0.1</v>
      </c>
      <c r="U147" s="552">
        <f t="shared" si="29"/>
        <v>4318.0680000000002</v>
      </c>
      <c r="V147" s="569">
        <v>0.3</v>
      </c>
      <c r="W147" s="554">
        <f t="shared" si="34"/>
        <v>5309.0999999999995</v>
      </c>
      <c r="X147" s="552"/>
      <c r="Y147" s="559">
        <f t="shared" si="30"/>
        <v>52807.847999999998</v>
      </c>
      <c r="Z147" s="319">
        <f t="shared" si="31"/>
        <v>52808.148000000001</v>
      </c>
      <c r="AA147" s="319">
        <f t="shared" si="32"/>
        <v>58117.248</v>
      </c>
      <c r="AB147" s="914"/>
      <c r="AC147" s="914"/>
      <c r="AD147" s="914"/>
      <c r="AE147" s="914"/>
      <c r="AF147" s="914"/>
      <c r="AG147" s="914"/>
      <c r="AH147" s="914"/>
      <c r="AI147" s="914"/>
      <c r="AJ147" s="914"/>
      <c r="AK147" s="914"/>
      <c r="AL147" s="914"/>
      <c r="AM147" s="914"/>
      <c r="AN147" s="915"/>
      <c r="AO147" s="915"/>
      <c r="AP147" s="915"/>
      <c r="AQ147" s="915"/>
      <c r="AR147" s="915"/>
    </row>
    <row r="148" spans="1:44" s="78" customFormat="1" ht="15.75">
      <c r="A148" s="703">
        <v>150</v>
      </c>
      <c r="B148" s="153" t="s">
        <v>342</v>
      </c>
      <c r="C148" s="647" t="s">
        <v>340</v>
      </c>
      <c r="D148" s="560" t="s">
        <v>64</v>
      </c>
      <c r="E148" s="563"/>
      <c r="F148" s="711"/>
      <c r="G148" s="712">
        <v>1</v>
      </c>
      <c r="H148" s="563"/>
      <c r="I148" s="689"/>
      <c r="J148" s="563">
        <v>2</v>
      </c>
      <c r="K148" s="554">
        <v>17697</v>
      </c>
      <c r="L148" s="554"/>
      <c r="M148" s="554">
        <v>1</v>
      </c>
      <c r="N148" s="554"/>
      <c r="O148" s="552">
        <v>2.44</v>
      </c>
      <c r="P148" s="552"/>
      <c r="Q148" s="567">
        <f t="shared" si="33"/>
        <v>43180.68</v>
      </c>
      <c r="R148" s="552">
        <f t="shared" si="28"/>
        <v>0</v>
      </c>
      <c r="S148" s="568"/>
      <c r="T148" s="708">
        <v>0.1</v>
      </c>
      <c r="U148" s="552">
        <f t="shared" si="29"/>
        <v>4318.0680000000002</v>
      </c>
      <c r="V148" s="569">
        <v>0.3</v>
      </c>
      <c r="W148" s="554">
        <f t="shared" si="34"/>
        <v>5309.0999999999995</v>
      </c>
      <c r="X148" s="552"/>
      <c r="Y148" s="559">
        <f t="shared" si="30"/>
        <v>52807.847999999998</v>
      </c>
      <c r="Z148" s="319">
        <f t="shared" si="31"/>
        <v>52808.148000000001</v>
      </c>
      <c r="AA148" s="319">
        <f t="shared" si="32"/>
        <v>58117.248</v>
      </c>
      <c r="AB148" s="914"/>
      <c r="AC148" s="914"/>
      <c r="AD148" s="914"/>
      <c r="AE148" s="914"/>
      <c r="AF148" s="914"/>
      <c r="AG148" s="914"/>
      <c r="AH148" s="914"/>
      <c r="AI148" s="914"/>
      <c r="AJ148" s="914"/>
      <c r="AK148" s="914"/>
      <c r="AL148" s="914"/>
      <c r="AM148" s="914"/>
      <c r="AN148" s="915"/>
      <c r="AO148" s="915"/>
      <c r="AP148" s="915"/>
      <c r="AQ148" s="915"/>
      <c r="AR148" s="915"/>
    </row>
    <row r="149" spans="1:44" s="78" customFormat="1" ht="15.75">
      <c r="A149" s="709">
        <v>151</v>
      </c>
      <c r="B149" s="153" t="s">
        <v>343</v>
      </c>
      <c r="C149" s="647" t="s">
        <v>340</v>
      </c>
      <c r="D149" s="560" t="s">
        <v>64</v>
      </c>
      <c r="E149" s="563"/>
      <c r="F149" s="711"/>
      <c r="G149" s="712">
        <v>1</v>
      </c>
      <c r="H149" s="563"/>
      <c r="I149" s="689"/>
      <c r="J149" s="563">
        <v>2</v>
      </c>
      <c r="K149" s="554">
        <v>17697</v>
      </c>
      <c r="L149" s="554"/>
      <c r="M149" s="554">
        <v>1</v>
      </c>
      <c r="N149" s="554"/>
      <c r="O149" s="552">
        <v>2.44</v>
      </c>
      <c r="P149" s="552"/>
      <c r="Q149" s="567">
        <f t="shared" si="33"/>
        <v>43180.68</v>
      </c>
      <c r="R149" s="552">
        <f t="shared" si="28"/>
        <v>0</v>
      </c>
      <c r="S149" s="568"/>
      <c r="T149" s="708">
        <v>0.1</v>
      </c>
      <c r="U149" s="552">
        <f t="shared" si="29"/>
        <v>4318.0680000000002</v>
      </c>
      <c r="V149" s="569">
        <v>0.3</v>
      </c>
      <c r="W149" s="554">
        <f t="shared" si="34"/>
        <v>5309.0999999999995</v>
      </c>
      <c r="X149" s="552"/>
      <c r="Y149" s="559">
        <f t="shared" si="30"/>
        <v>52807.847999999998</v>
      </c>
      <c r="Z149" s="319">
        <f t="shared" si="31"/>
        <v>52808.148000000001</v>
      </c>
      <c r="AA149" s="319">
        <f t="shared" si="32"/>
        <v>58117.248</v>
      </c>
      <c r="AB149" s="914"/>
      <c r="AC149" s="914"/>
      <c r="AD149" s="914"/>
      <c r="AE149" s="914"/>
      <c r="AF149" s="914"/>
      <c r="AG149" s="914"/>
      <c r="AH149" s="914"/>
      <c r="AI149" s="914"/>
      <c r="AJ149" s="914"/>
      <c r="AK149" s="914"/>
      <c r="AL149" s="914"/>
      <c r="AM149" s="914"/>
      <c r="AN149" s="915"/>
      <c r="AO149" s="915"/>
      <c r="AP149" s="915"/>
      <c r="AQ149" s="915"/>
      <c r="AR149" s="915"/>
    </row>
    <row r="150" spans="1:44" s="80" customFormat="1" ht="15.75">
      <c r="A150" s="703">
        <v>152</v>
      </c>
      <c r="B150" s="153" t="s">
        <v>505</v>
      </c>
      <c r="C150" s="647" t="s">
        <v>340</v>
      </c>
      <c r="D150" s="560" t="s">
        <v>64</v>
      </c>
      <c r="E150" s="563"/>
      <c r="F150" s="717"/>
      <c r="G150" s="712">
        <v>1</v>
      </c>
      <c r="H150" s="563"/>
      <c r="I150" s="689"/>
      <c r="J150" s="563">
        <v>2</v>
      </c>
      <c r="K150" s="554">
        <v>17697</v>
      </c>
      <c r="L150" s="554"/>
      <c r="M150" s="554">
        <v>1</v>
      </c>
      <c r="N150" s="554"/>
      <c r="O150" s="552">
        <v>2.44</v>
      </c>
      <c r="P150" s="552"/>
      <c r="Q150" s="567">
        <f t="shared" si="33"/>
        <v>43180.68</v>
      </c>
      <c r="R150" s="552">
        <f t="shared" si="28"/>
        <v>0</v>
      </c>
      <c r="S150" s="554"/>
      <c r="T150" s="708">
        <v>0.1</v>
      </c>
      <c r="U150" s="552">
        <f t="shared" si="29"/>
        <v>4318.0680000000002</v>
      </c>
      <c r="V150" s="569">
        <v>0.3</v>
      </c>
      <c r="W150" s="554">
        <f t="shared" si="34"/>
        <v>5309.0999999999995</v>
      </c>
      <c r="X150" s="552"/>
      <c r="Y150" s="559">
        <f t="shared" si="30"/>
        <v>52807.847999999998</v>
      </c>
      <c r="Z150" s="319">
        <f t="shared" si="31"/>
        <v>52808.148000000001</v>
      </c>
      <c r="AA150" s="319">
        <f t="shared" si="32"/>
        <v>58117.248</v>
      </c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</row>
    <row r="151" spans="1:44" s="80" customFormat="1" ht="15.75">
      <c r="A151" s="709">
        <v>153</v>
      </c>
      <c r="B151" s="153" t="s">
        <v>378</v>
      </c>
      <c r="C151" s="647" t="s">
        <v>340</v>
      </c>
      <c r="D151" s="560" t="s">
        <v>64</v>
      </c>
      <c r="E151" s="563"/>
      <c r="F151" s="711"/>
      <c r="G151" s="712">
        <v>1</v>
      </c>
      <c r="H151" s="563"/>
      <c r="I151" s="689"/>
      <c r="J151" s="563">
        <v>2</v>
      </c>
      <c r="K151" s="554">
        <v>17697</v>
      </c>
      <c r="L151" s="554"/>
      <c r="M151" s="554">
        <v>1</v>
      </c>
      <c r="N151" s="554"/>
      <c r="O151" s="552">
        <v>2.44</v>
      </c>
      <c r="P151" s="552"/>
      <c r="Q151" s="567">
        <f t="shared" si="33"/>
        <v>43180.68</v>
      </c>
      <c r="R151" s="552">
        <f t="shared" si="28"/>
        <v>0</v>
      </c>
      <c r="S151" s="554"/>
      <c r="T151" s="708">
        <v>0.1</v>
      </c>
      <c r="U151" s="552">
        <f t="shared" si="29"/>
        <v>4318.0680000000002</v>
      </c>
      <c r="V151" s="569">
        <v>0.3</v>
      </c>
      <c r="W151" s="554">
        <f t="shared" si="34"/>
        <v>5309.0999999999995</v>
      </c>
      <c r="X151" s="552"/>
      <c r="Y151" s="559">
        <f t="shared" si="30"/>
        <v>52807.847999999998</v>
      </c>
      <c r="Z151" s="319">
        <f t="shared" si="31"/>
        <v>52808.148000000001</v>
      </c>
      <c r="AA151" s="319">
        <f t="shared" si="32"/>
        <v>58117.248</v>
      </c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</row>
    <row r="152" spans="1:44" s="80" customFormat="1" ht="15.75">
      <c r="A152" s="703">
        <v>154</v>
      </c>
      <c r="B152" s="153" t="s">
        <v>506</v>
      </c>
      <c r="C152" s="647" t="s">
        <v>340</v>
      </c>
      <c r="D152" s="560" t="s">
        <v>64</v>
      </c>
      <c r="E152" s="563"/>
      <c r="F152" s="711"/>
      <c r="G152" s="712">
        <v>1</v>
      </c>
      <c r="H152" s="563"/>
      <c r="I152" s="689"/>
      <c r="J152" s="563">
        <v>2</v>
      </c>
      <c r="K152" s="554">
        <v>17697</v>
      </c>
      <c r="L152" s="554"/>
      <c r="M152" s="554">
        <v>1</v>
      </c>
      <c r="N152" s="554"/>
      <c r="O152" s="552">
        <v>2.44</v>
      </c>
      <c r="P152" s="552"/>
      <c r="Q152" s="567">
        <f t="shared" si="33"/>
        <v>43180.68</v>
      </c>
      <c r="R152" s="552">
        <f t="shared" si="28"/>
        <v>0</v>
      </c>
      <c r="S152" s="554"/>
      <c r="T152" s="708">
        <v>0.1</v>
      </c>
      <c r="U152" s="552">
        <f t="shared" si="29"/>
        <v>4318.0680000000002</v>
      </c>
      <c r="V152" s="569">
        <v>0.3</v>
      </c>
      <c r="W152" s="554">
        <f t="shared" si="34"/>
        <v>5309.0999999999995</v>
      </c>
      <c r="X152" s="552"/>
      <c r="Y152" s="559">
        <f t="shared" si="30"/>
        <v>52807.847999999998</v>
      </c>
      <c r="Z152" s="319">
        <f t="shared" si="31"/>
        <v>52808.148000000001</v>
      </c>
      <c r="AA152" s="319">
        <f t="shared" si="32"/>
        <v>58117.248</v>
      </c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</row>
    <row r="153" spans="1:44" s="129" customFormat="1" ht="15.75">
      <c r="A153" s="709">
        <v>155</v>
      </c>
      <c r="B153" s="646" t="s">
        <v>507</v>
      </c>
      <c r="C153" s="647" t="s">
        <v>340</v>
      </c>
      <c r="D153" s="560" t="s">
        <v>64</v>
      </c>
      <c r="E153" s="713"/>
      <c r="F153" s="628"/>
      <c r="G153" s="712">
        <v>1</v>
      </c>
      <c r="H153" s="714"/>
      <c r="I153" s="715"/>
      <c r="J153" s="563">
        <v>2</v>
      </c>
      <c r="K153" s="715">
        <v>17697</v>
      </c>
      <c r="L153" s="715"/>
      <c r="M153" s="554">
        <v>1.3</v>
      </c>
      <c r="N153" s="554"/>
      <c r="O153" s="552">
        <v>2.44</v>
      </c>
      <c r="P153" s="552"/>
      <c r="Q153" s="567">
        <f t="shared" si="33"/>
        <v>56134.884000000005</v>
      </c>
      <c r="R153" s="552">
        <f t="shared" si="28"/>
        <v>0</v>
      </c>
      <c r="S153" s="554"/>
      <c r="T153" s="708">
        <v>0.1</v>
      </c>
      <c r="U153" s="552">
        <f t="shared" si="29"/>
        <v>5613.4884000000011</v>
      </c>
      <c r="V153" s="569">
        <v>0.3</v>
      </c>
      <c r="W153" s="554">
        <f>V153*K153/1*1.3</f>
        <v>6901.83</v>
      </c>
      <c r="X153" s="552"/>
      <c r="Y153" s="559">
        <f t="shared" si="30"/>
        <v>68650.202400000009</v>
      </c>
      <c r="Z153" s="319">
        <f t="shared" si="31"/>
        <v>68650.502400000012</v>
      </c>
      <c r="AA153" s="319">
        <f t="shared" si="32"/>
        <v>75552.332400000014</v>
      </c>
      <c r="AB153" s="908"/>
      <c r="AC153" s="908"/>
      <c r="AD153" s="908"/>
      <c r="AE153" s="908"/>
      <c r="AF153" s="908"/>
      <c r="AG153" s="908"/>
      <c r="AH153" s="908"/>
      <c r="AI153" s="908"/>
      <c r="AJ153" s="908"/>
      <c r="AK153" s="908"/>
      <c r="AL153" s="908"/>
      <c r="AM153" s="908"/>
      <c r="AN153" s="908"/>
      <c r="AO153" s="908"/>
      <c r="AP153" s="908"/>
      <c r="AQ153" s="908"/>
      <c r="AR153" s="908"/>
    </row>
    <row r="154" spans="1:44" s="80" customFormat="1" ht="15.75">
      <c r="A154" s="703">
        <v>156</v>
      </c>
      <c r="B154" s="718" t="s">
        <v>508</v>
      </c>
      <c r="C154" s="719" t="s">
        <v>340</v>
      </c>
      <c r="D154" s="720" t="s">
        <v>75</v>
      </c>
      <c r="E154" s="720"/>
      <c r="F154" s="721"/>
      <c r="G154" s="720">
        <v>1</v>
      </c>
      <c r="H154" s="722"/>
      <c r="I154" s="722"/>
      <c r="J154" s="601">
        <v>2</v>
      </c>
      <c r="K154" s="723">
        <v>17697</v>
      </c>
      <c r="L154" s="723"/>
      <c r="M154" s="554">
        <v>1</v>
      </c>
      <c r="N154" s="723"/>
      <c r="O154" s="552">
        <v>2.44</v>
      </c>
      <c r="P154" s="552"/>
      <c r="Q154" s="567">
        <f t="shared" si="33"/>
        <v>43180.68</v>
      </c>
      <c r="R154" s="552">
        <f t="shared" si="28"/>
        <v>0</v>
      </c>
      <c r="S154" s="723"/>
      <c r="T154" s="708">
        <v>0.1</v>
      </c>
      <c r="U154" s="552">
        <f>T154*Q154</f>
        <v>4318.0680000000002</v>
      </c>
      <c r="V154" s="609">
        <v>0.3</v>
      </c>
      <c r="W154" s="605">
        <f>V154*K154</f>
        <v>5309.0999999999995</v>
      </c>
      <c r="X154" s="891"/>
      <c r="Y154" s="559">
        <f t="shared" si="30"/>
        <v>52807.847999999998</v>
      </c>
      <c r="Z154" s="319">
        <f t="shared" si="31"/>
        <v>52808.148000000001</v>
      </c>
      <c r="AA154" s="319">
        <f t="shared" si="32"/>
        <v>58117.248</v>
      </c>
      <c r="AB154" s="23"/>
      <c r="AC154" s="23"/>
      <c r="AD154" s="918"/>
      <c r="AE154" s="906"/>
      <c r="AF154" s="23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</row>
    <row r="155" spans="1:44" s="78" customFormat="1" ht="15.75">
      <c r="A155" s="709">
        <v>156</v>
      </c>
      <c r="B155" s="153" t="s">
        <v>345</v>
      </c>
      <c r="C155" s="561" t="s">
        <v>346</v>
      </c>
      <c r="D155" s="560" t="s">
        <v>64</v>
      </c>
      <c r="E155" s="563"/>
      <c r="F155" s="711"/>
      <c r="G155" s="712">
        <v>1</v>
      </c>
      <c r="H155" s="563"/>
      <c r="I155" s="689"/>
      <c r="J155" s="563">
        <v>1</v>
      </c>
      <c r="K155" s="554">
        <v>17697</v>
      </c>
      <c r="L155" s="554"/>
      <c r="M155" s="723">
        <v>1</v>
      </c>
      <c r="N155" s="554"/>
      <c r="O155" s="554">
        <v>2.41</v>
      </c>
      <c r="P155" s="554"/>
      <c r="Q155" s="567">
        <f t="shared" si="33"/>
        <v>42649.770000000004</v>
      </c>
      <c r="R155" s="552">
        <f t="shared" si="28"/>
        <v>0</v>
      </c>
      <c r="S155" s="568"/>
      <c r="T155" s="708">
        <v>0.1</v>
      </c>
      <c r="U155" s="552">
        <f t="shared" si="29"/>
        <v>4264.9770000000008</v>
      </c>
      <c r="V155" s="724">
        <v>0.5</v>
      </c>
      <c r="W155" s="593">
        <v>12439.34</v>
      </c>
      <c r="X155" s="892"/>
      <c r="Y155" s="559">
        <f t="shared" si="30"/>
        <v>59354.087</v>
      </c>
      <c r="Z155" s="319">
        <f t="shared" si="31"/>
        <v>59354.587</v>
      </c>
      <c r="AA155" s="319">
        <f t="shared" si="32"/>
        <v>71793.926999999996</v>
      </c>
      <c r="AB155" s="914"/>
      <c r="AC155" s="914"/>
      <c r="AD155" s="914"/>
      <c r="AE155" s="914"/>
      <c r="AF155" s="914"/>
      <c r="AG155" s="914"/>
      <c r="AH155" s="914"/>
      <c r="AI155" s="914"/>
      <c r="AJ155" s="914"/>
      <c r="AK155" s="914"/>
      <c r="AL155" s="914"/>
      <c r="AM155" s="914"/>
      <c r="AN155" s="915"/>
      <c r="AO155" s="915"/>
      <c r="AP155" s="915"/>
      <c r="AQ155" s="915"/>
      <c r="AR155" s="915"/>
    </row>
    <row r="156" spans="1:44" s="78" customFormat="1" ht="15.75">
      <c r="A156" s="703">
        <v>157</v>
      </c>
      <c r="B156" s="153" t="s">
        <v>347</v>
      </c>
      <c r="C156" s="561" t="s">
        <v>346</v>
      </c>
      <c r="D156" s="560" t="s">
        <v>25</v>
      </c>
      <c r="E156" s="563"/>
      <c r="F156" s="560"/>
      <c r="G156" s="712">
        <v>1</v>
      </c>
      <c r="H156" s="563"/>
      <c r="I156" s="689"/>
      <c r="J156" s="563">
        <v>1</v>
      </c>
      <c r="K156" s="554">
        <v>17697</v>
      </c>
      <c r="L156" s="554"/>
      <c r="M156" s="554">
        <v>1</v>
      </c>
      <c r="N156" s="554"/>
      <c r="O156" s="554">
        <v>2.41</v>
      </c>
      <c r="P156" s="554"/>
      <c r="Q156" s="567">
        <f t="shared" si="33"/>
        <v>42649.770000000004</v>
      </c>
      <c r="R156" s="552">
        <f t="shared" si="28"/>
        <v>0</v>
      </c>
      <c r="S156" s="568"/>
      <c r="T156" s="708">
        <v>0.1</v>
      </c>
      <c r="U156" s="552">
        <f t="shared" si="29"/>
        <v>4264.9770000000008</v>
      </c>
      <c r="V156" s="724">
        <v>0.5</v>
      </c>
      <c r="W156" s="593">
        <v>12439.34</v>
      </c>
      <c r="X156" s="892"/>
      <c r="Y156" s="559">
        <f t="shared" si="30"/>
        <v>59354.087</v>
      </c>
      <c r="Z156" s="319">
        <f t="shared" si="31"/>
        <v>59354.587</v>
      </c>
      <c r="AA156" s="319">
        <f t="shared" si="32"/>
        <v>71793.926999999996</v>
      </c>
      <c r="AB156" s="914"/>
      <c r="AC156" s="914"/>
      <c r="AD156" s="914"/>
      <c r="AE156" s="914"/>
      <c r="AF156" s="914"/>
      <c r="AG156" s="914"/>
      <c r="AH156" s="914"/>
      <c r="AI156" s="914"/>
      <c r="AJ156" s="914"/>
      <c r="AK156" s="914"/>
      <c r="AL156" s="914"/>
      <c r="AM156" s="914"/>
      <c r="AN156" s="915"/>
      <c r="AO156" s="915"/>
      <c r="AP156" s="915"/>
      <c r="AQ156" s="915"/>
      <c r="AR156" s="915"/>
    </row>
    <row r="157" spans="1:44" s="78" customFormat="1" ht="15.75">
      <c r="A157" s="709">
        <v>158</v>
      </c>
      <c r="B157" s="153" t="s">
        <v>348</v>
      </c>
      <c r="C157" s="561" t="s">
        <v>346</v>
      </c>
      <c r="D157" s="560" t="s">
        <v>64</v>
      </c>
      <c r="E157" s="563"/>
      <c r="F157" s="560"/>
      <c r="G157" s="712">
        <v>1</v>
      </c>
      <c r="H157" s="563"/>
      <c r="I157" s="689"/>
      <c r="J157" s="563">
        <v>1</v>
      </c>
      <c r="K157" s="554">
        <v>17697</v>
      </c>
      <c r="L157" s="554"/>
      <c r="M157" s="554">
        <v>1</v>
      </c>
      <c r="N157" s="554"/>
      <c r="O157" s="554">
        <v>2.41</v>
      </c>
      <c r="P157" s="554"/>
      <c r="Q157" s="567">
        <f t="shared" si="33"/>
        <v>42649.770000000004</v>
      </c>
      <c r="R157" s="552">
        <f t="shared" si="28"/>
        <v>0</v>
      </c>
      <c r="S157" s="568"/>
      <c r="T157" s="708">
        <v>0.1</v>
      </c>
      <c r="U157" s="552">
        <f t="shared" si="29"/>
        <v>4264.9770000000008</v>
      </c>
      <c r="V157" s="724">
        <v>0.5</v>
      </c>
      <c r="W157" s="593">
        <v>12439.34</v>
      </c>
      <c r="X157" s="892"/>
      <c r="Y157" s="559">
        <f t="shared" si="30"/>
        <v>59354.087</v>
      </c>
      <c r="Z157" s="319">
        <f t="shared" si="31"/>
        <v>59354.587</v>
      </c>
      <c r="AA157" s="319">
        <f t="shared" si="32"/>
        <v>71793.926999999996</v>
      </c>
      <c r="AB157" s="914"/>
      <c r="AC157" s="914"/>
      <c r="AD157" s="914"/>
      <c r="AE157" s="914"/>
      <c r="AF157" s="914"/>
      <c r="AG157" s="914"/>
      <c r="AH157" s="914"/>
      <c r="AI157" s="914"/>
      <c r="AJ157" s="914"/>
      <c r="AK157" s="914"/>
      <c r="AL157" s="914"/>
      <c r="AM157" s="914"/>
      <c r="AN157" s="915"/>
      <c r="AO157" s="915"/>
      <c r="AP157" s="915"/>
      <c r="AQ157" s="915"/>
      <c r="AR157" s="915"/>
    </row>
    <row r="158" spans="1:44" s="80" customFormat="1" ht="15.75">
      <c r="A158" s="703">
        <v>159</v>
      </c>
      <c r="B158" s="153" t="s">
        <v>416</v>
      </c>
      <c r="C158" s="725" t="s">
        <v>346</v>
      </c>
      <c r="D158" s="560" t="s">
        <v>64</v>
      </c>
      <c r="E158" s="563"/>
      <c r="F158" s="560"/>
      <c r="G158" s="712">
        <v>1</v>
      </c>
      <c r="H158" s="563"/>
      <c r="I158" s="689"/>
      <c r="J158" s="563">
        <v>1</v>
      </c>
      <c r="K158" s="554">
        <v>17697</v>
      </c>
      <c r="L158" s="554"/>
      <c r="M158" s="554">
        <v>1</v>
      </c>
      <c r="N158" s="554"/>
      <c r="O158" s="554">
        <v>2.41</v>
      </c>
      <c r="P158" s="554"/>
      <c r="Q158" s="567">
        <f t="shared" si="33"/>
        <v>42649.770000000004</v>
      </c>
      <c r="R158" s="552">
        <f t="shared" si="28"/>
        <v>0</v>
      </c>
      <c r="S158" s="554"/>
      <c r="T158" s="708">
        <v>0.1</v>
      </c>
      <c r="U158" s="552">
        <f t="shared" si="29"/>
        <v>4264.9770000000008</v>
      </c>
      <c r="V158" s="724">
        <v>0.5</v>
      </c>
      <c r="W158" s="593">
        <v>12439.34</v>
      </c>
      <c r="X158" s="892"/>
      <c r="Y158" s="559">
        <f t="shared" si="30"/>
        <v>59354.087</v>
      </c>
      <c r="Z158" s="319">
        <f t="shared" si="31"/>
        <v>59354.587</v>
      </c>
      <c r="AA158" s="319">
        <f t="shared" si="32"/>
        <v>71793.926999999996</v>
      </c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</row>
    <row r="159" spans="1:44" s="80" customFormat="1" ht="15.75">
      <c r="A159" s="709">
        <v>160</v>
      </c>
      <c r="B159" s="153" t="s">
        <v>333</v>
      </c>
      <c r="C159" s="725" t="s">
        <v>346</v>
      </c>
      <c r="D159" s="560" t="s">
        <v>64</v>
      </c>
      <c r="E159" s="563"/>
      <c r="F159" s="560"/>
      <c r="G159" s="712">
        <v>1</v>
      </c>
      <c r="H159" s="563"/>
      <c r="I159" s="689"/>
      <c r="J159" s="563">
        <v>1</v>
      </c>
      <c r="K159" s="554">
        <v>17697</v>
      </c>
      <c r="L159" s="554"/>
      <c r="M159" s="554">
        <v>1</v>
      </c>
      <c r="N159" s="554"/>
      <c r="O159" s="554">
        <v>2.41</v>
      </c>
      <c r="P159" s="554"/>
      <c r="Q159" s="567">
        <f t="shared" si="33"/>
        <v>42649.770000000004</v>
      </c>
      <c r="R159" s="552">
        <f t="shared" si="28"/>
        <v>0</v>
      </c>
      <c r="S159" s="554"/>
      <c r="T159" s="708">
        <v>0.1</v>
      </c>
      <c r="U159" s="552">
        <f t="shared" si="29"/>
        <v>4264.9770000000008</v>
      </c>
      <c r="V159" s="724">
        <v>0.5</v>
      </c>
      <c r="W159" s="593">
        <v>12439.34</v>
      </c>
      <c r="X159" s="892"/>
      <c r="Y159" s="559">
        <f t="shared" si="30"/>
        <v>59354.087</v>
      </c>
      <c r="Z159" s="319">
        <f t="shared" si="31"/>
        <v>59354.587</v>
      </c>
      <c r="AA159" s="319">
        <f t="shared" si="32"/>
        <v>71793.926999999996</v>
      </c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</row>
    <row r="160" spans="1:44" s="80" customFormat="1" ht="15.75">
      <c r="A160" s="703">
        <v>161</v>
      </c>
      <c r="B160" s="153" t="s">
        <v>350</v>
      </c>
      <c r="C160" s="725" t="s">
        <v>346</v>
      </c>
      <c r="D160" s="560" t="s">
        <v>64</v>
      </c>
      <c r="E160" s="563"/>
      <c r="F160" s="560"/>
      <c r="G160" s="712">
        <v>1</v>
      </c>
      <c r="H160" s="563"/>
      <c r="I160" s="689"/>
      <c r="J160" s="563">
        <v>1</v>
      </c>
      <c r="K160" s="554">
        <v>17697</v>
      </c>
      <c r="L160" s="554"/>
      <c r="M160" s="554">
        <v>1</v>
      </c>
      <c r="N160" s="554"/>
      <c r="O160" s="554">
        <v>2.41</v>
      </c>
      <c r="P160" s="554"/>
      <c r="Q160" s="567">
        <f t="shared" si="33"/>
        <v>42649.770000000004</v>
      </c>
      <c r="R160" s="552">
        <f t="shared" si="28"/>
        <v>0</v>
      </c>
      <c r="S160" s="554"/>
      <c r="T160" s="708">
        <v>0.1</v>
      </c>
      <c r="U160" s="552">
        <f t="shared" si="29"/>
        <v>4264.9770000000008</v>
      </c>
      <c r="V160" s="724">
        <v>0.5</v>
      </c>
      <c r="W160" s="593">
        <v>12439.34</v>
      </c>
      <c r="X160" s="892"/>
      <c r="Y160" s="559">
        <f t="shared" si="30"/>
        <v>59354.087</v>
      </c>
      <c r="Z160" s="319">
        <f t="shared" si="31"/>
        <v>59354.587</v>
      </c>
      <c r="AA160" s="319">
        <f t="shared" si="32"/>
        <v>71793.926999999996</v>
      </c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</row>
    <row r="161" spans="1:44" s="80" customFormat="1" ht="15.75">
      <c r="A161" s="709">
        <v>162</v>
      </c>
      <c r="B161" s="726" t="s">
        <v>351</v>
      </c>
      <c r="C161" s="662" t="s">
        <v>352</v>
      </c>
      <c r="D161" s="663" t="s">
        <v>75</v>
      </c>
      <c r="E161" s="663"/>
      <c r="F161" s="727"/>
      <c r="G161" s="663">
        <v>1</v>
      </c>
      <c r="H161" s="728"/>
      <c r="I161" s="728"/>
      <c r="J161" s="663">
        <v>1</v>
      </c>
      <c r="K161" s="567">
        <v>17697</v>
      </c>
      <c r="L161" s="567"/>
      <c r="M161" s="554">
        <v>1</v>
      </c>
      <c r="N161" s="567"/>
      <c r="O161" s="554">
        <v>2.41</v>
      </c>
      <c r="P161" s="554"/>
      <c r="Q161" s="567">
        <f t="shared" si="33"/>
        <v>42649.770000000004</v>
      </c>
      <c r="R161" s="552">
        <f t="shared" si="28"/>
        <v>0</v>
      </c>
      <c r="S161" s="567"/>
      <c r="T161" s="708">
        <v>0.1</v>
      </c>
      <c r="U161" s="552">
        <f t="shared" si="29"/>
        <v>4264.9770000000008</v>
      </c>
      <c r="V161" s="567">
        <v>0</v>
      </c>
      <c r="W161" s="593">
        <v>12439.34</v>
      </c>
      <c r="X161" s="892"/>
      <c r="Y161" s="559">
        <f t="shared" si="30"/>
        <v>59354.087</v>
      </c>
      <c r="Z161" s="319">
        <f t="shared" si="31"/>
        <v>59354.087</v>
      </c>
      <c r="AA161" s="319">
        <f t="shared" si="32"/>
        <v>71793.426999999996</v>
      </c>
      <c r="AB161" s="23"/>
      <c r="AC161" s="23"/>
      <c r="AD161" s="918"/>
      <c r="AE161" s="906"/>
      <c r="AF161" s="23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</row>
    <row r="162" spans="1:44" s="80" customFormat="1" ht="15.75">
      <c r="A162" s="703">
        <v>163</v>
      </c>
      <c r="B162" s="726" t="s">
        <v>353</v>
      </c>
      <c r="C162" s="662" t="s">
        <v>352</v>
      </c>
      <c r="D162" s="663" t="s">
        <v>75</v>
      </c>
      <c r="E162" s="663"/>
      <c r="F162" s="727"/>
      <c r="G162" s="663">
        <v>1</v>
      </c>
      <c r="H162" s="728"/>
      <c r="I162" s="728"/>
      <c r="J162" s="663">
        <v>1</v>
      </c>
      <c r="K162" s="567">
        <v>17697</v>
      </c>
      <c r="L162" s="567"/>
      <c r="M162" s="554">
        <v>1</v>
      </c>
      <c r="N162" s="567"/>
      <c r="O162" s="554">
        <v>2.41</v>
      </c>
      <c r="P162" s="554"/>
      <c r="Q162" s="567">
        <f t="shared" si="33"/>
        <v>42649.770000000004</v>
      </c>
      <c r="R162" s="552">
        <f t="shared" si="28"/>
        <v>0</v>
      </c>
      <c r="S162" s="567"/>
      <c r="T162" s="708">
        <v>0.1</v>
      </c>
      <c r="U162" s="552">
        <f t="shared" si="29"/>
        <v>4264.9770000000008</v>
      </c>
      <c r="V162" s="567">
        <v>0</v>
      </c>
      <c r="W162" s="593">
        <v>12439.34</v>
      </c>
      <c r="X162" s="892"/>
      <c r="Y162" s="559">
        <f t="shared" si="30"/>
        <v>59354.087</v>
      </c>
      <c r="Z162" s="319">
        <f t="shared" si="31"/>
        <v>59354.087</v>
      </c>
      <c r="AA162" s="319">
        <f t="shared" si="32"/>
        <v>71793.426999999996</v>
      </c>
      <c r="AB162" s="23"/>
      <c r="AC162" s="23"/>
      <c r="AD162" s="918"/>
      <c r="AE162" s="906"/>
      <c r="AF162" s="23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</row>
    <row r="163" spans="1:44" s="80" customFormat="1" ht="15.75">
      <c r="A163" s="709">
        <v>164</v>
      </c>
      <c r="B163" s="729" t="s">
        <v>354</v>
      </c>
      <c r="C163" s="662" t="s">
        <v>352</v>
      </c>
      <c r="D163" s="663" t="s">
        <v>75</v>
      </c>
      <c r="E163" s="663"/>
      <c r="F163" s="727"/>
      <c r="G163" s="663">
        <v>1</v>
      </c>
      <c r="H163" s="728"/>
      <c r="I163" s="728"/>
      <c r="J163" s="663">
        <v>1</v>
      </c>
      <c r="K163" s="567">
        <v>17697</v>
      </c>
      <c r="L163" s="567"/>
      <c r="M163" s="554">
        <v>1</v>
      </c>
      <c r="N163" s="567"/>
      <c r="O163" s="554">
        <v>2.41</v>
      </c>
      <c r="P163" s="554"/>
      <c r="Q163" s="567">
        <f t="shared" si="33"/>
        <v>42649.770000000004</v>
      </c>
      <c r="R163" s="552">
        <f t="shared" si="28"/>
        <v>0</v>
      </c>
      <c r="S163" s="567"/>
      <c r="T163" s="708">
        <v>0.1</v>
      </c>
      <c r="U163" s="552">
        <f t="shared" si="29"/>
        <v>4264.9770000000008</v>
      </c>
      <c r="V163" s="567">
        <v>0</v>
      </c>
      <c r="W163" s="593">
        <v>12439.34</v>
      </c>
      <c r="X163" s="892"/>
      <c r="Y163" s="559">
        <f t="shared" si="30"/>
        <v>59354.087</v>
      </c>
      <c r="Z163" s="319">
        <f t="shared" si="31"/>
        <v>59354.087</v>
      </c>
      <c r="AA163" s="319">
        <f t="shared" si="32"/>
        <v>71793.426999999996</v>
      </c>
      <c r="AB163" s="23"/>
      <c r="AC163" s="23"/>
      <c r="AD163" s="918"/>
      <c r="AE163" s="906"/>
      <c r="AF163" s="23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</row>
    <row r="164" spans="1:44" s="129" customFormat="1" ht="15.75">
      <c r="A164" s="703">
        <v>165</v>
      </c>
      <c r="B164" s="646" t="s">
        <v>355</v>
      </c>
      <c r="C164" s="647" t="s">
        <v>356</v>
      </c>
      <c r="D164" s="663" t="s">
        <v>75</v>
      </c>
      <c r="E164" s="646"/>
      <c r="F164" s="646"/>
      <c r="G164" s="628">
        <v>1</v>
      </c>
      <c r="H164" s="714"/>
      <c r="I164" s="715"/>
      <c r="J164" s="628">
        <v>1</v>
      </c>
      <c r="K164" s="715">
        <v>17697</v>
      </c>
      <c r="L164" s="715"/>
      <c r="M164" s="554">
        <v>1</v>
      </c>
      <c r="N164" s="554"/>
      <c r="O164" s="554">
        <v>2.41</v>
      </c>
      <c r="P164" s="554"/>
      <c r="Q164" s="567">
        <f t="shared" si="33"/>
        <v>42649.770000000004</v>
      </c>
      <c r="R164" s="552">
        <f t="shared" si="28"/>
        <v>0</v>
      </c>
      <c r="S164" s="554"/>
      <c r="T164" s="708">
        <v>0.1</v>
      </c>
      <c r="U164" s="552">
        <f t="shared" si="29"/>
        <v>4264.9770000000008</v>
      </c>
      <c r="V164" s="567">
        <v>0</v>
      </c>
      <c r="W164" s="567">
        <v>0</v>
      </c>
      <c r="X164" s="556"/>
      <c r="Y164" s="559">
        <f t="shared" si="30"/>
        <v>46914.747000000003</v>
      </c>
      <c r="Z164" s="319">
        <f t="shared" si="31"/>
        <v>46914.747000000003</v>
      </c>
      <c r="AA164" s="319">
        <f t="shared" si="32"/>
        <v>46914.747000000003</v>
      </c>
      <c r="AB164" s="908"/>
      <c r="AC164" s="908"/>
      <c r="AD164" s="908"/>
      <c r="AE164" s="908"/>
      <c r="AF164" s="908"/>
      <c r="AG164" s="908"/>
      <c r="AH164" s="908"/>
      <c r="AI164" s="908"/>
      <c r="AJ164" s="908"/>
      <c r="AK164" s="908"/>
      <c r="AL164" s="908"/>
      <c r="AM164" s="908"/>
      <c r="AN164" s="908"/>
      <c r="AO164" s="908"/>
      <c r="AP164" s="908"/>
      <c r="AQ164" s="908"/>
      <c r="AR164" s="908"/>
    </row>
    <row r="165" spans="1:44" s="129" customFormat="1" ht="15.75">
      <c r="A165" s="709">
        <v>166</v>
      </c>
      <c r="B165" s="646" t="s">
        <v>357</v>
      </c>
      <c r="C165" s="561" t="s">
        <v>358</v>
      </c>
      <c r="D165" s="560" t="s">
        <v>64</v>
      </c>
      <c r="E165" s="646"/>
      <c r="F165" s="646"/>
      <c r="G165" s="628">
        <v>1</v>
      </c>
      <c r="H165" s="714"/>
      <c r="I165" s="715"/>
      <c r="J165" s="628">
        <v>1</v>
      </c>
      <c r="K165" s="715">
        <v>17697</v>
      </c>
      <c r="L165" s="715"/>
      <c r="M165" s="554">
        <v>1</v>
      </c>
      <c r="N165" s="554"/>
      <c r="O165" s="554">
        <v>2.41</v>
      </c>
      <c r="P165" s="554"/>
      <c r="Q165" s="567">
        <f t="shared" si="33"/>
        <v>42649.770000000004</v>
      </c>
      <c r="R165" s="552">
        <f t="shared" si="28"/>
        <v>0</v>
      </c>
      <c r="S165" s="554"/>
      <c r="T165" s="708">
        <v>0.1</v>
      </c>
      <c r="U165" s="552">
        <f t="shared" si="29"/>
        <v>4264.9770000000008</v>
      </c>
      <c r="V165" s="567">
        <v>0</v>
      </c>
      <c r="W165" s="567">
        <v>0</v>
      </c>
      <c r="X165" s="556"/>
      <c r="Y165" s="559">
        <f t="shared" si="30"/>
        <v>46914.747000000003</v>
      </c>
      <c r="Z165" s="319">
        <f t="shared" si="31"/>
        <v>46914.747000000003</v>
      </c>
      <c r="AA165" s="319">
        <f t="shared" si="32"/>
        <v>46914.747000000003</v>
      </c>
      <c r="AB165" s="908"/>
      <c r="AC165" s="908"/>
      <c r="AD165" s="908"/>
      <c r="AE165" s="908"/>
      <c r="AF165" s="908"/>
      <c r="AG165" s="908"/>
      <c r="AH165" s="908"/>
      <c r="AI165" s="908"/>
      <c r="AJ165" s="908"/>
      <c r="AK165" s="908"/>
      <c r="AL165" s="908"/>
      <c r="AM165" s="908"/>
      <c r="AN165" s="908"/>
      <c r="AO165" s="908"/>
      <c r="AP165" s="908"/>
      <c r="AQ165" s="908"/>
      <c r="AR165" s="908"/>
    </row>
    <row r="166" spans="1:44" s="84" customFormat="1" ht="22.5" customHeight="1">
      <c r="A166" s="2322" t="s">
        <v>359</v>
      </c>
      <c r="B166" s="2322"/>
      <c r="C166" s="2322"/>
      <c r="D166" s="2322"/>
      <c r="E166" s="677"/>
      <c r="F166" s="677"/>
      <c r="G166" s="678"/>
      <c r="H166" s="677"/>
      <c r="I166" s="677"/>
      <c r="J166" s="677"/>
      <c r="K166" s="677"/>
      <c r="L166" s="679"/>
      <c r="M166" s="680">
        <v>170.63</v>
      </c>
      <c r="N166" s="680"/>
      <c r="O166" s="680"/>
      <c r="P166" s="680"/>
      <c r="Q166" s="680">
        <f>SUM(Q6:Q165)</f>
        <v>10957840.823999988</v>
      </c>
      <c r="R166" s="680"/>
      <c r="S166" s="680">
        <f>SUM(S6:S165)</f>
        <v>254536.93416666664</v>
      </c>
      <c r="T166" s="680"/>
      <c r="U166" s="680">
        <f>SUM(U6:U165)</f>
        <v>1118959.3300666655</v>
      </c>
      <c r="V166" s="680"/>
      <c r="W166" s="680">
        <f>SUM(W6:W165)</f>
        <v>164868.08999999997</v>
      </c>
      <c r="X166" s="893"/>
      <c r="Y166" s="626">
        <f>SUM(Y6:Y165)</f>
        <v>13880526.50073332</v>
      </c>
      <c r="Z166" s="626">
        <f>SUM(Z6:Z165)</f>
        <v>1471036.3149000006</v>
      </c>
      <c r="AA166" s="626">
        <f>SUM(AA6:AA165)</f>
        <v>1987114.3598999989</v>
      </c>
      <c r="AB166" s="262"/>
      <c r="AC166" s="262"/>
      <c r="AD166" s="262"/>
      <c r="AE166" s="262"/>
      <c r="AF166" s="262"/>
      <c r="AG166" s="262"/>
      <c r="AH166" s="262"/>
      <c r="AI166" s="262"/>
      <c r="AJ166" s="262"/>
      <c r="AK166" s="262"/>
      <c r="AL166" s="262"/>
      <c r="AM166" s="262"/>
      <c r="AN166" s="262"/>
      <c r="AO166" s="262"/>
      <c r="AP166" s="262"/>
      <c r="AQ166" s="262"/>
      <c r="AR166" s="262"/>
    </row>
    <row r="167" spans="1:44" s="24" customFormat="1">
      <c r="A167" s="1"/>
      <c r="B167" s="1"/>
      <c r="C167" s="351"/>
      <c r="D167" s="1"/>
      <c r="E167" s="1"/>
      <c r="F167" s="1"/>
      <c r="G167" s="1"/>
      <c r="H167" s="1"/>
      <c r="I167" s="1"/>
      <c r="J167" s="1"/>
      <c r="K167" s="1"/>
      <c r="L167" s="1"/>
      <c r="M167" s="85"/>
      <c r="N167" s="86"/>
      <c r="O167" s="23"/>
      <c r="P167" s="23"/>
      <c r="Q167" s="87"/>
      <c r="R167" s="88"/>
      <c r="S167" s="1"/>
      <c r="T167" s="1"/>
      <c r="U167" s="1"/>
      <c r="V167" s="1"/>
      <c r="W167" s="1"/>
      <c r="X167" s="1"/>
      <c r="Y167" s="1"/>
      <c r="Z167" s="1"/>
      <c r="AA167" s="1"/>
    </row>
    <row r="168" spans="1:44" s="24" customFormat="1">
      <c r="A168" s="1"/>
      <c r="B168" s="1"/>
      <c r="C168" s="351"/>
      <c r="D168" s="1"/>
      <c r="E168" s="1"/>
      <c r="F168" s="1"/>
      <c r="G168" s="1"/>
      <c r="H168" s="1"/>
      <c r="I168" s="1"/>
      <c r="J168" s="1"/>
      <c r="K168" s="1"/>
      <c r="L168" s="1"/>
      <c r="N168" s="89"/>
      <c r="R168" s="1"/>
      <c r="S168" s="1"/>
      <c r="T168" s="1"/>
      <c r="U168" s="1"/>
      <c r="V168" s="1"/>
      <c r="W168" s="1"/>
      <c r="X168" s="1"/>
      <c r="Y168" s="3"/>
      <c r="Z168" s="3"/>
      <c r="AA168" s="3"/>
    </row>
    <row r="169" spans="1:44" s="24" customFormat="1">
      <c r="A169" s="1"/>
      <c r="B169" s="1"/>
      <c r="C169" s="351"/>
      <c r="D169" s="1"/>
      <c r="E169" s="1"/>
      <c r="F169" s="1"/>
      <c r="G169" s="1"/>
      <c r="H169" s="1"/>
      <c r="I169" s="1"/>
      <c r="J169" s="1"/>
      <c r="K169" s="1"/>
      <c r="L169" s="1"/>
      <c r="M169" s="3">
        <v>2283</v>
      </c>
      <c r="N169" s="351"/>
      <c r="O169" s="1"/>
      <c r="P169" s="1"/>
      <c r="Q169" s="1"/>
      <c r="R169" s="1"/>
      <c r="S169" s="1"/>
      <c r="T169" s="1"/>
      <c r="U169" s="1"/>
      <c r="V169" s="3"/>
      <c r="W169" s="3"/>
      <c r="X169" s="3"/>
      <c r="Y169" s="3"/>
      <c r="Z169" s="3"/>
      <c r="AA169" s="3"/>
    </row>
    <row r="170" spans="1:44" s="24" customFormat="1">
      <c r="A170" s="1"/>
      <c r="B170" s="1"/>
      <c r="C170" s="351"/>
      <c r="D170" s="1"/>
      <c r="E170" s="1"/>
      <c r="F170" s="1"/>
      <c r="G170" s="1"/>
      <c r="H170" s="1"/>
      <c r="I170" s="1"/>
      <c r="J170" s="1"/>
      <c r="K170" s="3"/>
      <c r="L170" s="1"/>
      <c r="M170" s="3">
        <f>SUM(M139:M165)</f>
        <v>26.3</v>
      </c>
      <c r="N170" s="351"/>
      <c r="O170" s="1"/>
      <c r="P170" s="1"/>
      <c r="Q170" s="1"/>
      <c r="R170" s="90"/>
      <c r="S170" s="90"/>
      <c r="T170" s="1"/>
      <c r="U170" s="1"/>
      <c r="V170" s="1"/>
      <c r="W170" s="1"/>
      <c r="X170" s="1"/>
      <c r="Y170" s="1"/>
      <c r="Z170" s="1"/>
      <c r="AA170" s="1"/>
    </row>
    <row r="171" spans="1:44" s="24" customFormat="1">
      <c r="A171" s="1"/>
      <c r="B171" s="1"/>
      <c r="C171" s="351"/>
      <c r="D171" s="1"/>
      <c r="E171" s="1"/>
      <c r="F171" s="1"/>
      <c r="G171" s="1"/>
      <c r="H171" s="1"/>
      <c r="I171" s="1"/>
      <c r="J171" s="1"/>
      <c r="K171" s="3"/>
      <c r="L171" s="1"/>
      <c r="M171" s="3">
        <f>SUM(M6:M25)</f>
        <v>17.5</v>
      </c>
      <c r="N171" s="35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44" s="24" customFormat="1">
      <c r="A172" s="1"/>
      <c r="B172" s="1"/>
      <c r="C172" s="351"/>
      <c r="D172" s="1"/>
      <c r="E172" s="1"/>
      <c r="F172" s="1"/>
      <c r="G172" s="1"/>
      <c r="H172" s="1"/>
      <c r="I172" s="3"/>
      <c r="J172" s="1"/>
      <c r="K172" s="3"/>
      <c r="L172" s="1"/>
      <c r="M172" s="744">
        <f>SUM(M169:M171)</f>
        <v>2326.8000000000002</v>
      </c>
      <c r="N172" s="35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7" spans="1:27" s="24" customFormat="1">
      <c r="A177" s="1"/>
      <c r="B177" s="1"/>
      <c r="C177" s="351"/>
      <c r="D177" s="1"/>
      <c r="E177" s="1"/>
      <c r="F177" s="1"/>
      <c r="G177" s="1"/>
      <c r="H177" s="1"/>
      <c r="I177" s="1"/>
      <c r="J177" s="1"/>
      <c r="K177" s="1"/>
      <c r="L177" s="1"/>
      <c r="M177" s="3"/>
      <c r="N177" s="35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</sheetData>
  <mergeCells count="26">
    <mergeCell ref="A2:Y2"/>
    <mergeCell ref="A3:Y3"/>
    <mergeCell ref="A4:A5"/>
    <mergeCell ref="B4:B5"/>
    <mergeCell ref="C4:C5"/>
    <mergeCell ref="D4:D5"/>
    <mergeCell ref="E4:E5"/>
    <mergeCell ref="F4:F5"/>
    <mergeCell ref="G4:G5"/>
    <mergeCell ref="H4:H5"/>
    <mergeCell ref="Y4:Y5"/>
    <mergeCell ref="Z4:Z5"/>
    <mergeCell ref="AA4:AA5"/>
    <mergeCell ref="A166:D166"/>
    <mergeCell ref="O4:O5"/>
    <mergeCell ref="P4:P5"/>
    <mergeCell ref="Q4:Q5"/>
    <mergeCell ref="R4:S4"/>
    <mergeCell ref="T4:U4"/>
    <mergeCell ref="V4:W4"/>
    <mergeCell ref="I4:I5"/>
    <mergeCell ref="J4:J5"/>
    <mergeCell ref="K4:K5"/>
    <mergeCell ref="L4:L5"/>
    <mergeCell ref="M4:M5"/>
    <mergeCell ref="N4:N5"/>
  </mergeCells>
  <pageMargins left="0" right="0" top="0.62992125984251968" bottom="0" header="0.43307086614173229" footer="0.31496062992125984"/>
  <pageSetup paperSize="9" scale="53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17">
    <tabColor rgb="FFFF0000"/>
  </sheetPr>
  <dimension ref="A1:AT177"/>
  <sheetViews>
    <sheetView topLeftCell="A49" zoomScale="70" zoomScaleNormal="70" zoomScaleSheetLayoutView="40" workbookViewId="0">
      <pane xSplit="3" topLeftCell="Q1" activePane="topRight" state="frozen"/>
      <selection pane="topRight" activeCell="S81" sqref="S81"/>
    </sheetView>
  </sheetViews>
  <sheetFormatPr defaultRowHeight="12.75"/>
  <cols>
    <col min="1" max="1" width="6.42578125" style="1" customWidth="1"/>
    <col min="2" max="2" width="24" style="1" customWidth="1"/>
    <col min="3" max="3" width="17.5703125" style="686" customWidth="1"/>
    <col min="4" max="4" width="11.140625" style="1" customWidth="1"/>
    <col min="5" max="5" width="16.7109375" style="1" customWidth="1"/>
    <col min="6" max="6" width="13.5703125" style="1" customWidth="1"/>
    <col min="7" max="7" width="7.42578125" style="1" customWidth="1"/>
    <col min="8" max="8" width="4.7109375" style="1" customWidth="1"/>
    <col min="9" max="9" width="8.5703125" style="1" customWidth="1"/>
    <col min="10" max="10" width="5.5703125" style="1" customWidth="1"/>
    <col min="11" max="11" width="11.5703125" style="1" hidden="1" customWidth="1"/>
    <col min="12" max="12" width="11.5703125" style="1" customWidth="1"/>
    <col min="13" max="13" width="10.85546875" style="1" customWidth="1"/>
    <col min="14" max="14" width="9.7109375" style="686" hidden="1" customWidth="1"/>
    <col min="15" max="15" width="8" style="1" customWidth="1"/>
    <col min="16" max="16" width="8" style="1" hidden="1" customWidth="1"/>
    <col min="17" max="18" width="16.28515625" style="1" customWidth="1"/>
    <col min="19" max="19" width="10.5703125" style="1" customWidth="1"/>
    <col min="20" max="20" width="12.42578125" style="1" customWidth="1"/>
    <col min="21" max="21" width="10.140625" style="1" customWidth="1"/>
    <col min="22" max="22" width="15.140625" style="1" customWidth="1"/>
    <col min="23" max="23" width="8.5703125" style="1" customWidth="1"/>
    <col min="24" max="24" width="11.7109375" style="1" customWidth="1"/>
    <col min="25" max="25" width="15.5703125" style="1" customWidth="1"/>
    <col min="26" max="26" width="15.28515625" style="1" customWidth="1"/>
    <col min="27" max="28" width="18.28515625" style="1" customWidth="1"/>
    <col min="29" max="29" width="13.7109375" style="24" customWidth="1"/>
    <col min="30" max="31" width="9.140625" style="24" customWidth="1"/>
    <col min="32" max="35" width="9.140625" style="24"/>
    <col min="36" max="36" width="11.28515625" style="24" bestFit="1" customWidth="1"/>
    <col min="37" max="37" width="10.7109375" style="24" bestFit="1" customWidth="1"/>
    <col min="38" max="46" width="9.140625" style="24"/>
    <col min="47" max="259" width="9.140625" style="1"/>
    <col min="260" max="260" width="6.42578125" style="1" customWidth="1"/>
    <col min="261" max="261" width="20.7109375" style="1" customWidth="1"/>
    <col min="262" max="262" width="24.7109375" style="1" customWidth="1"/>
    <col min="263" max="263" width="11.140625" style="1" customWidth="1"/>
    <col min="264" max="264" width="12.28515625" style="1" customWidth="1"/>
    <col min="265" max="265" width="11.140625" style="1" customWidth="1"/>
    <col min="266" max="266" width="10.42578125" style="1" customWidth="1"/>
    <col min="267" max="267" width="4.7109375" style="1" customWidth="1"/>
    <col min="268" max="268" width="8.5703125" style="1" customWidth="1"/>
    <col min="269" max="269" width="5.5703125" style="1" customWidth="1"/>
    <col min="270" max="271" width="11.5703125" style="1" customWidth="1"/>
    <col min="272" max="272" width="10.85546875" style="1" customWidth="1"/>
    <col min="273" max="273" width="7.7109375" style="1" customWidth="1"/>
    <col min="274" max="274" width="8" style="1" customWidth="1"/>
    <col min="275" max="275" width="16.28515625" style="1" customWidth="1"/>
    <col min="276" max="276" width="10.5703125" style="1" customWidth="1"/>
    <col min="277" max="277" width="14.140625" style="1" customWidth="1"/>
    <col min="278" max="278" width="10.140625" style="1" customWidth="1"/>
    <col min="279" max="279" width="15.140625" style="1" customWidth="1"/>
    <col min="280" max="280" width="8.5703125" style="1" customWidth="1"/>
    <col min="281" max="281" width="14.28515625" style="1" customWidth="1"/>
    <col min="282" max="282" width="18.28515625" style="1" customWidth="1"/>
    <col min="283" max="283" width="13" style="1" bestFit="1" customWidth="1"/>
    <col min="284" max="284" width="11.7109375" style="1" bestFit="1" customWidth="1"/>
    <col min="285" max="291" width="9.140625" style="1"/>
    <col min="292" max="292" width="11.28515625" style="1" bestFit="1" customWidth="1"/>
    <col min="293" max="293" width="10.7109375" style="1" bestFit="1" customWidth="1"/>
    <col min="294" max="515" width="9.140625" style="1"/>
    <col min="516" max="516" width="6.42578125" style="1" customWidth="1"/>
    <col min="517" max="517" width="20.7109375" style="1" customWidth="1"/>
    <col min="518" max="518" width="24.7109375" style="1" customWidth="1"/>
    <col min="519" max="519" width="11.140625" style="1" customWidth="1"/>
    <col min="520" max="520" width="12.28515625" style="1" customWidth="1"/>
    <col min="521" max="521" width="11.140625" style="1" customWidth="1"/>
    <col min="522" max="522" width="10.42578125" style="1" customWidth="1"/>
    <col min="523" max="523" width="4.7109375" style="1" customWidth="1"/>
    <col min="524" max="524" width="8.5703125" style="1" customWidth="1"/>
    <col min="525" max="525" width="5.5703125" style="1" customWidth="1"/>
    <col min="526" max="527" width="11.5703125" style="1" customWidth="1"/>
    <col min="528" max="528" width="10.85546875" style="1" customWidth="1"/>
    <col min="529" max="529" width="7.7109375" style="1" customWidth="1"/>
    <col min="530" max="530" width="8" style="1" customWidth="1"/>
    <col min="531" max="531" width="16.28515625" style="1" customWidth="1"/>
    <col min="532" max="532" width="10.5703125" style="1" customWidth="1"/>
    <col min="533" max="533" width="14.140625" style="1" customWidth="1"/>
    <col min="534" max="534" width="10.140625" style="1" customWidth="1"/>
    <col min="535" max="535" width="15.140625" style="1" customWidth="1"/>
    <col min="536" max="536" width="8.5703125" style="1" customWidth="1"/>
    <col min="537" max="537" width="14.28515625" style="1" customWidth="1"/>
    <col min="538" max="538" width="18.28515625" style="1" customWidth="1"/>
    <col min="539" max="539" width="13" style="1" bestFit="1" customWidth="1"/>
    <col min="540" max="540" width="11.7109375" style="1" bestFit="1" customWidth="1"/>
    <col min="541" max="547" width="9.140625" style="1"/>
    <col min="548" max="548" width="11.28515625" style="1" bestFit="1" customWidth="1"/>
    <col min="549" max="549" width="10.7109375" style="1" bestFit="1" customWidth="1"/>
    <col min="550" max="771" width="9.140625" style="1"/>
    <col min="772" max="772" width="6.42578125" style="1" customWidth="1"/>
    <col min="773" max="773" width="20.7109375" style="1" customWidth="1"/>
    <col min="774" max="774" width="24.7109375" style="1" customWidth="1"/>
    <col min="775" max="775" width="11.140625" style="1" customWidth="1"/>
    <col min="776" max="776" width="12.28515625" style="1" customWidth="1"/>
    <col min="777" max="777" width="11.140625" style="1" customWidth="1"/>
    <col min="778" max="778" width="10.42578125" style="1" customWidth="1"/>
    <col min="779" max="779" width="4.7109375" style="1" customWidth="1"/>
    <col min="780" max="780" width="8.5703125" style="1" customWidth="1"/>
    <col min="781" max="781" width="5.5703125" style="1" customWidth="1"/>
    <col min="782" max="783" width="11.5703125" style="1" customWidth="1"/>
    <col min="784" max="784" width="10.85546875" style="1" customWidth="1"/>
    <col min="785" max="785" width="7.7109375" style="1" customWidth="1"/>
    <col min="786" max="786" width="8" style="1" customWidth="1"/>
    <col min="787" max="787" width="16.28515625" style="1" customWidth="1"/>
    <col min="788" max="788" width="10.5703125" style="1" customWidth="1"/>
    <col min="789" max="789" width="14.140625" style="1" customWidth="1"/>
    <col min="790" max="790" width="10.140625" style="1" customWidth="1"/>
    <col min="791" max="791" width="15.140625" style="1" customWidth="1"/>
    <col min="792" max="792" width="8.5703125" style="1" customWidth="1"/>
    <col min="793" max="793" width="14.28515625" style="1" customWidth="1"/>
    <col min="794" max="794" width="18.28515625" style="1" customWidth="1"/>
    <col min="795" max="795" width="13" style="1" bestFit="1" customWidth="1"/>
    <col min="796" max="796" width="11.7109375" style="1" bestFit="1" customWidth="1"/>
    <col min="797" max="803" width="9.140625" style="1"/>
    <col min="804" max="804" width="11.28515625" style="1" bestFit="1" customWidth="1"/>
    <col min="805" max="805" width="10.7109375" style="1" bestFit="1" customWidth="1"/>
    <col min="806" max="1027" width="9.140625" style="1"/>
    <col min="1028" max="1028" width="6.42578125" style="1" customWidth="1"/>
    <col min="1029" max="1029" width="20.7109375" style="1" customWidth="1"/>
    <col min="1030" max="1030" width="24.7109375" style="1" customWidth="1"/>
    <col min="1031" max="1031" width="11.140625" style="1" customWidth="1"/>
    <col min="1032" max="1032" width="12.28515625" style="1" customWidth="1"/>
    <col min="1033" max="1033" width="11.140625" style="1" customWidth="1"/>
    <col min="1034" max="1034" width="10.42578125" style="1" customWidth="1"/>
    <col min="1035" max="1035" width="4.7109375" style="1" customWidth="1"/>
    <col min="1036" max="1036" width="8.5703125" style="1" customWidth="1"/>
    <col min="1037" max="1037" width="5.5703125" style="1" customWidth="1"/>
    <col min="1038" max="1039" width="11.5703125" style="1" customWidth="1"/>
    <col min="1040" max="1040" width="10.85546875" style="1" customWidth="1"/>
    <col min="1041" max="1041" width="7.7109375" style="1" customWidth="1"/>
    <col min="1042" max="1042" width="8" style="1" customWidth="1"/>
    <col min="1043" max="1043" width="16.28515625" style="1" customWidth="1"/>
    <col min="1044" max="1044" width="10.5703125" style="1" customWidth="1"/>
    <col min="1045" max="1045" width="14.140625" style="1" customWidth="1"/>
    <col min="1046" max="1046" width="10.140625" style="1" customWidth="1"/>
    <col min="1047" max="1047" width="15.140625" style="1" customWidth="1"/>
    <col min="1048" max="1048" width="8.5703125" style="1" customWidth="1"/>
    <col min="1049" max="1049" width="14.28515625" style="1" customWidth="1"/>
    <col min="1050" max="1050" width="18.28515625" style="1" customWidth="1"/>
    <col min="1051" max="1051" width="13" style="1" bestFit="1" customWidth="1"/>
    <col min="1052" max="1052" width="11.7109375" style="1" bestFit="1" customWidth="1"/>
    <col min="1053" max="1059" width="9.140625" style="1"/>
    <col min="1060" max="1060" width="11.28515625" style="1" bestFit="1" customWidth="1"/>
    <col min="1061" max="1061" width="10.7109375" style="1" bestFit="1" customWidth="1"/>
    <col min="1062" max="1283" width="9.140625" style="1"/>
    <col min="1284" max="1284" width="6.42578125" style="1" customWidth="1"/>
    <col min="1285" max="1285" width="20.7109375" style="1" customWidth="1"/>
    <col min="1286" max="1286" width="24.7109375" style="1" customWidth="1"/>
    <col min="1287" max="1287" width="11.140625" style="1" customWidth="1"/>
    <col min="1288" max="1288" width="12.28515625" style="1" customWidth="1"/>
    <col min="1289" max="1289" width="11.140625" style="1" customWidth="1"/>
    <col min="1290" max="1290" width="10.42578125" style="1" customWidth="1"/>
    <col min="1291" max="1291" width="4.7109375" style="1" customWidth="1"/>
    <col min="1292" max="1292" width="8.5703125" style="1" customWidth="1"/>
    <col min="1293" max="1293" width="5.5703125" style="1" customWidth="1"/>
    <col min="1294" max="1295" width="11.5703125" style="1" customWidth="1"/>
    <col min="1296" max="1296" width="10.85546875" style="1" customWidth="1"/>
    <col min="1297" max="1297" width="7.7109375" style="1" customWidth="1"/>
    <col min="1298" max="1298" width="8" style="1" customWidth="1"/>
    <col min="1299" max="1299" width="16.28515625" style="1" customWidth="1"/>
    <col min="1300" max="1300" width="10.5703125" style="1" customWidth="1"/>
    <col min="1301" max="1301" width="14.140625" style="1" customWidth="1"/>
    <col min="1302" max="1302" width="10.140625" style="1" customWidth="1"/>
    <col min="1303" max="1303" width="15.140625" style="1" customWidth="1"/>
    <col min="1304" max="1304" width="8.5703125" style="1" customWidth="1"/>
    <col min="1305" max="1305" width="14.28515625" style="1" customWidth="1"/>
    <col min="1306" max="1306" width="18.28515625" style="1" customWidth="1"/>
    <col min="1307" max="1307" width="13" style="1" bestFit="1" customWidth="1"/>
    <col min="1308" max="1308" width="11.7109375" style="1" bestFit="1" customWidth="1"/>
    <col min="1309" max="1315" width="9.140625" style="1"/>
    <col min="1316" max="1316" width="11.28515625" style="1" bestFit="1" customWidth="1"/>
    <col min="1317" max="1317" width="10.7109375" style="1" bestFit="1" customWidth="1"/>
    <col min="1318" max="1539" width="9.140625" style="1"/>
    <col min="1540" max="1540" width="6.42578125" style="1" customWidth="1"/>
    <col min="1541" max="1541" width="20.7109375" style="1" customWidth="1"/>
    <col min="1542" max="1542" width="24.7109375" style="1" customWidth="1"/>
    <col min="1543" max="1543" width="11.140625" style="1" customWidth="1"/>
    <col min="1544" max="1544" width="12.28515625" style="1" customWidth="1"/>
    <col min="1545" max="1545" width="11.140625" style="1" customWidth="1"/>
    <col min="1546" max="1546" width="10.42578125" style="1" customWidth="1"/>
    <col min="1547" max="1547" width="4.7109375" style="1" customWidth="1"/>
    <col min="1548" max="1548" width="8.5703125" style="1" customWidth="1"/>
    <col min="1549" max="1549" width="5.5703125" style="1" customWidth="1"/>
    <col min="1550" max="1551" width="11.5703125" style="1" customWidth="1"/>
    <col min="1552" max="1552" width="10.85546875" style="1" customWidth="1"/>
    <col min="1553" max="1553" width="7.7109375" style="1" customWidth="1"/>
    <col min="1554" max="1554" width="8" style="1" customWidth="1"/>
    <col min="1555" max="1555" width="16.28515625" style="1" customWidth="1"/>
    <col min="1556" max="1556" width="10.5703125" style="1" customWidth="1"/>
    <col min="1557" max="1557" width="14.140625" style="1" customWidth="1"/>
    <col min="1558" max="1558" width="10.140625" style="1" customWidth="1"/>
    <col min="1559" max="1559" width="15.140625" style="1" customWidth="1"/>
    <col min="1560" max="1560" width="8.5703125" style="1" customWidth="1"/>
    <col min="1561" max="1561" width="14.28515625" style="1" customWidth="1"/>
    <col min="1562" max="1562" width="18.28515625" style="1" customWidth="1"/>
    <col min="1563" max="1563" width="13" style="1" bestFit="1" customWidth="1"/>
    <col min="1564" max="1564" width="11.7109375" style="1" bestFit="1" customWidth="1"/>
    <col min="1565" max="1571" width="9.140625" style="1"/>
    <col min="1572" max="1572" width="11.28515625" style="1" bestFit="1" customWidth="1"/>
    <col min="1573" max="1573" width="10.7109375" style="1" bestFit="1" customWidth="1"/>
    <col min="1574" max="1795" width="9.140625" style="1"/>
    <col min="1796" max="1796" width="6.42578125" style="1" customWidth="1"/>
    <col min="1797" max="1797" width="20.7109375" style="1" customWidth="1"/>
    <col min="1798" max="1798" width="24.7109375" style="1" customWidth="1"/>
    <col min="1799" max="1799" width="11.140625" style="1" customWidth="1"/>
    <col min="1800" max="1800" width="12.28515625" style="1" customWidth="1"/>
    <col min="1801" max="1801" width="11.140625" style="1" customWidth="1"/>
    <col min="1802" max="1802" width="10.42578125" style="1" customWidth="1"/>
    <col min="1803" max="1803" width="4.7109375" style="1" customWidth="1"/>
    <col min="1804" max="1804" width="8.5703125" style="1" customWidth="1"/>
    <col min="1805" max="1805" width="5.5703125" style="1" customWidth="1"/>
    <col min="1806" max="1807" width="11.5703125" style="1" customWidth="1"/>
    <col min="1808" max="1808" width="10.85546875" style="1" customWidth="1"/>
    <col min="1809" max="1809" width="7.7109375" style="1" customWidth="1"/>
    <col min="1810" max="1810" width="8" style="1" customWidth="1"/>
    <col min="1811" max="1811" width="16.28515625" style="1" customWidth="1"/>
    <col min="1812" max="1812" width="10.5703125" style="1" customWidth="1"/>
    <col min="1813" max="1813" width="14.140625" style="1" customWidth="1"/>
    <col min="1814" max="1814" width="10.140625" style="1" customWidth="1"/>
    <col min="1815" max="1815" width="15.140625" style="1" customWidth="1"/>
    <col min="1816" max="1816" width="8.5703125" style="1" customWidth="1"/>
    <col min="1817" max="1817" width="14.28515625" style="1" customWidth="1"/>
    <col min="1818" max="1818" width="18.28515625" style="1" customWidth="1"/>
    <col min="1819" max="1819" width="13" style="1" bestFit="1" customWidth="1"/>
    <col min="1820" max="1820" width="11.7109375" style="1" bestFit="1" customWidth="1"/>
    <col min="1821" max="1827" width="9.140625" style="1"/>
    <col min="1828" max="1828" width="11.28515625" style="1" bestFit="1" customWidth="1"/>
    <col min="1829" max="1829" width="10.7109375" style="1" bestFit="1" customWidth="1"/>
    <col min="1830" max="2051" width="9.140625" style="1"/>
    <col min="2052" max="2052" width="6.42578125" style="1" customWidth="1"/>
    <col min="2053" max="2053" width="20.7109375" style="1" customWidth="1"/>
    <col min="2054" max="2054" width="24.7109375" style="1" customWidth="1"/>
    <col min="2055" max="2055" width="11.140625" style="1" customWidth="1"/>
    <col min="2056" max="2056" width="12.28515625" style="1" customWidth="1"/>
    <col min="2057" max="2057" width="11.140625" style="1" customWidth="1"/>
    <col min="2058" max="2058" width="10.42578125" style="1" customWidth="1"/>
    <col min="2059" max="2059" width="4.7109375" style="1" customWidth="1"/>
    <col min="2060" max="2060" width="8.5703125" style="1" customWidth="1"/>
    <col min="2061" max="2061" width="5.5703125" style="1" customWidth="1"/>
    <col min="2062" max="2063" width="11.5703125" style="1" customWidth="1"/>
    <col min="2064" max="2064" width="10.85546875" style="1" customWidth="1"/>
    <col min="2065" max="2065" width="7.7109375" style="1" customWidth="1"/>
    <col min="2066" max="2066" width="8" style="1" customWidth="1"/>
    <col min="2067" max="2067" width="16.28515625" style="1" customWidth="1"/>
    <col min="2068" max="2068" width="10.5703125" style="1" customWidth="1"/>
    <col min="2069" max="2069" width="14.140625" style="1" customWidth="1"/>
    <col min="2070" max="2070" width="10.140625" style="1" customWidth="1"/>
    <col min="2071" max="2071" width="15.140625" style="1" customWidth="1"/>
    <col min="2072" max="2072" width="8.5703125" style="1" customWidth="1"/>
    <col min="2073" max="2073" width="14.28515625" style="1" customWidth="1"/>
    <col min="2074" max="2074" width="18.28515625" style="1" customWidth="1"/>
    <col min="2075" max="2075" width="13" style="1" bestFit="1" customWidth="1"/>
    <col min="2076" max="2076" width="11.7109375" style="1" bestFit="1" customWidth="1"/>
    <col min="2077" max="2083" width="9.140625" style="1"/>
    <col min="2084" max="2084" width="11.28515625" style="1" bestFit="1" customWidth="1"/>
    <col min="2085" max="2085" width="10.7109375" style="1" bestFit="1" customWidth="1"/>
    <col min="2086" max="2307" width="9.140625" style="1"/>
    <col min="2308" max="2308" width="6.42578125" style="1" customWidth="1"/>
    <col min="2309" max="2309" width="20.7109375" style="1" customWidth="1"/>
    <col min="2310" max="2310" width="24.7109375" style="1" customWidth="1"/>
    <col min="2311" max="2311" width="11.140625" style="1" customWidth="1"/>
    <col min="2312" max="2312" width="12.28515625" style="1" customWidth="1"/>
    <col min="2313" max="2313" width="11.140625" style="1" customWidth="1"/>
    <col min="2314" max="2314" width="10.42578125" style="1" customWidth="1"/>
    <col min="2315" max="2315" width="4.7109375" style="1" customWidth="1"/>
    <col min="2316" max="2316" width="8.5703125" style="1" customWidth="1"/>
    <col min="2317" max="2317" width="5.5703125" style="1" customWidth="1"/>
    <col min="2318" max="2319" width="11.5703125" style="1" customWidth="1"/>
    <col min="2320" max="2320" width="10.85546875" style="1" customWidth="1"/>
    <col min="2321" max="2321" width="7.7109375" style="1" customWidth="1"/>
    <col min="2322" max="2322" width="8" style="1" customWidth="1"/>
    <col min="2323" max="2323" width="16.28515625" style="1" customWidth="1"/>
    <col min="2324" max="2324" width="10.5703125" style="1" customWidth="1"/>
    <col min="2325" max="2325" width="14.140625" style="1" customWidth="1"/>
    <col min="2326" max="2326" width="10.140625" style="1" customWidth="1"/>
    <col min="2327" max="2327" width="15.140625" style="1" customWidth="1"/>
    <col min="2328" max="2328" width="8.5703125" style="1" customWidth="1"/>
    <col min="2329" max="2329" width="14.28515625" style="1" customWidth="1"/>
    <col min="2330" max="2330" width="18.28515625" style="1" customWidth="1"/>
    <col min="2331" max="2331" width="13" style="1" bestFit="1" customWidth="1"/>
    <col min="2332" max="2332" width="11.7109375" style="1" bestFit="1" customWidth="1"/>
    <col min="2333" max="2339" width="9.140625" style="1"/>
    <col min="2340" max="2340" width="11.28515625" style="1" bestFit="1" customWidth="1"/>
    <col min="2341" max="2341" width="10.7109375" style="1" bestFit="1" customWidth="1"/>
    <col min="2342" max="2563" width="9.140625" style="1"/>
    <col min="2564" max="2564" width="6.42578125" style="1" customWidth="1"/>
    <col min="2565" max="2565" width="20.7109375" style="1" customWidth="1"/>
    <col min="2566" max="2566" width="24.7109375" style="1" customWidth="1"/>
    <col min="2567" max="2567" width="11.140625" style="1" customWidth="1"/>
    <col min="2568" max="2568" width="12.28515625" style="1" customWidth="1"/>
    <col min="2569" max="2569" width="11.140625" style="1" customWidth="1"/>
    <col min="2570" max="2570" width="10.42578125" style="1" customWidth="1"/>
    <col min="2571" max="2571" width="4.7109375" style="1" customWidth="1"/>
    <col min="2572" max="2572" width="8.5703125" style="1" customWidth="1"/>
    <col min="2573" max="2573" width="5.5703125" style="1" customWidth="1"/>
    <col min="2574" max="2575" width="11.5703125" style="1" customWidth="1"/>
    <col min="2576" max="2576" width="10.85546875" style="1" customWidth="1"/>
    <col min="2577" max="2577" width="7.7109375" style="1" customWidth="1"/>
    <col min="2578" max="2578" width="8" style="1" customWidth="1"/>
    <col min="2579" max="2579" width="16.28515625" style="1" customWidth="1"/>
    <col min="2580" max="2580" width="10.5703125" style="1" customWidth="1"/>
    <col min="2581" max="2581" width="14.140625" style="1" customWidth="1"/>
    <col min="2582" max="2582" width="10.140625" style="1" customWidth="1"/>
    <col min="2583" max="2583" width="15.140625" style="1" customWidth="1"/>
    <col min="2584" max="2584" width="8.5703125" style="1" customWidth="1"/>
    <col min="2585" max="2585" width="14.28515625" style="1" customWidth="1"/>
    <col min="2586" max="2586" width="18.28515625" style="1" customWidth="1"/>
    <col min="2587" max="2587" width="13" style="1" bestFit="1" customWidth="1"/>
    <col min="2588" max="2588" width="11.7109375" style="1" bestFit="1" customWidth="1"/>
    <col min="2589" max="2595" width="9.140625" style="1"/>
    <col min="2596" max="2596" width="11.28515625" style="1" bestFit="1" customWidth="1"/>
    <col min="2597" max="2597" width="10.7109375" style="1" bestFit="1" customWidth="1"/>
    <col min="2598" max="2819" width="9.140625" style="1"/>
    <col min="2820" max="2820" width="6.42578125" style="1" customWidth="1"/>
    <col min="2821" max="2821" width="20.7109375" style="1" customWidth="1"/>
    <col min="2822" max="2822" width="24.7109375" style="1" customWidth="1"/>
    <col min="2823" max="2823" width="11.140625" style="1" customWidth="1"/>
    <col min="2824" max="2824" width="12.28515625" style="1" customWidth="1"/>
    <col min="2825" max="2825" width="11.140625" style="1" customWidth="1"/>
    <col min="2826" max="2826" width="10.42578125" style="1" customWidth="1"/>
    <col min="2827" max="2827" width="4.7109375" style="1" customWidth="1"/>
    <col min="2828" max="2828" width="8.5703125" style="1" customWidth="1"/>
    <col min="2829" max="2829" width="5.5703125" style="1" customWidth="1"/>
    <col min="2830" max="2831" width="11.5703125" style="1" customWidth="1"/>
    <col min="2832" max="2832" width="10.85546875" style="1" customWidth="1"/>
    <col min="2833" max="2833" width="7.7109375" style="1" customWidth="1"/>
    <col min="2834" max="2834" width="8" style="1" customWidth="1"/>
    <col min="2835" max="2835" width="16.28515625" style="1" customWidth="1"/>
    <col min="2836" max="2836" width="10.5703125" style="1" customWidth="1"/>
    <col min="2837" max="2837" width="14.140625" style="1" customWidth="1"/>
    <col min="2838" max="2838" width="10.140625" style="1" customWidth="1"/>
    <col min="2839" max="2839" width="15.140625" style="1" customWidth="1"/>
    <col min="2840" max="2840" width="8.5703125" style="1" customWidth="1"/>
    <col min="2841" max="2841" width="14.28515625" style="1" customWidth="1"/>
    <col min="2842" max="2842" width="18.28515625" style="1" customWidth="1"/>
    <col min="2843" max="2843" width="13" style="1" bestFit="1" customWidth="1"/>
    <col min="2844" max="2844" width="11.7109375" style="1" bestFit="1" customWidth="1"/>
    <col min="2845" max="2851" width="9.140625" style="1"/>
    <col min="2852" max="2852" width="11.28515625" style="1" bestFit="1" customWidth="1"/>
    <col min="2853" max="2853" width="10.7109375" style="1" bestFit="1" customWidth="1"/>
    <col min="2854" max="3075" width="9.140625" style="1"/>
    <col min="3076" max="3076" width="6.42578125" style="1" customWidth="1"/>
    <col min="3077" max="3077" width="20.7109375" style="1" customWidth="1"/>
    <col min="3078" max="3078" width="24.7109375" style="1" customWidth="1"/>
    <col min="3079" max="3079" width="11.140625" style="1" customWidth="1"/>
    <col min="3080" max="3080" width="12.28515625" style="1" customWidth="1"/>
    <col min="3081" max="3081" width="11.140625" style="1" customWidth="1"/>
    <col min="3082" max="3082" width="10.42578125" style="1" customWidth="1"/>
    <col min="3083" max="3083" width="4.7109375" style="1" customWidth="1"/>
    <col min="3084" max="3084" width="8.5703125" style="1" customWidth="1"/>
    <col min="3085" max="3085" width="5.5703125" style="1" customWidth="1"/>
    <col min="3086" max="3087" width="11.5703125" style="1" customWidth="1"/>
    <col min="3088" max="3088" width="10.85546875" style="1" customWidth="1"/>
    <col min="3089" max="3089" width="7.7109375" style="1" customWidth="1"/>
    <col min="3090" max="3090" width="8" style="1" customWidth="1"/>
    <col min="3091" max="3091" width="16.28515625" style="1" customWidth="1"/>
    <col min="3092" max="3092" width="10.5703125" style="1" customWidth="1"/>
    <col min="3093" max="3093" width="14.140625" style="1" customWidth="1"/>
    <col min="3094" max="3094" width="10.140625" style="1" customWidth="1"/>
    <col min="3095" max="3095" width="15.140625" style="1" customWidth="1"/>
    <col min="3096" max="3096" width="8.5703125" style="1" customWidth="1"/>
    <col min="3097" max="3097" width="14.28515625" style="1" customWidth="1"/>
    <col min="3098" max="3098" width="18.28515625" style="1" customWidth="1"/>
    <col min="3099" max="3099" width="13" style="1" bestFit="1" customWidth="1"/>
    <col min="3100" max="3100" width="11.7109375" style="1" bestFit="1" customWidth="1"/>
    <col min="3101" max="3107" width="9.140625" style="1"/>
    <col min="3108" max="3108" width="11.28515625" style="1" bestFit="1" customWidth="1"/>
    <col min="3109" max="3109" width="10.7109375" style="1" bestFit="1" customWidth="1"/>
    <col min="3110" max="3331" width="9.140625" style="1"/>
    <col min="3332" max="3332" width="6.42578125" style="1" customWidth="1"/>
    <col min="3333" max="3333" width="20.7109375" style="1" customWidth="1"/>
    <col min="3334" max="3334" width="24.7109375" style="1" customWidth="1"/>
    <col min="3335" max="3335" width="11.140625" style="1" customWidth="1"/>
    <col min="3336" max="3336" width="12.28515625" style="1" customWidth="1"/>
    <col min="3337" max="3337" width="11.140625" style="1" customWidth="1"/>
    <col min="3338" max="3338" width="10.42578125" style="1" customWidth="1"/>
    <col min="3339" max="3339" width="4.7109375" style="1" customWidth="1"/>
    <col min="3340" max="3340" width="8.5703125" style="1" customWidth="1"/>
    <col min="3341" max="3341" width="5.5703125" style="1" customWidth="1"/>
    <col min="3342" max="3343" width="11.5703125" style="1" customWidth="1"/>
    <col min="3344" max="3344" width="10.85546875" style="1" customWidth="1"/>
    <col min="3345" max="3345" width="7.7109375" style="1" customWidth="1"/>
    <col min="3346" max="3346" width="8" style="1" customWidth="1"/>
    <col min="3347" max="3347" width="16.28515625" style="1" customWidth="1"/>
    <col min="3348" max="3348" width="10.5703125" style="1" customWidth="1"/>
    <col min="3349" max="3349" width="14.140625" style="1" customWidth="1"/>
    <col min="3350" max="3350" width="10.140625" style="1" customWidth="1"/>
    <col min="3351" max="3351" width="15.140625" style="1" customWidth="1"/>
    <col min="3352" max="3352" width="8.5703125" style="1" customWidth="1"/>
    <col min="3353" max="3353" width="14.28515625" style="1" customWidth="1"/>
    <col min="3354" max="3354" width="18.28515625" style="1" customWidth="1"/>
    <col min="3355" max="3355" width="13" style="1" bestFit="1" customWidth="1"/>
    <col min="3356" max="3356" width="11.7109375" style="1" bestFit="1" customWidth="1"/>
    <col min="3357" max="3363" width="9.140625" style="1"/>
    <col min="3364" max="3364" width="11.28515625" style="1" bestFit="1" customWidth="1"/>
    <col min="3365" max="3365" width="10.7109375" style="1" bestFit="1" customWidth="1"/>
    <col min="3366" max="3587" width="9.140625" style="1"/>
    <col min="3588" max="3588" width="6.42578125" style="1" customWidth="1"/>
    <col min="3589" max="3589" width="20.7109375" style="1" customWidth="1"/>
    <col min="3590" max="3590" width="24.7109375" style="1" customWidth="1"/>
    <col min="3591" max="3591" width="11.140625" style="1" customWidth="1"/>
    <col min="3592" max="3592" width="12.28515625" style="1" customWidth="1"/>
    <col min="3593" max="3593" width="11.140625" style="1" customWidth="1"/>
    <col min="3594" max="3594" width="10.42578125" style="1" customWidth="1"/>
    <col min="3595" max="3595" width="4.7109375" style="1" customWidth="1"/>
    <col min="3596" max="3596" width="8.5703125" style="1" customWidth="1"/>
    <col min="3597" max="3597" width="5.5703125" style="1" customWidth="1"/>
    <col min="3598" max="3599" width="11.5703125" style="1" customWidth="1"/>
    <col min="3600" max="3600" width="10.85546875" style="1" customWidth="1"/>
    <col min="3601" max="3601" width="7.7109375" style="1" customWidth="1"/>
    <col min="3602" max="3602" width="8" style="1" customWidth="1"/>
    <col min="3603" max="3603" width="16.28515625" style="1" customWidth="1"/>
    <col min="3604" max="3604" width="10.5703125" style="1" customWidth="1"/>
    <col min="3605" max="3605" width="14.140625" style="1" customWidth="1"/>
    <col min="3606" max="3606" width="10.140625" style="1" customWidth="1"/>
    <col min="3607" max="3607" width="15.140625" style="1" customWidth="1"/>
    <col min="3608" max="3608" width="8.5703125" style="1" customWidth="1"/>
    <col min="3609" max="3609" width="14.28515625" style="1" customWidth="1"/>
    <col min="3610" max="3610" width="18.28515625" style="1" customWidth="1"/>
    <col min="3611" max="3611" width="13" style="1" bestFit="1" customWidth="1"/>
    <col min="3612" max="3612" width="11.7109375" style="1" bestFit="1" customWidth="1"/>
    <col min="3613" max="3619" width="9.140625" style="1"/>
    <col min="3620" max="3620" width="11.28515625" style="1" bestFit="1" customWidth="1"/>
    <col min="3621" max="3621" width="10.7109375" style="1" bestFit="1" customWidth="1"/>
    <col min="3622" max="3843" width="9.140625" style="1"/>
    <col min="3844" max="3844" width="6.42578125" style="1" customWidth="1"/>
    <col min="3845" max="3845" width="20.7109375" style="1" customWidth="1"/>
    <col min="3846" max="3846" width="24.7109375" style="1" customWidth="1"/>
    <col min="3847" max="3847" width="11.140625" style="1" customWidth="1"/>
    <col min="3848" max="3848" width="12.28515625" style="1" customWidth="1"/>
    <col min="3849" max="3849" width="11.140625" style="1" customWidth="1"/>
    <col min="3850" max="3850" width="10.42578125" style="1" customWidth="1"/>
    <col min="3851" max="3851" width="4.7109375" style="1" customWidth="1"/>
    <col min="3852" max="3852" width="8.5703125" style="1" customWidth="1"/>
    <col min="3853" max="3853" width="5.5703125" style="1" customWidth="1"/>
    <col min="3854" max="3855" width="11.5703125" style="1" customWidth="1"/>
    <col min="3856" max="3856" width="10.85546875" style="1" customWidth="1"/>
    <col min="3857" max="3857" width="7.7109375" style="1" customWidth="1"/>
    <col min="3858" max="3858" width="8" style="1" customWidth="1"/>
    <col min="3859" max="3859" width="16.28515625" style="1" customWidth="1"/>
    <col min="3860" max="3860" width="10.5703125" style="1" customWidth="1"/>
    <col min="3861" max="3861" width="14.140625" style="1" customWidth="1"/>
    <col min="3862" max="3862" width="10.140625" style="1" customWidth="1"/>
    <col min="3863" max="3863" width="15.140625" style="1" customWidth="1"/>
    <col min="3864" max="3864" width="8.5703125" style="1" customWidth="1"/>
    <col min="3865" max="3865" width="14.28515625" style="1" customWidth="1"/>
    <col min="3866" max="3866" width="18.28515625" style="1" customWidth="1"/>
    <col min="3867" max="3867" width="13" style="1" bestFit="1" customWidth="1"/>
    <col min="3868" max="3868" width="11.7109375" style="1" bestFit="1" customWidth="1"/>
    <col min="3869" max="3875" width="9.140625" style="1"/>
    <col min="3876" max="3876" width="11.28515625" style="1" bestFit="1" customWidth="1"/>
    <col min="3877" max="3877" width="10.7109375" style="1" bestFit="1" customWidth="1"/>
    <col min="3878" max="4099" width="9.140625" style="1"/>
    <col min="4100" max="4100" width="6.42578125" style="1" customWidth="1"/>
    <col min="4101" max="4101" width="20.7109375" style="1" customWidth="1"/>
    <col min="4102" max="4102" width="24.7109375" style="1" customWidth="1"/>
    <col min="4103" max="4103" width="11.140625" style="1" customWidth="1"/>
    <col min="4104" max="4104" width="12.28515625" style="1" customWidth="1"/>
    <col min="4105" max="4105" width="11.140625" style="1" customWidth="1"/>
    <col min="4106" max="4106" width="10.42578125" style="1" customWidth="1"/>
    <col min="4107" max="4107" width="4.7109375" style="1" customWidth="1"/>
    <col min="4108" max="4108" width="8.5703125" style="1" customWidth="1"/>
    <col min="4109" max="4109" width="5.5703125" style="1" customWidth="1"/>
    <col min="4110" max="4111" width="11.5703125" style="1" customWidth="1"/>
    <col min="4112" max="4112" width="10.85546875" style="1" customWidth="1"/>
    <col min="4113" max="4113" width="7.7109375" style="1" customWidth="1"/>
    <col min="4114" max="4114" width="8" style="1" customWidth="1"/>
    <col min="4115" max="4115" width="16.28515625" style="1" customWidth="1"/>
    <col min="4116" max="4116" width="10.5703125" style="1" customWidth="1"/>
    <col min="4117" max="4117" width="14.140625" style="1" customWidth="1"/>
    <col min="4118" max="4118" width="10.140625" style="1" customWidth="1"/>
    <col min="4119" max="4119" width="15.140625" style="1" customWidth="1"/>
    <col min="4120" max="4120" width="8.5703125" style="1" customWidth="1"/>
    <col min="4121" max="4121" width="14.28515625" style="1" customWidth="1"/>
    <col min="4122" max="4122" width="18.28515625" style="1" customWidth="1"/>
    <col min="4123" max="4123" width="13" style="1" bestFit="1" customWidth="1"/>
    <col min="4124" max="4124" width="11.7109375" style="1" bestFit="1" customWidth="1"/>
    <col min="4125" max="4131" width="9.140625" style="1"/>
    <col min="4132" max="4132" width="11.28515625" style="1" bestFit="1" customWidth="1"/>
    <col min="4133" max="4133" width="10.7109375" style="1" bestFit="1" customWidth="1"/>
    <col min="4134" max="4355" width="9.140625" style="1"/>
    <col min="4356" max="4356" width="6.42578125" style="1" customWidth="1"/>
    <col min="4357" max="4357" width="20.7109375" style="1" customWidth="1"/>
    <col min="4358" max="4358" width="24.7109375" style="1" customWidth="1"/>
    <col min="4359" max="4359" width="11.140625" style="1" customWidth="1"/>
    <col min="4360" max="4360" width="12.28515625" style="1" customWidth="1"/>
    <col min="4361" max="4361" width="11.140625" style="1" customWidth="1"/>
    <col min="4362" max="4362" width="10.42578125" style="1" customWidth="1"/>
    <col min="4363" max="4363" width="4.7109375" style="1" customWidth="1"/>
    <col min="4364" max="4364" width="8.5703125" style="1" customWidth="1"/>
    <col min="4365" max="4365" width="5.5703125" style="1" customWidth="1"/>
    <col min="4366" max="4367" width="11.5703125" style="1" customWidth="1"/>
    <col min="4368" max="4368" width="10.85546875" style="1" customWidth="1"/>
    <col min="4369" max="4369" width="7.7109375" style="1" customWidth="1"/>
    <col min="4370" max="4370" width="8" style="1" customWidth="1"/>
    <col min="4371" max="4371" width="16.28515625" style="1" customWidth="1"/>
    <col min="4372" max="4372" width="10.5703125" style="1" customWidth="1"/>
    <col min="4373" max="4373" width="14.140625" style="1" customWidth="1"/>
    <col min="4374" max="4374" width="10.140625" style="1" customWidth="1"/>
    <col min="4375" max="4375" width="15.140625" style="1" customWidth="1"/>
    <col min="4376" max="4376" width="8.5703125" style="1" customWidth="1"/>
    <col min="4377" max="4377" width="14.28515625" style="1" customWidth="1"/>
    <col min="4378" max="4378" width="18.28515625" style="1" customWidth="1"/>
    <col min="4379" max="4379" width="13" style="1" bestFit="1" customWidth="1"/>
    <col min="4380" max="4380" width="11.7109375" style="1" bestFit="1" customWidth="1"/>
    <col min="4381" max="4387" width="9.140625" style="1"/>
    <col min="4388" max="4388" width="11.28515625" style="1" bestFit="1" customWidth="1"/>
    <col min="4389" max="4389" width="10.7109375" style="1" bestFit="1" customWidth="1"/>
    <col min="4390" max="4611" width="9.140625" style="1"/>
    <col min="4612" max="4612" width="6.42578125" style="1" customWidth="1"/>
    <col min="4613" max="4613" width="20.7109375" style="1" customWidth="1"/>
    <col min="4614" max="4614" width="24.7109375" style="1" customWidth="1"/>
    <col min="4615" max="4615" width="11.140625" style="1" customWidth="1"/>
    <col min="4616" max="4616" width="12.28515625" style="1" customWidth="1"/>
    <col min="4617" max="4617" width="11.140625" style="1" customWidth="1"/>
    <col min="4618" max="4618" width="10.42578125" style="1" customWidth="1"/>
    <col min="4619" max="4619" width="4.7109375" style="1" customWidth="1"/>
    <col min="4620" max="4620" width="8.5703125" style="1" customWidth="1"/>
    <col min="4621" max="4621" width="5.5703125" style="1" customWidth="1"/>
    <col min="4622" max="4623" width="11.5703125" style="1" customWidth="1"/>
    <col min="4624" max="4624" width="10.85546875" style="1" customWidth="1"/>
    <col min="4625" max="4625" width="7.7109375" style="1" customWidth="1"/>
    <col min="4626" max="4626" width="8" style="1" customWidth="1"/>
    <col min="4627" max="4627" width="16.28515625" style="1" customWidth="1"/>
    <col min="4628" max="4628" width="10.5703125" style="1" customWidth="1"/>
    <col min="4629" max="4629" width="14.140625" style="1" customWidth="1"/>
    <col min="4630" max="4630" width="10.140625" style="1" customWidth="1"/>
    <col min="4631" max="4631" width="15.140625" style="1" customWidth="1"/>
    <col min="4632" max="4632" width="8.5703125" style="1" customWidth="1"/>
    <col min="4633" max="4633" width="14.28515625" style="1" customWidth="1"/>
    <col min="4634" max="4634" width="18.28515625" style="1" customWidth="1"/>
    <col min="4635" max="4635" width="13" style="1" bestFit="1" customWidth="1"/>
    <col min="4636" max="4636" width="11.7109375" style="1" bestFit="1" customWidth="1"/>
    <col min="4637" max="4643" width="9.140625" style="1"/>
    <col min="4644" max="4644" width="11.28515625" style="1" bestFit="1" customWidth="1"/>
    <col min="4645" max="4645" width="10.7109375" style="1" bestFit="1" customWidth="1"/>
    <col min="4646" max="4867" width="9.140625" style="1"/>
    <col min="4868" max="4868" width="6.42578125" style="1" customWidth="1"/>
    <col min="4869" max="4869" width="20.7109375" style="1" customWidth="1"/>
    <col min="4870" max="4870" width="24.7109375" style="1" customWidth="1"/>
    <col min="4871" max="4871" width="11.140625" style="1" customWidth="1"/>
    <col min="4872" max="4872" width="12.28515625" style="1" customWidth="1"/>
    <col min="4873" max="4873" width="11.140625" style="1" customWidth="1"/>
    <col min="4874" max="4874" width="10.42578125" style="1" customWidth="1"/>
    <col min="4875" max="4875" width="4.7109375" style="1" customWidth="1"/>
    <col min="4876" max="4876" width="8.5703125" style="1" customWidth="1"/>
    <col min="4877" max="4877" width="5.5703125" style="1" customWidth="1"/>
    <col min="4878" max="4879" width="11.5703125" style="1" customWidth="1"/>
    <col min="4880" max="4880" width="10.85546875" style="1" customWidth="1"/>
    <col min="4881" max="4881" width="7.7109375" style="1" customWidth="1"/>
    <col min="4882" max="4882" width="8" style="1" customWidth="1"/>
    <col min="4883" max="4883" width="16.28515625" style="1" customWidth="1"/>
    <col min="4884" max="4884" width="10.5703125" style="1" customWidth="1"/>
    <col min="4885" max="4885" width="14.140625" style="1" customWidth="1"/>
    <col min="4886" max="4886" width="10.140625" style="1" customWidth="1"/>
    <col min="4887" max="4887" width="15.140625" style="1" customWidth="1"/>
    <col min="4888" max="4888" width="8.5703125" style="1" customWidth="1"/>
    <col min="4889" max="4889" width="14.28515625" style="1" customWidth="1"/>
    <col min="4890" max="4890" width="18.28515625" style="1" customWidth="1"/>
    <col min="4891" max="4891" width="13" style="1" bestFit="1" customWidth="1"/>
    <col min="4892" max="4892" width="11.7109375" style="1" bestFit="1" customWidth="1"/>
    <col min="4893" max="4899" width="9.140625" style="1"/>
    <col min="4900" max="4900" width="11.28515625" style="1" bestFit="1" customWidth="1"/>
    <col min="4901" max="4901" width="10.7109375" style="1" bestFit="1" customWidth="1"/>
    <col min="4902" max="5123" width="9.140625" style="1"/>
    <col min="5124" max="5124" width="6.42578125" style="1" customWidth="1"/>
    <col min="5125" max="5125" width="20.7109375" style="1" customWidth="1"/>
    <col min="5126" max="5126" width="24.7109375" style="1" customWidth="1"/>
    <col min="5127" max="5127" width="11.140625" style="1" customWidth="1"/>
    <col min="5128" max="5128" width="12.28515625" style="1" customWidth="1"/>
    <col min="5129" max="5129" width="11.140625" style="1" customWidth="1"/>
    <col min="5130" max="5130" width="10.42578125" style="1" customWidth="1"/>
    <col min="5131" max="5131" width="4.7109375" style="1" customWidth="1"/>
    <col min="5132" max="5132" width="8.5703125" style="1" customWidth="1"/>
    <col min="5133" max="5133" width="5.5703125" style="1" customWidth="1"/>
    <col min="5134" max="5135" width="11.5703125" style="1" customWidth="1"/>
    <col min="5136" max="5136" width="10.85546875" style="1" customWidth="1"/>
    <col min="5137" max="5137" width="7.7109375" style="1" customWidth="1"/>
    <col min="5138" max="5138" width="8" style="1" customWidth="1"/>
    <col min="5139" max="5139" width="16.28515625" style="1" customWidth="1"/>
    <col min="5140" max="5140" width="10.5703125" style="1" customWidth="1"/>
    <col min="5141" max="5141" width="14.140625" style="1" customWidth="1"/>
    <col min="5142" max="5142" width="10.140625" style="1" customWidth="1"/>
    <col min="5143" max="5143" width="15.140625" style="1" customWidth="1"/>
    <col min="5144" max="5144" width="8.5703125" style="1" customWidth="1"/>
    <col min="5145" max="5145" width="14.28515625" style="1" customWidth="1"/>
    <col min="5146" max="5146" width="18.28515625" style="1" customWidth="1"/>
    <col min="5147" max="5147" width="13" style="1" bestFit="1" customWidth="1"/>
    <col min="5148" max="5148" width="11.7109375" style="1" bestFit="1" customWidth="1"/>
    <col min="5149" max="5155" width="9.140625" style="1"/>
    <col min="5156" max="5156" width="11.28515625" style="1" bestFit="1" customWidth="1"/>
    <col min="5157" max="5157" width="10.7109375" style="1" bestFit="1" customWidth="1"/>
    <col min="5158" max="5379" width="9.140625" style="1"/>
    <col min="5380" max="5380" width="6.42578125" style="1" customWidth="1"/>
    <col min="5381" max="5381" width="20.7109375" style="1" customWidth="1"/>
    <col min="5382" max="5382" width="24.7109375" style="1" customWidth="1"/>
    <col min="5383" max="5383" width="11.140625" style="1" customWidth="1"/>
    <col min="5384" max="5384" width="12.28515625" style="1" customWidth="1"/>
    <col min="5385" max="5385" width="11.140625" style="1" customWidth="1"/>
    <col min="5386" max="5386" width="10.42578125" style="1" customWidth="1"/>
    <col min="5387" max="5387" width="4.7109375" style="1" customWidth="1"/>
    <col min="5388" max="5388" width="8.5703125" style="1" customWidth="1"/>
    <col min="5389" max="5389" width="5.5703125" style="1" customWidth="1"/>
    <col min="5390" max="5391" width="11.5703125" style="1" customWidth="1"/>
    <col min="5392" max="5392" width="10.85546875" style="1" customWidth="1"/>
    <col min="5393" max="5393" width="7.7109375" style="1" customWidth="1"/>
    <col min="5394" max="5394" width="8" style="1" customWidth="1"/>
    <col min="5395" max="5395" width="16.28515625" style="1" customWidth="1"/>
    <col min="5396" max="5396" width="10.5703125" style="1" customWidth="1"/>
    <col min="5397" max="5397" width="14.140625" style="1" customWidth="1"/>
    <col min="5398" max="5398" width="10.140625" style="1" customWidth="1"/>
    <col min="5399" max="5399" width="15.140625" style="1" customWidth="1"/>
    <col min="5400" max="5400" width="8.5703125" style="1" customWidth="1"/>
    <col min="5401" max="5401" width="14.28515625" style="1" customWidth="1"/>
    <col min="5402" max="5402" width="18.28515625" style="1" customWidth="1"/>
    <col min="5403" max="5403" width="13" style="1" bestFit="1" customWidth="1"/>
    <col min="5404" max="5404" width="11.7109375" style="1" bestFit="1" customWidth="1"/>
    <col min="5405" max="5411" width="9.140625" style="1"/>
    <col min="5412" max="5412" width="11.28515625" style="1" bestFit="1" customWidth="1"/>
    <col min="5413" max="5413" width="10.7109375" style="1" bestFit="1" customWidth="1"/>
    <col min="5414" max="5635" width="9.140625" style="1"/>
    <col min="5636" max="5636" width="6.42578125" style="1" customWidth="1"/>
    <col min="5637" max="5637" width="20.7109375" style="1" customWidth="1"/>
    <col min="5638" max="5638" width="24.7109375" style="1" customWidth="1"/>
    <col min="5639" max="5639" width="11.140625" style="1" customWidth="1"/>
    <col min="5640" max="5640" width="12.28515625" style="1" customWidth="1"/>
    <col min="5641" max="5641" width="11.140625" style="1" customWidth="1"/>
    <col min="5642" max="5642" width="10.42578125" style="1" customWidth="1"/>
    <col min="5643" max="5643" width="4.7109375" style="1" customWidth="1"/>
    <col min="5644" max="5644" width="8.5703125" style="1" customWidth="1"/>
    <col min="5645" max="5645" width="5.5703125" style="1" customWidth="1"/>
    <col min="5646" max="5647" width="11.5703125" style="1" customWidth="1"/>
    <col min="5648" max="5648" width="10.85546875" style="1" customWidth="1"/>
    <col min="5649" max="5649" width="7.7109375" style="1" customWidth="1"/>
    <col min="5650" max="5650" width="8" style="1" customWidth="1"/>
    <col min="5651" max="5651" width="16.28515625" style="1" customWidth="1"/>
    <col min="5652" max="5652" width="10.5703125" style="1" customWidth="1"/>
    <col min="5653" max="5653" width="14.140625" style="1" customWidth="1"/>
    <col min="5654" max="5654" width="10.140625" style="1" customWidth="1"/>
    <col min="5655" max="5655" width="15.140625" style="1" customWidth="1"/>
    <col min="5656" max="5656" width="8.5703125" style="1" customWidth="1"/>
    <col min="5657" max="5657" width="14.28515625" style="1" customWidth="1"/>
    <col min="5658" max="5658" width="18.28515625" style="1" customWidth="1"/>
    <col min="5659" max="5659" width="13" style="1" bestFit="1" customWidth="1"/>
    <col min="5660" max="5660" width="11.7109375" style="1" bestFit="1" customWidth="1"/>
    <col min="5661" max="5667" width="9.140625" style="1"/>
    <col min="5668" max="5668" width="11.28515625" style="1" bestFit="1" customWidth="1"/>
    <col min="5669" max="5669" width="10.7109375" style="1" bestFit="1" customWidth="1"/>
    <col min="5670" max="5891" width="9.140625" style="1"/>
    <col min="5892" max="5892" width="6.42578125" style="1" customWidth="1"/>
    <col min="5893" max="5893" width="20.7109375" style="1" customWidth="1"/>
    <col min="5894" max="5894" width="24.7109375" style="1" customWidth="1"/>
    <col min="5895" max="5895" width="11.140625" style="1" customWidth="1"/>
    <col min="5896" max="5896" width="12.28515625" style="1" customWidth="1"/>
    <col min="5897" max="5897" width="11.140625" style="1" customWidth="1"/>
    <col min="5898" max="5898" width="10.42578125" style="1" customWidth="1"/>
    <col min="5899" max="5899" width="4.7109375" style="1" customWidth="1"/>
    <col min="5900" max="5900" width="8.5703125" style="1" customWidth="1"/>
    <col min="5901" max="5901" width="5.5703125" style="1" customWidth="1"/>
    <col min="5902" max="5903" width="11.5703125" style="1" customWidth="1"/>
    <col min="5904" max="5904" width="10.85546875" style="1" customWidth="1"/>
    <col min="5905" max="5905" width="7.7109375" style="1" customWidth="1"/>
    <col min="5906" max="5906" width="8" style="1" customWidth="1"/>
    <col min="5907" max="5907" width="16.28515625" style="1" customWidth="1"/>
    <col min="5908" max="5908" width="10.5703125" style="1" customWidth="1"/>
    <col min="5909" max="5909" width="14.140625" style="1" customWidth="1"/>
    <col min="5910" max="5910" width="10.140625" style="1" customWidth="1"/>
    <col min="5911" max="5911" width="15.140625" style="1" customWidth="1"/>
    <col min="5912" max="5912" width="8.5703125" style="1" customWidth="1"/>
    <col min="5913" max="5913" width="14.28515625" style="1" customWidth="1"/>
    <col min="5914" max="5914" width="18.28515625" style="1" customWidth="1"/>
    <col min="5915" max="5915" width="13" style="1" bestFit="1" customWidth="1"/>
    <col min="5916" max="5916" width="11.7109375" style="1" bestFit="1" customWidth="1"/>
    <col min="5917" max="5923" width="9.140625" style="1"/>
    <col min="5924" max="5924" width="11.28515625" style="1" bestFit="1" customWidth="1"/>
    <col min="5925" max="5925" width="10.7109375" style="1" bestFit="1" customWidth="1"/>
    <col min="5926" max="6147" width="9.140625" style="1"/>
    <col min="6148" max="6148" width="6.42578125" style="1" customWidth="1"/>
    <col min="6149" max="6149" width="20.7109375" style="1" customWidth="1"/>
    <col min="6150" max="6150" width="24.7109375" style="1" customWidth="1"/>
    <col min="6151" max="6151" width="11.140625" style="1" customWidth="1"/>
    <col min="6152" max="6152" width="12.28515625" style="1" customWidth="1"/>
    <col min="6153" max="6153" width="11.140625" style="1" customWidth="1"/>
    <col min="6154" max="6154" width="10.42578125" style="1" customWidth="1"/>
    <col min="6155" max="6155" width="4.7109375" style="1" customWidth="1"/>
    <col min="6156" max="6156" width="8.5703125" style="1" customWidth="1"/>
    <col min="6157" max="6157" width="5.5703125" style="1" customWidth="1"/>
    <col min="6158" max="6159" width="11.5703125" style="1" customWidth="1"/>
    <col min="6160" max="6160" width="10.85546875" style="1" customWidth="1"/>
    <col min="6161" max="6161" width="7.7109375" style="1" customWidth="1"/>
    <col min="6162" max="6162" width="8" style="1" customWidth="1"/>
    <col min="6163" max="6163" width="16.28515625" style="1" customWidth="1"/>
    <col min="6164" max="6164" width="10.5703125" style="1" customWidth="1"/>
    <col min="6165" max="6165" width="14.140625" style="1" customWidth="1"/>
    <col min="6166" max="6166" width="10.140625" style="1" customWidth="1"/>
    <col min="6167" max="6167" width="15.140625" style="1" customWidth="1"/>
    <col min="6168" max="6168" width="8.5703125" style="1" customWidth="1"/>
    <col min="6169" max="6169" width="14.28515625" style="1" customWidth="1"/>
    <col min="6170" max="6170" width="18.28515625" style="1" customWidth="1"/>
    <col min="6171" max="6171" width="13" style="1" bestFit="1" customWidth="1"/>
    <col min="6172" max="6172" width="11.7109375" style="1" bestFit="1" customWidth="1"/>
    <col min="6173" max="6179" width="9.140625" style="1"/>
    <col min="6180" max="6180" width="11.28515625" style="1" bestFit="1" customWidth="1"/>
    <col min="6181" max="6181" width="10.7109375" style="1" bestFit="1" customWidth="1"/>
    <col min="6182" max="6403" width="9.140625" style="1"/>
    <col min="6404" max="6404" width="6.42578125" style="1" customWidth="1"/>
    <col min="6405" max="6405" width="20.7109375" style="1" customWidth="1"/>
    <col min="6406" max="6406" width="24.7109375" style="1" customWidth="1"/>
    <col min="6407" max="6407" width="11.140625" style="1" customWidth="1"/>
    <col min="6408" max="6408" width="12.28515625" style="1" customWidth="1"/>
    <col min="6409" max="6409" width="11.140625" style="1" customWidth="1"/>
    <col min="6410" max="6410" width="10.42578125" style="1" customWidth="1"/>
    <col min="6411" max="6411" width="4.7109375" style="1" customWidth="1"/>
    <col min="6412" max="6412" width="8.5703125" style="1" customWidth="1"/>
    <col min="6413" max="6413" width="5.5703125" style="1" customWidth="1"/>
    <col min="6414" max="6415" width="11.5703125" style="1" customWidth="1"/>
    <col min="6416" max="6416" width="10.85546875" style="1" customWidth="1"/>
    <col min="6417" max="6417" width="7.7109375" style="1" customWidth="1"/>
    <col min="6418" max="6418" width="8" style="1" customWidth="1"/>
    <col min="6419" max="6419" width="16.28515625" style="1" customWidth="1"/>
    <col min="6420" max="6420" width="10.5703125" style="1" customWidth="1"/>
    <col min="6421" max="6421" width="14.140625" style="1" customWidth="1"/>
    <col min="6422" max="6422" width="10.140625" style="1" customWidth="1"/>
    <col min="6423" max="6423" width="15.140625" style="1" customWidth="1"/>
    <col min="6424" max="6424" width="8.5703125" style="1" customWidth="1"/>
    <col min="6425" max="6425" width="14.28515625" style="1" customWidth="1"/>
    <col min="6426" max="6426" width="18.28515625" style="1" customWidth="1"/>
    <col min="6427" max="6427" width="13" style="1" bestFit="1" customWidth="1"/>
    <col min="6428" max="6428" width="11.7109375" style="1" bestFit="1" customWidth="1"/>
    <col min="6429" max="6435" width="9.140625" style="1"/>
    <col min="6436" max="6436" width="11.28515625" style="1" bestFit="1" customWidth="1"/>
    <col min="6437" max="6437" width="10.7109375" style="1" bestFit="1" customWidth="1"/>
    <col min="6438" max="6659" width="9.140625" style="1"/>
    <col min="6660" max="6660" width="6.42578125" style="1" customWidth="1"/>
    <col min="6661" max="6661" width="20.7109375" style="1" customWidth="1"/>
    <col min="6662" max="6662" width="24.7109375" style="1" customWidth="1"/>
    <col min="6663" max="6663" width="11.140625" style="1" customWidth="1"/>
    <col min="6664" max="6664" width="12.28515625" style="1" customWidth="1"/>
    <col min="6665" max="6665" width="11.140625" style="1" customWidth="1"/>
    <col min="6666" max="6666" width="10.42578125" style="1" customWidth="1"/>
    <col min="6667" max="6667" width="4.7109375" style="1" customWidth="1"/>
    <col min="6668" max="6668" width="8.5703125" style="1" customWidth="1"/>
    <col min="6669" max="6669" width="5.5703125" style="1" customWidth="1"/>
    <col min="6670" max="6671" width="11.5703125" style="1" customWidth="1"/>
    <col min="6672" max="6672" width="10.85546875" style="1" customWidth="1"/>
    <col min="6673" max="6673" width="7.7109375" style="1" customWidth="1"/>
    <col min="6674" max="6674" width="8" style="1" customWidth="1"/>
    <col min="6675" max="6675" width="16.28515625" style="1" customWidth="1"/>
    <col min="6676" max="6676" width="10.5703125" style="1" customWidth="1"/>
    <col min="6677" max="6677" width="14.140625" style="1" customWidth="1"/>
    <col min="6678" max="6678" width="10.140625" style="1" customWidth="1"/>
    <col min="6679" max="6679" width="15.140625" style="1" customWidth="1"/>
    <col min="6680" max="6680" width="8.5703125" style="1" customWidth="1"/>
    <col min="6681" max="6681" width="14.28515625" style="1" customWidth="1"/>
    <col min="6682" max="6682" width="18.28515625" style="1" customWidth="1"/>
    <col min="6683" max="6683" width="13" style="1" bestFit="1" customWidth="1"/>
    <col min="6684" max="6684" width="11.7109375" style="1" bestFit="1" customWidth="1"/>
    <col min="6685" max="6691" width="9.140625" style="1"/>
    <col min="6692" max="6692" width="11.28515625" style="1" bestFit="1" customWidth="1"/>
    <col min="6693" max="6693" width="10.7109375" style="1" bestFit="1" customWidth="1"/>
    <col min="6694" max="6915" width="9.140625" style="1"/>
    <col min="6916" max="6916" width="6.42578125" style="1" customWidth="1"/>
    <col min="6917" max="6917" width="20.7109375" style="1" customWidth="1"/>
    <col min="6918" max="6918" width="24.7109375" style="1" customWidth="1"/>
    <col min="6919" max="6919" width="11.140625" style="1" customWidth="1"/>
    <col min="6920" max="6920" width="12.28515625" style="1" customWidth="1"/>
    <col min="6921" max="6921" width="11.140625" style="1" customWidth="1"/>
    <col min="6922" max="6922" width="10.42578125" style="1" customWidth="1"/>
    <col min="6923" max="6923" width="4.7109375" style="1" customWidth="1"/>
    <col min="6924" max="6924" width="8.5703125" style="1" customWidth="1"/>
    <col min="6925" max="6925" width="5.5703125" style="1" customWidth="1"/>
    <col min="6926" max="6927" width="11.5703125" style="1" customWidth="1"/>
    <col min="6928" max="6928" width="10.85546875" style="1" customWidth="1"/>
    <col min="6929" max="6929" width="7.7109375" style="1" customWidth="1"/>
    <col min="6930" max="6930" width="8" style="1" customWidth="1"/>
    <col min="6931" max="6931" width="16.28515625" style="1" customWidth="1"/>
    <col min="6932" max="6932" width="10.5703125" style="1" customWidth="1"/>
    <col min="6933" max="6933" width="14.140625" style="1" customWidth="1"/>
    <col min="6934" max="6934" width="10.140625" style="1" customWidth="1"/>
    <col min="6935" max="6935" width="15.140625" style="1" customWidth="1"/>
    <col min="6936" max="6936" width="8.5703125" style="1" customWidth="1"/>
    <col min="6937" max="6937" width="14.28515625" style="1" customWidth="1"/>
    <col min="6938" max="6938" width="18.28515625" style="1" customWidth="1"/>
    <col min="6939" max="6939" width="13" style="1" bestFit="1" customWidth="1"/>
    <col min="6940" max="6940" width="11.7109375" style="1" bestFit="1" customWidth="1"/>
    <col min="6941" max="6947" width="9.140625" style="1"/>
    <col min="6948" max="6948" width="11.28515625" style="1" bestFit="1" customWidth="1"/>
    <col min="6949" max="6949" width="10.7109375" style="1" bestFit="1" customWidth="1"/>
    <col min="6950" max="7171" width="9.140625" style="1"/>
    <col min="7172" max="7172" width="6.42578125" style="1" customWidth="1"/>
    <col min="7173" max="7173" width="20.7109375" style="1" customWidth="1"/>
    <col min="7174" max="7174" width="24.7109375" style="1" customWidth="1"/>
    <col min="7175" max="7175" width="11.140625" style="1" customWidth="1"/>
    <col min="7176" max="7176" width="12.28515625" style="1" customWidth="1"/>
    <col min="7177" max="7177" width="11.140625" style="1" customWidth="1"/>
    <col min="7178" max="7178" width="10.42578125" style="1" customWidth="1"/>
    <col min="7179" max="7179" width="4.7109375" style="1" customWidth="1"/>
    <col min="7180" max="7180" width="8.5703125" style="1" customWidth="1"/>
    <col min="7181" max="7181" width="5.5703125" style="1" customWidth="1"/>
    <col min="7182" max="7183" width="11.5703125" style="1" customWidth="1"/>
    <col min="7184" max="7184" width="10.85546875" style="1" customWidth="1"/>
    <col min="7185" max="7185" width="7.7109375" style="1" customWidth="1"/>
    <col min="7186" max="7186" width="8" style="1" customWidth="1"/>
    <col min="7187" max="7187" width="16.28515625" style="1" customWidth="1"/>
    <col min="7188" max="7188" width="10.5703125" style="1" customWidth="1"/>
    <col min="7189" max="7189" width="14.140625" style="1" customWidth="1"/>
    <col min="7190" max="7190" width="10.140625" style="1" customWidth="1"/>
    <col min="7191" max="7191" width="15.140625" style="1" customWidth="1"/>
    <col min="7192" max="7192" width="8.5703125" style="1" customWidth="1"/>
    <col min="7193" max="7193" width="14.28515625" style="1" customWidth="1"/>
    <col min="7194" max="7194" width="18.28515625" style="1" customWidth="1"/>
    <col min="7195" max="7195" width="13" style="1" bestFit="1" customWidth="1"/>
    <col min="7196" max="7196" width="11.7109375" style="1" bestFit="1" customWidth="1"/>
    <col min="7197" max="7203" width="9.140625" style="1"/>
    <col min="7204" max="7204" width="11.28515625" style="1" bestFit="1" customWidth="1"/>
    <col min="7205" max="7205" width="10.7109375" style="1" bestFit="1" customWidth="1"/>
    <col min="7206" max="7427" width="9.140625" style="1"/>
    <col min="7428" max="7428" width="6.42578125" style="1" customWidth="1"/>
    <col min="7429" max="7429" width="20.7109375" style="1" customWidth="1"/>
    <col min="7430" max="7430" width="24.7109375" style="1" customWidth="1"/>
    <col min="7431" max="7431" width="11.140625" style="1" customWidth="1"/>
    <col min="7432" max="7432" width="12.28515625" style="1" customWidth="1"/>
    <col min="7433" max="7433" width="11.140625" style="1" customWidth="1"/>
    <col min="7434" max="7434" width="10.42578125" style="1" customWidth="1"/>
    <col min="7435" max="7435" width="4.7109375" style="1" customWidth="1"/>
    <col min="7436" max="7436" width="8.5703125" style="1" customWidth="1"/>
    <col min="7437" max="7437" width="5.5703125" style="1" customWidth="1"/>
    <col min="7438" max="7439" width="11.5703125" style="1" customWidth="1"/>
    <col min="7440" max="7440" width="10.85546875" style="1" customWidth="1"/>
    <col min="7441" max="7441" width="7.7109375" style="1" customWidth="1"/>
    <col min="7442" max="7442" width="8" style="1" customWidth="1"/>
    <col min="7443" max="7443" width="16.28515625" style="1" customWidth="1"/>
    <col min="7444" max="7444" width="10.5703125" style="1" customWidth="1"/>
    <col min="7445" max="7445" width="14.140625" style="1" customWidth="1"/>
    <col min="7446" max="7446" width="10.140625" style="1" customWidth="1"/>
    <col min="7447" max="7447" width="15.140625" style="1" customWidth="1"/>
    <col min="7448" max="7448" width="8.5703125" style="1" customWidth="1"/>
    <col min="7449" max="7449" width="14.28515625" style="1" customWidth="1"/>
    <col min="7450" max="7450" width="18.28515625" style="1" customWidth="1"/>
    <col min="7451" max="7451" width="13" style="1" bestFit="1" customWidth="1"/>
    <col min="7452" max="7452" width="11.7109375" style="1" bestFit="1" customWidth="1"/>
    <col min="7453" max="7459" width="9.140625" style="1"/>
    <col min="7460" max="7460" width="11.28515625" style="1" bestFit="1" customWidth="1"/>
    <col min="7461" max="7461" width="10.7109375" style="1" bestFit="1" customWidth="1"/>
    <col min="7462" max="7683" width="9.140625" style="1"/>
    <col min="7684" max="7684" width="6.42578125" style="1" customWidth="1"/>
    <col min="7685" max="7685" width="20.7109375" style="1" customWidth="1"/>
    <col min="7686" max="7686" width="24.7109375" style="1" customWidth="1"/>
    <col min="7687" max="7687" width="11.140625" style="1" customWidth="1"/>
    <col min="7688" max="7688" width="12.28515625" style="1" customWidth="1"/>
    <col min="7689" max="7689" width="11.140625" style="1" customWidth="1"/>
    <col min="7690" max="7690" width="10.42578125" style="1" customWidth="1"/>
    <col min="7691" max="7691" width="4.7109375" style="1" customWidth="1"/>
    <col min="7692" max="7692" width="8.5703125" style="1" customWidth="1"/>
    <col min="7693" max="7693" width="5.5703125" style="1" customWidth="1"/>
    <col min="7694" max="7695" width="11.5703125" style="1" customWidth="1"/>
    <col min="7696" max="7696" width="10.85546875" style="1" customWidth="1"/>
    <col min="7697" max="7697" width="7.7109375" style="1" customWidth="1"/>
    <col min="7698" max="7698" width="8" style="1" customWidth="1"/>
    <col min="7699" max="7699" width="16.28515625" style="1" customWidth="1"/>
    <col min="7700" max="7700" width="10.5703125" style="1" customWidth="1"/>
    <col min="7701" max="7701" width="14.140625" style="1" customWidth="1"/>
    <col min="7702" max="7702" width="10.140625" style="1" customWidth="1"/>
    <col min="7703" max="7703" width="15.140625" style="1" customWidth="1"/>
    <col min="7704" max="7704" width="8.5703125" style="1" customWidth="1"/>
    <col min="7705" max="7705" width="14.28515625" style="1" customWidth="1"/>
    <col min="7706" max="7706" width="18.28515625" style="1" customWidth="1"/>
    <col min="7707" max="7707" width="13" style="1" bestFit="1" customWidth="1"/>
    <col min="7708" max="7708" width="11.7109375" style="1" bestFit="1" customWidth="1"/>
    <col min="7709" max="7715" width="9.140625" style="1"/>
    <col min="7716" max="7716" width="11.28515625" style="1" bestFit="1" customWidth="1"/>
    <col min="7717" max="7717" width="10.7109375" style="1" bestFit="1" customWidth="1"/>
    <col min="7718" max="7939" width="9.140625" style="1"/>
    <col min="7940" max="7940" width="6.42578125" style="1" customWidth="1"/>
    <col min="7941" max="7941" width="20.7109375" style="1" customWidth="1"/>
    <col min="7942" max="7942" width="24.7109375" style="1" customWidth="1"/>
    <col min="7943" max="7943" width="11.140625" style="1" customWidth="1"/>
    <col min="7944" max="7944" width="12.28515625" style="1" customWidth="1"/>
    <col min="7945" max="7945" width="11.140625" style="1" customWidth="1"/>
    <col min="7946" max="7946" width="10.42578125" style="1" customWidth="1"/>
    <col min="7947" max="7947" width="4.7109375" style="1" customWidth="1"/>
    <col min="7948" max="7948" width="8.5703125" style="1" customWidth="1"/>
    <col min="7949" max="7949" width="5.5703125" style="1" customWidth="1"/>
    <col min="7950" max="7951" width="11.5703125" style="1" customWidth="1"/>
    <col min="7952" max="7952" width="10.85546875" style="1" customWidth="1"/>
    <col min="7953" max="7953" width="7.7109375" style="1" customWidth="1"/>
    <col min="7954" max="7954" width="8" style="1" customWidth="1"/>
    <col min="7955" max="7955" width="16.28515625" style="1" customWidth="1"/>
    <col min="7956" max="7956" width="10.5703125" style="1" customWidth="1"/>
    <col min="7957" max="7957" width="14.140625" style="1" customWidth="1"/>
    <col min="7958" max="7958" width="10.140625" style="1" customWidth="1"/>
    <col min="7959" max="7959" width="15.140625" style="1" customWidth="1"/>
    <col min="7960" max="7960" width="8.5703125" style="1" customWidth="1"/>
    <col min="7961" max="7961" width="14.28515625" style="1" customWidth="1"/>
    <col min="7962" max="7962" width="18.28515625" style="1" customWidth="1"/>
    <col min="7963" max="7963" width="13" style="1" bestFit="1" customWidth="1"/>
    <col min="7964" max="7964" width="11.7109375" style="1" bestFit="1" customWidth="1"/>
    <col min="7965" max="7971" width="9.140625" style="1"/>
    <col min="7972" max="7972" width="11.28515625" style="1" bestFit="1" customWidth="1"/>
    <col min="7973" max="7973" width="10.7109375" style="1" bestFit="1" customWidth="1"/>
    <col min="7974" max="8195" width="9.140625" style="1"/>
    <col min="8196" max="8196" width="6.42578125" style="1" customWidth="1"/>
    <col min="8197" max="8197" width="20.7109375" style="1" customWidth="1"/>
    <col min="8198" max="8198" width="24.7109375" style="1" customWidth="1"/>
    <col min="8199" max="8199" width="11.140625" style="1" customWidth="1"/>
    <col min="8200" max="8200" width="12.28515625" style="1" customWidth="1"/>
    <col min="8201" max="8201" width="11.140625" style="1" customWidth="1"/>
    <col min="8202" max="8202" width="10.42578125" style="1" customWidth="1"/>
    <col min="8203" max="8203" width="4.7109375" style="1" customWidth="1"/>
    <col min="8204" max="8204" width="8.5703125" style="1" customWidth="1"/>
    <col min="8205" max="8205" width="5.5703125" style="1" customWidth="1"/>
    <col min="8206" max="8207" width="11.5703125" style="1" customWidth="1"/>
    <col min="8208" max="8208" width="10.85546875" style="1" customWidth="1"/>
    <col min="8209" max="8209" width="7.7109375" style="1" customWidth="1"/>
    <col min="8210" max="8210" width="8" style="1" customWidth="1"/>
    <col min="8211" max="8211" width="16.28515625" style="1" customWidth="1"/>
    <col min="8212" max="8212" width="10.5703125" style="1" customWidth="1"/>
    <col min="8213" max="8213" width="14.140625" style="1" customWidth="1"/>
    <col min="8214" max="8214" width="10.140625" style="1" customWidth="1"/>
    <col min="8215" max="8215" width="15.140625" style="1" customWidth="1"/>
    <col min="8216" max="8216" width="8.5703125" style="1" customWidth="1"/>
    <col min="8217" max="8217" width="14.28515625" style="1" customWidth="1"/>
    <col min="8218" max="8218" width="18.28515625" style="1" customWidth="1"/>
    <col min="8219" max="8219" width="13" style="1" bestFit="1" customWidth="1"/>
    <col min="8220" max="8220" width="11.7109375" style="1" bestFit="1" customWidth="1"/>
    <col min="8221" max="8227" width="9.140625" style="1"/>
    <col min="8228" max="8228" width="11.28515625" style="1" bestFit="1" customWidth="1"/>
    <col min="8229" max="8229" width="10.7109375" style="1" bestFit="1" customWidth="1"/>
    <col min="8230" max="8451" width="9.140625" style="1"/>
    <col min="8452" max="8452" width="6.42578125" style="1" customWidth="1"/>
    <col min="8453" max="8453" width="20.7109375" style="1" customWidth="1"/>
    <col min="8454" max="8454" width="24.7109375" style="1" customWidth="1"/>
    <col min="8455" max="8455" width="11.140625" style="1" customWidth="1"/>
    <col min="8456" max="8456" width="12.28515625" style="1" customWidth="1"/>
    <col min="8457" max="8457" width="11.140625" style="1" customWidth="1"/>
    <col min="8458" max="8458" width="10.42578125" style="1" customWidth="1"/>
    <col min="8459" max="8459" width="4.7109375" style="1" customWidth="1"/>
    <col min="8460" max="8460" width="8.5703125" style="1" customWidth="1"/>
    <col min="8461" max="8461" width="5.5703125" style="1" customWidth="1"/>
    <col min="8462" max="8463" width="11.5703125" style="1" customWidth="1"/>
    <col min="8464" max="8464" width="10.85546875" style="1" customWidth="1"/>
    <col min="8465" max="8465" width="7.7109375" style="1" customWidth="1"/>
    <col min="8466" max="8466" width="8" style="1" customWidth="1"/>
    <col min="8467" max="8467" width="16.28515625" style="1" customWidth="1"/>
    <col min="8468" max="8468" width="10.5703125" style="1" customWidth="1"/>
    <col min="8469" max="8469" width="14.140625" style="1" customWidth="1"/>
    <col min="8470" max="8470" width="10.140625" style="1" customWidth="1"/>
    <col min="8471" max="8471" width="15.140625" style="1" customWidth="1"/>
    <col min="8472" max="8472" width="8.5703125" style="1" customWidth="1"/>
    <col min="8473" max="8473" width="14.28515625" style="1" customWidth="1"/>
    <col min="8474" max="8474" width="18.28515625" style="1" customWidth="1"/>
    <col min="8475" max="8475" width="13" style="1" bestFit="1" customWidth="1"/>
    <col min="8476" max="8476" width="11.7109375" style="1" bestFit="1" customWidth="1"/>
    <col min="8477" max="8483" width="9.140625" style="1"/>
    <col min="8484" max="8484" width="11.28515625" style="1" bestFit="1" customWidth="1"/>
    <col min="8485" max="8485" width="10.7109375" style="1" bestFit="1" customWidth="1"/>
    <col min="8486" max="8707" width="9.140625" style="1"/>
    <col min="8708" max="8708" width="6.42578125" style="1" customWidth="1"/>
    <col min="8709" max="8709" width="20.7109375" style="1" customWidth="1"/>
    <col min="8710" max="8710" width="24.7109375" style="1" customWidth="1"/>
    <col min="8711" max="8711" width="11.140625" style="1" customWidth="1"/>
    <col min="8712" max="8712" width="12.28515625" style="1" customWidth="1"/>
    <col min="8713" max="8713" width="11.140625" style="1" customWidth="1"/>
    <col min="8714" max="8714" width="10.42578125" style="1" customWidth="1"/>
    <col min="8715" max="8715" width="4.7109375" style="1" customWidth="1"/>
    <col min="8716" max="8716" width="8.5703125" style="1" customWidth="1"/>
    <col min="8717" max="8717" width="5.5703125" style="1" customWidth="1"/>
    <col min="8718" max="8719" width="11.5703125" style="1" customWidth="1"/>
    <col min="8720" max="8720" width="10.85546875" style="1" customWidth="1"/>
    <col min="8721" max="8721" width="7.7109375" style="1" customWidth="1"/>
    <col min="8722" max="8722" width="8" style="1" customWidth="1"/>
    <col min="8723" max="8723" width="16.28515625" style="1" customWidth="1"/>
    <col min="8724" max="8724" width="10.5703125" style="1" customWidth="1"/>
    <col min="8725" max="8725" width="14.140625" style="1" customWidth="1"/>
    <col min="8726" max="8726" width="10.140625" style="1" customWidth="1"/>
    <col min="8727" max="8727" width="15.140625" style="1" customWidth="1"/>
    <col min="8728" max="8728" width="8.5703125" style="1" customWidth="1"/>
    <col min="8729" max="8729" width="14.28515625" style="1" customWidth="1"/>
    <col min="8730" max="8730" width="18.28515625" style="1" customWidth="1"/>
    <col min="8731" max="8731" width="13" style="1" bestFit="1" customWidth="1"/>
    <col min="8732" max="8732" width="11.7109375" style="1" bestFit="1" customWidth="1"/>
    <col min="8733" max="8739" width="9.140625" style="1"/>
    <col min="8740" max="8740" width="11.28515625" style="1" bestFit="1" customWidth="1"/>
    <col min="8741" max="8741" width="10.7109375" style="1" bestFit="1" customWidth="1"/>
    <col min="8742" max="8963" width="9.140625" style="1"/>
    <col min="8964" max="8964" width="6.42578125" style="1" customWidth="1"/>
    <col min="8965" max="8965" width="20.7109375" style="1" customWidth="1"/>
    <col min="8966" max="8966" width="24.7109375" style="1" customWidth="1"/>
    <col min="8967" max="8967" width="11.140625" style="1" customWidth="1"/>
    <col min="8968" max="8968" width="12.28515625" style="1" customWidth="1"/>
    <col min="8969" max="8969" width="11.140625" style="1" customWidth="1"/>
    <col min="8970" max="8970" width="10.42578125" style="1" customWidth="1"/>
    <col min="8971" max="8971" width="4.7109375" style="1" customWidth="1"/>
    <col min="8972" max="8972" width="8.5703125" style="1" customWidth="1"/>
    <col min="8973" max="8973" width="5.5703125" style="1" customWidth="1"/>
    <col min="8974" max="8975" width="11.5703125" style="1" customWidth="1"/>
    <col min="8976" max="8976" width="10.85546875" style="1" customWidth="1"/>
    <col min="8977" max="8977" width="7.7109375" style="1" customWidth="1"/>
    <col min="8978" max="8978" width="8" style="1" customWidth="1"/>
    <col min="8979" max="8979" width="16.28515625" style="1" customWidth="1"/>
    <col min="8980" max="8980" width="10.5703125" style="1" customWidth="1"/>
    <col min="8981" max="8981" width="14.140625" style="1" customWidth="1"/>
    <col min="8982" max="8982" width="10.140625" style="1" customWidth="1"/>
    <col min="8983" max="8983" width="15.140625" style="1" customWidth="1"/>
    <col min="8984" max="8984" width="8.5703125" style="1" customWidth="1"/>
    <col min="8985" max="8985" width="14.28515625" style="1" customWidth="1"/>
    <col min="8986" max="8986" width="18.28515625" style="1" customWidth="1"/>
    <col min="8987" max="8987" width="13" style="1" bestFit="1" customWidth="1"/>
    <col min="8988" max="8988" width="11.7109375" style="1" bestFit="1" customWidth="1"/>
    <col min="8989" max="8995" width="9.140625" style="1"/>
    <col min="8996" max="8996" width="11.28515625" style="1" bestFit="1" customWidth="1"/>
    <col min="8997" max="8997" width="10.7109375" style="1" bestFit="1" customWidth="1"/>
    <col min="8998" max="9219" width="9.140625" style="1"/>
    <col min="9220" max="9220" width="6.42578125" style="1" customWidth="1"/>
    <col min="9221" max="9221" width="20.7109375" style="1" customWidth="1"/>
    <col min="9222" max="9222" width="24.7109375" style="1" customWidth="1"/>
    <col min="9223" max="9223" width="11.140625" style="1" customWidth="1"/>
    <col min="9224" max="9224" width="12.28515625" style="1" customWidth="1"/>
    <col min="9225" max="9225" width="11.140625" style="1" customWidth="1"/>
    <col min="9226" max="9226" width="10.42578125" style="1" customWidth="1"/>
    <col min="9227" max="9227" width="4.7109375" style="1" customWidth="1"/>
    <col min="9228" max="9228" width="8.5703125" style="1" customWidth="1"/>
    <col min="9229" max="9229" width="5.5703125" style="1" customWidth="1"/>
    <col min="9230" max="9231" width="11.5703125" style="1" customWidth="1"/>
    <col min="9232" max="9232" width="10.85546875" style="1" customWidth="1"/>
    <col min="9233" max="9233" width="7.7109375" style="1" customWidth="1"/>
    <col min="9234" max="9234" width="8" style="1" customWidth="1"/>
    <col min="9235" max="9235" width="16.28515625" style="1" customWidth="1"/>
    <col min="9236" max="9236" width="10.5703125" style="1" customWidth="1"/>
    <col min="9237" max="9237" width="14.140625" style="1" customWidth="1"/>
    <col min="9238" max="9238" width="10.140625" style="1" customWidth="1"/>
    <col min="9239" max="9239" width="15.140625" style="1" customWidth="1"/>
    <col min="9240" max="9240" width="8.5703125" style="1" customWidth="1"/>
    <col min="9241" max="9241" width="14.28515625" style="1" customWidth="1"/>
    <col min="9242" max="9242" width="18.28515625" style="1" customWidth="1"/>
    <col min="9243" max="9243" width="13" style="1" bestFit="1" customWidth="1"/>
    <col min="9244" max="9244" width="11.7109375" style="1" bestFit="1" customWidth="1"/>
    <col min="9245" max="9251" width="9.140625" style="1"/>
    <col min="9252" max="9252" width="11.28515625" style="1" bestFit="1" customWidth="1"/>
    <col min="9253" max="9253" width="10.7109375" style="1" bestFit="1" customWidth="1"/>
    <col min="9254" max="9475" width="9.140625" style="1"/>
    <col min="9476" max="9476" width="6.42578125" style="1" customWidth="1"/>
    <col min="9477" max="9477" width="20.7109375" style="1" customWidth="1"/>
    <col min="9478" max="9478" width="24.7109375" style="1" customWidth="1"/>
    <col min="9479" max="9479" width="11.140625" style="1" customWidth="1"/>
    <col min="9480" max="9480" width="12.28515625" style="1" customWidth="1"/>
    <col min="9481" max="9481" width="11.140625" style="1" customWidth="1"/>
    <col min="9482" max="9482" width="10.42578125" style="1" customWidth="1"/>
    <col min="9483" max="9483" width="4.7109375" style="1" customWidth="1"/>
    <col min="9484" max="9484" width="8.5703125" style="1" customWidth="1"/>
    <col min="9485" max="9485" width="5.5703125" style="1" customWidth="1"/>
    <col min="9486" max="9487" width="11.5703125" style="1" customWidth="1"/>
    <col min="9488" max="9488" width="10.85546875" style="1" customWidth="1"/>
    <col min="9489" max="9489" width="7.7109375" style="1" customWidth="1"/>
    <col min="9490" max="9490" width="8" style="1" customWidth="1"/>
    <col min="9491" max="9491" width="16.28515625" style="1" customWidth="1"/>
    <col min="9492" max="9492" width="10.5703125" style="1" customWidth="1"/>
    <col min="9493" max="9493" width="14.140625" style="1" customWidth="1"/>
    <col min="9494" max="9494" width="10.140625" style="1" customWidth="1"/>
    <col min="9495" max="9495" width="15.140625" style="1" customWidth="1"/>
    <col min="9496" max="9496" width="8.5703125" style="1" customWidth="1"/>
    <col min="9497" max="9497" width="14.28515625" style="1" customWidth="1"/>
    <col min="9498" max="9498" width="18.28515625" style="1" customWidth="1"/>
    <col min="9499" max="9499" width="13" style="1" bestFit="1" customWidth="1"/>
    <col min="9500" max="9500" width="11.7109375" style="1" bestFit="1" customWidth="1"/>
    <col min="9501" max="9507" width="9.140625" style="1"/>
    <col min="9508" max="9508" width="11.28515625" style="1" bestFit="1" customWidth="1"/>
    <col min="9509" max="9509" width="10.7109375" style="1" bestFit="1" customWidth="1"/>
    <col min="9510" max="9731" width="9.140625" style="1"/>
    <col min="9732" max="9732" width="6.42578125" style="1" customWidth="1"/>
    <col min="9733" max="9733" width="20.7109375" style="1" customWidth="1"/>
    <col min="9734" max="9734" width="24.7109375" style="1" customWidth="1"/>
    <col min="9735" max="9735" width="11.140625" style="1" customWidth="1"/>
    <col min="9736" max="9736" width="12.28515625" style="1" customWidth="1"/>
    <col min="9737" max="9737" width="11.140625" style="1" customWidth="1"/>
    <col min="9738" max="9738" width="10.42578125" style="1" customWidth="1"/>
    <col min="9739" max="9739" width="4.7109375" style="1" customWidth="1"/>
    <col min="9740" max="9740" width="8.5703125" style="1" customWidth="1"/>
    <col min="9741" max="9741" width="5.5703125" style="1" customWidth="1"/>
    <col min="9742" max="9743" width="11.5703125" style="1" customWidth="1"/>
    <col min="9744" max="9744" width="10.85546875" style="1" customWidth="1"/>
    <col min="9745" max="9745" width="7.7109375" style="1" customWidth="1"/>
    <col min="9746" max="9746" width="8" style="1" customWidth="1"/>
    <col min="9747" max="9747" width="16.28515625" style="1" customWidth="1"/>
    <col min="9748" max="9748" width="10.5703125" style="1" customWidth="1"/>
    <col min="9749" max="9749" width="14.140625" style="1" customWidth="1"/>
    <col min="9750" max="9750" width="10.140625" style="1" customWidth="1"/>
    <col min="9751" max="9751" width="15.140625" style="1" customWidth="1"/>
    <col min="9752" max="9752" width="8.5703125" style="1" customWidth="1"/>
    <col min="9753" max="9753" width="14.28515625" style="1" customWidth="1"/>
    <col min="9754" max="9754" width="18.28515625" style="1" customWidth="1"/>
    <col min="9755" max="9755" width="13" style="1" bestFit="1" customWidth="1"/>
    <col min="9756" max="9756" width="11.7109375" style="1" bestFit="1" customWidth="1"/>
    <col min="9757" max="9763" width="9.140625" style="1"/>
    <col min="9764" max="9764" width="11.28515625" style="1" bestFit="1" customWidth="1"/>
    <col min="9765" max="9765" width="10.7109375" style="1" bestFit="1" customWidth="1"/>
    <col min="9766" max="9987" width="9.140625" style="1"/>
    <col min="9988" max="9988" width="6.42578125" style="1" customWidth="1"/>
    <col min="9989" max="9989" width="20.7109375" style="1" customWidth="1"/>
    <col min="9990" max="9990" width="24.7109375" style="1" customWidth="1"/>
    <col min="9991" max="9991" width="11.140625" style="1" customWidth="1"/>
    <col min="9992" max="9992" width="12.28515625" style="1" customWidth="1"/>
    <col min="9993" max="9993" width="11.140625" style="1" customWidth="1"/>
    <col min="9994" max="9994" width="10.42578125" style="1" customWidth="1"/>
    <col min="9995" max="9995" width="4.7109375" style="1" customWidth="1"/>
    <col min="9996" max="9996" width="8.5703125" style="1" customWidth="1"/>
    <col min="9997" max="9997" width="5.5703125" style="1" customWidth="1"/>
    <col min="9998" max="9999" width="11.5703125" style="1" customWidth="1"/>
    <col min="10000" max="10000" width="10.85546875" style="1" customWidth="1"/>
    <col min="10001" max="10001" width="7.7109375" style="1" customWidth="1"/>
    <col min="10002" max="10002" width="8" style="1" customWidth="1"/>
    <col min="10003" max="10003" width="16.28515625" style="1" customWidth="1"/>
    <col min="10004" max="10004" width="10.5703125" style="1" customWidth="1"/>
    <col min="10005" max="10005" width="14.140625" style="1" customWidth="1"/>
    <col min="10006" max="10006" width="10.140625" style="1" customWidth="1"/>
    <col min="10007" max="10007" width="15.140625" style="1" customWidth="1"/>
    <col min="10008" max="10008" width="8.5703125" style="1" customWidth="1"/>
    <col min="10009" max="10009" width="14.28515625" style="1" customWidth="1"/>
    <col min="10010" max="10010" width="18.28515625" style="1" customWidth="1"/>
    <col min="10011" max="10011" width="13" style="1" bestFit="1" customWidth="1"/>
    <col min="10012" max="10012" width="11.7109375" style="1" bestFit="1" customWidth="1"/>
    <col min="10013" max="10019" width="9.140625" style="1"/>
    <col min="10020" max="10020" width="11.28515625" style="1" bestFit="1" customWidth="1"/>
    <col min="10021" max="10021" width="10.7109375" style="1" bestFit="1" customWidth="1"/>
    <col min="10022" max="10243" width="9.140625" style="1"/>
    <col min="10244" max="10244" width="6.42578125" style="1" customWidth="1"/>
    <col min="10245" max="10245" width="20.7109375" style="1" customWidth="1"/>
    <col min="10246" max="10246" width="24.7109375" style="1" customWidth="1"/>
    <col min="10247" max="10247" width="11.140625" style="1" customWidth="1"/>
    <col min="10248" max="10248" width="12.28515625" style="1" customWidth="1"/>
    <col min="10249" max="10249" width="11.140625" style="1" customWidth="1"/>
    <col min="10250" max="10250" width="10.42578125" style="1" customWidth="1"/>
    <col min="10251" max="10251" width="4.7109375" style="1" customWidth="1"/>
    <col min="10252" max="10252" width="8.5703125" style="1" customWidth="1"/>
    <col min="10253" max="10253" width="5.5703125" style="1" customWidth="1"/>
    <col min="10254" max="10255" width="11.5703125" style="1" customWidth="1"/>
    <col min="10256" max="10256" width="10.85546875" style="1" customWidth="1"/>
    <col min="10257" max="10257" width="7.7109375" style="1" customWidth="1"/>
    <col min="10258" max="10258" width="8" style="1" customWidth="1"/>
    <col min="10259" max="10259" width="16.28515625" style="1" customWidth="1"/>
    <col min="10260" max="10260" width="10.5703125" style="1" customWidth="1"/>
    <col min="10261" max="10261" width="14.140625" style="1" customWidth="1"/>
    <col min="10262" max="10262" width="10.140625" style="1" customWidth="1"/>
    <col min="10263" max="10263" width="15.140625" style="1" customWidth="1"/>
    <col min="10264" max="10264" width="8.5703125" style="1" customWidth="1"/>
    <col min="10265" max="10265" width="14.28515625" style="1" customWidth="1"/>
    <col min="10266" max="10266" width="18.28515625" style="1" customWidth="1"/>
    <col min="10267" max="10267" width="13" style="1" bestFit="1" customWidth="1"/>
    <col min="10268" max="10268" width="11.7109375" style="1" bestFit="1" customWidth="1"/>
    <col min="10269" max="10275" width="9.140625" style="1"/>
    <col min="10276" max="10276" width="11.28515625" style="1" bestFit="1" customWidth="1"/>
    <col min="10277" max="10277" width="10.7109375" style="1" bestFit="1" customWidth="1"/>
    <col min="10278" max="10499" width="9.140625" style="1"/>
    <col min="10500" max="10500" width="6.42578125" style="1" customWidth="1"/>
    <col min="10501" max="10501" width="20.7109375" style="1" customWidth="1"/>
    <col min="10502" max="10502" width="24.7109375" style="1" customWidth="1"/>
    <col min="10503" max="10503" width="11.140625" style="1" customWidth="1"/>
    <col min="10504" max="10504" width="12.28515625" style="1" customWidth="1"/>
    <col min="10505" max="10505" width="11.140625" style="1" customWidth="1"/>
    <col min="10506" max="10506" width="10.42578125" style="1" customWidth="1"/>
    <col min="10507" max="10507" width="4.7109375" style="1" customWidth="1"/>
    <col min="10508" max="10508" width="8.5703125" style="1" customWidth="1"/>
    <col min="10509" max="10509" width="5.5703125" style="1" customWidth="1"/>
    <col min="10510" max="10511" width="11.5703125" style="1" customWidth="1"/>
    <col min="10512" max="10512" width="10.85546875" style="1" customWidth="1"/>
    <col min="10513" max="10513" width="7.7109375" style="1" customWidth="1"/>
    <col min="10514" max="10514" width="8" style="1" customWidth="1"/>
    <col min="10515" max="10515" width="16.28515625" style="1" customWidth="1"/>
    <col min="10516" max="10516" width="10.5703125" style="1" customWidth="1"/>
    <col min="10517" max="10517" width="14.140625" style="1" customWidth="1"/>
    <col min="10518" max="10518" width="10.140625" style="1" customWidth="1"/>
    <col min="10519" max="10519" width="15.140625" style="1" customWidth="1"/>
    <col min="10520" max="10520" width="8.5703125" style="1" customWidth="1"/>
    <col min="10521" max="10521" width="14.28515625" style="1" customWidth="1"/>
    <col min="10522" max="10522" width="18.28515625" style="1" customWidth="1"/>
    <col min="10523" max="10523" width="13" style="1" bestFit="1" customWidth="1"/>
    <col min="10524" max="10524" width="11.7109375" style="1" bestFit="1" customWidth="1"/>
    <col min="10525" max="10531" width="9.140625" style="1"/>
    <col min="10532" max="10532" width="11.28515625" style="1" bestFit="1" customWidth="1"/>
    <col min="10533" max="10533" width="10.7109375" style="1" bestFit="1" customWidth="1"/>
    <col min="10534" max="10755" width="9.140625" style="1"/>
    <col min="10756" max="10756" width="6.42578125" style="1" customWidth="1"/>
    <col min="10757" max="10757" width="20.7109375" style="1" customWidth="1"/>
    <col min="10758" max="10758" width="24.7109375" style="1" customWidth="1"/>
    <col min="10759" max="10759" width="11.140625" style="1" customWidth="1"/>
    <col min="10760" max="10760" width="12.28515625" style="1" customWidth="1"/>
    <col min="10761" max="10761" width="11.140625" style="1" customWidth="1"/>
    <col min="10762" max="10762" width="10.42578125" style="1" customWidth="1"/>
    <col min="10763" max="10763" width="4.7109375" style="1" customWidth="1"/>
    <col min="10764" max="10764" width="8.5703125" style="1" customWidth="1"/>
    <col min="10765" max="10765" width="5.5703125" style="1" customWidth="1"/>
    <col min="10766" max="10767" width="11.5703125" style="1" customWidth="1"/>
    <col min="10768" max="10768" width="10.85546875" style="1" customWidth="1"/>
    <col min="10769" max="10769" width="7.7109375" style="1" customWidth="1"/>
    <col min="10770" max="10770" width="8" style="1" customWidth="1"/>
    <col min="10771" max="10771" width="16.28515625" style="1" customWidth="1"/>
    <col min="10772" max="10772" width="10.5703125" style="1" customWidth="1"/>
    <col min="10773" max="10773" width="14.140625" style="1" customWidth="1"/>
    <col min="10774" max="10774" width="10.140625" style="1" customWidth="1"/>
    <col min="10775" max="10775" width="15.140625" style="1" customWidth="1"/>
    <col min="10776" max="10776" width="8.5703125" style="1" customWidth="1"/>
    <col min="10777" max="10777" width="14.28515625" style="1" customWidth="1"/>
    <col min="10778" max="10778" width="18.28515625" style="1" customWidth="1"/>
    <col min="10779" max="10779" width="13" style="1" bestFit="1" customWidth="1"/>
    <col min="10780" max="10780" width="11.7109375" style="1" bestFit="1" customWidth="1"/>
    <col min="10781" max="10787" width="9.140625" style="1"/>
    <col min="10788" max="10788" width="11.28515625" style="1" bestFit="1" customWidth="1"/>
    <col min="10789" max="10789" width="10.7109375" style="1" bestFit="1" customWidth="1"/>
    <col min="10790" max="11011" width="9.140625" style="1"/>
    <col min="11012" max="11012" width="6.42578125" style="1" customWidth="1"/>
    <col min="11013" max="11013" width="20.7109375" style="1" customWidth="1"/>
    <col min="11014" max="11014" width="24.7109375" style="1" customWidth="1"/>
    <col min="11015" max="11015" width="11.140625" style="1" customWidth="1"/>
    <col min="11016" max="11016" width="12.28515625" style="1" customWidth="1"/>
    <col min="11017" max="11017" width="11.140625" style="1" customWidth="1"/>
    <col min="11018" max="11018" width="10.42578125" style="1" customWidth="1"/>
    <col min="11019" max="11019" width="4.7109375" style="1" customWidth="1"/>
    <col min="11020" max="11020" width="8.5703125" style="1" customWidth="1"/>
    <col min="11021" max="11021" width="5.5703125" style="1" customWidth="1"/>
    <col min="11022" max="11023" width="11.5703125" style="1" customWidth="1"/>
    <col min="11024" max="11024" width="10.85546875" style="1" customWidth="1"/>
    <col min="11025" max="11025" width="7.7109375" style="1" customWidth="1"/>
    <col min="11026" max="11026" width="8" style="1" customWidth="1"/>
    <col min="11027" max="11027" width="16.28515625" style="1" customWidth="1"/>
    <col min="11028" max="11028" width="10.5703125" style="1" customWidth="1"/>
    <col min="11029" max="11029" width="14.140625" style="1" customWidth="1"/>
    <col min="11030" max="11030" width="10.140625" style="1" customWidth="1"/>
    <col min="11031" max="11031" width="15.140625" style="1" customWidth="1"/>
    <col min="11032" max="11032" width="8.5703125" style="1" customWidth="1"/>
    <col min="11033" max="11033" width="14.28515625" style="1" customWidth="1"/>
    <col min="11034" max="11034" width="18.28515625" style="1" customWidth="1"/>
    <col min="11035" max="11035" width="13" style="1" bestFit="1" customWidth="1"/>
    <col min="11036" max="11036" width="11.7109375" style="1" bestFit="1" customWidth="1"/>
    <col min="11037" max="11043" width="9.140625" style="1"/>
    <col min="11044" max="11044" width="11.28515625" style="1" bestFit="1" customWidth="1"/>
    <col min="11045" max="11045" width="10.7109375" style="1" bestFit="1" customWidth="1"/>
    <col min="11046" max="11267" width="9.140625" style="1"/>
    <col min="11268" max="11268" width="6.42578125" style="1" customWidth="1"/>
    <col min="11269" max="11269" width="20.7109375" style="1" customWidth="1"/>
    <col min="11270" max="11270" width="24.7109375" style="1" customWidth="1"/>
    <col min="11271" max="11271" width="11.140625" style="1" customWidth="1"/>
    <col min="11272" max="11272" width="12.28515625" style="1" customWidth="1"/>
    <col min="11273" max="11273" width="11.140625" style="1" customWidth="1"/>
    <col min="11274" max="11274" width="10.42578125" style="1" customWidth="1"/>
    <col min="11275" max="11275" width="4.7109375" style="1" customWidth="1"/>
    <col min="11276" max="11276" width="8.5703125" style="1" customWidth="1"/>
    <col min="11277" max="11277" width="5.5703125" style="1" customWidth="1"/>
    <col min="11278" max="11279" width="11.5703125" style="1" customWidth="1"/>
    <col min="11280" max="11280" width="10.85546875" style="1" customWidth="1"/>
    <col min="11281" max="11281" width="7.7109375" style="1" customWidth="1"/>
    <col min="11282" max="11282" width="8" style="1" customWidth="1"/>
    <col min="11283" max="11283" width="16.28515625" style="1" customWidth="1"/>
    <col min="11284" max="11284" width="10.5703125" style="1" customWidth="1"/>
    <col min="11285" max="11285" width="14.140625" style="1" customWidth="1"/>
    <col min="11286" max="11286" width="10.140625" style="1" customWidth="1"/>
    <col min="11287" max="11287" width="15.140625" style="1" customWidth="1"/>
    <col min="11288" max="11288" width="8.5703125" style="1" customWidth="1"/>
    <col min="11289" max="11289" width="14.28515625" style="1" customWidth="1"/>
    <col min="11290" max="11290" width="18.28515625" style="1" customWidth="1"/>
    <col min="11291" max="11291" width="13" style="1" bestFit="1" customWidth="1"/>
    <col min="11292" max="11292" width="11.7109375" style="1" bestFit="1" customWidth="1"/>
    <col min="11293" max="11299" width="9.140625" style="1"/>
    <col min="11300" max="11300" width="11.28515625" style="1" bestFit="1" customWidth="1"/>
    <col min="11301" max="11301" width="10.7109375" style="1" bestFit="1" customWidth="1"/>
    <col min="11302" max="11523" width="9.140625" style="1"/>
    <col min="11524" max="11524" width="6.42578125" style="1" customWidth="1"/>
    <col min="11525" max="11525" width="20.7109375" style="1" customWidth="1"/>
    <col min="11526" max="11526" width="24.7109375" style="1" customWidth="1"/>
    <col min="11527" max="11527" width="11.140625" style="1" customWidth="1"/>
    <col min="11528" max="11528" width="12.28515625" style="1" customWidth="1"/>
    <col min="11529" max="11529" width="11.140625" style="1" customWidth="1"/>
    <col min="11530" max="11530" width="10.42578125" style="1" customWidth="1"/>
    <col min="11531" max="11531" width="4.7109375" style="1" customWidth="1"/>
    <col min="11532" max="11532" width="8.5703125" style="1" customWidth="1"/>
    <col min="11533" max="11533" width="5.5703125" style="1" customWidth="1"/>
    <col min="11534" max="11535" width="11.5703125" style="1" customWidth="1"/>
    <col min="11536" max="11536" width="10.85546875" style="1" customWidth="1"/>
    <col min="11537" max="11537" width="7.7109375" style="1" customWidth="1"/>
    <col min="11538" max="11538" width="8" style="1" customWidth="1"/>
    <col min="11539" max="11539" width="16.28515625" style="1" customWidth="1"/>
    <col min="11540" max="11540" width="10.5703125" style="1" customWidth="1"/>
    <col min="11541" max="11541" width="14.140625" style="1" customWidth="1"/>
    <col min="11542" max="11542" width="10.140625" style="1" customWidth="1"/>
    <col min="11543" max="11543" width="15.140625" style="1" customWidth="1"/>
    <col min="11544" max="11544" width="8.5703125" style="1" customWidth="1"/>
    <col min="11545" max="11545" width="14.28515625" style="1" customWidth="1"/>
    <col min="11546" max="11546" width="18.28515625" style="1" customWidth="1"/>
    <col min="11547" max="11547" width="13" style="1" bestFit="1" customWidth="1"/>
    <col min="11548" max="11548" width="11.7109375" style="1" bestFit="1" customWidth="1"/>
    <col min="11549" max="11555" width="9.140625" style="1"/>
    <col min="11556" max="11556" width="11.28515625" style="1" bestFit="1" customWidth="1"/>
    <col min="11557" max="11557" width="10.7109375" style="1" bestFit="1" customWidth="1"/>
    <col min="11558" max="11779" width="9.140625" style="1"/>
    <col min="11780" max="11780" width="6.42578125" style="1" customWidth="1"/>
    <col min="11781" max="11781" width="20.7109375" style="1" customWidth="1"/>
    <col min="11782" max="11782" width="24.7109375" style="1" customWidth="1"/>
    <col min="11783" max="11783" width="11.140625" style="1" customWidth="1"/>
    <col min="11784" max="11784" width="12.28515625" style="1" customWidth="1"/>
    <col min="11785" max="11785" width="11.140625" style="1" customWidth="1"/>
    <col min="11786" max="11786" width="10.42578125" style="1" customWidth="1"/>
    <col min="11787" max="11787" width="4.7109375" style="1" customWidth="1"/>
    <col min="11788" max="11788" width="8.5703125" style="1" customWidth="1"/>
    <col min="11789" max="11789" width="5.5703125" style="1" customWidth="1"/>
    <col min="11790" max="11791" width="11.5703125" style="1" customWidth="1"/>
    <col min="11792" max="11792" width="10.85546875" style="1" customWidth="1"/>
    <col min="11793" max="11793" width="7.7109375" style="1" customWidth="1"/>
    <col min="11794" max="11794" width="8" style="1" customWidth="1"/>
    <col min="11795" max="11795" width="16.28515625" style="1" customWidth="1"/>
    <col min="11796" max="11796" width="10.5703125" style="1" customWidth="1"/>
    <col min="11797" max="11797" width="14.140625" style="1" customWidth="1"/>
    <col min="11798" max="11798" width="10.140625" style="1" customWidth="1"/>
    <col min="11799" max="11799" width="15.140625" style="1" customWidth="1"/>
    <col min="11800" max="11800" width="8.5703125" style="1" customWidth="1"/>
    <col min="11801" max="11801" width="14.28515625" style="1" customWidth="1"/>
    <col min="11802" max="11802" width="18.28515625" style="1" customWidth="1"/>
    <col min="11803" max="11803" width="13" style="1" bestFit="1" customWidth="1"/>
    <col min="11804" max="11804" width="11.7109375" style="1" bestFit="1" customWidth="1"/>
    <col min="11805" max="11811" width="9.140625" style="1"/>
    <col min="11812" max="11812" width="11.28515625" style="1" bestFit="1" customWidth="1"/>
    <col min="11813" max="11813" width="10.7109375" style="1" bestFit="1" customWidth="1"/>
    <col min="11814" max="12035" width="9.140625" style="1"/>
    <col min="12036" max="12036" width="6.42578125" style="1" customWidth="1"/>
    <col min="12037" max="12037" width="20.7109375" style="1" customWidth="1"/>
    <col min="12038" max="12038" width="24.7109375" style="1" customWidth="1"/>
    <col min="12039" max="12039" width="11.140625" style="1" customWidth="1"/>
    <col min="12040" max="12040" width="12.28515625" style="1" customWidth="1"/>
    <col min="12041" max="12041" width="11.140625" style="1" customWidth="1"/>
    <col min="12042" max="12042" width="10.42578125" style="1" customWidth="1"/>
    <col min="12043" max="12043" width="4.7109375" style="1" customWidth="1"/>
    <col min="12044" max="12044" width="8.5703125" style="1" customWidth="1"/>
    <col min="12045" max="12045" width="5.5703125" style="1" customWidth="1"/>
    <col min="12046" max="12047" width="11.5703125" style="1" customWidth="1"/>
    <col min="12048" max="12048" width="10.85546875" style="1" customWidth="1"/>
    <col min="12049" max="12049" width="7.7109375" style="1" customWidth="1"/>
    <col min="12050" max="12050" width="8" style="1" customWidth="1"/>
    <col min="12051" max="12051" width="16.28515625" style="1" customWidth="1"/>
    <col min="12052" max="12052" width="10.5703125" style="1" customWidth="1"/>
    <col min="12053" max="12053" width="14.140625" style="1" customWidth="1"/>
    <col min="12054" max="12054" width="10.140625" style="1" customWidth="1"/>
    <col min="12055" max="12055" width="15.140625" style="1" customWidth="1"/>
    <col min="12056" max="12056" width="8.5703125" style="1" customWidth="1"/>
    <col min="12057" max="12057" width="14.28515625" style="1" customWidth="1"/>
    <col min="12058" max="12058" width="18.28515625" style="1" customWidth="1"/>
    <col min="12059" max="12059" width="13" style="1" bestFit="1" customWidth="1"/>
    <col min="12060" max="12060" width="11.7109375" style="1" bestFit="1" customWidth="1"/>
    <col min="12061" max="12067" width="9.140625" style="1"/>
    <col min="12068" max="12068" width="11.28515625" style="1" bestFit="1" customWidth="1"/>
    <col min="12069" max="12069" width="10.7109375" style="1" bestFit="1" customWidth="1"/>
    <col min="12070" max="12291" width="9.140625" style="1"/>
    <col min="12292" max="12292" width="6.42578125" style="1" customWidth="1"/>
    <col min="12293" max="12293" width="20.7109375" style="1" customWidth="1"/>
    <col min="12294" max="12294" width="24.7109375" style="1" customWidth="1"/>
    <col min="12295" max="12295" width="11.140625" style="1" customWidth="1"/>
    <col min="12296" max="12296" width="12.28515625" style="1" customWidth="1"/>
    <col min="12297" max="12297" width="11.140625" style="1" customWidth="1"/>
    <col min="12298" max="12298" width="10.42578125" style="1" customWidth="1"/>
    <col min="12299" max="12299" width="4.7109375" style="1" customWidth="1"/>
    <col min="12300" max="12300" width="8.5703125" style="1" customWidth="1"/>
    <col min="12301" max="12301" width="5.5703125" style="1" customWidth="1"/>
    <col min="12302" max="12303" width="11.5703125" style="1" customWidth="1"/>
    <col min="12304" max="12304" width="10.85546875" style="1" customWidth="1"/>
    <col min="12305" max="12305" width="7.7109375" style="1" customWidth="1"/>
    <col min="12306" max="12306" width="8" style="1" customWidth="1"/>
    <col min="12307" max="12307" width="16.28515625" style="1" customWidth="1"/>
    <col min="12308" max="12308" width="10.5703125" style="1" customWidth="1"/>
    <col min="12309" max="12309" width="14.140625" style="1" customWidth="1"/>
    <col min="12310" max="12310" width="10.140625" style="1" customWidth="1"/>
    <col min="12311" max="12311" width="15.140625" style="1" customWidth="1"/>
    <col min="12312" max="12312" width="8.5703125" style="1" customWidth="1"/>
    <col min="12313" max="12313" width="14.28515625" style="1" customWidth="1"/>
    <col min="12314" max="12314" width="18.28515625" style="1" customWidth="1"/>
    <col min="12315" max="12315" width="13" style="1" bestFit="1" customWidth="1"/>
    <col min="12316" max="12316" width="11.7109375" style="1" bestFit="1" customWidth="1"/>
    <col min="12317" max="12323" width="9.140625" style="1"/>
    <col min="12324" max="12324" width="11.28515625" style="1" bestFit="1" customWidth="1"/>
    <col min="12325" max="12325" width="10.7109375" style="1" bestFit="1" customWidth="1"/>
    <col min="12326" max="12547" width="9.140625" style="1"/>
    <col min="12548" max="12548" width="6.42578125" style="1" customWidth="1"/>
    <col min="12549" max="12549" width="20.7109375" style="1" customWidth="1"/>
    <col min="12550" max="12550" width="24.7109375" style="1" customWidth="1"/>
    <col min="12551" max="12551" width="11.140625" style="1" customWidth="1"/>
    <col min="12552" max="12552" width="12.28515625" style="1" customWidth="1"/>
    <col min="12553" max="12553" width="11.140625" style="1" customWidth="1"/>
    <col min="12554" max="12554" width="10.42578125" style="1" customWidth="1"/>
    <col min="12555" max="12555" width="4.7109375" style="1" customWidth="1"/>
    <col min="12556" max="12556" width="8.5703125" style="1" customWidth="1"/>
    <col min="12557" max="12557" width="5.5703125" style="1" customWidth="1"/>
    <col min="12558" max="12559" width="11.5703125" style="1" customWidth="1"/>
    <col min="12560" max="12560" width="10.85546875" style="1" customWidth="1"/>
    <col min="12561" max="12561" width="7.7109375" style="1" customWidth="1"/>
    <col min="12562" max="12562" width="8" style="1" customWidth="1"/>
    <col min="12563" max="12563" width="16.28515625" style="1" customWidth="1"/>
    <col min="12564" max="12564" width="10.5703125" style="1" customWidth="1"/>
    <col min="12565" max="12565" width="14.140625" style="1" customWidth="1"/>
    <col min="12566" max="12566" width="10.140625" style="1" customWidth="1"/>
    <col min="12567" max="12567" width="15.140625" style="1" customWidth="1"/>
    <col min="12568" max="12568" width="8.5703125" style="1" customWidth="1"/>
    <col min="12569" max="12569" width="14.28515625" style="1" customWidth="1"/>
    <col min="12570" max="12570" width="18.28515625" style="1" customWidth="1"/>
    <col min="12571" max="12571" width="13" style="1" bestFit="1" customWidth="1"/>
    <col min="12572" max="12572" width="11.7109375" style="1" bestFit="1" customWidth="1"/>
    <col min="12573" max="12579" width="9.140625" style="1"/>
    <col min="12580" max="12580" width="11.28515625" style="1" bestFit="1" customWidth="1"/>
    <col min="12581" max="12581" width="10.7109375" style="1" bestFit="1" customWidth="1"/>
    <col min="12582" max="12803" width="9.140625" style="1"/>
    <col min="12804" max="12804" width="6.42578125" style="1" customWidth="1"/>
    <col min="12805" max="12805" width="20.7109375" style="1" customWidth="1"/>
    <col min="12806" max="12806" width="24.7109375" style="1" customWidth="1"/>
    <col min="12807" max="12807" width="11.140625" style="1" customWidth="1"/>
    <col min="12808" max="12808" width="12.28515625" style="1" customWidth="1"/>
    <col min="12809" max="12809" width="11.140625" style="1" customWidth="1"/>
    <col min="12810" max="12810" width="10.42578125" style="1" customWidth="1"/>
    <col min="12811" max="12811" width="4.7109375" style="1" customWidth="1"/>
    <col min="12812" max="12812" width="8.5703125" style="1" customWidth="1"/>
    <col min="12813" max="12813" width="5.5703125" style="1" customWidth="1"/>
    <col min="12814" max="12815" width="11.5703125" style="1" customWidth="1"/>
    <col min="12816" max="12816" width="10.85546875" style="1" customWidth="1"/>
    <col min="12817" max="12817" width="7.7109375" style="1" customWidth="1"/>
    <col min="12818" max="12818" width="8" style="1" customWidth="1"/>
    <col min="12819" max="12819" width="16.28515625" style="1" customWidth="1"/>
    <col min="12820" max="12820" width="10.5703125" style="1" customWidth="1"/>
    <col min="12821" max="12821" width="14.140625" style="1" customWidth="1"/>
    <col min="12822" max="12822" width="10.140625" style="1" customWidth="1"/>
    <col min="12823" max="12823" width="15.140625" style="1" customWidth="1"/>
    <col min="12824" max="12824" width="8.5703125" style="1" customWidth="1"/>
    <col min="12825" max="12825" width="14.28515625" style="1" customWidth="1"/>
    <col min="12826" max="12826" width="18.28515625" style="1" customWidth="1"/>
    <col min="12827" max="12827" width="13" style="1" bestFit="1" customWidth="1"/>
    <col min="12828" max="12828" width="11.7109375" style="1" bestFit="1" customWidth="1"/>
    <col min="12829" max="12835" width="9.140625" style="1"/>
    <col min="12836" max="12836" width="11.28515625" style="1" bestFit="1" customWidth="1"/>
    <col min="12837" max="12837" width="10.7109375" style="1" bestFit="1" customWidth="1"/>
    <col min="12838" max="13059" width="9.140625" style="1"/>
    <col min="13060" max="13060" width="6.42578125" style="1" customWidth="1"/>
    <col min="13061" max="13061" width="20.7109375" style="1" customWidth="1"/>
    <col min="13062" max="13062" width="24.7109375" style="1" customWidth="1"/>
    <col min="13063" max="13063" width="11.140625" style="1" customWidth="1"/>
    <col min="13064" max="13064" width="12.28515625" style="1" customWidth="1"/>
    <col min="13065" max="13065" width="11.140625" style="1" customWidth="1"/>
    <col min="13066" max="13066" width="10.42578125" style="1" customWidth="1"/>
    <col min="13067" max="13067" width="4.7109375" style="1" customWidth="1"/>
    <col min="13068" max="13068" width="8.5703125" style="1" customWidth="1"/>
    <col min="13069" max="13069" width="5.5703125" style="1" customWidth="1"/>
    <col min="13070" max="13071" width="11.5703125" style="1" customWidth="1"/>
    <col min="13072" max="13072" width="10.85546875" style="1" customWidth="1"/>
    <col min="13073" max="13073" width="7.7109375" style="1" customWidth="1"/>
    <col min="13074" max="13074" width="8" style="1" customWidth="1"/>
    <col min="13075" max="13075" width="16.28515625" style="1" customWidth="1"/>
    <col min="13076" max="13076" width="10.5703125" style="1" customWidth="1"/>
    <col min="13077" max="13077" width="14.140625" style="1" customWidth="1"/>
    <col min="13078" max="13078" width="10.140625" style="1" customWidth="1"/>
    <col min="13079" max="13079" width="15.140625" style="1" customWidth="1"/>
    <col min="13080" max="13080" width="8.5703125" style="1" customWidth="1"/>
    <col min="13081" max="13081" width="14.28515625" style="1" customWidth="1"/>
    <col min="13082" max="13082" width="18.28515625" style="1" customWidth="1"/>
    <col min="13083" max="13083" width="13" style="1" bestFit="1" customWidth="1"/>
    <col min="13084" max="13084" width="11.7109375" style="1" bestFit="1" customWidth="1"/>
    <col min="13085" max="13091" width="9.140625" style="1"/>
    <col min="13092" max="13092" width="11.28515625" style="1" bestFit="1" customWidth="1"/>
    <col min="13093" max="13093" width="10.7109375" style="1" bestFit="1" customWidth="1"/>
    <col min="13094" max="13315" width="9.140625" style="1"/>
    <col min="13316" max="13316" width="6.42578125" style="1" customWidth="1"/>
    <col min="13317" max="13317" width="20.7109375" style="1" customWidth="1"/>
    <col min="13318" max="13318" width="24.7109375" style="1" customWidth="1"/>
    <col min="13319" max="13319" width="11.140625" style="1" customWidth="1"/>
    <col min="13320" max="13320" width="12.28515625" style="1" customWidth="1"/>
    <col min="13321" max="13321" width="11.140625" style="1" customWidth="1"/>
    <col min="13322" max="13322" width="10.42578125" style="1" customWidth="1"/>
    <col min="13323" max="13323" width="4.7109375" style="1" customWidth="1"/>
    <col min="13324" max="13324" width="8.5703125" style="1" customWidth="1"/>
    <col min="13325" max="13325" width="5.5703125" style="1" customWidth="1"/>
    <col min="13326" max="13327" width="11.5703125" style="1" customWidth="1"/>
    <col min="13328" max="13328" width="10.85546875" style="1" customWidth="1"/>
    <col min="13329" max="13329" width="7.7109375" style="1" customWidth="1"/>
    <col min="13330" max="13330" width="8" style="1" customWidth="1"/>
    <col min="13331" max="13331" width="16.28515625" style="1" customWidth="1"/>
    <col min="13332" max="13332" width="10.5703125" style="1" customWidth="1"/>
    <col min="13333" max="13333" width="14.140625" style="1" customWidth="1"/>
    <col min="13334" max="13334" width="10.140625" style="1" customWidth="1"/>
    <col min="13335" max="13335" width="15.140625" style="1" customWidth="1"/>
    <col min="13336" max="13336" width="8.5703125" style="1" customWidth="1"/>
    <col min="13337" max="13337" width="14.28515625" style="1" customWidth="1"/>
    <col min="13338" max="13338" width="18.28515625" style="1" customWidth="1"/>
    <col min="13339" max="13339" width="13" style="1" bestFit="1" customWidth="1"/>
    <col min="13340" max="13340" width="11.7109375" style="1" bestFit="1" customWidth="1"/>
    <col min="13341" max="13347" width="9.140625" style="1"/>
    <col min="13348" max="13348" width="11.28515625" style="1" bestFit="1" customWidth="1"/>
    <col min="13349" max="13349" width="10.7109375" style="1" bestFit="1" customWidth="1"/>
    <col min="13350" max="13571" width="9.140625" style="1"/>
    <col min="13572" max="13572" width="6.42578125" style="1" customWidth="1"/>
    <col min="13573" max="13573" width="20.7109375" style="1" customWidth="1"/>
    <col min="13574" max="13574" width="24.7109375" style="1" customWidth="1"/>
    <col min="13575" max="13575" width="11.140625" style="1" customWidth="1"/>
    <col min="13576" max="13576" width="12.28515625" style="1" customWidth="1"/>
    <col min="13577" max="13577" width="11.140625" style="1" customWidth="1"/>
    <col min="13578" max="13578" width="10.42578125" style="1" customWidth="1"/>
    <col min="13579" max="13579" width="4.7109375" style="1" customWidth="1"/>
    <col min="13580" max="13580" width="8.5703125" style="1" customWidth="1"/>
    <col min="13581" max="13581" width="5.5703125" style="1" customWidth="1"/>
    <col min="13582" max="13583" width="11.5703125" style="1" customWidth="1"/>
    <col min="13584" max="13584" width="10.85546875" style="1" customWidth="1"/>
    <col min="13585" max="13585" width="7.7109375" style="1" customWidth="1"/>
    <col min="13586" max="13586" width="8" style="1" customWidth="1"/>
    <col min="13587" max="13587" width="16.28515625" style="1" customWidth="1"/>
    <col min="13588" max="13588" width="10.5703125" style="1" customWidth="1"/>
    <col min="13589" max="13589" width="14.140625" style="1" customWidth="1"/>
    <col min="13590" max="13590" width="10.140625" style="1" customWidth="1"/>
    <col min="13591" max="13591" width="15.140625" style="1" customWidth="1"/>
    <col min="13592" max="13592" width="8.5703125" style="1" customWidth="1"/>
    <col min="13593" max="13593" width="14.28515625" style="1" customWidth="1"/>
    <col min="13594" max="13594" width="18.28515625" style="1" customWidth="1"/>
    <col min="13595" max="13595" width="13" style="1" bestFit="1" customWidth="1"/>
    <col min="13596" max="13596" width="11.7109375" style="1" bestFit="1" customWidth="1"/>
    <col min="13597" max="13603" width="9.140625" style="1"/>
    <col min="13604" max="13604" width="11.28515625" style="1" bestFit="1" customWidth="1"/>
    <col min="13605" max="13605" width="10.7109375" style="1" bestFit="1" customWidth="1"/>
    <col min="13606" max="13827" width="9.140625" style="1"/>
    <col min="13828" max="13828" width="6.42578125" style="1" customWidth="1"/>
    <col min="13829" max="13829" width="20.7109375" style="1" customWidth="1"/>
    <col min="13830" max="13830" width="24.7109375" style="1" customWidth="1"/>
    <col min="13831" max="13831" width="11.140625" style="1" customWidth="1"/>
    <col min="13832" max="13832" width="12.28515625" style="1" customWidth="1"/>
    <col min="13833" max="13833" width="11.140625" style="1" customWidth="1"/>
    <col min="13834" max="13834" width="10.42578125" style="1" customWidth="1"/>
    <col min="13835" max="13835" width="4.7109375" style="1" customWidth="1"/>
    <col min="13836" max="13836" width="8.5703125" style="1" customWidth="1"/>
    <col min="13837" max="13837" width="5.5703125" style="1" customWidth="1"/>
    <col min="13838" max="13839" width="11.5703125" style="1" customWidth="1"/>
    <col min="13840" max="13840" width="10.85546875" style="1" customWidth="1"/>
    <col min="13841" max="13841" width="7.7109375" style="1" customWidth="1"/>
    <col min="13842" max="13842" width="8" style="1" customWidth="1"/>
    <col min="13843" max="13843" width="16.28515625" style="1" customWidth="1"/>
    <col min="13844" max="13844" width="10.5703125" style="1" customWidth="1"/>
    <col min="13845" max="13845" width="14.140625" style="1" customWidth="1"/>
    <col min="13846" max="13846" width="10.140625" style="1" customWidth="1"/>
    <col min="13847" max="13847" width="15.140625" style="1" customWidth="1"/>
    <col min="13848" max="13848" width="8.5703125" style="1" customWidth="1"/>
    <col min="13849" max="13849" width="14.28515625" style="1" customWidth="1"/>
    <col min="13850" max="13850" width="18.28515625" style="1" customWidth="1"/>
    <col min="13851" max="13851" width="13" style="1" bestFit="1" customWidth="1"/>
    <col min="13852" max="13852" width="11.7109375" style="1" bestFit="1" customWidth="1"/>
    <col min="13853" max="13859" width="9.140625" style="1"/>
    <col min="13860" max="13860" width="11.28515625" style="1" bestFit="1" customWidth="1"/>
    <col min="13861" max="13861" width="10.7109375" style="1" bestFit="1" customWidth="1"/>
    <col min="13862" max="14083" width="9.140625" style="1"/>
    <col min="14084" max="14084" width="6.42578125" style="1" customWidth="1"/>
    <col min="14085" max="14085" width="20.7109375" style="1" customWidth="1"/>
    <col min="14086" max="14086" width="24.7109375" style="1" customWidth="1"/>
    <col min="14087" max="14087" width="11.140625" style="1" customWidth="1"/>
    <col min="14088" max="14088" width="12.28515625" style="1" customWidth="1"/>
    <col min="14089" max="14089" width="11.140625" style="1" customWidth="1"/>
    <col min="14090" max="14090" width="10.42578125" style="1" customWidth="1"/>
    <col min="14091" max="14091" width="4.7109375" style="1" customWidth="1"/>
    <col min="14092" max="14092" width="8.5703125" style="1" customWidth="1"/>
    <col min="14093" max="14093" width="5.5703125" style="1" customWidth="1"/>
    <col min="14094" max="14095" width="11.5703125" style="1" customWidth="1"/>
    <col min="14096" max="14096" width="10.85546875" style="1" customWidth="1"/>
    <col min="14097" max="14097" width="7.7109375" style="1" customWidth="1"/>
    <col min="14098" max="14098" width="8" style="1" customWidth="1"/>
    <col min="14099" max="14099" width="16.28515625" style="1" customWidth="1"/>
    <col min="14100" max="14100" width="10.5703125" style="1" customWidth="1"/>
    <col min="14101" max="14101" width="14.140625" style="1" customWidth="1"/>
    <col min="14102" max="14102" width="10.140625" style="1" customWidth="1"/>
    <col min="14103" max="14103" width="15.140625" style="1" customWidth="1"/>
    <col min="14104" max="14104" width="8.5703125" style="1" customWidth="1"/>
    <col min="14105" max="14105" width="14.28515625" style="1" customWidth="1"/>
    <col min="14106" max="14106" width="18.28515625" style="1" customWidth="1"/>
    <col min="14107" max="14107" width="13" style="1" bestFit="1" customWidth="1"/>
    <col min="14108" max="14108" width="11.7109375" style="1" bestFit="1" customWidth="1"/>
    <col min="14109" max="14115" width="9.140625" style="1"/>
    <col min="14116" max="14116" width="11.28515625" style="1" bestFit="1" customWidth="1"/>
    <col min="14117" max="14117" width="10.7109375" style="1" bestFit="1" customWidth="1"/>
    <col min="14118" max="14339" width="9.140625" style="1"/>
    <col min="14340" max="14340" width="6.42578125" style="1" customWidth="1"/>
    <col min="14341" max="14341" width="20.7109375" style="1" customWidth="1"/>
    <col min="14342" max="14342" width="24.7109375" style="1" customWidth="1"/>
    <col min="14343" max="14343" width="11.140625" style="1" customWidth="1"/>
    <col min="14344" max="14344" width="12.28515625" style="1" customWidth="1"/>
    <col min="14345" max="14345" width="11.140625" style="1" customWidth="1"/>
    <col min="14346" max="14346" width="10.42578125" style="1" customWidth="1"/>
    <col min="14347" max="14347" width="4.7109375" style="1" customWidth="1"/>
    <col min="14348" max="14348" width="8.5703125" style="1" customWidth="1"/>
    <col min="14349" max="14349" width="5.5703125" style="1" customWidth="1"/>
    <col min="14350" max="14351" width="11.5703125" style="1" customWidth="1"/>
    <col min="14352" max="14352" width="10.85546875" style="1" customWidth="1"/>
    <col min="14353" max="14353" width="7.7109375" style="1" customWidth="1"/>
    <col min="14354" max="14354" width="8" style="1" customWidth="1"/>
    <col min="14355" max="14355" width="16.28515625" style="1" customWidth="1"/>
    <col min="14356" max="14356" width="10.5703125" style="1" customWidth="1"/>
    <col min="14357" max="14357" width="14.140625" style="1" customWidth="1"/>
    <col min="14358" max="14358" width="10.140625" style="1" customWidth="1"/>
    <col min="14359" max="14359" width="15.140625" style="1" customWidth="1"/>
    <col min="14360" max="14360" width="8.5703125" style="1" customWidth="1"/>
    <col min="14361" max="14361" width="14.28515625" style="1" customWidth="1"/>
    <col min="14362" max="14362" width="18.28515625" style="1" customWidth="1"/>
    <col min="14363" max="14363" width="13" style="1" bestFit="1" customWidth="1"/>
    <col min="14364" max="14364" width="11.7109375" style="1" bestFit="1" customWidth="1"/>
    <col min="14365" max="14371" width="9.140625" style="1"/>
    <col min="14372" max="14372" width="11.28515625" style="1" bestFit="1" customWidth="1"/>
    <col min="14373" max="14373" width="10.7109375" style="1" bestFit="1" customWidth="1"/>
    <col min="14374" max="14595" width="9.140625" style="1"/>
    <col min="14596" max="14596" width="6.42578125" style="1" customWidth="1"/>
    <col min="14597" max="14597" width="20.7109375" style="1" customWidth="1"/>
    <col min="14598" max="14598" width="24.7109375" style="1" customWidth="1"/>
    <col min="14599" max="14599" width="11.140625" style="1" customWidth="1"/>
    <col min="14600" max="14600" width="12.28515625" style="1" customWidth="1"/>
    <col min="14601" max="14601" width="11.140625" style="1" customWidth="1"/>
    <col min="14602" max="14602" width="10.42578125" style="1" customWidth="1"/>
    <col min="14603" max="14603" width="4.7109375" style="1" customWidth="1"/>
    <col min="14604" max="14604" width="8.5703125" style="1" customWidth="1"/>
    <col min="14605" max="14605" width="5.5703125" style="1" customWidth="1"/>
    <col min="14606" max="14607" width="11.5703125" style="1" customWidth="1"/>
    <col min="14608" max="14608" width="10.85546875" style="1" customWidth="1"/>
    <col min="14609" max="14609" width="7.7109375" style="1" customWidth="1"/>
    <col min="14610" max="14610" width="8" style="1" customWidth="1"/>
    <col min="14611" max="14611" width="16.28515625" style="1" customWidth="1"/>
    <col min="14612" max="14612" width="10.5703125" style="1" customWidth="1"/>
    <col min="14613" max="14613" width="14.140625" style="1" customWidth="1"/>
    <col min="14614" max="14614" width="10.140625" style="1" customWidth="1"/>
    <col min="14615" max="14615" width="15.140625" style="1" customWidth="1"/>
    <col min="14616" max="14616" width="8.5703125" style="1" customWidth="1"/>
    <col min="14617" max="14617" width="14.28515625" style="1" customWidth="1"/>
    <col min="14618" max="14618" width="18.28515625" style="1" customWidth="1"/>
    <col min="14619" max="14619" width="13" style="1" bestFit="1" customWidth="1"/>
    <col min="14620" max="14620" width="11.7109375" style="1" bestFit="1" customWidth="1"/>
    <col min="14621" max="14627" width="9.140625" style="1"/>
    <col min="14628" max="14628" width="11.28515625" style="1" bestFit="1" customWidth="1"/>
    <col min="14629" max="14629" width="10.7109375" style="1" bestFit="1" customWidth="1"/>
    <col min="14630" max="14851" width="9.140625" style="1"/>
    <col min="14852" max="14852" width="6.42578125" style="1" customWidth="1"/>
    <col min="14853" max="14853" width="20.7109375" style="1" customWidth="1"/>
    <col min="14854" max="14854" width="24.7109375" style="1" customWidth="1"/>
    <col min="14855" max="14855" width="11.140625" style="1" customWidth="1"/>
    <col min="14856" max="14856" width="12.28515625" style="1" customWidth="1"/>
    <col min="14857" max="14857" width="11.140625" style="1" customWidth="1"/>
    <col min="14858" max="14858" width="10.42578125" style="1" customWidth="1"/>
    <col min="14859" max="14859" width="4.7109375" style="1" customWidth="1"/>
    <col min="14860" max="14860" width="8.5703125" style="1" customWidth="1"/>
    <col min="14861" max="14861" width="5.5703125" style="1" customWidth="1"/>
    <col min="14862" max="14863" width="11.5703125" style="1" customWidth="1"/>
    <col min="14864" max="14864" width="10.85546875" style="1" customWidth="1"/>
    <col min="14865" max="14865" width="7.7109375" style="1" customWidth="1"/>
    <col min="14866" max="14866" width="8" style="1" customWidth="1"/>
    <col min="14867" max="14867" width="16.28515625" style="1" customWidth="1"/>
    <col min="14868" max="14868" width="10.5703125" style="1" customWidth="1"/>
    <col min="14869" max="14869" width="14.140625" style="1" customWidth="1"/>
    <col min="14870" max="14870" width="10.140625" style="1" customWidth="1"/>
    <col min="14871" max="14871" width="15.140625" style="1" customWidth="1"/>
    <col min="14872" max="14872" width="8.5703125" style="1" customWidth="1"/>
    <col min="14873" max="14873" width="14.28515625" style="1" customWidth="1"/>
    <col min="14874" max="14874" width="18.28515625" style="1" customWidth="1"/>
    <col min="14875" max="14875" width="13" style="1" bestFit="1" customWidth="1"/>
    <col min="14876" max="14876" width="11.7109375" style="1" bestFit="1" customWidth="1"/>
    <col min="14877" max="14883" width="9.140625" style="1"/>
    <col min="14884" max="14884" width="11.28515625" style="1" bestFit="1" customWidth="1"/>
    <col min="14885" max="14885" width="10.7109375" style="1" bestFit="1" customWidth="1"/>
    <col min="14886" max="15107" width="9.140625" style="1"/>
    <col min="15108" max="15108" width="6.42578125" style="1" customWidth="1"/>
    <col min="15109" max="15109" width="20.7109375" style="1" customWidth="1"/>
    <col min="15110" max="15110" width="24.7109375" style="1" customWidth="1"/>
    <col min="15111" max="15111" width="11.140625" style="1" customWidth="1"/>
    <col min="15112" max="15112" width="12.28515625" style="1" customWidth="1"/>
    <col min="15113" max="15113" width="11.140625" style="1" customWidth="1"/>
    <col min="15114" max="15114" width="10.42578125" style="1" customWidth="1"/>
    <col min="15115" max="15115" width="4.7109375" style="1" customWidth="1"/>
    <col min="15116" max="15116" width="8.5703125" style="1" customWidth="1"/>
    <col min="15117" max="15117" width="5.5703125" style="1" customWidth="1"/>
    <col min="15118" max="15119" width="11.5703125" style="1" customWidth="1"/>
    <col min="15120" max="15120" width="10.85546875" style="1" customWidth="1"/>
    <col min="15121" max="15121" width="7.7109375" style="1" customWidth="1"/>
    <col min="15122" max="15122" width="8" style="1" customWidth="1"/>
    <col min="15123" max="15123" width="16.28515625" style="1" customWidth="1"/>
    <col min="15124" max="15124" width="10.5703125" style="1" customWidth="1"/>
    <col min="15125" max="15125" width="14.140625" style="1" customWidth="1"/>
    <col min="15126" max="15126" width="10.140625" style="1" customWidth="1"/>
    <col min="15127" max="15127" width="15.140625" style="1" customWidth="1"/>
    <col min="15128" max="15128" width="8.5703125" style="1" customWidth="1"/>
    <col min="15129" max="15129" width="14.28515625" style="1" customWidth="1"/>
    <col min="15130" max="15130" width="18.28515625" style="1" customWidth="1"/>
    <col min="15131" max="15131" width="13" style="1" bestFit="1" customWidth="1"/>
    <col min="15132" max="15132" width="11.7109375" style="1" bestFit="1" customWidth="1"/>
    <col min="15133" max="15139" width="9.140625" style="1"/>
    <col min="15140" max="15140" width="11.28515625" style="1" bestFit="1" customWidth="1"/>
    <col min="15141" max="15141" width="10.7109375" style="1" bestFit="1" customWidth="1"/>
    <col min="15142" max="15363" width="9.140625" style="1"/>
    <col min="15364" max="15364" width="6.42578125" style="1" customWidth="1"/>
    <col min="15365" max="15365" width="20.7109375" style="1" customWidth="1"/>
    <col min="15366" max="15366" width="24.7109375" style="1" customWidth="1"/>
    <col min="15367" max="15367" width="11.140625" style="1" customWidth="1"/>
    <col min="15368" max="15368" width="12.28515625" style="1" customWidth="1"/>
    <col min="15369" max="15369" width="11.140625" style="1" customWidth="1"/>
    <col min="15370" max="15370" width="10.42578125" style="1" customWidth="1"/>
    <col min="15371" max="15371" width="4.7109375" style="1" customWidth="1"/>
    <col min="15372" max="15372" width="8.5703125" style="1" customWidth="1"/>
    <col min="15373" max="15373" width="5.5703125" style="1" customWidth="1"/>
    <col min="15374" max="15375" width="11.5703125" style="1" customWidth="1"/>
    <col min="15376" max="15376" width="10.85546875" style="1" customWidth="1"/>
    <col min="15377" max="15377" width="7.7109375" style="1" customWidth="1"/>
    <col min="15378" max="15378" width="8" style="1" customWidth="1"/>
    <col min="15379" max="15379" width="16.28515625" style="1" customWidth="1"/>
    <col min="15380" max="15380" width="10.5703125" style="1" customWidth="1"/>
    <col min="15381" max="15381" width="14.140625" style="1" customWidth="1"/>
    <col min="15382" max="15382" width="10.140625" style="1" customWidth="1"/>
    <col min="15383" max="15383" width="15.140625" style="1" customWidth="1"/>
    <col min="15384" max="15384" width="8.5703125" style="1" customWidth="1"/>
    <col min="15385" max="15385" width="14.28515625" style="1" customWidth="1"/>
    <col min="15386" max="15386" width="18.28515625" style="1" customWidth="1"/>
    <col min="15387" max="15387" width="13" style="1" bestFit="1" customWidth="1"/>
    <col min="15388" max="15388" width="11.7109375" style="1" bestFit="1" customWidth="1"/>
    <col min="15389" max="15395" width="9.140625" style="1"/>
    <col min="15396" max="15396" width="11.28515625" style="1" bestFit="1" customWidth="1"/>
    <col min="15397" max="15397" width="10.7109375" style="1" bestFit="1" customWidth="1"/>
    <col min="15398" max="15619" width="9.140625" style="1"/>
    <col min="15620" max="15620" width="6.42578125" style="1" customWidth="1"/>
    <col min="15621" max="15621" width="20.7109375" style="1" customWidth="1"/>
    <col min="15622" max="15622" width="24.7109375" style="1" customWidth="1"/>
    <col min="15623" max="15623" width="11.140625" style="1" customWidth="1"/>
    <col min="15624" max="15624" width="12.28515625" style="1" customWidth="1"/>
    <col min="15625" max="15625" width="11.140625" style="1" customWidth="1"/>
    <col min="15626" max="15626" width="10.42578125" style="1" customWidth="1"/>
    <col min="15627" max="15627" width="4.7109375" style="1" customWidth="1"/>
    <col min="15628" max="15628" width="8.5703125" style="1" customWidth="1"/>
    <col min="15629" max="15629" width="5.5703125" style="1" customWidth="1"/>
    <col min="15630" max="15631" width="11.5703125" style="1" customWidth="1"/>
    <col min="15632" max="15632" width="10.85546875" style="1" customWidth="1"/>
    <col min="15633" max="15633" width="7.7109375" style="1" customWidth="1"/>
    <col min="15634" max="15634" width="8" style="1" customWidth="1"/>
    <col min="15635" max="15635" width="16.28515625" style="1" customWidth="1"/>
    <col min="15636" max="15636" width="10.5703125" style="1" customWidth="1"/>
    <col min="15637" max="15637" width="14.140625" style="1" customWidth="1"/>
    <col min="15638" max="15638" width="10.140625" style="1" customWidth="1"/>
    <col min="15639" max="15639" width="15.140625" style="1" customWidth="1"/>
    <col min="15640" max="15640" width="8.5703125" style="1" customWidth="1"/>
    <col min="15641" max="15641" width="14.28515625" style="1" customWidth="1"/>
    <col min="15642" max="15642" width="18.28515625" style="1" customWidth="1"/>
    <col min="15643" max="15643" width="13" style="1" bestFit="1" customWidth="1"/>
    <col min="15644" max="15644" width="11.7109375" style="1" bestFit="1" customWidth="1"/>
    <col min="15645" max="15651" width="9.140625" style="1"/>
    <col min="15652" max="15652" width="11.28515625" style="1" bestFit="1" customWidth="1"/>
    <col min="15653" max="15653" width="10.7109375" style="1" bestFit="1" customWidth="1"/>
    <col min="15654" max="15875" width="9.140625" style="1"/>
    <col min="15876" max="15876" width="6.42578125" style="1" customWidth="1"/>
    <col min="15877" max="15877" width="20.7109375" style="1" customWidth="1"/>
    <col min="15878" max="15878" width="24.7109375" style="1" customWidth="1"/>
    <col min="15879" max="15879" width="11.140625" style="1" customWidth="1"/>
    <col min="15880" max="15880" width="12.28515625" style="1" customWidth="1"/>
    <col min="15881" max="15881" width="11.140625" style="1" customWidth="1"/>
    <col min="15882" max="15882" width="10.42578125" style="1" customWidth="1"/>
    <col min="15883" max="15883" width="4.7109375" style="1" customWidth="1"/>
    <col min="15884" max="15884" width="8.5703125" style="1" customWidth="1"/>
    <col min="15885" max="15885" width="5.5703125" style="1" customWidth="1"/>
    <col min="15886" max="15887" width="11.5703125" style="1" customWidth="1"/>
    <col min="15888" max="15888" width="10.85546875" style="1" customWidth="1"/>
    <col min="15889" max="15889" width="7.7109375" style="1" customWidth="1"/>
    <col min="15890" max="15890" width="8" style="1" customWidth="1"/>
    <col min="15891" max="15891" width="16.28515625" style="1" customWidth="1"/>
    <col min="15892" max="15892" width="10.5703125" style="1" customWidth="1"/>
    <col min="15893" max="15893" width="14.140625" style="1" customWidth="1"/>
    <col min="15894" max="15894" width="10.140625" style="1" customWidth="1"/>
    <col min="15895" max="15895" width="15.140625" style="1" customWidth="1"/>
    <col min="15896" max="15896" width="8.5703125" style="1" customWidth="1"/>
    <col min="15897" max="15897" width="14.28515625" style="1" customWidth="1"/>
    <col min="15898" max="15898" width="18.28515625" style="1" customWidth="1"/>
    <col min="15899" max="15899" width="13" style="1" bestFit="1" customWidth="1"/>
    <col min="15900" max="15900" width="11.7109375" style="1" bestFit="1" customWidth="1"/>
    <col min="15901" max="15907" width="9.140625" style="1"/>
    <col min="15908" max="15908" width="11.28515625" style="1" bestFit="1" customWidth="1"/>
    <col min="15909" max="15909" width="10.7109375" style="1" bestFit="1" customWidth="1"/>
    <col min="15910" max="16131" width="9.140625" style="1"/>
    <col min="16132" max="16132" width="6.42578125" style="1" customWidth="1"/>
    <col min="16133" max="16133" width="20.7109375" style="1" customWidth="1"/>
    <col min="16134" max="16134" width="24.7109375" style="1" customWidth="1"/>
    <col min="16135" max="16135" width="11.140625" style="1" customWidth="1"/>
    <col min="16136" max="16136" width="12.28515625" style="1" customWidth="1"/>
    <col min="16137" max="16137" width="11.140625" style="1" customWidth="1"/>
    <col min="16138" max="16138" width="10.42578125" style="1" customWidth="1"/>
    <col min="16139" max="16139" width="4.7109375" style="1" customWidth="1"/>
    <col min="16140" max="16140" width="8.5703125" style="1" customWidth="1"/>
    <col min="16141" max="16141" width="5.5703125" style="1" customWidth="1"/>
    <col min="16142" max="16143" width="11.5703125" style="1" customWidth="1"/>
    <col min="16144" max="16144" width="10.85546875" style="1" customWidth="1"/>
    <col min="16145" max="16145" width="7.7109375" style="1" customWidth="1"/>
    <col min="16146" max="16146" width="8" style="1" customWidth="1"/>
    <col min="16147" max="16147" width="16.28515625" style="1" customWidth="1"/>
    <col min="16148" max="16148" width="10.5703125" style="1" customWidth="1"/>
    <col min="16149" max="16149" width="14.140625" style="1" customWidth="1"/>
    <col min="16150" max="16150" width="10.140625" style="1" customWidth="1"/>
    <col min="16151" max="16151" width="15.140625" style="1" customWidth="1"/>
    <col min="16152" max="16152" width="8.5703125" style="1" customWidth="1"/>
    <col min="16153" max="16153" width="14.28515625" style="1" customWidth="1"/>
    <col min="16154" max="16154" width="18.28515625" style="1" customWidth="1"/>
    <col min="16155" max="16155" width="13" style="1" bestFit="1" customWidth="1"/>
    <col min="16156" max="16156" width="11.7109375" style="1" bestFit="1" customWidth="1"/>
    <col min="16157" max="16163" width="9.140625" style="1"/>
    <col min="16164" max="16164" width="11.28515625" style="1" bestFit="1" customWidth="1"/>
    <col min="16165" max="16165" width="10.7109375" style="1" bestFit="1" customWidth="1"/>
    <col min="16166" max="16384" width="9.140625" style="1"/>
  </cols>
  <sheetData>
    <row r="1" spans="1:46" ht="9.75" customHeight="1">
      <c r="W1" s="3"/>
    </row>
    <row r="2" spans="1:46" ht="16.5" customHeight="1">
      <c r="A2" s="2258" t="s">
        <v>567</v>
      </c>
      <c r="B2" s="2258"/>
      <c r="C2" s="2258"/>
      <c r="D2" s="2258"/>
      <c r="E2" s="2258"/>
      <c r="F2" s="2258"/>
      <c r="G2" s="2258"/>
      <c r="H2" s="2258"/>
      <c r="I2" s="2258"/>
      <c r="J2" s="2258"/>
      <c r="K2" s="2258"/>
      <c r="L2" s="2258"/>
      <c r="M2" s="2258"/>
      <c r="N2" s="2258"/>
      <c r="O2" s="2258"/>
      <c r="P2" s="2258"/>
      <c r="Q2" s="2258"/>
      <c r="R2" s="2258"/>
      <c r="S2" s="2258"/>
      <c r="T2" s="2258"/>
      <c r="U2" s="2258"/>
      <c r="V2" s="2258"/>
      <c r="W2" s="2258"/>
      <c r="X2" s="2258"/>
      <c r="Y2" s="2258"/>
      <c r="Z2" s="2258"/>
      <c r="AA2" s="24"/>
      <c r="AB2" s="24"/>
    </row>
    <row r="3" spans="1:46" ht="13.5" customHeight="1">
      <c r="A3" s="2259" t="s">
        <v>0</v>
      </c>
      <c r="B3" s="2259"/>
      <c r="C3" s="2259"/>
      <c r="D3" s="2259"/>
      <c r="E3" s="2259"/>
      <c r="F3" s="2259"/>
      <c r="G3" s="2259"/>
      <c r="H3" s="2259"/>
      <c r="I3" s="2259"/>
      <c r="J3" s="2259"/>
      <c r="K3" s="2259"/>
      <c r="L3" s="2259"/>
      <c r="M3" s="2259"/>
      <c r="N3" s="2259"/>
      <c r="O3" s="2259"/>
      <c r="P3" s="2259"/>
      <c r="Q3" s="2259"/>
      <c r="R3" s="2259"/>
      <c r="S3" s="2259"/>
      <c r="T3" s="2259"/>
      <c r="U3" s="2259"/>
      <c r="V3" s="2259"/>
      <c r="W3" s="2259"/>
      <c r="X3" s="2259"/>
      <c r="Y3" s="2259"/>
      <c r="Z3" s="2259"/>
      <c r="AA3" s="24"/>
      <c r="AB3" s="24"/>
    </row>
    <row r="4" spans="1:46" s="686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5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304" t="s">
        <v>395</v>
      </c>
      <c r="P4" s="2256" t="s">
        <v>396</v>
      </c>
      <c r="Q4" s="2256" t="s">
        <v>569</v>
      </c>
      <c r="R4" s="2256" t="s">
        <v>570</v>
      </c>
      <c r="S4" s="2256" t="s">
        <v>17</v>
      </c>
      <c r="T4" s="2256"/>
      <c r="U4" s="2256" t="s">
        <v>18</v>
      </c>
      <c r="V4" s="2256"/>
      <c r="W4" s="2256" t="s">
        <v>19</v>
      </c>
      <c r="X4" s="2256"/>
      <c r="Y4" s="880"/>
      <c r="Z4" s="2306" t="s">
        <v>401</v>
      </c>
      <c r="AA4" s="2260" t="s">
        <v>393</v>
      </c>
      <c r="AB4" s="2305" t="s">
        <v>394</v>
      </c>
      <c r="AC4" s="2324" t="s">
        <v>514</v>
      </c>
      <c r="AD4" s="2326" t="s">
        <v>513</v>
      </c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</row>
    <row r="5" spans="1:46" s="686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304"/>
      <c r="P5" s="2256"/>
      <c r="Q5" s="2256"/>
      <c r="R5" s="2256"/>
      <c r="S5" s="685" t="s">
        <v>21</v>
      </c>
      <c r="T5" s="685" t="s">
        <v>22</v>
      </c>
      <c r="U5" s="685" t="s">
        <v>21</v>
      </c>
      <c r="V5" s="685" t="s">
        <v>22</v>
      </c>
      <c r="W5" s="685" t="s">
        <v>21</v>
      </c>
      <c r="X5" s="685" t="s">
        <v>22</v>
      </c>
      <c r="Y5" s="880"/>
      <c r="Z5" s="2323"/>
      <c r="AA5" s="2260"/>
      <c r="AB5" s="2305"/>
      <c r="AC5" s="2325"/>
      <c r="AD5" s="2327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</row>
    <row r="6" spans="1:46" s="80" customFormat="1" ht="15" customHeight="1">
      <c r="A6" s="5">
        <v>1</v>
      </c>
      <c r="B6" s="730" t="s">
        <v>23</v>
      </c>
      <c r="C6" s="6" t="s">
        <v>24</v>
      </c>
      <c r="D6" s="5" t="s">
        <v>25</v>
      </c>
      <c r="E6" s="5" t="s">
        <v>26</v>
      </c>
      <c r="F6" s="5" t="s">
        <v>27</v>
      </c>
      <c r="G6" s="5">
        <v>1</v>
      </c>
      <c r="H6" s="5" t="s">
        <v>28</v>
      </c>
      <c r="I6" s="5" t="s">
        <v>29</v>
      </c>
      <c r="J6" s="731" t="s">
        <v>30</v>
      </c>
      <c r="K6" s="7">
        <v>17697</v>
      </c>
      <c r="L6" s="7"/>
      <c r="M6" s="7">
        <v>1</v>
      </c>
      <c r="N6" s="7"/>
      <c r="O6" s="7">
        <v>5.65</v>
      </c>
      <c r="P6" s="7"/>
      <c r="Q6" s="5">
        <f>O6*K6</f>
        <v>99988.05</v>
      </c>
      <c r="R6" s="894">
        <f>'расчеты к штатному'!P6</f>
        <v>110075.34</v>
      </c>
      <c r="S6" s="7"/>
      <c r="T6" s="8"/>
      <c r="U6" s="7">
        <v>0.1</v>
      </c>
      <c r="V6" s="732">
        <f>U6*Q6</f>
        <v>9998.8050000000003</v>
      </c>
      <c r="W6" s="7"/>
      <c r="X6" s="9"/>
      <c r="Y6" s="881">
        <f>'расчеты к штатному'!X6</f>
        <v>151353.5925</v>
      </c>
      <c r="Z6" s="10">
        <f t="shared" ref="Z6:Z17" si="0">Q6+T6+V6</f>
        <v>109986.85500000001</v>
      </c>
      <c r="AA6" s="274">
        <f>S6+U6+W6</f>
        <v>0.1</v>
      </c>
      <c r="AB6" s="274">
        <f>T6+V6+X6</f>
        <v>9998.8050000000003</v>
      </c>
      <c r="AC6" s="681">
        <f>'расчеты к штатному'!X6-оклад!Z6</f>
        <v>41366.737499999988</v>
      </c>
      <c r="AD6" s="684">
        <f>('расчеты к штатному'!P6/оклад!Q6)-100%</f>
        <v>0.10088495575221224</v>
      </c>
      <c r="AE6" s="82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</row>
    <row r="7" spans="1:46" s="80" customFormat="1" ht="15" customHeight="1">
      <c r="A7" s="5">
        <v>2</v>
      </c>
      <c r="B7" s="730" t="s">
        <v>31</v>
      </c>
      <c r="C7" s="6" t="s">
        <v>32</v>
      </c>
      <c r="D7" s="5" t="s">
        <v>25</v>
      </c>
      <c r="E7" s="11" t="s">
        <v>33</v>
      </c>
      <c r="F7" s="12" t="s">
        <v>34</v>
      </c>
      <c r="G7" s="5">
        <v>1</v>
      </c>
      <c r="H7" s="5" t="s">
        <v>28</v>
      </c>
      <c r="I7" s="5" t="s">
        <v>35</v>
      </c>
      <c r="J7" s="733" t="s">
        <v>30</v>
      </c>
      <c r="K7" s="7">
        <v>17697</v>
      </c>
      <c r="L7" s="7"/>
      <c r="M7" s="7">
        <v>1</v>
      </c>
      <c r="N7" s="7"/>
      <c r="O7" s="5">
        <v>5.15</v>
      </c>
      <c r="P7" s="5"/>
      <c r="Q7" s="7">
        <f>O7*K7</f>
        <v>91139.55</v>
      </c>
      <c r="R7" s="894">
        <f>'расчеты к штатному'!P7</f>
        <v>102111.68999999999</v>
      </c>
      <c r="S7" s="8"/>
      <c r="T7" s="7"/>
      <c r="U7" s="7">
        <v>0.1</v>
      </c>
      <c r="V7" s="7">
        <f>ROUND(Q7*U7*M7,2)</f>
        <v>9113.9599999999991</v>
      </c>
      <c r="W7" s="9"/>
      <c r="X7" s="7"/>
      <c r="Y7" s="882"/>
      <c r="Z7" s="10">
        <f t="shared" si="0"/>
        <v>100253.51000000001</v>
      </c>
      <c r="AA7" s="274">
        <f t="shared" ref="AA7:AB25" si="1">S7+U7+W7</f>
        <v>0.1</v>
      </c>
      <c r="AB7" s="274">
        <f t="shared" si="1"/>
        <v>9113.9599999999991</v>
      </c>
      <c r="AC7" s="681">
        <f>'расчеты к штатному'!X7-оклад!Z7</f>
        <v>40150.063749999972</v>
      </c>
      <c r="AD7" s="684">
        <f>('расчеты к штатному'!P7/оклад!Q7)-100%</f>
        <v>0.12038834951456301</v>
      </c>
      <c r="AJ7" s="127"/>
      <c r="AK7" s="116"/>
    </row>
    <row r="8" spans="1:46" s="129" customFormat="1" ht="15" customHeight="1">
      <c r="A8" s="5">
        <v>3</v>
      </c>
      <c r="B8" s="13" t="s">
        <v>36</v>
      </c>
      <c r="C8" s="6" t="s">
        <v>32</v>
      </c>
      <c r="D8" s="14" t="s">
        <v>25</v>
      </c>
      <c r="E8" s="14" t="s">
        <v>37</v>
      </c>
      <c r="F8" s="12" t="s">
        <v>34</v>
      </c>
      <c r="G8" s="14">
        <v>1</v>
      </c>
      <c r="H8" s="5" t="s">
        <v>28</v>
      </c>
      <c r="I8" s="5" t="s">
        <v>35</v>
      </c>
      <c r="J8" s="14">
        <v>3</v>
      </c>
      <c r="K8" s="15">
        <v>17697</v>
      </c>
      <c r="L8" s="15"/>
      <c r="M8" s="15">
        <v>1</v>
      </c>
      <c r="N8" s="7"/>
      <c r="O8" s="16">
        <v>5.15</v>
      </c>
      <c r="P8" s="16"/>
      <c r="Q8" s="7">
        <f>O8*K8</f>
        <v>91139.55</v>
      </c>
      <c r="R8" s="894">
        <f>'расчеты к штатному'!P8</f>
        <v>102111.68999999999</v>
      </c>
      <c r="S8" s="8"/>
      <c r="T8" s="7"/>
      <c r="U8" s="7">
        <v>0.1</v>
      </c>
      <c r="V8" s="7">
        <f>ROUND(Q8*U8*M8,2)</f>
        <v>9113.9599999999991</v>
      </c>
      <c r="W8" s="9"/>
      <c r="X8" s="7"/>
      <c r="Y8" s="882"/>
      <c r="Z8" s="10">
        <f t="shared" si="0"/>
        <v>100253.51000000001</v>
      </c>
      <c r="AA8" s="274">
        <f t="shared" si="1"/>
        <v>0.1</v>
      </c>
      <c r="AB8" s="274">
        <f t="shared" si="1"/>
        <v>9113.9599999999991</v>
      </c>
      <c r="AC8" s="681">
        <f>'расчеты к штатному'!X8-оклад!Z8</f>
        <v>40150.063749999972</v>
      </c>
      <c r="AD8" s="684">
        <f>('расчеты к штатному'!P8/оклад!Q8)-100%</f>
        <v>0.12038834951456301</v>
      </c>
      <c r="AJ8" s="130"/>
      <c r="AK8" s="131"/>
    </row>
    <row r="9" spans="1:46" s="132" customFormat="1" ht="15">
      <c r="A9" s="5">
        <v>4</v>
      </c>
      <c r="B9" s="17" t="s">
        <v>38</v>
      </c>
      <c r="C9" s="6" t="s">
        <v>32</v>
      </c>
      <c r="D9" s="16" t="s">
        <v>25</v>
      </c>
      <c r="E9" s="16" t="s">
        <v>39</v>
      </c>
      <c r="F9" s="734" t="s">
        <v>40</v>
      </c>
      <c r="G9" s="16">
        <v>1</v>
      </c>
      <c r="H9" s="5" t="s">
        <v>28</v>
      </c>
      <c r="I9" s="5" t="s">
        <v>35</v>
      </c>
      <c r="J9" s="735">
        <v>3</v>
      </c>
      <c r="K9" s="18">
        <v>17697</v>
      </c>
      <c r="L9" s="18"/>
      <c r="M9" s="18">
        <v>1</v>
      </c>
      <c r="N9" s="18"/>
      <c r="O9" s="16">
        <v>5.15</v>
      </c>
      <c r="P9" s="16"/>
      <c r="Q9" s="18">
        <f t="shared" ref="Q9:Q22" si="2">O9*K9*M9</f>
        <v>91139.55</v>
      </c>
      <c r="R9" s="894">
        <f>'расчеты к штатному'!P9</f>
        <v>102111.68999999999</v>
      </c>
      <c r="S9" s="19">
        <v>0.25</v>
      </c>
      <c r="T9" s="18">
        <f>S9*Q9</f>
        <v>22784.887500000001</v>
      </c>
      <c r="U9" s="7">
        <v>0.1</v>
      </c>
      <c r="V9" s="18">
        <f>ROUND(Q9*U9,2)</f>
        <v>9113.9599999999991</v>
      </c>
      <c r="W9" s="736"/>
      <c r="X9" s="18"/>
      <c r="Y9" s="883"/>
      <c r="Z9" s="10">
        <f t="shared" si="0"/>
        <v>123038.39749999999</v>
      </c>
      <c r="AA9" s="274">
        <f t="shared" si="1"/>
        <v>0.35</v>
      </c>
      <c r="AB9" s="274">
        <f t="shared" si="1"/>
        <v>31898.8475</v>
      </c>
      <c r="AC9" s="681">
        <f>'расчеты к штатному'!X9-оклад!Z9</f>
        <v>49274.214999999997</v>
      </c>
      <c r="AD9" s="684">
        <f>('расчеты к штатному'!P9/оклад!Q9)-100%</f>
        <v>0.12038834951456301</v>
      </c>
      <c r="AE9" s="81"/>
      <c r="AF9" s="81"/>
      <c r="AG9" s="82"/>
      <c r="AH9" s="82"/>
      <c r="AI9" s="81"/>
      <c r="AR9" s="133"/>
      <c r="AS9" s="134">
        <f>Q9+V9+T9+X9</f>
        <v>123038.39750000001</v>
      </c>
    </row>
    <row r="10" spans="1:46" s="80" customFormat="1" ht="15" customHeight="1">
      <c r="A10" s="5">
        <v>5</v>
      </c>
      <c r="B10" s="730" t="s">
        <v>41</v>
      </c>
      <c r="C10" s="6" t="s">
        <v>42</v>
      </c>
      <c r="D10" s="5" t="s">
        <v>25</v>
      </c>
      <c r="E10" s="5" t="s">
        <v>43</v>
      </c>
      <c r="F10" s="5" t="s">
        <v>27</v>
      </c>
      <c r="G10" s="5">
        <v>1</v>
      </c>
      <c r="H10" s="20" t="s">
        <v>28</v>
      </c>
      <c r="I10" s="20" t="s">
        <v>29</v>
      </c>
      <c r="J10" s="731" t="s">
        <v>44</v>
      </c>
      <c r="K10" s="7">
        <v>17697</v>
      </c>
      <c r="L10" s="7"/>
      <c r="M10" s="7">
        <v>1</v>
      </c>
      <c r="N10" s="7"/>
      <c r="O10" s="21" t="s">
        <v>509</v>
      </c>
      <c r="P10" s="21"/>
      <c r="Q10" s="18">
        <f t="shared" si="2"/>
        <v>95032.89</v>
      </c>
      <c r="R10" s="894">
        <f>'расчеты к штатному'!P10</f>
        <v>104589.27</v>
      </c>
      <c r="S10" s="7"/>
      <c r="T10" s="8"/>
      <c r="U10" s="7">
        <v>0.1</v>
      </c>
      <c r="V10" s="18">
        <f t="shared" ref="V10:V25" si="3">ROUND(Q10*U10,2)</f>
        <v>9503.2900000000009</v>
      </c>
      <c r="W10" s="7"/>
      <c r="X10" s="9"/>
      <c r="Y10" s="881"/>
      <c r="Z10" s="10">
        <f t="shared" si="0"/>
        <v>104536.18</v>
      </c>
      <c r="AA10" s="274">
        <f t="shared" si="1"/>
        <v>0.1</v>
      </c>
      <c r="AB10" s="274">
        <f t="shared" si="1"/>
        <v>9503.2900000000009</v>
      </c>
      <c r="AC10" s="681">
        <f>'расчеты к штатному'!X10-оклад!Z10</f>
        <v>39274.066250000003</v>
      </c>
      <c r="AD10" s="684">
        <f>('расчеты к штатному'!P10/оклад!Q10)-100%</f>
        <v>0.1005586592178771</v>
      </c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</row>
    <row r="11" spans="1:46" s="80" customFormat="1" ht="15" customHeight="1">
      <c r="A11" s="5">
        <v>6</v>
      </c>
      <c r="B11" s="730" t="s">
        <v>45</v>
      </c>
      <c r="C11" s="6" t="s">
        <v>46</v>
      </c>
      <c r="D11" s="560" t="s">
        <v>25</v>
      </c>
      <c r="E11" s="582" t="s">
        <v>47</v>
      </c>
      <c r="F11" s="582" t="s">
        <v>34</v>
      </c>
      <c r="G11" s="560">
        <v>1</v>
      </c>
      <c r="H11" s="5" t="s">
        <v>28</v>
      </c>
      <c r="I11" s="5" t="s">
        <v>29</v>
      </c>
      <c r="J11" s="731" t="s">
        <v>44</v>
      </c>
      <c r="K11" s="7">
        <v>17697</v>
      </c>
      <c r="L11" s="7"/>
      <c r="M11" s="7">
        <v>1</v>
      </c>
      <c r="N11" s="7"/>
      <c r="O11" s="7">
        <v>5.37</v>
      </c>
      <c r="P11" s="7"/>
      <c r="Q11" s="18">
        <f t="shared" si="2"/>
        <v>95032.89</v>
      </c>
      <c r="R11" s="894">
        <f>'расчеты к штатному'!P11</f>
        <v>104589.27</v>
      </c>
      <c r="S11" s="19"/>
      <c r="T11" s="7"/>
      <c r="U11" s="7">
        <v>0.1</v>
      </c>
      <c r="V11" s="18">
        <f t="shared" si="3"/>
        <v>9503.2900000000009</v>
      </c>
      <c r="W11" s="9"/>
      <c r="X11" s="7"/>
      <c r="Y11" s="882"/>
      <c r="Z11" s="10">
        <f t="shared" si="0"/>
        <v>104536.18</v>
      </c>
      <c r="AA11" s="274">
        <f t="shared" si="1"/>
        <v>0.1</v>
      </c>
      <c r="AB11" s="274">
        <f t="shared" si="1"/>
        <v>9503.2900000000009</v>
      </c>
      <c r="AC11" s="681">
        <f>'расчеты к штатному'!X11-оклад!Z11</f>
        <v>39274.066250000003</v>
      </c>
      <c r="AD11" s="684">
        <f>('расчеты к штатному'!P11/оклад!Q11)-100%</f>
        <v>0.1005586592178771</v>
      </c>
    </row>
    <row r="12" spans="1:46" s="80" customFormat="1" ht="15" customHeight="1">
      <c r="A12" s="5">
        <v>7</v>
      </c>
      <c r="B12" s="730" t="s">
        <v>48</v>
      </c>
      <c r="C12" s="6" t="s">
        <v>49</v>
      </c>
      <c r="D12" s="5" t="s">
        <v>25</v>
      </c>
      <c r="E12" s="5" t="s">
        <v>50</v>
      </c>
      <c r="F12" s="5" t="s">
        <v>51</v>
      </c>
      <c r="G12" s="5">
        <v>1</v>
      </c>
      <c r="H12" s="20" t="s">
        <v>28</v>
      </c>
      <c r="I12" s="20" t="s">
        <v>35</v>
      </c>
      <c r="J12" s="731" t="s">
        <v>30</v>
      </c>
      <c r="K12" s="7">
        <v>17697</v>
      </c>
      <c r="L12" s="7"/>
      <c r="M12" s="7">
        <v>1</v>
      </c>
      <c r="N12" s="7"/>
      <c r="O12" s="21" t="s">
        <v>510</v>
      </c>
      <c r="P12" s="21"/>
      <c r="Q12" s="18">
        <f t="shared" si="2"/>
        <v>88661.97</v>
      </c>
      <c r="R12" s="894">
        <f>'расчеты к штатному'!P12</f>
        <v>99280.170000000013</v>
      </c>
      <c r="S12" s="7"/>
      <c r="T12" s="8"/>
      <c r="U12" s="7">
        <v>0.1</v>
      </c>
      <c r="V12" s="18">
        <f t="shared" si="3"/>
        <v>8866.2000000000007</v>
      </c>
      <c r="W12" s="7"/>
      <c r="X12" s="9"/>
      <c r="Y12" s="881"/>
      <c r="Z12" s="10">
        <f t="shared" si="0"/>
        <v>97528.17</v>
      </c>
      <c r="AA12" s="274">
        <f t="shared" si="1"/>
        <v>0.1</v>
      </c>
      <c r="AB12" s="274">
        <f t="shared" si="1"/>
        <v>8866.2000000000007</v>
      </c>
      <c r="AC12" s="681">
        <f>'расчеты к штатному'!X12-оклад!Z12</f>
        <v>11680.017000000022</v>
      </c>
      <c r="AD12" s="684">
        <f>('расчеты к штатному'!P12/оклад!Q12)-100%</f>
        <v>0.11976047904191622</v>
      </c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</row>
    <row r="13" spans="1:46" s="80" customFormat="1" ht="15" customHeight="1">
      <c r="A13" s="5">
        <v>8</v>
      </c>
      <c r="B13" s="26" t="s">
        <v>52</v>
      </c>
      <c r="C13" s="6" t="s">
        <v>53</v>
      </c>
      <c r="D13" s="5" t="s">
        <v>25</v>
      </c>
      <c r="E13" s="5" t="s">
        <v>54</v>
      </c>
      <c r="F13" s="5" t="s">
        <v>55</v>
      </c>
      <c r="G13" s="5">
        <v>1</v>
      </c>
      <c r="H13" s="20" t="s">
        <v>56</v>
      </c>
      <c r="I13" s="20" t="s">
        <v>56</v>
      </c>
      <c r="J13" s="731" t="s">
        <v>57</v>
      </c>
      <c r="K13" s="7">
        <v>17697</v>
      </c>
      <c r="L13" s="7"/>
      <c r="M13" s="7">
        <v>1</v>
      </c>
      <c r="N13" s="7"/>
      <c r="O13" s="21" t="s">
        <v>511</v>
      </c>
      <c r="P13" s="21"/>
      <c r="Q13" s="18">
        <f t="shared" si="2"/>
        <v>60169.799999999996</v>
      </c>
      <c r="R13" s="894">
        <f>'расчеты к штатному'!P13</f>
        <v>78397.709999999992</v>
      </c>
      <c r="S13" s="7"/>
      <c r="T13" s="8"/>
      <c r="U13" s="7">
        <v>0.1</v>
      </c>
      <c r="V13" s="18">
        <f t="shared" si="3"/>
        <v>6016.98</v>
      </c>
      <c r="W13" s="7"/>
      <c r="X13" s="9"/>
      <c r="Y13" s="881"/>
      <c r="Z13" s="10">
        <f t="shared" si="0"/>
        <v>66186.78</v>
      </c>
      <c r="AA13" s="274">
        <f t="shared" si="1"/>
        <v>0.1</v>
      </c>
      <c r="AB13" s="274">
        <f t="shared" si="1"/>
        <v>6016.98</v>
      </c>
      <c r="AC13" s="681">
        <f>'расчеты к штатному'!X13-оклад!Z13</f>
        <v>20050.700999999986</v>
      </c>
      <c r="AD13" s="684">
        <f>('расчеты к штатному'!P13/оклад!Q13)-100%</f>
        <v>0.30294117647058827</v>
      </c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</row>
    <row r="14" spans="1:46" s="80" customFormat="1" ht="18" customHeight="1">
      <c r="A14" s="5">
        <v>9</v>
      </c>
      <c r="B14" s="26" t="s">
        <v>399</v>
      </c>
      <c r="C14" s="6" t="s">
        <v>59</v>
      </c>
      <c r="D14" s="5" t="s">
        <v>25</v>
      </c>
      <c r="E14" s="34" t="s">
        <v>418</v>
      </c>
      <c r="F14" s="5" t="s">
        <v>77</v>
      </c>
      <c r="G14" s="40">
        <v>1</v>
      </c>
      <c r="H14" s="5" t="s">
        <v>61</v>
      </c>
      <c r="I14" s="5" t="s">
        <v>61</v>
      </c>
      <c r="J14" s="27">
        <v>1</v>
      </c>
      <c r="K14" s="7">
        <v>17697</v>
      </c>
      <c r="L14" s="7"/>
      <c r="M14" s="7">
        <v>1</v>
      </c>
      <c r="N14" s="732"/>
      <c r="O14" s="21" t="s">
        <v>512</v>
      </c>
      <c r="P14" s="21"/>
      <c r="Q14" s="18">
        <f t="shared" si="2"/>
        <v>44950.38</v>
      </c>
      <c r="R14" s="894">
        <f>'расчеты к штатному'!P14</f>
        <v>53798.879999999997</v>
      </c>
      <c r="S14" s="7"/>
      <c r="T14" s="8"/>
      <c r="U14" s="7">
        <v>0.1</v>
      </c>
      <c r="V14" s="18">
        <f>ROUND(Q14*U14,2)</f>
        <v>4495.04</v>
      </c>
      <c r="W14" s="7"/>
      <c r="X14" s="9"/>
      <c r="Y14" s="881"/>
      <c r="Z14" s="10">
        <f t="shared" si="0"/>
        <v>49445.42</v>
      </c>
      <c r="AA14" s="274">
        <f t="shared" si="1"/>
        <v>0.1</v>
      </c>
      <c r="AB14" s="274">
        <f t="shared" si="1"/>
        <v>4495.04</v>
      </c>
      <c r="AC14" s="681">
        <f>'расчеты к штатному'!X14-оклад!Z14</f>
        <v>9733.3479999999981</v>
      </c>
      <c r="AD14" s="684">
        <f>('расчеты к штатному'!P14/оклад!Q14)-100%</f>
        <v>0.1968503937007875</v>
      </c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</row>
    <row r="15" spans="1:46" s="80" customFormat="1" ht="15" customHeight="1">
      <c r="A15" s="5">
        <v>10</v>
      </c>
      <c r="B15" s="26" t="s">
        <v>62</v>
      </c>
      <c r="C15" s="13" t="s">
        <v>63</v>
      </c>
      <c r="D15" s="5" t="s">
        <v>64</v>
      </c>
      <c r="E15" s="5" t="s">
        <v>412</v>
      </c>
      <c r="F15" s="5" t="s">
        <v>66</v>
      </c>
      <c r="G15" s="5">
        <v>1</v>
      </c>
      <c r="H15" s="20" t="s">
        <v>56</v>
      </c>
      <c r="I15" s="20" t="s">
        <v>56</v>
      </c>
      <c r="J15" s="27">
        <v>3</v>
      </c>
      <c r="K15" s="7">
        <v>17697</v>
      </c>
      <c r="L15" s="7"/>
      <c r="M15" s="7">
        <v>1</v>
      </c>
      <c r="N15" s="7"/>
      <c r="O15" s="7">
        <v>3.57</v>
      </c>
      <c r="P15" s="7"/>
      <c r="Q15" s="18">
        <f t="shared" si="2"/>
        <v>63178.289999999994</v>
      </c>
      <c r="R15" s="894">
        <f>'расчеты к штатному'!P15</f>
        <v>63886.17</v>
      </c>
      <c r="S15" s="7"/>
      <c r="T15" s="8"/>
      <c r="U15" s="7">
        <v>0.1</v>
      </c>
      <c r="V15" s="18">
        <f t="shared" si="3"/>
        <v>6317.83</v>
      </c>
      <c r="W15" s="7"/>
      <c r="X15" s="9"/>
      <c r="Y15" s="881"/>
      <c r="Z15" s="10">
        <f t="shared" si="0"/>
        <v>69496.12</v>
      </c>
      <c r="AA15" s="274">
        <f t="shared" si="1"/>
        <v>0.1</v>
      </c>
      <c r="AB15" s="274">
        <f t="shared" si="1"/>
        <v>6317.83</v>
      </c>
      <c r="AC15" s="681">
        <f>'расчеты к штатному'!X15-оклад!Z15</f>
        <v>778.66700000000128</v>
      </c>
      <c r="AD15" s="684">
        <f>('расчеты к штатному'!P15/оклад!Q15)-100%</f>
        <v>1.1204481792717269E-2</v>
      </c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</row>
    <row r="16" spans="1:46" s="80" customFormat="1" ht="15" customHeight="1">
      <c r="A16" s="5">
        <v>11</v>
      </c>
      <c r="B16" s="26" t="s">
        <v>400</v>
      </c>
      <c r="C16" s="13" t="s">
        <v>63</v>
      </c>
      <c r="D16" s="5" t="s">
        <v>64</v>
      </c>
      <c r="E16" s="732">
        <v>0</v>
      </c>
      <c r="F16" s="5" t="s">
        <v>159</v>
      </c>
      <c r="G16" s="5">
        <v>1.5</v>
      </c>
      <c r="H16" s="20" t="s">
        <v>69</v>
      </c>
      <c r="I16" s="20" t="s">
        <v>69</v>
      </c>
      <c r="J16" s="737" t="s">
        <v>30</v>
      </c>
      <c r="K16" s="7">
        <v>17697</v>
      </c>
      <c r="L16" s="7"/>
      <c r="M16" s="7">
        <v>1.5</v>
      </c>
      <c r="N16" s="7"/>
      <c r="O16" s="5">
        <v>2.76</v>
      </c>
      <c r="P16" s="5"/>
      <c r="Q16" s="18">
        <f>O16*K16*M16</f>
        <v>73265.579999999987</v>
      </c>
      <c r="R16" s="894">
        <f>'расчеты к штатному'!P16</f>
        <v>88927.425000000003</v>
      </c>
      <c r="S16" s="8"/>
      <c r="T16" s="7"/>
      <c r="U16" s="7">
        <v>0.1</v>
      </c>
      <c r="V16" s="18">
        <f t="shared" si="3"/>
        <v>7326.56</v>
      </c>
      <c r="W16" s="9"/>
      <c r="X16" s="7"/>
      <c r="Y16" s="882"/>
      <c r="Z16" s="10">
        <f t="shared" si="0"/>
        <v>80592.139999999985</v>
      </c>
      <c r="AA16" s="274">
        <f t="shared" si="1"/>
        <v>0.1</v>
      </c>
      <c r="AB16" s="274">
        <f t="shared" si="1"/>
        <v>7326.56</v>
      </c>
      <c r="AC16" s="681">
        <f>'расчеты к штатному'!X16-оклад!Z16</f>
        <v>17228.027500000026</v>
      </c>
      <c r="AD16" s="684">
        <f>('расчеты к штатному'!P16/оклад!Q16)-100%</f>
        <v>0.21376811594202927</v>
      </c>
    </row>
    <row r="17" spans="1:42" s="129" customFormat="1" ht="15.75" customHeight="1">
      <c r="A17" s="5">
        <v>12</v>
      </c>
      <c r="B17" s="13" t="s">
        <v>378</v>
      </c>
      <c r="C17" s="13" t="s">
        <v>63</v>
      </c>
      <c r="D17" s="5" t="s">
        <v>64</v>
      </c>
      <c r="E17" s="14">
        <v>0</v>
      </c>
      <c r="F17" s="5" t="s">
        <v>159</v>
      </c>
      <c r="G17" s="5">
        <v>0.5</v>
      </c>
      <c r="H17" s="15" t="s">
        <v>56</v>
      </c>
      <c r="I17" s="15" t="s">
        <v>56</v>
      </c>
      <c r="J17" s="14">
        <v>3</v>
      </c>
      <c r="K17" s="15">
        <v>17697</v>
      </c>
      <c r="L17" s="15"/>
      <c r="M17" s="7">
        <v>0.5</v>
      </c>
      <c r="N17" s="21"/>
      <c r="O17" s="5">
        <v>2.76</v>
      </c>
      <c r="P17" s="7"/>
      <c r="Q17" s="18">
        <f t="shared" si="2"/>
        <v>24421.859999999997</v>
      </c>
      <c r="R17" s="894">
        <f>'расчеты к штатному'!P17</f>
        <v>29288.535</v>
      </c>
      <c r="S17" s="8"/>
      <c r="T17" s="7"/>
      <c r="U17" s="7">
        <v>0.1</v>
      </c>
      <c r="V17" s="18">
        <f t="shared" si="3"/>
        <v>2442.19</v>
      </c>
      <c r="W17" s="9"/>
      <c r="X17" s="7"/>
      <c r="Y17" s="882"/>
      <c r="Z17" s="10">
        <f t="shared" si="0"/>
        <v>26864.049999999996</v>
      </c>
      <c r="AA17" s="274">
        <f t="shared" si="1"/>
        <v>0.1</v>
      </c>
      <c r="AB17" s="274">
        <f t="shared" si="1"/>
        <v>2442.19</v>
      </c>
      <c r="AC17" s="681">
        <f>'расчеты к штатному'!X17-оклад!Z17</f>
        <v>5353.3385000000053</v>
      </c>
      <c r="AD17" s="684">
        <f>('расчеты к штатному'!P17/оклад!Q17)-100%</f>
        <v>0.1992753623188408</v>
      </c>
    </row>
    <row r="18" spans="1:42" s="129" customFormat="1" ht="15.75" customHeight="1">
      <c r="A18" s="5">
        <v>13</v>
      </c>
      <c r="B18" s="13" t="s">
        <v>70</v>
      </c>
      <c r="C18" s="13" t="s">
        <v>71</v>
      </c>
      <c r="D18" s="5" t="s">
        <v>25</v>
      </c>
      <c r="E18" s="14" t="s">
        <v>72</v>
      </c>
      <c r="F18" s="5" t="s">
        <v>73</v>
      </c>
      <c r="G18" s="5">
        <v>1</v>
      </c>
      <c r="H18" s="738" t="s">
        <v>56</v>
      </c>
      <c r="I18" s="738" t="s">
        <v>56</v>
      </c>
      <c r="J18" s="738">
        <v>2</v>
      </c>
      <c r="K18" s="15">
        <v>17697</v>
      </c>
      <c r="L18" s="15"/>
      <c r="M18" s="10">
        <v>0.5</v>
      </c>
      <c r="N18" s="21"/>
      <c r="O18" s="7">
        <v>3.54</v>
      </c>
      <c r="P18" s="7"/>
      <c r="Q18" s="18">
        <f>O18*K18*M18</f>
        <v>31323.69</v>
      </c>
      <c r="R18" s="894">
        <f>'расчеты к штатному'!P18</f>
        <v>39464.31</v>
      </c>
      <c r="S18" s="8"/>
      <c r="T18" s="7"/>
      <c r="U18" s="7">
        <v>0.1</v>
      </c>
      <c r="V18" s="18">
        <f>ROUND(Q18*U18,2)</f>
        <v>3132.37</v>
      </c>
      <c r="W18" s="9">
        <v>0.2</v>
      </c>
      <c r="X18" s="7">
        <f>W18*K18*50%</f>
        <v>1769.7</v>
      </c>
      <c r="Y18" s="882"/>
      <c r="Z18" s="10">
        <f>Q18+T18+V18+X18</f>
        <v>36225.759999999995</v>
      </c>
      <c r="AA18" s="274">
        <f>S18+U18+W18+Z18</f>
        <v>36226.06</v>
      </c>
      <c r="AB18" s="274">
        <f>T18+V18+X18+AA18</f>
        <v>41128.129999999997</v>
      </c>
      <c r="AC18" s="681">
        <f>'расчеты к штатному'!X18-оклад!Z18</f>
        <v>8954.6809999999969</v>
      </c>
      <c r="AD18" s="684">
        <f>('расчеты к штатному'!P18/оклад!Q18)-100%</f>
        <v>0.25988700564971756</v>
      </c>
    </row>
    <row r="19" spans="1:42" s="129" customFormat="1" ht="15.75" customHeight="1">
      <c r="A19" s="5">
        <v>14</v>
      </c>
      <c r="B19" s="13" t="s">
        <v>378</v>
      </c>
      <c r="C19" s="13" t="s">
        <v>71</v>
      </c>
      <c r="D19" s="5" t="s">
        <v>75</v>
      </c>
      <c r="E19" s="14">
        <v>0</v>
      </c>
      <c r="F19" s="5" t="s">
        <v>159</v>
      </c>
      <c r="G19" s="5">
        <v>0.5</v>
      </c>
      <c r="H19" s="15" t="s">
        <v>56</v>
      </c>
      <c r="I19" s="15" t="s">
        <v>56</v>
      </c>
      <c r="J19" s="14">
        <v>3</v>
      </c>
      <c r="K19" s="15">
        <v>17697</v>
      </c>
      <c r="L19" s="15"/>
      <c r="M19" s="10">
        <v>0.5</v>
      </c>
      <c r="N19" s="21"/>
      <c r="O19" s="5">
        <v>2.76</v>
      </c>
      <c r="P19" s="7"/>
      <c r="Q19" s="18">
        <f>O19*K19*M19</f>
        <v>24421.859999999997</v>
      </c>
      <c r="R19" s="894">
        <f>'расчеты к штатному'!P19</f>
        <v>36632.789999999994</v>
      </c>
      <c r="S19" s="8"/>
      <c r="T19" s="7"/>
      <c r="U19" s="7">
        <v>0.1</v>
      </c>
      <c r="V19" s="18">
        <f t="shared" si="3"/>
        <v>2442.19</v>
      </c>
      <c r="W19" s="9">
        <v>0.2</v>
      </c>
      <c r="X19" s="7">
        <f>W19*K19*50%</f>
        <v>1769.7</v>
      </c>
      <c r="Y19" s="882"/>
      <c r="Z19" s="10">
        <f>Q19+T19+V19+X19</f>
        <v>28633.749999999996</v>
      </c>
      <c r="AA19" s="274">
        <f>S19+U19+W19+Z19</f>
        <v>28634.049999999996</v>
      </c>
      <c r="AB19" s="274">
        <f>T19+V19+X19+AA19</f>
        <v>32845.939999999995</v>
      </c>
      <c r="AC19" s="681">
        <f>'расчеты к штатному'!X19-оклад!Z19</f>
        <v>13432.018999999997</v>
      </c>
      <c r="AD19" s="684">
        <f>('расчеты к штатному'!P19/оклад!Q19)-100%</f>
        <v>0.5</v>
      </c>
    </row>
    <row r="20" spans="1:42" s="80" customFormat="1" ht="15" customHeight="1">
      <c r="A20" s="5">
        <v>15</v>
      </c>
      <c r="B20" s="26" t="s">
        <v>78</v>
      </c>
      <c r="C20" s="6" t="s">
        <v>79</v>
      </c>
      <c r="D20" s="5" t="s">
        <v>25</v>
      </c>
      <c r="E20" s="5" t="s">
        <v>413</v>
      </c>
      <c r="F20" s="5" t="s">
        <v>73</v>
      </c>
      <c r="G20" s="5">
        <v>1</v>
      </c>
      <c r="H20" s="5" t="s">
        <v>56</v>
      </c>
      <c r="I20" s="5" t="s">
        <v>56</v>
      </c>
      <c r="J20" s="27">
        <v>2</v>
      </c>
      <c r="K20" s="7">
        <v>17697</v>
      </c>
      <c r="L20" s="7"/>
      <c r="M20" s="7">
        <v>0.5</v>
      </c>
      <c r="N20" s="739"/>
      <c r="O20" s="7">
        <v>3.54</v>
      </c>
      <c r="P20" s="7"/>
      <c r="Q20" s="18">
        <f t="shared" si="2"/>
        <v>31323.69</v>
      </c>
      <c r="R20" s="894">
        <f>'расчеты к штатному'!P20</f>
        <v>31323.69</v>
      </c>
      <c r="S20" s="7"/>
      <c r="T20" s="8"/>
      <c r="U20" s="7">
        <v>0.1</v>
      </c>
      <c r="V20" s="18">
        <f t="shared" si="3"/>
        <v>3132.37</v>
      </c>
      <c r="W20" s="7"/>
      <c r="X20" s="9"/>
      <c r="Y20" s="881"/>
      <c r="Z20" s="10">
        <f t="shared" ref="Z20:Z25" si="4">Q20+T20+V20</f>
        <v>34456.06</v>
      </c>
      <c r="AA20" s="274">
        <f t="shared" si="1"/>
        <v>0.1</v>
      </c>
      <c r="AB20" s="274">
        <f t="shared" si="1"/>
        <v>3132.37</v>
      </c>
      <c r="AC20" s="681">
        <f>'расчеты к штатному'!X20-оклад!Z20</f>
        <v>-9.9999999656574801E-4</v>
      </c>
      <c r="AD20" s="684">
        <f>('расчеты к штатному'!P20/оклад!Q20)-100%</f>
        <v>0</v>
      </c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</row>
    <row r="21" spans="1:42" s="78" customFormat="1" ht="15.75" customHeight="1">
      <c r="A21" s="5">
        <v>16</v>
      </c>
      <c r="B21" s="29" t="s">
        <v>81</v>
      </c>
      <c r="C21" s="6" t="s">
        <v>82</v>
      </c>
      <c r="D21" s="30" t="s">
        <v>64</v>
      </c>
      <c r="E21" s="5" t="s">
        <v>413</v>
      </c>
      <c r="F21" s="30" t="s">
        <v>84</v>
      </c>
      <c r="G21" s="21">
        <v>1</v>
      </c>
      <c r="H21" s="20" t="s">
        <v>56</v>
      </c>
      <c r="I21" s="5" t="s">
        <v>56</v>
      </c>
      <c r="J21" s="20">
        <v>3</v>
      </c>
      <c r="K21" s="7">
        <v>17697</v>
      </c>
      <c r="L21" s="7"/>
      <c r="M21" s="7">
        <v>1</v>
      </c>
      <c r="N21" s="7"/>
      <c r="O21" s="7">
        <v>2.91</v>
      </c>
      <c r="P21" s="7"/>
      <c r="Q21" s="18">
        <f t="shared" si="2"/>
        <v>51498.270000000004</v>
      </c>
      <c r="R21" s="894">
        <f>'расчеты к штатному'!P21</f>
        <v>61939.5</v>
      </c>
      <c r="S21" s="7"/>
      <c r="T21" s="8"/>
      <c r="U21" s="7">
        <v>0.1</v>
      </c>
      <c r="V21" s="18">
        <f t="shared" si="3"/>
        <v>5149.83</v>
      </c>
      <c r="W21" s="7"/>
      <c r="X21" s="9"/>
      <c r="Y21" s="881"/>
      <c r="Z21" s="10">
        <f t="shared" si="4"/>
        <v>56648.100000000006</v>
      </c>
      <c r="AA21" s="274">
        <f t="shared" si="1"/>
        <v>0.1</v>
      </c>
      <c r="AB21" s="274">
        <f t="shared" si="1"/>
        <v>5149.83</v>
      </c>
      <c r="AC21" s="681">
        <f>'расчеты к штатному'!X21-оклад!Z21</f>
        <v>11485.349999999991</v>
      </c>
      <c r="AD21" s="684">
        <f>('расчеты к штатному'!P21/оклад!Q21)-100%</f>
        <v>0.20274914089347074</v>
      </c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</row>
    <row r="22" spans="1:42" s="80" customFormat="1" ht="18" customHeight="1">
      <c r="A22" s="5">
        <v>17</v>
      </c>
      <c r="B22" s="26" t="s">
        <v>85</v>
      </c>
      <c r="C22" s="6" t="s">
        <v>86</v>
      </c>
      <c r="D22" s="5" t="s">
        <v>25</v>
      </c>
      <c r="E22" s="7" t="s">
        <v>414</v>
      </c>
      <c r="F22" s="5" t="s">
        <v>88</v>
      </c>
      <c r="G22" s="5">
        <v>1</v>
      </c>
      <c r="H22" s="5" t="s">
        <v>56</v>
      </c>
      <c r="I22" s="5" t="s">
        <v>56</v>
      </c>
      <c r="J22" s="731" t="s">
        <v>57</v>
      </c>
      <c r="K22" s="7">
        <v>17697</v>
      </c>
      <c r="L22" s="7"/>
      <c r="M22" s="7">
        <v>1</v>
      </c>
      <c r="N22" s="7"/>
      <c r="O22" s="7">
        <v>3.4</v>
      </c>
      <c r="P22" s="7"/>
      <c r="Q22" s="18">
        <f t="shared" si="2"/>
        <v>60169.799999999996</v>
      </c>
      <c r="R22" s="894">
        <f>'расчеты к штатному'!P22</f>
        <v>78397.709999999992</v>
      </c>
      <c r="S22" s="8"/>
      <c r="T22" s="740"/>
      <c r="U22" s="7">
        <v>0.1</v>
      </c>
      <c r="V22" s="18">
        <f t="shared" si="3"/>
        <v>6016.98</v>
      </c>
      <c r="W22" s="741"/>
      <c r="X22" s="740"/>
      <c r="Y22" s="884"/>
      <c r="Z22" s="10">
        <f t="shared" si="4"/>
        <v>66186.78</v>
      </c>
      <c r="AA22" s="274">
        <f t="shared" si="1"/>
        <v>0.1</v>
      </c>
      <c r="AB22" s="274">
        <f t="shared" si="1"/>
        <v>6016.98</v>
      </c>
      <c r="AC22" s="681">
        <f>'расчеты к штатному'!X22-оклад!Z22</f>
        <v>20050.700999999986</v>
      </c>
      <c r="AD22" s="684">
        <f>('расчеты к штатному'!P22/оклад!Q22)-100%</f>
        <v>0.30294117647058827</v>
      </c>
    </row>
    <row r="23" spans="1:42" s="80" customFormat="1" ht="17.25" customHeight="1">
      <c r="A23" s="5">
        <v>18</v>
      </c>
      <c r="B23" s="690" t="s">
        <v>294</v>
      </c>
      <c r="C23" s="6" t="s">
        <v>86</v>
      </c>
      <c r="D23" s="20" t="s">
        <v>25</v>
      </c>
      <c r="E23" s="742">
        <v>0</v>
      </c>
      <c r="F23" s="742" t="s">
        <v>159</v>
      </c>
      <c r="G23" s="743">
        <v>1</v>
      </c>
      <c r="H23" s="5" t="s">
        <v>56</v>
      </c>
      <c r="I23" s="5" t="s">
        <v>56</v>
      </c>
      <c r="J23" s="731" t="s">
        <v>57</v>
      </c>
      <c r="K23" s="7">
        <v>17697</v>
      </c>
      <c r="L23" s="34"/>
      <c r="M23" s="35">
        <v>1</v>
      </c>
      <c r="N23" s="34"/>
      <c r="O23" s="34">
        <v>3.28</v>
      </c>
      <c r="P23" s="34"/>
      <c r="Q23" s="36">
        <f>O23*K23*M23</f>
        <v>58046.159999999996</v>
      </c>
      <c r="R23" s="894">
        <f>'расчеты к штатному'!P23</f>
        <v>36278.85</v>
      </c>
      <c r="S23" s="37"/>
      <c r="T23" s="34"/>
      <c r="U23" s="34">
        <v>0.1</v>
      </c>
      <c r="V23" s="36">
        <f>ROUND(Q23*U23,2)</f>
        <v>5804.62</v>
      </c>
      <c r="W23" s="38"/>
      <c r="X23" s="34"/>
      <c r="Y23" s="885"/>
      <c r="Z23" s="35">
        <f t="shared" si="4"/>
        <v>63850.78</v>
      </c>
      <c r="AA23" s="304">
        <f t="shared" si="1"/>
        <v>0.1</v>
      </c>
      <c r="AB23" s="304">
        <f t="shared" si="1"/>
        <v>5804.62</v>
      </c>
      <c r="AC23" s="681">
        <f>'расчеты к штатному'!X23-оклад!Z23</f>
        <v>-23944.044999999998</v>
      </c>
      <c r="AD23" s="684">
        <f>('расчеты к штатному'!P23/оклад!Q23)-100%</f>
        <v>-0.375</v>
      </c>
    </row>
    <row r="24" spans="1:42" s="80" customFormat="1" ht="17.25" customHeight="1">
      <c r="A24" s="5">
        <v>19</v>
      </c>
      <c r="B24" s="32" t="s">
        <v>373</v>
      </c>
      <c r="C24" s="39" t="s">
        <v>95</v>
      </c>
      <c r="D24" s="40" t="s">
        <v>25</v>
      </c>
      <c r="E24" s="34" t="s">
        <v>415</v>
      </c>
      <c r="F24" s="40" t="s">
        <v>376</v>
      </c>
      <c r="G24" s="40">
        <v>0.5</v>
      </c>
      <c r="H24" s="40" t="s">
        <v>56</v>
      </c>
      <c r="I24" s="40" t="s">
        <v>56</v>
      </c>
      <c r="J24" s="41" t="s">
        <v>57</v>
      </c>
      <c r="K24" s="34">
        <v>17697</v>
      </c>
      <c r="L24" s="34"/>
      <c r="M24" s="34">
        <v>0.5</v>
      </c>
      <c r="N24" s="34"/>
      <c r="O24" s="34">
        <v>3.34</v>
      </c>
      <c r="P24" s="34"/>
      <c r="Q24" s="36">
        <f>O24*K24*M24</f>
        <v>29553.989999999998</v>
      </c>
      <c r="R24" s="894" t="e">
        <f>'расчеты к штатному'!#REF!</f>
        <v>#REF!</v>
      </c>
      <c r="S24" s="37"/>
      <c r="T24" s="34"/>
      <c r="U24" s="34">
        <v>0.1</v>
      </c>
      <c r="V24" s="36">
        <f t="shared" si="3"/>
        <v>2955.4</v>
      </c>
      <c r="W24" s="38"/>
      <c r="X24" s="34"/>
      <c r="Y24" s="885"/>
      <c r="Z24" s="35">
        <f t="shared" si="4"/>
        <v>32509.39</v>
      </c>
      <c r="AA24" s="304">
        <f t="shared" si="1"/>
        <v>0.1</v>
      </c>
      <c r="AB24" s="304">
        <f t="shared" si="1"/>
        <v>2955.4</v>
      </c>
      <c r="AC24" s="681" t="e">
        <f>'расчеты к штатному'!#REF!-оклад!Z24</f>
        <v>#REF!</v>
      </c>
      <c r="AD24" s="684" t="e">
        <f>('расчеты к штатному'!#REF!/оклад!Q24)-100%</f>
        <v>#REF!</v>
      </c>
    </row>
    <row r="25" spans="1:42" s="80" customFormat="1" ht="17.25" customHeight="1">
      <c r="A25" s="5">
        <v>20</v>
      </c>
      <c r="B25" s="32" t="s">
        <v>399</v>
      </c>
      <c r="C25" s="39" t="s">
        <v>95</v>
      </c>
      <c r="D25" s="40" t="s">
        <v>25</v>
      </c>
      <c r="E25" s="34" t="s">
        <v>419</v>
      </c>
      <c r="F25" s="5" t="s">
        <v>403</v>
      </c>
      <c r="G25" s="40">
        <v>0.5</v>
      </c>
      <c r="H25" s="40" t="s">
        <v>56</v>
      </c>
      <c r="I25" s="40" t="s">
        <v>56</v>
      </c>
      <c r="J25" s="41" t="s">
        <v>57</v>
      </c>
      <c r="K25" s="34">
        <v>17697</v>
      </c>
      <c r="L25" s="34"/>
      <c r="M25" s="34">
        <v>0.5</v>
      </c>
      <c r="N25" s="34"/>
      <c r="O25" s="34">
        <v>3.4</v>
      </c>
      <c r="P25" s="34"/>
      <c r="Q25" s="36">
        <f>O25*K25*M25</f>
        <v>30084.899999999998</v>
      </c>
      <c r="R25" s="894">
        <f>'расчеты к штатному'!P24</f>
        <v>39198.854999999996</v>
      </c>
      <c r="S25" s="37"/>
      <c r="T25" s="34"/>
      <c r="U25" s="34">
        <v>0.1</v>
      </c>
      <c r="V25" s="36">
        <f t="shared" si="3"/>
        <v>3008.49</v>
      </c>
      <c r="W25" s="38"/>
      <c r="X25" s="34"/>
      <c r="Y25" s="885"/>
      <c r="Z25" s="35">
        <f t="shared" si="4"/>
        <v>33093.39</v>
      </c>
      <c r="AA25" s="304">
        <f t="shared" si="1"/>
        <v>0.1</v>
      </c>
      <c r="AB25" s="304">
        <f t="shared" si="1"/>
        <v>3008.49</v>
      </c>
      <c r="AC25" s="681">
        <f>'расчеты к штатному'!X24-оклад!Z25</f>
        <v>10025.350499999993</v>
      </c>
      <c r="AD25" s="684">
        <f>('расчеты к штатному'!P24/оклад!Q25)-100%</f>
        <v>0.30294117647058827</v>
      </c>
    </row>
    <row r="26" spans="1:42" s="24" customFormat="1" ht="17.25" customHeight="1">
      <c r="A26" s="95"/>
      <c r="B26" s="105"/>
      <c r="C26" s="106"/>
      <c r="D26" s="95"/>
      <c r="E26" s="97"/>
      <c r="F26" s="95"/>
      <c r="G26" s="95"/>
      <c r="H26" s="95"/>
      <c r="I26" s="95"/>
      <c r="J26" s="123"/>
      <c r="K26" s="97"/>
      <c r="L26" s="97"/>
      <c r="M26" s="97"/>
      <c r="N26" s="97"/>
      <c r="O26" s="197"/>
      <c r="P26" s="97"/>
      <c r="Q26" s="101"/>
      <c r="R26" s="894">
        <f>'расчеты к штатному'!P25</f>
        <v>0</v>
      </c>
      <c r="S26" s="102"/>
      <c r="T26" s="97"/>
      <c r="U26" s="97"/>
      <c r="V26" s="101"/>
      <c r="W26" s="103"/>
      <c r="X26" s="97"/>
      <c r="Y26" s="886"/>
      <c r="Z26" s="203"/>
      <c r="AA26" s="104"/>
      <c r="AB26" s="104"/>
      <c r="AC26" s="681"/>
      <c r="AD26" s="684"/>
    </row>
    <row r="27" spans="1:42" s="80" customFormat="1" ht="17.25" customHeight="1">
      <c r="A27" s="547">
        <v>1</v>
      </c>
      <c r="B27" s="548" t="s">
        <v>98</v>
      </c>
      <c r="C27" s="549" t="s">
        <v>99</v>
      </c>
      <c r="D27" s="547" t="s">
        <v>25</v>
      </c>
      <c r="E27" s="550" t="s">
        <v>462</v>
      </c>
      <c r="F27" s="550" t="s">
        <v>463</v>
      </c>
      <c r="G27" s="547">
        <v>1</v>
      </c>
      <c r="H27" s="547" t="s">
        <v>102</v>
      </c>
      <c r="I27" s="547" t="s">
        <v>103</v>
      </c>
      <c r="J27" s="551">
        <v>1</v>
      </c>
      <c r="K27" s="552">
        <v>17697</v>
      </c>
      <c r="L27" s="553">
        <v>35</v>
      </c>
      <c r="M27" s="554">
        <f t="shared" ref="M27:M77" si="5">L27/18</f>
        <v>1.9444444444444444</v>
      </c>
      <c r="N27" s="555" t="s">
        <v>104</v>
      </c>
      <c r="O27" s="550">
        <v>4.1399999999999997</v>
      </c>
      <c r="P27" s="550">
        <v>4.1399999999999997</v>
      </c>
      <c r="Q27" s="556">
        <f t="shared" ref="Q27:Q77" si="6">O27*K27/18*L27</f>
        <v>142460.84999999998</v>
      </c>
      <c r="R27" s="894">
        <f>'расчеты к штатному'!P26</f>
        <v>156569.29166666666</v>
      </c>
      <c r="S27" s="557" t="s">
        <v>568</v>
      </c>
      <c r="T27" s="552"/>
      <c r="U27" s="552">
        <v>0.1</v>
      </c>
      <c r="V27" s="556">
        <f>U27*Q27</f>
        <v>14246.084999999999</v>
      </c>
      <c r="W27" s="558"/>
      <c r="X27" s="552"/>
      <c r="Y27" s="552"/>
      <c r="Z27" s="559">
        <f t="shared" ref="Z27:Z58" si="7">V27+Q27</f>
        <v>156706.93499999997</v>
      </c>
      <c r="AA27" s="319" t="e">
        <f>W27+S27</f>
        <v>#VALUE!</v>
      </c>
      <c r="AB27" s="319">
        <f>X27+T27</f>
        <v>0</v>
      </c>
      <c r="AC27" s="681">
        <f>'расчеты к штатному'!X26-оклад!Z27</f>
        <v>58575.841041666688</v>
      </c>
      <c r="AD27" s="684">
        <f>('расчеты к штатному'!P26/оклад!Q27)-100%</f>
        <v>9.9033816425120991E-2</v>
      </c>
    </row>
    <row r="28" spans="1:42" s="80" customFormat="1" ht="17.25" customHeight="1">
      <c r="A28" s="560">
        <v>2</v>
      </c>
      <c r="B28" s="153" t="s">
        <v>41</v>
      </c>
      <c r="C28" s="561" t="s">
        <v>99</v>
      </c>
      <c r="D28" s="560" t="s">
        <v>25</v>
      </c>
      <c r="E28" s="562" t="s">
        <v>466</v>
      </c>
      <c r="F28" s="562" t="s">
        <v>34</v>
      </c>
      <c r="G28" s="560">
        <v>1</v>
      </c>
      <c r="H28" s="563" t="s">
        <v>102</v>
      </c>
      <c r="I28" s="563" t="s">
        <v>103</v>
      </c>
      <c r="J28" s="564">
        <v>2</v>
      </c>
      <c r="K28" s="554">
        <v>17697</v>
      </c>
      <c r="L28" s="565">
        <v>9</v>
      </c>
      <c r="M28" s="554">
        <f t="shared" si="5"/>
        <v>0.5</v>
      </c>
      <c r="N28" s="566" t="s">
        <v>104</v>
      </c>
      <c r="O28" s="566">
        <v>3.92</v>
      </c>
      <c r="P28" s="566">
        <v>3.92</v>
      </c>
      <c r="Q28" s="567">
        <f t="shared" si="6"/>
        <v>34686.120000000003</v>
      </c>
      <c r="R28" s="894">
        <f>'расчеты к штатному'!P27</f>
        <v>39906.735000000001</v>
      </c>
      <c r="S28" s="568"/>
      <c r="T28" s="554"/>
      <c r="U28" s="554">
        <v>0.1</v>
      </c>
      <c r="V28" s="567">
        <f>U28*Q28</f>
        <v>3468.6120000000005</v>
      </c>
      <c r="W28" s="569"/>
      <c r="X28" s="554"/>
      <c r="Y28" s="700"/>
      <c r="Z28" s="570">
        <f t="shared" si="7"/>
        <v>38154.732000000004</v>
      </c>
      <c r="AA28" s="274">
        <f t="shared" ref="AA28:AB58" si="8">W28+S28</f>
        <v>0</v>
      </c>
      <c r="AB28" s="274">
        <f t="shared" si="8"/>
        <v>0</v>
      </c>
      <c r="AC28" s="681">
        <f>'расчеты к штатному'!X27-оклад!Z28</f>
        <v>16717.028624999992</v>
      </c>
      <c r="AD28" s="684">
        <f>('расчеты к штатному'!P27/оклад!Q28)-100%</f>
        <v>0.15051020408163263</v>
      </c>
    </row>
    <row r="29" spans="1:42" s="80" customFormat="1" ht="15.75">
      <c r="A29" s="547">
        <v>3</v>
      </c>
      <c r="B29" s="153" t="s">
        <v>445</v>
      </c>
      <c r="C29" s="561" t="s">
        <v>99</v>
      </c>
      <c r="D29" s="563" t="s">
        <v>25</v>
      </c>
      <c r="E29" s="562" t="s">
        <v>464</v>
      </c>
      <c r="F29" s="562" t="s">
        <v>217</v>
      </c>
      <c r="G29" s="571">
        <v>1</v>
      </c>
      <c r="H29" s="560" t="s">
        <v>102</v>
      </c>
      <c r="I29" s="560" t="s">
        <v>103</v>
      </c>
      <c r="J29" s="572">
        <v>1</v>
      </c>
      <c r="K29" s="554">
        <v>17697</v>
      </c>
      <c r="L29" s="573">
        <v>10</v>
      </c>
      <c r="M29" s="554">
        <f t="shared" si="5"/>
        <v>0.55555555555555558</v>
      </c>
      <c r="N29" s="574" t="s">
        <v>152</v>
      </c>
      <c r="O29" s="575">
        <v>4.26</v>
      </c>
      <c r="P29" s="575"/>
      <c r="Q29" s="567">
        <f t="shared" si="6"/>
        <v>41882.9</v>
      </c>
      <c r="R29" s="894">
        <f>'расчеты к штатному'!P28</f>
        <v>46110.51666666667</v>
      </c>
      <c r="S29" s="568"/>
      <c r="T29" s="554"/>
      <c r="U29" s="554">
        <v>0.1</v>
      </c>
      <c r="V29" s="567">
        <f>Q29*U29</f>
        <v>4188.29</v>
      </c>
      <c r="W29" s="569"/>
      <c r="X29" s="554"/>
      <c r="Y29" s="700"/>
      <c r="Z29" s="570">
        <f t="shared" si="7"/>
        <v>46071.19</v>
      </c>
      <c r="AA29" s="274">
        <f t="shared" si="8"/>
        <v>0</v>
      </c>
      <c r="AB29" s="274">
        <f t="shared" si="8"/>
        <v>0</v>
      </c>
      <c r="AC29" s="681">
        <f>'расчеты к штатному'!X28-оклад!Z29</f>
        <v>17330.770416666666</v>
      </c>
      <c r="AD29" s="684">
        <f>('расчеты к штатному'!P28/оклад!Q29)-100%</f>
        <v>0.10093896713615025</v>
      </c>
    </row>
    <row r="30" spans="1:42" s="80" customFormat="1" ht="15.75">
      <c r="A30" s="560">
        <v>4</v>
      </c>
      <c r="B30" s="576" t="s">
        <v>110</v>
      </c>
      <c r="C30" s="561" t="s">
        <v>99</v>
      </c>
      <c r="D30" s="560" t="s">
        <v>25</v>
      </c>
      <c r="E30" s="562" t="s">
        <v>467</v>
      </c>
      <c r="F30" s="562" t="s">
        <v>468</v>
      </c>
      <c r="G30" s="560">
        <v>1</v>
      </c>
      <c r="H30" s="577" t="s">
        <v>102</v>
      </c>
      <c r="I30" s="577" t="s">
        <v>103</v>
      </c>
      <c r="J30" s="578">
        <v>4</v>
      </c>
      <c r="K30" s="554">
        <v>17697</v>
      </c>
      <c r="L30" s="565">
        <v>31</v>
      </c>
      <c r="M30" s="554">
        <f t="shared" si="5"/>
        <v>1.7222222222222223</v>
      </c>
      <c r="N30" s="574" t="s">
        <v>112</v>
      </c>
      <c r="O30" s="579">
        <v>2.92</v>
      </c>
      <c r="P30" s="579">
        <v>2.92</v>
      </c>
      <c r="Q30" s="567">
        <f t="shared" si="6"/>
        <v>88996.246666666659</v>
      </c>
      <c r="R30" s="894">
        <f>'расчеты к штатному'!P29</f>
        <v>121912.66666666666</v>
      </c>
      <c r="S30" s="568"/>
      <c r="T30" s="554"/>
      <c r="U30" s="554">
        <v>0.1</v>
      </c>
      <c r="V30" s="567">
        <f>U30*Q30</f>
        <v>8899.6246666666666</v>
      </c>
      <c r="W30" s="569"/>
      <c r="X30" s="554"/>
      <c r="Y30" s="700"/>
      <c r="Z30" s="570">
        <f t="shared" si="7"/>
        <v>97895.871333333329</v>
      </c>
      <c r="AA30" s="274"/>
      <c r="AB30" s="274"/>
      <c r="AC30" s="681">
        <f>'расчеты к штатному'!X29-оклад!Z30</f>
        <v>69734.045333333328</v>
      </c>
      <c r="AD30" s="684">
        <f>('расчеты к штатному'!P29/оклад!Q30)-100%</f>
        <v>0.36986301369863006</v>
      </c>
    </row>
    <row r="31" spans="1:42" s="80" customFormat="1" ht="17.25" customHeight="1">
      <c r="A31" s="547">
        <v>5</v>
      </c>
      <c r="B31" s="153" t="s">
        <v>106</v>
      </c>
      <c r="C31" s="561" t="s">
        <v>99</v>
      </c>
      <c r="D31" s="560" t="s">
        <v>25</v>
      </c>
      <c r="E31" s="562" t="s">
        <v>107</v>
      </c>
      <c r="F31" s="562" t="s">
        <v>108</v>
      </c>
      <c r="G31" s="560">
        <v>1</v>
      </c>
      <c r="H31" s="563" t="s">
        <v>102</v>
      </c>
      <c r="I31" s="563" t="s">
        <v>103</v>
      </c>
      <c r="J31" s="564">
        <v>3</v>
      </c>
      <c r="K31" s="554">
        <v>17697</v>
      </c>
      <c r="L31" s="565">
        <v>15</v>
      </c>
      <c r="M31" s="554">
        <f t="shared" si="5"/>
        <v>0.83333333333333337</v>
      </c>
      <c r="N31" s="566" t="s">
        <v>109</v>
      </c>
      <c r="O31" s="579">
        <v>3.33</v>
      </c>
      <c r="P31" s="579">
        <v>3.33</v>
      </c>
      <c r="Q31" s="567">
        <f t="shared" si="6"/>
        <v>49109.175000000003</v>
      </c>
      <c r="R31" s="894">
        <f>'расчеты к штатному'!P30</f>
        <v>47192</v>
      </c>
      <c r="S31" s="568"/>
      <c r="T31" s="554"/>
      <c r="U31" s="554">
        <v>0.1</v>
      </c>
      <c r="V31" s="567">
        <f>U31*Q31</f>
        <v>4910.9175000000005</v>
      </c>
      <c r="W31" s="569"/>
      <c r="X31" s="554"/>
      <c r="Y31" s="700"/>
      <c r="Z31" s="570">
        <f t="shared" si="7"/>
        <v>54020.092500000006</v>
      </c>
      <c r="AA31" s="274">
        <f t="shared" si="8"/>
        <v>0</v>
      </c>
      <c r="AB31" s="274">
        <f t="shared" si="8"/>
        <v>0</v>
      </c>
      <c r="AC31" s="681">
        <f>'расчеты к штатному'!X30-оклад!Z31</f>
        <v>10868.907499999994</v>
      </c>
      <c r="AD31" s="684">
        <f>('расчеты к штатному'!P30/оклад!Q31)-100%</f>
        <v>-3.9039039039039047E-2</v>
      </c>
    </row>
    <row r="32" spans="1:42" s="80" customFormat="1" ht="15.75">
      <c r="A32" s="560">
        <v>6</v>
      </c>
      <c r="B32" s="153" t="s">
        <v>215</v>
      </c>
      <c r="C32" s="561" t="s">
        <v>99</v>
      </c>
      <c r="D32" s="563" t="s">
        <v>25</v>
      </c>
      <c r="E32" s="562" t="s">
        <v>441</v>
      </c>
      <c r="F32" s="562" t="s">
        <v>217</v>
      </c>
      <c r="G32" s="571">
        <v>1</v>
      </c>
      <c r="H32" s="580" t="s">
        <v>102</v>
      </c>
      <c r="I32" s="580" t="s">
        <v>103</v>
      </c>
      <c r="J32" s="574">
        <v>1</v>
      </c>
      <c r="K32" s="554">
        <v>17697</v>
      </c>
      <c r="L32" s="573">
        <v>6</v>
      </c>
      <c r="M32" s="554">
        <f t="shared" si="5"/>
        <v>0.33333333333333331</v>
      </c>
      <c r="N32" s="574" t="s">
        <v>152</v>
      </c>
      <c r="O32" s="575">
        <v>4.26</v>
      </c>
      <c r="P32" s="575"/>
      <c r="Q32" s="567">
        <f t="shared" si="6"/>
        <v>25129.739999999998</v>
      </c>
      <c r="R32" s="894">
        <f>'расчеты к штатному'!P31</f>
        <v>27666.310000000005</v>
      </c>
      <c r="S32" s="568"/>
      <c r="T32" s="554"/>
      <c r="U32" s="554">
        <v>0.1</v>
      </c>
      <c r="V32" s="567">
        <f>Q32*U32</f>
        <v>2512.9740000000002</v>
      </c>
      <c r="W32" s="569"/>
      <c r="X32" s="554"/>
      <c r="Y32" s="700"/>
      <c r="Z32" s="570">
        <f t="shared" si="7"/>
        <v>27642.714</v>
      </c>
      <c r="AA32" s="274">
        <f t="shared" si="8"/>
        <v>0</v>
      </c>
      <c r="AB32" s="274">
        <f t="shared" si="8"/>
        <v>0</v>
      </c>
      <c r="AC32" s="681">
        <f>'расчеты к штатному'!X31-оклад!Z32</f>
        <v>10398.462250000004</v>
      </c>
      <c r="AD32" s="684">
        <f>('расчеты к штатному'!P31/оклад!Q32)-100%</f>
        <v>0.10093896713615047</v>
      </c>
    </row>
    <row r="33" spans="1:30" s="80" customFormat="1" ht="17.25" customHeight="1">
      <c r="A33" s="547">
        <v>7</v>
      </c>
      <c r="B33" s="153" t="s">
        <v>23</v>
      </c>
      <c r="C33" s="561" t="s">
        <v>99</v>
      </c>
      <c r="D33" s="560" t="s">
        <v>25</v>
      </c>
      <c r="E33" s="562" t="s">
        <v>469</v>
      </c>
      <c r="F33" s="562" t="s">
        <v>114</v>
      </c>
      <c r="G33" s="560">
        <v>1</v>
      </c>
      <c r="H33" s="563" t="s">
        <v>102</v>
      </c>
      <c r="I33" s="563" t="s">
        <v>103</v>
      </c>
      <c r="J33" s="581">
        <v>1</v>
      </c>
      <c r="K33" s="554">
        <v>17697</v>
      </c>
      <c r="L33" s="565">
        <v>9</v>
      </c>
      <c r="M33" s="554">
        <f t="shared" si="5"/>
        <v>0.5</v>
      </c>
      <c r="N33" s="574" t="s">
        <v>152</v>
      </c>
      <c r="O33" s="555">
        <v>4.32</v>
      </c>
      <c r="P33" s="555">
        <v>4.32</v>
      </c>
      <c r="Q33" s="567">
        <f t="shared" si="6"/>
        <v>38225.520000000004</v>
      </c>
      <c r="R33" s="894">
        <f>'расчеты к штатному'!P32</f>
        <v>42030.375</v>
      </c>
      <c r="S33" s="568"/>
      <c r="T33" s="554"/>
      <c r="U33" s="554">
        <v>0.1</v>
      </c>
      <c r="V33" s="567">
        <f t="shared" ref="V33:V77" si="9">U33*Q33</f>
        <v>3822.5520000000006</v>
      </c>
      <c r="W33" s="569"/>
      <c r="X33" s="554"/>
      <c r="Y33" s="700"/>
      <c r="Z33" s="570">
        <f t="shared" si="7"/>
        <v>42048.072000000007</v>
      </c>
      <c r="AA33" s="274">
        <f t="shared" si="8"/>
        <v>0</v>
      </c>
      <c r="AB33" s="274">
        <f t="shared" si="8"/>
        <v>0</v>
      </c>
      <c r="AC33" s="681">
        <f>'расчеты к штатному'!X32-оклад!Z33</f>
        <v>15743.693624999993</v>
      </c>
      <c r="AD33" s="684">
        <f>('расчеты к штатному'!P32/оклад!Q33)-100%</f>
        <v>9.9537037037036979E-2</v>
      </c>
    </row>
    <row r="34" spans="1:30" s="80" customFormat="1" ht="17.25" customHeight="1">
      <c r="A34" s="560">
        <v>8</v>
      </c>
      <c r="B34" s="153" t="s">
        <v>124</v>
      </c>
      <c r="C34" s="561" t="s">
        <v>125</v>
      </c>
      <c r="D34" s="560" t="s">
        <v>75</v>
      </c>
      <c r="E34" s="582" t="s">
        <v>126</v>
      </c>
      <c r="F34" s="562" t="s">
        <v>108</v>
      </c>
      <c r="G34" s="560">
        <v>1</v>
      </c>
      <c r="H34" s="563" t="s">
        <v>102</v>
      </c>
      <c r="I34" s="563" t="s">
        <v>118</v>
      </c>
      <c r="J34" s="581">
        <v>3</v>
      </c>
      <c r="K34" s="554">
        <v>17697</v>
      </c>
      <c r="L34" s="565">
        <v>22.5</v>
      </c>
      <c r="M34" s="554">
        <f t="shared" si="5"/>
        <v>1.25</v>
      </c>
      <c r="N34" s="566" t="s">
        <v>109</v>
      </c>
      <c r="O34" s="566">
        <v>2.96</v>
      </c>
      <c r="P34" s="566">
        <v>2.85</v>
      </c>
      <c r="Q34" s="567">
        <f t="shared" si="6"/>
        <v>65478.900000000009</v>
      </c>
      <c r="R34" s="894">
        <f>'расчеты к штатному'!P35</f>
        <v>59461.920000000006</v>
      </c>
      <c r="S34" s="568"/>
      <c r="T34" s="554"/>
      <c r="U34" s="554">
        <v>0.1</v>
      </c>
      <c r="V34" s="567">
        <f t="shared" si="9"/>
        <v>6547.8900000000012</v>
      </c>
      <c r="W34" s="569"/>
      <c r="X34" s="554"/>
      <c r="Y34" s="700"/>
      <c r="Z34" s="570">
        <f t="shared" si="7"/>
        <v>72026.790000000008</v>
      </c>
      <c r="AA34" s="274">
        <f t="shared" si="8"/>
        <v>0</v>
      </c>
      <c r="AB34" s="274">
        <f t="shared" si="8"/>
        <v>0</v>
      </c>
      <c r="AC34" s="681">
        <f>'расчеты к штатному'!X35-оклад!Z34</f>
        <v>9733.3500000000058</v>
      </c>
      <c r="AD34" s="684">
        <f>('расчеты к штатному'!P35/оклад!Q34)-100%</f>
        <v>-9.1891891891891953E-2</v>
      </c>
    </row>
    <row r="35" spans="1:30" s="80" customFormat="1" ht="17.25" customHeight="1">
      <c r="A35" s="547">
        <v>9</v>
      </c>
      <c r="B35" s="153" t="s">
        <v>116</v>
      </c>
      <c r="C35" s="561" t="s">
        <v>99</v>
      </c>
      <c r="D35" s="560" t="s">
        <v>64</v>
      </c>
      <c r="E35" s="583" t="s">
        <v>470</v>
      </c>
      <c r="F35" s="562" t="s">
        <v>114</v>
      </c>
      <c r="G35" s="560">
        <v>1</v>
      </c>
      <c r="H35" s="563" t="s">
        <v>102</v>
      </c>
      <c r="I35" s="563" t="s">
        <v>118</v>
      </c>
      <c r="J35" s="564">
        <v>1</v>
      </c>
      <c r="K35" s="554">
        <v>17697</v>
      </c>
      <c r="L35" s="565">
        <v>19</v>
      </c>
      <c r="M35" s="554">
        <f t="shared" si="5"/>
        <v>1.0555555555555556</v>
      </c>
      <c r="N35" s="574" t="s">
        <v>152</v>
      </c>
      <c r="O35" s="555">
        <v>3.89</v>
      </c>
      <c r="P35" s="566">
        <v>3.89</v>
      </c>
      <c r="Q35" s="567">
        <f t="shared" si="6"/>
        <v>72665.848333333328</v>
      </c>
      <c r="R35" s="894">
        <f>'расчеты к штатному'!P36</f>
        <v>79990.439999999988</v>
      </c>
      <c r="S35" s="568"/>
      <c r="T35" s="554"/>
      <c r="U35" s="554">
        <v>0.1</v>
      </c>
      <c r="V35" s="567">
        <f t="shared" si="9"/>
        <v>7266.5848333333333</v>
      </c>
      <c r="W35" s="569"/>
      <c r="X35" s="554"/>
      <c r="Y35" s="700"/>
      <c r="Z35" s="570">
        <f t="shared" si="7"/>
        <v>79932.433166666655</v>
      </c>
      <c r="AA35" s="274">
        <f t="shared" si="8"/>
        <v>0</v>
      </c>
      <c r="AB35" s="274">
        <f t="shared" si="8"/>
        <v>0</v>
      </c>
      <c r="AC35" s="681">
        <f>'расчеты к штатному'!X36-оклад!Z35</f>
        <v>30054.421833333327</v>
      </c>
      <c r="AD35" s="684">
        <f>('расчеты к штатному'!P36/оклад!Q35)-100%</f>
        <v>0.10079826816398318</v>
      </c>
    </row>
    <row r="36" spans="1:30" s="80" customFormat="1" ht="17.25" customHeight="1">
      <c r="A36" s="560">
        <v>10</v>
      </c>
      <c r="B36" s="153" t="s">
        <v>127</v>
      </c>
      <c r="C36" s="561" t="s">
        <v>99</v>
      </c>
      <c r="D36" s="560" t="s">
        <v>25</v>
      </c>
      <c r="E36" s="562" t="s">
        <v>471</v>
      </c>
      <c r="F36" s="562" t="s">
        <v>34</v>
      </c>
      <c r="G36" s="560">
        <v>1</v>
      </c>
      <c r="H36" s="563" t="s">
        <v>102</v>
      </c>
      <c r="I36" s="563" t="s">
        <v>103</v>
      </c>
      <c r="J36" s="564">
        <v>1</v>
      </c>
      <c r="K36" s="554">
        <v>17697</v>
      </c>
      <c r="L36" s="565">
        <v>26</v>
      </c>
      <c r="M36" s="554">
        <f t="shared" si="5"/>
        <v>1.4444444444444444</v>
      </c>
      <c r="N36" s="574" t="s">
        <v>152</v>
      </c>
      <c r="O36" s="555">
        <v>4.32</v>
      </c>
      <c r="P36" s="566">
        <v>4.32</v>
      </c>
      <c r="Q36" s="567">
        <f t="shared" si="6"/>
        <v>110429.28000000001</v>
      </c>
      <c r="R36" s="894">
        <f>'расчеты к штатному'!P37</f>
        <v>97549.796666666676</v>
      </c>
      <c r="S36" s="568"/>
      <c r="T36" s="554"/>
      <c r="U36" s="554">
        <v>0.1</v>
      </c>
      <c r="V36" s="567">
        <f t="shared" si="9"/>
        <v>11042.928000000002</v>
      </c>
      <c r="W36" s="569"/>
      <c r="X36" s="554"/>
      <c r="Y36" s="700"/>
      <c r="Z36" s="570">
        <f t="shared" si="7"/>
        <v>121472.20800000001</v>
      </c>
      <c r="AA36" s="274">
        <f t="shared" si="8"/>
        <v>0</v>
      </c>
      <c r="AB36" s="274">
        <f t="shared" si="8"/>
        <v>0</v>
      </c>
      <c r="AC36" s="681">
        <f>'расчеты к штатному'!X37-оклад!Z36</f>
        <v>12658.762416666665</v>
      </c>
      <c r="AD36" s="684">
        <f>('расчеты к штатному'!P37/оклад!Q36)-100%</f>
        <v>-0.11663105413105412</v>
      </c>
    </row>
    <row r="37" spans="1:30" s="80" customFormat="1" ht="17.25" customHeight="1">
      <c r="A37" s="547">
        <v>11</v>
      </c>
      <c r="B37" s="52" t="s">
        <v>386</v>
      </c>
      <c r="C37" s="52" t="s">
        <v>99</v>
      </c>
      <c r="D37" s="210" t="s">
        <v>25</v>
      </c>
      <c r="E37" s="584" t="s">
        <v>472</v>
      </c>
      <c r="F37" s="584" t="s">
        <v>34</v>
      </c>
      <c r="G37" s="562" t="s">
        <v>156</v>
      </c>
      <c r="H37" s="563" t="s">
        <v>102</v>
      </c>
      <c r="I37" s="563" t="s">
        <v>103</v>
      </c>
      <c r="J37" s="581">
        <v>1</v>
      </c>
      <c r="K37" s="554">
        <v>17697</v>
      </c>
      <c r="L37" s="565">
        <v>18</v>
      </c>
      <c r="M37" s="554">
        <f t="shared" si="5"/>
        <v>1</v>
      </c>
      <c r="N37" s="574" t="s">
        <v>152</v>
      </c>
      <c r="O37" s="555">
        <v>4.32</v>
      </c>
      <c r="P37" s="566"/>
      <c r="Q37" s="567">
        <f t="shared" si="6"/>
        <v>76451.040000000008</v>
      </c>
      <c r="R37" s="894" t="e">
        <f>'расчеты к штатному'!#REF!</f>
        <v>#REF!</v>
      </c>
      <c r="S37" s="568"/>
      <c r="T37" s="554"/>
      <c r="U37" s="554">
        <v>0.1</v>
      </c>
      <c r="V37" s="567">
        <f t="shared" si="9"/>
        <v>7645.1040000000012</v>
      </c>
      <c r="W37" s="569"/>
      <c r="X37" s="554"/>
      <c r="Y37" s="700"/>
      <c r="Z37" s="570">
        <f t="shared" si="7"/>
        <v>84096.144000000015</v>
      </c>
      <c r="AA37" s="274">
        <f t="shared" si="8"/>
        <v>0</v>
      </c>
      <c r="AB37" s="274">
        <f t="shared" si="8"/>
        <v>0</v>
      </c>
      <c r="AC37" s="681" t="e">
        <f>'расчеты к штатному'!#REF!-оклад!Z37</f>
        <v>#REF!</v>
      </c>
      <c r="AD37" s="684" t="e">
        <f>('расчеты к штатному'!#REF!/оклад!Q37)-100%</f>
        <v>#REF!</v>
      </c>
    </row>
    <row r="38" spans="1:30" s="80" customFormat="1" ht="17.25" customHeight="1">
      <c r="A38" s="560">
        <v>12</v>
      </c>
      <c r="B38" s="153" t="s">
        <v>458</v>
      </c>
      <c r="C38" s="561" t="s">
        <v>99</v>
      </c>
      <c r="D38" s="560" t="s">
        <v>25</v>
      </c>
      <c r="E38" s="582" t="s">
        <v>501</v>
      </c>
      <c r="F38" s="582" t="s">
        <v>34</v>
      </c>
      <c r="G38" s="560">
        <v>1</v>
      </c>
      <c r="H38" s="563" t="s">
        <v>102</v>
      </c>
      <c r="I38" s="563" t="s">
        <v>103</v>
      </c>
      <c r="J38" s="581">
        <v>1</v>
      </c>
      <c r="K38" s="554">
        <v>17697</v>
      </c>
      <c r="L38" s="565">
        <v>23</v>
      </c>
      <c r="M38" s="554">
        <f t="shared" si="5"/>
        <v>1.2777777777777777</v>
      </c>
      <c r="N38" s="574" t="s">
        <v>152</v>
      </c>
      <c r="O38" s="555">
        <v>4.32</v>
      </c>
      <c r="P38" s="566"/>
      <c r="Q38" s="567">
        <f t="shared" si="6"/>
        <v>97687.440000000017</v>
      </c>
      <c r="R38" s="894">
        <f>'расчеты к штатному'!P38</f>
        <v>107410.95833333334</v>
      </c>
      <c r="S38" s="568"/>
      <c r="T38" s="554"/>
      <c r="U38" s="554">
        <v>0.1</v>
      </c>
      <c r="V38" s="567">
        <f t="shared" si="9"/>
        <v>9768.7440000000024</v>
      </c>
      <c r="W38" s="569"/>
      <c r="X38" s="554"/>
      <c r="Y38" s="700"/>
      <c r="Z38" s="570">
        <f t="shared" si="7"/>
        <v>107456.18400000002</v>
      </c>
      <c r="AA38" s="274"/>
      <c r="AB38" s="274"/>
      <c r="AC38" s="681">
        <f>'расчеты к штатному'!X38-оклад!Z38</f>
        <v>40233.88370833332</v>
      </c>
      <c r="AD38" s="684">
        <f>('расчеты к штатному'!P38/оклад!Q38)-100%</f>
        <v>9.9537037037036979E-2</v>
      </c>
    </row>
    <row r="39" spans="1:30" s="80" customFormat="1" ht="17.25" customHeight="1">
      <c r="A39" s="547">
        <v>13</v>
      </c>
      <c r="B39" s="153" t="s">
        <v>130</v>
      </c>
      <c r="C39" s="561" t="s">
        <v>99</v>
      </c>
      <c r="D39" s="560" t="s">
        <v>25</v>
      </c>
      <c r="E39" s="582" t="s">
        <v>473</v>
      </c>
      <c r="F39" s="582" t="s">
        <v>34</v>
      </c>
      <c r="G39" s="560">
        <v>1</v>
      </c>
      <c r="H39" s="563" t="s">
        <v>102</v>
      </c>
      <c r="I39" s="563" t="s">
        <v>103</v>
      </c>
      <c r="J39" s="581">
        <v>1</v>
      </c>
      <c r="K39" s="554">
        <v>17697</v>
      </c>
      <c r="L39" s="565">
        <v>9</v>
      </c>
      <c r="M39" s="554">
        <f t="shared" si="5"/>
        <v>0.5</v>
      </c>
      <c r="N39" s="574" t="s">
        <v>152</v>
      </c>
      <c r="O39" s="555">
        <v>4.32</v>
      </c>
      <c r="P39" s="566">
        <v>4.32</v>
      </c>
      <c r="Q39" s="567">
        <f t="shared" si="6"/>
        <v>38225.520000000004</v>
      </c>
      <c r="R39" s="894">
        <f>'расчеты к штатному'!P40</f>
        <v>42030.375</v>
      </c>
      <c r="S39" s="568"/>
      <c r="T39" s="554"/>
      <c r="U39" s="554">
        <v>0.1</v>
      </c>
      <c r="V39" s="567">
        <f t="shared" si="9"/>
        <v>3822.5520000000006</v>
      </c>
      <c r="W39" s="569"/>
      <c r="X39" s="554"/>
      <c r="Y39" s="700"/>
      <c r="Z39" s="570">
        <f t="shared" si="7"/>
        <v>42048.072000000007</v>
      </c>
      <c r="AA39" s="274">
        <f t="shared" si="8"/>
        <v>0</v>
      </c>
      <c r="AB39" s="274">
        <f t="shared" si="8"/>
        <v>0</v>
      </c>
      <c r="AC39" s="681">
        <f>'расчеты к штатному'!X40-оклад!Z39</f>
        <v>15743.693624999993</v>
      </c>
      <c r="AD39" s="684">
        <f>('расчеты к штатному'!P40/оклад!Q39)-100%</f>
        <v>9.9537037037036979E-2</v>
      </c>
    </row>
    <row r="40" spans="1:30" s="80" customFormat="1" ht="17.25" customHeight="1">
      <c r="A40" s="560">
        <v>14</v>
      </c>
      <c r="B40" s="153" t="s">
        <v>455</v>
      </c>
      <c r="C40" s="561" t="s">
        <v>99</v>
      </c>
      <c r="D40" s="563" t="s">
        <v>25</v>
      </c>
      <c r="E40" s="210" t="s">
        <v>502</v>
      </c>
      <c r="F40" s="562" t="s">
        <v>34</v>
      </c>
      <c r="G40" s="560">
        <v>1</v>
      </c>
      <c r="H40" s="563" t="s">
        <v>102</v>
      </c>
      <c r="I40" s="563" t="s">
        <v>103</v>
      </c>
      <c r="J40" s="581">
        <v>1</v>
      </c>
      <c r="K40" s="554">
        <v>17697</v>
      </c>
      <c r="L40" s="565">
        <v>8</v>
      </c>
      <c r="M40" s="554">
        <f t="shared" si="5"/>
        <v>0.44444444444444442</v>
      </c>
      <c r="N40" s="574" t="s">
        <v>152</v>
      </c>
      <c r="O40" s="555">
        <v>4.32</v>
      </c>
      <c r="P40" s="566"/>
      <c r="Q40" s="567">
        <f t="shared" si="6"/>
        <v>33978.240000000005</v>
      </c>
      <c r="R40" s="894">
        <f>'расчеты к штатному'!P41</f>
        <v>37360.333333333336</v>
      </c>
      <c r="S40" s="568"/>
      <c r="T40" s="554"/>
      <c r="U40" s="554">
        <v>0.1</v>
      </c>
      <c r="V40" s="567">
        <f t="shared" si="9"/>
        <v>3397.8240000000005</v>
      </c>
      <c r="W40" s="569"/>
      <c r="X40" s="554"/>
      <c r="Y40" s="700"/>
      <c r="Z40" s="570">
        <f t="shared" si="7"/>
        <v>37376.064000000006</v>
      </c>
      <c r="AA40" s="274">
        <f t="shared" si="8"/>
        <v>0</v>
      </c>
      <c r="AB40" s="274">
        <f t="shared" si="8"/>
        <v>0</v>
      </c>
      <c r="AC40" s="681">
        <f>'расчеты к штатному'!X41-оклад!Z40</f>
        <v>13994.39433333333</v>
      </c>
      <c r="AD40" s="684">
        <f>('расчеты к штатному'!P41/оклад!Q40)-100%</f>
        <v>9.9537037037036979E-2</v>
      </c>
    </row>
    <row r="41" spans="1:30" s="80" customFormat="1" ht="17.25" customHeight="1">
      <c r="A41" s="547">
        <v>15</v>
      </c>
      <c r="B41" s="153" t="s">
        <v>204</v>
      </c>
      <c r="C41" s="561" t="s">
        <v>99</v>
      </c>
      <c r="D41" s="563" t="s">
        <v>25</v>
      </c>
      <c r="E41" s="562" t="s">
        <v>503</v>
      </c>
      <c r="F41" s="562" t="s">
        <v>206</v>
      </c>
      <c r="G41" s="560">
        <v>1</v>
      </c>
      <c r="H41" s="563" t="s">
        <v>102</v>
      </c>
      <c r="I41" s="563" t="s">
        <v>103</v>
      </c>
      <c r="J41" s="581">
        <v>3</v>
      </c>
      <c r="K41" s="554">
        <v>17697</v>
      </c>
      <c r="L41" s="565">
        <v>6</v>
      </c>
      <c r="M41" s="554">
        <f t="shared" si="5"/>
        <v>0.33333333333333331</v>
      </c>
      <c r="N41" s="566" t="s">
        <v>109</v>
      </c>
      <c r="O41" s="566">
        <v>3.33</v>
      </c>
      <c r="P41" s="566"/>
      <c r="Q41" s="567">
        <f t="shared" si="6"/>
        <v>19643.670000000002</v>
      </c>
      <c r="R41" s="894">
        <f>'расчеты к штатному'!P42</f>
        <v>24126.91</v>
      </c>
      <c r="S41" s="568"/>
      <c r="T41" s="554"/>
      <c r="U41" s="554">
        <v>0.1</v>
      </c>
      <c r="V41" s="567">
        <f t="shared" si="9"/>
        <v>1964.3670000000002</v>
      </c>
      <c r="W41" s="569"/>
      <c r="X41" s="554"/>
      <c r="Y41" s="700"/>
      <c r="Z41" s="570">
        <f t="shared" si="7"/>
        <v>21608.037000000004</v>
      </c>
      <c r="AA41" s="274">
        <f t="shared" si="8"/>
        <v>0</v>
      </c>
      <c r="AB41" s="274">
        <f t="shared" si="8"/>
        <v>0</v>
      </c>
      <c r="AC41" s="681">
        <f>'расчеты к штатному'!X42-оклад!Z41</f>
        <v>11566.464249999997</v>
      </c>
      <c r="AD41" s="684">
        <f>('расчеты к штатному'!P42/оклад!Q41)-100%</f>
        <v>0.22822822822822819</v>
      </c>
    </row>
    <row r="42" spans="1:30" s="80" customFormat="1" ht="17.25" customHeight="1">
      <c r="A42" s="560">
        <v>16</v>
      </c>
      <c r="B42" s="153" t="s">
        <v>133</v>
      </c>
      <c r="C42" s="561" t="s">
        <v>99</v>
      </c>
      <c r="D42" s="563" t="s">
        <v>25</v>
      </c>
      <c r="E42" s="562" t="s">
        <v>474</v>
      </c>
      <c r="F42" s="562" t="s">
        <v>34</v>
      </c>
      <c r="G42" s="560">
        <v>1</v>
      </c>
      <c r="H42" s="563" t="s">
        <v>102</v>
      </c>
      <c r="I42" s="563" t="s">
        <v>103</v>
      </c>
      <c r="J42" s="581">
        <v>1</v>
      </c>
      <c r="K42" s="554">
        <v>17697</v>
      </c>
      <c r="L42" s="565">
        <v>11</v>
      </c>
      <c r="M42" s="554">
        <f t="shared" si="5"/>
        <v>0.61111111111111116</v>
      </c>
      <c r="N42" s="574" t="s">
        <v>152</v>
      </c>
      <c r="O42" s="555">
        <v>4.32</v>
      </c>
      <c r="P42" s="566"/>
      <c r="Q42" s="567">
        <f t="shared" si="6"/>
        <v>46720.080000000009</v>
      </c>
      <c r="R42" s="894" t="e">
        <f>'расчеты к штатному'!#REF!</f>
        <v>#REF!</v>
      </c>
      <c r="S42" s="568"/>
      <c r="T42" s="554"/>
      <c r="U42" s="554">
        <v>0.1</v>
      </c>
      <c r="V42" s="567">
        <f t="shared" si="9"/>
        <v>4672.0080000000007</v>
      </c>
      <c r="W42" s="569"/>
      <c r="X42" s="554"/>
      <c r="Y42" s="700"/>
      <c r="Z42" s="570">
        <f t="shared" si="7"/>
        <v>51392.088000000011</v>
      </c>
      <c r="AA42" s="274">
        <f t="shared" si="8"/>
        <v>0</v>
      </c>
      <c r="AB42" s="274">
        <f t="shared" si="8"/>
        <v>0</v>
      </c>
      <c r="AC42" s="681" t="e">
        <f>'расчеты к штатному'!#REF!-оклад!Z42</f>
        <v>#REF!</v>
      </c>
      <c r="AD42" s="684" t="e">
        <f>('расчеты к штатному'!#REF!/оклад!Q42)-100%</f>
        <v>#REF!</v>
      </c>
    </row>
    <row r="43" spans="1:30" s="80" customFormat="1" ht="17.25" customHeight="1">
      <c r="A43" s="547">
        <v>17</v>
      </c>
      <c r="B43" s="153" t="s">
        <v>135</v>
      </c>
      <c r="C43" s="561" t="s">
        <v>99</v>
      </c>
      <c r="D43" s="563" t="s">
        <v>25</v>
      </c>
      <c r="E43" s="562" t="s">
        <v>465</v>
      </c>
      <c r="F43" s="562" t="s">
        <v>34</v>
      </c>
      <c r="G43" s="560">
        <v>1</v>
      </c>
      <c r="H43" s="563" t="s">
        <v>102</v>
      </c>
      <c r="I43" s="563" t="s">
        <v>103</v>
      </c>
      <c r="J43" s="581">
        <v>1</v>
      </c>
      <c r="K43" s="554">
        <v>17697</v>
      </c>
      <c r="L43" s="565">
        <v>21</v>
      </c>
      <c r="M43" s="554">
        <f t="shared" si="5"/>
        <v>1.1666666666666667</v>
      </c>
      <c r="N43" s="574" t="s">
        <v>152</v>
      </c>
      <c r="O43" s="555">
        <v>4.32</v>
      </c>
      <c r="P43" s="566"/>
      <c r="Q43" s="567">
        <f t="shared" si="6"/>
        <v>89192.880000000019</v>
      </c>
      <c r="R43" s="894" t="e">
        <f>'расчеты к штатному'!#REF!</f>
        <v>#REF!</v>
      </c>
      <c r="S43" s="568"/>
      <c r="T43" s="554"/>
      <c r="U43" s="554">
        <v>0.1</v>
      </c>
      <c r="V43" s="567">
        <f t="shared" si="9"/>
        <v>8919.2880000000023</v>
      </c>
      <c r="W43" s="569"/>
      <c r="X43" s="554"/>
      <c r="Y43" s="700"/>
      <c r="Z43" s="570">
        <f t="shared" si="7"/>
        <v>98112.16800000002</v>
      </c>
      <c r="AA43" s="274">
        <f t="shared" si="8"/>
        <v>0</v>
      </c>
      <c r="AB43" s="274">
        <f t="shared" si="8"/>
        <v>0</v>
      </c>
      <c r="AC43" s="681" t="e">
        <f>'расчеты к штатному'!#REF!-оклад!Z43</f>
        <v>#REF!</v>
      </c>
      <c r="AD43" s="684" t="e">
        <f>('расчеты к штатному'!#REF!/оклад!Q43)-100%</f>
        <v>#REF!</v>
      </c>
    </row>
    <row r="44" spans="1:30" s="80" customFormat="1" ht="17.25" customHeight="1">
      <c r="A44" s="560">
        <v>18</v>
      </c>
      <c r="B44" s="153" t="s">
        <v>138</v>
      </c>
      <c r="C44" s="561" t="s">
        <v>99</v>
      </c>
      <c r="D44" s="563" t="s">
        <v>25</v>
      </c>
      <c r="E44" s="562" t="s">
        <v>475</v>
      </c>
      <c r="F44" s="562" t="s">
        <v>476</v>
      </c>
      <c r="G44" s="560">
        <v>1</v>
      </c>
      <c r="H44" s="563" t="s">
        <v>102</v>
      </c>
      <c r="I44" s="563" t="s">
        <v>103</v>
      </c>
      <c r="J44" s="572">
        <v>4</v>
      </c>
      <c r="K44" s="554">
        <v>17697</v>
      </c>
      <c r="L44" s="565">
        <v>23</v>
      </c>
      <c r="M44" s="554">
        <f t="shared" si="5"/>
        <v>1.2777777777777777</v>
      </c>
      <c r="N44" s="574" t="s">
        <v>112</v>
      </c>
      <c r="O44" s="566">
        <v>2.98</v>
      </c>
      <c r="P44" s="566"/>
      <c r="Q44" s="567">
        <f t="shared" si="6"/>
        <v>67386.243333333332</v>
      </c>
      <c r="R44" s="894">
        <f>'расчеты к штатному'!P43</f>
        <v>96035.72</v>
      </c>
      <c r="S44" s="568"/>
      <c r="T44" s="554"/>
      <c r="U44" s="554">
        <v>0.1</v>
      </c>
      <c r="V44" s="567">
        <f t="shared" si="9"/>
        <v>6738.6243333333332</v>
      </c>
      <c r="W44" s="569"/>
      <c r="X44" s="554"/>
      <c r="Y44" s="700"/>
      <c r="Z44" s="570">
        <f t="shared" si="7"/>
        <v>74124.867666666658</v>
      </c>
      <c r="AA44" s="274"/>
      <c r="AB44" s="274"/>
      <c r="AC44" s="681">
        <f>'расчеты к штатному'!X43-оклад!Z44</f>
        <v>57924.247333333333</v>
      </c>
      <c r="AD44" s="684">
        <f>('расчеты к штатному'!P43/оклад!Q44)-100%</f>
        <v>0.42515319521447337</v>
      </c>
    </row>
    <row r="45" spans="1:30" s="80" customFormat="1" ht="17.25" customHeight="1">
      <c r="A45" s="547">
        <v>19</v>
      </c>
      <c r="B45" s="153" t="s">
        <v>58</v>
      </c>
      <c r="C45" s="561" t="s">
        <v>99</v>
      </c>
      <c r="D45" s="563" t="s">
        <v>25</v>
      </c>
      <c r="E45" s="562" t="s">
        <v>477</v>
      </c>
      <c r="F45" s="562" t="s">
        <v>366</v>
      </c>
      <c r="G45" s="560">
        <v>1</v>
      </c>
      <c r="H45" s="563" t="s">
        <v>102</v>
      </c>
      <c r="I45" s="563" t="s">
        <v>103</v>
      </c>
      <c r="J45" s="581">
        <v>3</v>
      </c>
      <c r="K45" s="554">
        <v>17697</v>
      </c>
      <c r="L45" s="565">
        <v>18</v>
      </c>
      <c r="M45" s="554">
        <f t="shared" si="5"/>
        <v>1</v>
      </c>
      <c r="N45" s="566" t="s">
        <v>109</v>
      </c>
      <c r="O45" s="566">
        <v>3.63</v>
      </c>
      <c r="P45" s="566"/>
      <c r="Q45" s="567">
        <f t="shared" si="6"/>
        <v>64240.11</v>
      </c>
      <c r="R45" s="894">
        <f>'расчеты к штатному'!P44</f>
        <v>78574.680000000008</v>
      </c>
      <c r="S45" s="568"/>
      <c r="T45" s="554"/>
      <c r="U45" s="554">
        <v>0.1</v>
      </c>
      <c r="V45" s="567">
        <f t="shared" si="9"/>
        <v>6424.0110000000004</v>
      </c>
      <c r="W45" s="569"/>
      <c r="X45" s="554"/>
      <c r="Y45" s="700"/>
      <c r="Z45" s="570">
        <f t="shared" si="7"/>
        <v>70664.120999999999</v>
      </c>
      <c r="AA45" s="274">
        <f t="shared" si="8"/>
        <v>0</v>
      </c>
      <c r="AB45" s="274">
        <f t="shared" si="8"/>
        <v>0</v>
      </c>
      <c r="AC45" s="681">
        <f>'расчеты к штатному'!X44-оклад!Z45</f>
        <v>37376.064000000013</v>
      </c>
      <c r="AD45" s="684">
        <f>('расчеты к штатному'!P44/оклад!Q45)-100%</f>
        <v>0.22314049586776874</v>
      </c>
    </row>
    <row r="46" spans="1:30" s="80" customFormat="1" ht="17.25" customHeight="1">
      <c r="A46" s="560">
        <v>20</v>
      </c>
      <c r="B46" s="153" t="s">
        <v>145</v>
      </c>
      <c r="C46" s="561" t="s">
        <v>99</v>
      </c>
      <c r="D46" s="563" t="s">
        <v>25</v>
      </c>
      <c r="E46" s="562" t="s">
        <v>478</v>
      </c>
      <c r="F46" s="562" t="s">
        <v>140</v>
      </c>
      <c r="G46" s="560">
        <v>1</v>
      </c>
      <c r="H46" s="563" t="s">
        <v>102</v>
      </c>
      <c r="I46" s="563" t="s">
        <v>103</v>
      </c>
      <c r="J46" s="581">
        <v>4</v>
      </c>
      <c r="K46" s="554">
        <v>17697</v>
      </c>
      <c r="L46" s="565">
        <v>18</v>
      </c>
      <c r="M46" s="554">
        <f t="shared" si="5"/>
        <v>1</v>
      </c>
      <c r="N46" s="574" t="s">
        <v>112</v>
      </c>
      <c r="O46" s="566">
        <v>2.92</v>
      </c>
      <c r="P46" s="566"/>
      <c r="Q46" s="567">
        <f t="shared" si="6"/>
        <v>51675.239999999991</v>
      </c>
      <c r="R46" s="894">
        <f>'расчеты к штатному'!P45</f>
        <v>68359.578333333338</v>
      </c>
      <c r="S46" s="568"/>
      <c r="T46" s="554"/>
      <c r="U46" s="554">
        <v>0.1</v>
      </c>
      <c r="V46" s="567">
        <f t="shared" si="9"/>
        <v>5167.5239999999994</v>
      </c>
      <c r="W46" s="569"/>
      <c r="X46" s="554"/>
      <c r="Y46" s="700"/>
      <c r="Z46" s="570">
        <f t="shared" si="7"/>
        <v>56842.763999999988</v>
      </c>
      <c r="AA46" s="274">
        <f t="shared" si="8"/>
        <v>0</v>
      </c>
      <c r="AB46" s="274">
        <f t="shared" si="8"/>
        <v>0</v>
      </c>
      <c r="AC46" s="681">
        <f>'расчеты к штатному'!X45-оклад!Z46</f>
        <v>37151.656208333363</v>
      </c>
      <c r="AD46" s="684">
        <f>('расчеты к штатному'!P45/оклад!Q46)-100%</f>
        <v>0.32286910197869134</v>
      </c>
    </row>
    <row r="47" spans="1:30" s="80" customFormat="1" ht="17.25" customHeight="1">
      <c r="A47" s="547">
        <v>21</v>
      </c>
      <c r="B47" s="153" t="s">
        <v>143</v>
      </c>
      <c r="C47" s="561" t="s">
        <v>99</v>
      </c>
      <c r="D47" s="563" t="s">
        <v>25</v>
      </c>
      <c r="E47" s="562" t="s">
        <v>479</v>
      </c>
      <c r="F47" s="562" t="s">
        <v>73</v>
      </c>
      <c r="G47" s="560">
        <v>1</v>
      </c>
      <c r="H47" s="563" t="s">
        <v>102</v>
      </c>
      <c r="I47" s="563" t="s">
        <v>103</v>
      </c>
      <c r="J47" s="581">
        <v>1</v>
      </c>
      <c r="K47" s="554">
        <v>17697</v>
      </c>
      <c r="L47" s="565">
        <v>34</v>
      </c>
      <c r="M47" s="554">
        <f t="shared" si="5"/>
        <v>1.8888888888888888</v>
      </c>
      <c r="N47" s="574" t="s">
        <v>152</v>
      </c>
      <c r="O47" s="566">
        <v>4.0199999999999996</v>
      </c>
      <c r="P47" s="566"/>
      <c r="Q47" s="567">
        <f t="shared" si="6"/>
        <v>134379.21999999997</v>
      </c>
      <c r="R47" s="894">
        <f>'расчеты к штатному'!P46</f>
        <v>132432.54999999999</v>
      </c>
      <c r="S47" s="568"/>
      <c r="T47" s="554"/>
      <c r="U47" s="554">
        <v>0.1</v>
      </c>
      <c r="V47" s="567">
        <f t="shared" si="9"/>
        <v>13437.921999999999</v>
      </c>
      <c r="W47" s="569"/>
      <c r="X47" s="554"/>
      <c r="Y47" s="700"/>
      <c r="Z47" s="570">
        <f t="shared" si="7"/>
        <v>147817.14199999996</v>
      </c>
      <c r="AA47" s="274">
        <f t="shared" si="8"/>
        <v>0</v>
      </c>
      <c r="AB47" s="274">
        <f t="shared" si="8"/>
        <v>0</v>
      </c>
      <c r="AC47" s="681">
        <f>'расчеты к штатному'!X46-оклад!Z47</f>
        <v>34277.614250000042</v>
      </c>
      <c r="AD47" s="684">
        <f>('расчеты к штатному'!P46/оклад!Q47)-100%</f>
        <v>-1.4486391571553847E-2</v>
      </c>
    </row>
    <row r="48" spans="1:30" s="80" customFormat="1" ht="17.25" customHeight="1">
      <c r="A48" s="560">
        <v>22</v>
      </c>
      <c r="B48" s="153" t="s">
        <v>447</v>
      </c>
      <c r="C48" s="561" t="s">
        <v>99</v>
      </c>
      <c r="D48" s="563" t="s">
        <v>75</v>
      </c>
      <c r="E48" s="585" t="s">
        <v>440</v>
      </c>
      <c r="F48" s="585" t="s">
        <v>159</v>
      </c>
      <c r="G48" s="560">
        <v>1</v>
      </c>
      <c r="H48" s="563" t="s">
        <v>102</v>
      </c>
      <c r="I48" s="563" t="s">
        <v>118</v>
      </c>
      <c r="J48" s="581">
        <v>4</v>
      </c>
      <c r="K48" s="554">
        <v>17697</v>
      </c>
      <c r="L48" s="565">
        <v>4</v>
      </c>
      <c r="M48" s="554">
        <f t="shared" si="5"/>
        <v>0.22222222222222221</v>
      </c>
      <c r="N48" s="574" t="s">
        <v>112</v>
      </c>
      <c r="O48" s="566">
        <v>2.9</v>
      </c>
      <c r="P48" s="566"/>
      <c r="Q48" s="567">
        <f t="shared" si="6"/>
        <v>11404.733333333332</v>
      </c>
      <c r="R48" s="894">
        <f>'расчеты к штатному'!P47</f>
        <v>6606.88</v>
      </c>
      <c r="S48" s="568"/>
      <c r="T48" s="554"/>
      <c r="U48" s="554">
        <v>0.1</v>
      </c>
      <c r="V48" s="567">
        <f t="shared" si="9"/>
        <v>1140.4733333333331</v>
      </c>
      <c r="W48" s="569"/>
      <c r="X48" s="554"/>
      <c r="Y48" s="700"/>
      <c r="Z48" s="570">
        <f t="shared" si="7"/>
        <v>12545.206666666665</v>
      </c>
      <c r="AA48" s="274">
        <f t="shared" si="8"/>
        <v>0</v>
      </c>
      <c r="AB48" s="274">
        <f t="shared" si="8"/>
        <v>0</v>
      </c>
      <c r="AC48" s="681">
        <f>'расчеты к штатному'!X47-оклад!Z48</f>
        <v>-3460.7466666666642</v>
      </c>
      <c r="AD48" s="684">
        <f>('расчеты к штатному'!P47/оклад!Q48)-100%</f>
        <v>-0.42068965517241375</v>
      </c>
    </row>
    <row r="49" spans="1:30" s="80" customFormat="1" ht="17.25" customHeight="1">
      <c r="A49" s="547">
        <v>23</v>
      </c>
      <c r="B49" s="153" t="s">
        <v>147</v>
      </c>
      <c r="C49" s="561" t="s">
        <v>148</v>
      </c>
      <c r="D49" s="563" t="s">
        <v>25</v>
      </c>
      <c r="E49" s="562" t="s">
        <v>480</v>
      </c>
      <c r="F49" s="562" t="s">
        <v>51</v>
      </c>
      <c r="G49" s="560">
        <v>1</v>
      </c>
      <c r="H49" s="563" t="s">
        <v>102</v>
      </c>
      <c r="I49" s="563" t="s">
        <v>103</v>
      </c>
      <c r="J49" s="564">
        <v>3</v>
      </c>
      <c r="K49" s="554">
        <v>17697</v>
      </c>
      <c r="L49" s="565">
        <v>36</v>
      </c>
      <c r="M49" s="554">
        <f t="shared" si="5"/>
        <v>2</v>
      </c>
      <c r="N49" s="566" t="s">
        <v>109</v>
      </c>
      <c r="O49" s="566">
        <v>3.69</v>
      </c>
      <c r="P49" s="566"/>
      <c r="Q49" s="567">
        <f t="shared" si="6"/>
        <v>130603.86000000002</v>
      </c>
      <c r="R49" s="894">
        <f>'расчеты к штатному'!P48</f>
        <v>156795.41999999998</v>
      </c>
      <c r="S49" s="568"/>
      <c r="T49" s="554"/>
      <c r="U49" s="554">
        <v>0.1</v>
      </c>
      <c r="V49" s="567">
        <f t="shared" si="9"/>
        <v>13060.386000000002</v>
      </c>
      <c r="W49" s="569"/>
      <c r="X49" s="554"/>
      <c r="Y49" s="700"/>
      <c r="Z49" s="570">
        <f t="shared" si="7"/>
        <v>143664.24600000001</v>
      </c>
      <c r="AA49" s="274">
        <f t="shared" si="8"/>
        <v>0</v>
      </c>
      <c r="AB49" s="274">
        <f t="shared" si="8"/>
        <v>0</v>
      </c>
      <c r="AC49" s="681">
        <f>'расчеты к штатному'!X48-оклад!Z49</f>
        <v>71929.456499999942</v>
      </c>
      <c r="AD49" s="684">
        <f>('расчеты к штатному'!P48/оклад!Q49)-100%</f>
        <v>0.20054200542005396</v>
      </c>
    </row>
    <row r="50" spans="1:30" s="80" customFormat="1" ht="17.25" customHeight="1">
      <c r="A50" s="560">
        <v>24</v>
      </c>
      <c r="B50" s="153" t="s">
        <v>91</v>
      </c>
      <c r="C50" s="561" t="s">
        <v>99</v>
      </c>
      <c r="D50" s="563" t="s">
        <v>25</v>
      </c>
      <c r="E50" s="562" t="s">
        <v>481</v>
      </c>
      <c r="F50" s="562" t="s">
        <v>93</v>
      </c>
      <c r="G50" s="560">
        <v>1</v>
      </c>
      <c r="H50" s="563" t="s">
        <v>102</v>
      </c>
      <c r="I50" s="563" t="s">
        <v>103</v>
      </c>
      <c r="J50" s="581">
        <v>1</v>
      </c>
      <c r="K50" s="554">
        <v>17697</v>
      </c>
      <c r="L50" s="565">
        <v>36</v>
      </c>
      <c r="M50" s="554">
        <f t="shared" si="5"/>
        <v>2</v>
      </c>
      <c r="N50" s="574" t="s">
        <v>152</v>
      </c>
      <c r="O50" s="566">
        <v>4.2</v>
      </c>
      <c r="P50" s="566"/>
      <c r="Q50" s="567">
        <f t="shared" si="6"/>
        <v>148654.80000000002</v>
      </c>
      <c r="R50" s="894">
        <f>'расчеты к штатному'!P49</f>
        <v>163520.27999999997</v>
      </c>
      <c r="S50" s="568"/>
      <c r="T50" s="554"/>
      <c r="U50" s="554">
        <v>0.1</v>
      </c>
      <c r="V50" s="567">
        <f t="shared" si="9"/>
        <v>14865.480000000003</v>
      </c>
      <c r="W50" s="569"/>
      <c r="X50" s="554"/>
      <c r="Y50" s="700"/>
      <c r="Z50" s="570">
        <f t="shared" si="7"/>
        <v>163520.28000000003</v>
      </c>
      <c r="AA50" s="274">
        <f t="shared" si="8"/>
        <v>0</v>
      </c>
      <c r="AB50" s="274">
        <f t="shared" si="8"/>
        <v>0</v>
      </c>
      <c r="AC50" s="681">
        <f>'расчеты к штатному'!X49-оклад!Z50</f>
        <v>61320.104999999952</v>
      </c>
      <c r="AD50" s="684">
        <f>('расчеты к штатному'!P49/оклад!Q50)-100%</f>
        <v>9.9999999999999645E-2</v>
      </c>
    </row>
    <row r="51" spans="1:30" s="80" customFormat="1" ht="17.25" customHeight="1">
      <c r="A51" s="547">
        <v>25</v>
      </c>
      <c r="B51" s="153" t="s">
        <v>150</v>
      </c>
      <c r="C51" s="561" t="s">
        <v>99</v>
      </c>
      <c r="D51" s="563" t="s">
        <v>25</v>
      </c>
      <c r="E51" s="562" t="s">
        <v>482</v>
      </c>
      <c r="F51" s="562" t="s">
        <v>34</v>
      </c>
      <c r="G51" s="560">
        <v>1</v>
      </c>
      <c r="H51" s="563" t="s">
        <v>102</v>
      </c>
      <c r="I51" s="563" t="s">
        <v>103</v>
      </c>
      <c r="J51" s="581">
        <v>1</v>
      </c>
      <c r="K51" s="554">
        <v>17697</v>
      </c>
      <c r="L51" s="565">
        <v>35</v>
      </c>
      <c r="M51" s="554">
        <f t="shared" si="5"/>
        <v>1.9444444444444444</v>
      </c>
      <c r="N51" s="574" t="s">
        <v>152</v>
      </c>
      <c r="O51" s="555">
        <v>4.32</v>
      </c>
      <c r="P51" s="566"/>
      <c r="Q51" s="567">
        <f t="shared" si="6"/>
        <v>148654.80000000002</v>
      </c>
      <c r="R51" s="894">
        <f>'расчеты к штатному'!P51</f>
        <v>154111.375</v>
      </c>
      <c r="S51" s="568"/>
      <c r="T51" s="554"/>
      <c r="U51" s="554">
        <v>0.1</v>
      </c>
      <c r="V51" s="567">
        <f t="shared" si="9"/>
        <v>14865.480000000003</v>
      </c>
      <c r="W51" s="569"/>
      <c r="X51" s="554"/>
      <c r="Y51" s="700"/>
      <c r="Z51" s="570">
        <f t="shared" si="7"/>
        <v>163520.28000000003</v>
      </c>
      <c r="AA51" s="274">
        <f t="shared" si="8"/>
        <v>0</v>
      </c>
      <c r="AB51" s="274">
        <f t="shared" si="8"/>
        <v>0</v>
      </c>
      <c r="AC51" s="681">
        <f>'расчеты к штатному'!X51-оклад!Z51</f>
        <v>48382.860624999972</v>
      </c>
      <c r="AD51" s="684">
        <f>('расчеты к штатному'!P51/оклад!Q51)-100%</f>
        <v>3.6706349206349076E-2</v>
      </c>
    </row>
    <row r="52" spans="1:30" s="80" customFormat="1" ht="17.25" customHeight="1">
      <c r="A52" s="560">
        <v>26</v>
      </c>
      <c r="B52" s="153" t="s">
        <v>456</v>
      </c>
      <c r="C52" s="561" t="s">
        <v>99</v>
      </c>
      <c r="D52" s="563" t="s">
        <v>25</v>
      </c>
      <c r="E52" s="562" t="s">
        <v>461</v>
      </c>
      <c r="F52" s="562" t="s">
        <v>34</v>
      </c>
      <c r="G52" s="560">
        <v>1</v>
      </c>
      <c r="H52" s="563" t="s">
        <v>102</v>
      </c>
      <c r="I52" s="563" t="s">
        <v>103</v>
      </c>
      <c r="J52" s="581">
        <v>2</v>
      </c>
      <c r="K52" s="554">
        <v>17697</v>
      </c>
      <c r="L52" s="565">
        <v>10</v>
      </c>
      <c r="M52" s="554">
        <f t="shared" si="5"/>
        <v>0.55555555555555558</v>
      </c>
      <c r="N52" s="566" t="s">
        <v>104</v>
      </c>
      <c r="O52" s="566">
        <v>3.92</v>
      </c>
      <c r="P52" s="566"/>
      <c r="Q52" s="567">
        <f t="shared" si="6"/>
        <v>38540.133333333339</v>
      </c>
      <c r="R52" s="894" t="e">
        <f>'расчеты к штатному'!#REF!</f>
        <v>#REF!</v>
      </c>
      <c r="S52" s="568"/>
      <c r="T52" s="554"/>
      <c r="U52" s="554">
        <v>0.1</v>
      </c>
      <c r="V52" s="567">
        <f t="shared" si="9"/>
        <v>3854.0133333333342</v>
      </c>
      <c r="W52" s="569"/>
      <c r="X52" s="554"/>
      <c r="Y52" s="700"/>
      <c r="Z52" s="570">
        <f t="shared" si="7"/>
        <v>42394.146666666675</v>
      </c>
      <c r="AA52" s="274">
        <f t="shared" si="8"/>
        <v>0</v>
      </c>
      <c r="AB52" s="274">
        <f t="shared" si="8"/>
        <v>0</v>
      </c>
      <c r="AC52" s="681" t="e">
        <f>'расчеты к штатному'!#REF!-оклад!Z52</f>
        <v>#REF!</v>
      </c>
      <c r="AD52" s="684" t="e">
        <f>('расчеты к штатному'!#REF!/оклад!Q52)-100%</f>
        <v>#REF!</v>
      </c>
    </row>
    <row r="53" spans="1:30" s="80" customFormat="1" ht="17.25" customHeight="1">
      <c r="A53" s="547">
        <v>27</v>
      </c>
      <c r="B53" s="153" t="s">
        <v>157</v>
      </c>
      <c r="C53" s="561" t="s">
        <v>99</v>
      </c>
      <c r="D53" s="563" t="s">
        <v>25</v>
      </c>
      <c r="E53" s="562" t="s">
        <v>483</v>
      </c>
      <c r="F53" s="562" t="s">
        <v>159</v>
      </c>
      <c r="G53" s="560">
        <v>1</v>
      </c>
      <c r="H53" s="563" t="s">
        <v>102</v>
      </c>
      <c r="I53" s="563" t="s">
        <v>118</v>
      </c>
      <c r="J53" s="581">
        <v>4</v>
      </c>
      <c r="K53" s="554">
        <v>17697</v>
      </c>
      <c r="L53" s="565">
        <v>18</v>
      </c>
      <c r="M53" s="554">
        <f t="shared" si="5"/>
        <v>1</v>
      </c>
      <c r="N53" s="574" t="s">
        <v>112</v>
      </c>
      <c r="O53" s="566">
        <v>2.93</v>
      </c>
      <c r="P53" s="566"/>
      <c r="Q53" s="567">
        <f t="shared" si="6"/>
        <v>51852.210000000006</v>
      </c>
      <c r="R53" s="894">
        <f>'расчеты к штатному'!P52</f>
        <v>73757.16333333333</v>
      </c>
      <c r="S53" s="568"/>
      <c r="T53" s="554"/>
      <c r="U53" s="554">
        <v>0.1</v>
      </c>
      <c r="V53" s="567">
        <f t="shared" si="9"/>
        <v>5185.2210000000014</v>
      </c>
      <c r="W53" s="569"/>
      <c r="X53" s="554"/>
      <c r="Y53" s="700"/>
      <c r="Z53" s="570">
        <f t="shared" si="7"/>
        <v>57037.431000000011</v>
      </c>
      <c r="AA53" s="274">
        <f t="shared" si="8"/>
        <v>0</v>
      </c>
      <c r="AB53" s="274">
        <f t="shared" si="8"/>
        <v>0</v>
      </c>
      <c r="AC53" s="681">
        <f>'расчеты к штатному'!X52-оклад!Z53</f>
        <v>44378.668583333318</v>
      </c>
      <c r="AD53" s="684">
        <f>('расчеты к штатному'!P52/оклад!Q53)-100%</f>
        <v>0.42244975350777381</v>
      </c>
    </row>
    <row r="54" spans="1:30" s="80" customFormat="1" ht="17.25" customHeight="1">
      <c r="A54" s="560">
        <v>28</v>
      </c>
      <c r="B54" s="153" t="s">
        <v>160</v>
      </c>
      <c r="C54" s="561" t="s">
        <v>148</v>
      </c>
      <c r="D54" s="563" t="s">
        <v>25</v>
      </c>
      <c r="E54" s="562" t="s">
        <v>484</v>
      </c>
      <c r="F54" s="562" t="s">
        <v>34</v>
      </c>
      <c r="G54" s="560">
        <v>1</v>
      </c>
      <c r="H54" s="563" t="s">
        <v>102</v>
      </c>
      <c r="I54" s="563" t="s">
        <v>103</v>
      </c>
      <c r="J54" s="564">
        <v>2</v>
      </c>
      <c r="K54" s="554">
        <v>17697</v>
      </c>
      <c r="L54" s="565">
        <v>23</v>
      </c>
      <c r="M54" s="554">
        <f t="shared" si="5"/>
        <v>1.2777777777777777</v>
      </c>
      <c r="N54" s="566" t="s">
        <v>104</v>
      </c>
      <c r="O54" s="566">
        <v>3.92</v>
      </c>
      <c r="P54" s="566"/>
      <c r="Q54" s="567">
        <f t="shared" si="6"/>
        <v>88642.306666666671</v>
      </c>
      <c r="R54" s="894">
        <f>'расчеты к штатному'!P53</f>
        <v>106417.96</v>
      </c>
      <c r="S54" s="568"/>
      <c r="T54" s="554"/>
      <c r="U54" s="554">
        <v>0.1</v>
      </c>
      <c r="V54" s="567">
        <f t="shared" si="9"/>
        <v>8864.2306666666682</v>
      </c>
      <c r="W54" s="569"/>
      <c r="X54" s="554"/>
      <c r="Y54" s="700"/>
      <c r="Z54" s="570">
        <f t="shared" si="7"/>
        <v>97506.537333333341</v>
      </c>
      <c r="AA54" s="274">
        <f>W54+S54</f>
        <v>0</v>
      </c>
      <c r="AB54" s="274">
        <f>X54+T54</f>
        <v>0</v>
      </c>
      <c r="AC54" s="681">
        <f>'расчеты к штатному'!X53-оклад!Z54</f>
        <v>48818.157666666666</v>
      </c>
      <c r="AD54" s="684">
        <f>('расчеты к штатному'!P53/оклад!Q54)-100%</f>
        <v>0.20053238686779062</v>
      </c>
    </row>
    <row r="55" spans="1:30" s="80" customFormat="1" ht="17.25" customHeight="1">
      <c r="A55" s="547">
        <v>29</v>
      </c>
      <c r="B55" s="153" t="s">
        <v>162</v>
      </c>
      <c r="C55" s="561" t="s">
        <v>99</v>
      </c>
      <c r="D55" s="563" t="s">
        <v>64</v>
      </c>
      <c r="E55" s="562" t="s">
        <v>485</v>
      </c>
      <c r="F55" s="562" t="s">
        <v>77</v>
      </c>
      <c r="G55" s="560">
        <v>1</v>
      </c>
      <c r="H55" s="563" t="s">
        <v>102</v>
      </c>
      <c r="I55" s="563" t="s">
        <v>103</v>
      </c>
      <c r="J55" s="581">
        <v>4</v>
      </c>
      <c r="K55" s="554">
        <v>17697</v>
      </c>
      <c r="L55" s="565">
        <v>10</v>
      </c>
      <c r="M55" s="554">
        <f t="shared" si="5"/>
        <v>0.55555555555555558</v>
      </c>
      <c r="N55" s="574" t="s">
        <v>112</v>
      </c>
      <c r="O55" s="566">
        <v>2.92</v>
      </c>
      <c r="P55" s="566"/>
      <c r="Q55" s="567">
        <f t="shared" si="6"/>
        <v>28708.466666666664</v>
      </c>
      <c r="R55" s="894">
        <f>'расчеты к штатному'!P54</f>
        <v>36475.48333333333</v>
      </c>
      <c r="S55" s="568"/>
      <c r="T55" s="554"/>
      <c r="U55" s="554">
        <v>0.1</v>
      </c>
      <c r="V55" s="567">
        <f t="shared" si="9"/>
        <v>2870.8466666666664</v>
      </c>
      <c r="W55" s="569"/>
      <c r="X55" s="554"/>
      <c r="Y55" s="700"/>
      <c r="Z55" s="570">
        <f t="shared" si="7"/>
        <v>31579.313333333332</v>
      </c>
      <c r="AA55" s="274">
        <f t="shared" si="8"/>
        <v>0</v>
      </c>
      <c r="AB55" s="274">
        <f t="shared" si="8"/>
        <v>0</v>
      </c>
      <c r="AC55" s="681">
        <f>'расчеты к штатному'!X54-оклад!Z55</f>
        <v>18574.47625</v>
      </c>
      <c r="AD55" s="684">
        <f>('расчеты к штатному'!P54/оклад!Q55)-100%</f>
        <v>0.27054794520547953</v>
      </c>
    </row>
    <row r="56" spans="1:30" s="80" customFormat="1" ht="17.25" customHeight="1">
      <c r="A56" s="560">
        <v>30</v>
      </c>
      <c r="B56" s="153" t="s">
        <v>166</v>
      </c>
      <c r="C56" s="561" t="s">
        <v>99</v>
      </c>
      <c r="D56" s="563" t="s">
        <v>25</v>
      </c>
      <c r="E56" s="562" t="s">
        <v>486</v>
      </c>
      <c r="F56" s="562" t="s">
        <v>73</v>
      </c>
      <c r="G56" s="560">
        <v>1</v>
      </c>
      <c r="H56" s="563" t="s">
        <v>102</v>
      </c>
      <c r="I56" s="563" t="s">
        <v>103</v>
      </c>
      <c r="J56" s="581">
        <v>1</v>
      </c>
      <c r="K56" s="554">
        <v>17697</v>
      </c>
      <c r="L56" s="565">
        <v>33</v>
      </c>
      <c r="M56" s="554">
        <f t="shared" si="5"/>
        <v>1.8333333333333333</v>
      </c>
      <c r="N56" s="574" t="s">
        <v>152</v>
      </c>
      <c r="O56" s="555">
        <v>4.0199999999999996</v>
      </c>
      <c r="P56" s="555"/>
      <c r="Q56" s="567">
        <f t="shared" si="6"/>
        <v>130426.88999999998</v>
      </c>
      <c r="R56" s="894">
        <f>'расчеты к штатному'!P55</f>
        <v>145675.80499999999</v>
      </c>
      <c r="S56" s="568"/>
      <c r="T56" s="554"/>
      <c r="U56" s="554">
        <v>0.1</v>
      </c>
      <c r="V56" s="567">
        <f t="shared" si="9"/>
        <v>13042.688999999998</v>
      </c>
      <c r="W56" s="569"/>
      <c r="X56" s="554"/>
      <c r="Y56" s="700"/>
      <c r="Z56" s="570">
        <f t="shared" si="7"/>
        <v>143469.57899999997</v>
      </c>
      <c r="AA56" s="274">
        <f t="shared" si="8"/>
        <v>0</v>
      </c>
      <c r="AB56" s="274">
        <f t="shared" si="8"/>
        <v>0</v>
      </c>
      <c r="AC56" s="681">
        <f>'расчеты к штатному'!X55-оклад!Z56</f>
        <v>56834.652875</v>
      </c>
      <c r="AD56" s="684">
        <f>('расчеты к штатному'!P55/оклад!Q56)-100%</f>
        <v>0.11691542288557222</v>
      </c>
    </row>
    <row r="57" spans="1:30" s="80" customFormat="1" ht="17.25" customHeight="1">
      <c r="A57" s="547">
        <v>31</v>
      </c>
      <c r="B57" s="153" t="s">
        <v>168</v>
      </c>
      <c r="C57" s="561" t="s">
        <v>99</v>
      </c>
      <c r="D57" s="563" t="s">
        <v>25</v>
      </c>
      <c r="E57" s="562" t="s">
        <v>487</v>
      </c>
      <c r="F57" s="562" t="s">
        <v>73</v>
      </c>
      <c r="G57" s="560">
        <v>1</v>
      </c>
      <c r="H57" s="563" t="s">
        <v>102</v>
      </c>
      <c r="I57" s="563" t="s">
        <v>103</v>
      </c>
      <c r="J57" s="581">
        <v>3</v>
      </c>
      <c r="K57" s="554">
        <v>17697</v>
      </c>
      <c r="L57" s="565">
        <v>29</v>
      </c>
      <c r="M57" s="554">
        <f t="shared" si="5"/>
        <v>1.6111111111111112</v>
      </c>
      <c r="N57" s="566" t="s">
        <v>109</v>
      </c>
      <c r="O57" s="566">
        <v>3.45</v>
      </c>
      <c r="P57" s="566"/>
      <c r="Q57" s="567">
        <f t="shared" si="6"/>
        <v>98365.825000000012</v>
      </c>
      <c r="R57" s="894">
        <f>'расчеты к штатному'!P57</f>
        <v>126789.17333333334</v>
      </c>
      <c r="S57" s="568"/>
      <c r="T57" s="554"/>
      <c r="U57" s="554">
        <v>0.1</v>
      </c>
      <c r="V57" s="567">
        <f t="shared" si="9"/>
        <v>9836.5825000000023</v>
      </c>
      <c r="W57" s="569"/>
      <c r="X57" s="554"/>
      <c r="Y57" s="700"/>
      <c r="Z57" s="570">
        <f t="shared" si="7"/>
        <v>108202.40750000002</v>
      </c>
      <c r="AA57" s="274">
        <f t="shared" si="8"/>
        <v>0</v>
      </c>
      <c r="AB57" s="274">
        <f t="shared" si="8"/>
        <v>0</v>
      </c>
      <c r="AC57" s="681">
        <f>'расчеты к штатному'!X57-оклад!Z57</f>
        <v>66132.705833333326</v>
      </c>
      <c r="AD57" s="684">
        <f>('расчеты к штатному'!P57/оклад!Q57)-100%</f>
        <v>0.28895552223888044</v>
      </c>
    </row>
    <row r="58" spans="1:30" s="80" customFormat="1" ht="17.25" customHeight="1">
      <c r="A58" s="560">
        <v>32</v>
      </c>
      <c r="B58" s="153" t="s">
        <v>89</v>
      </c>
      <c r="C58" s="561" t="s">
        <v>170</v>
      </c>
      <c r="D58" s="563" t="s">
        <v>25</v>
      </c>
      <c r="E58" s="562" t="s">
        <v>488</v>
      </c>
      <c r="F58" s="562" t="s">
        <v>73</v>
      </c>
      <c r="G58" s="560">
        <v>1</v>
      </c>
      <c r="H58" s="563" t="s">
        <v>102</v>
      </c>
      <c r="I58" s="563" t="s">
        <v>103</v>
      </c>
      <c r="J58" s="581">
        <v>3</v>
      </c>
      <c r="K58" s="554">
        <v>17697</v>
      </c>
      <c r="L58" s="565">
        <v>22</v>
      </c>
      <c r="M58" s="554">
        <f t="shared" si="5"/>
        <v>1.2222222222222223</v>
      </c>
      <c r="N58" s="566" t="s">
        <v>109</v>
      </c>
      <c r="O58" s="566">
        <v>3.45</v>
      </c>
      <c r="P58" s="566"/>
      <c r="Q58" s="567">
        <f t="shared" si="6"/>
        <v>74622.350000000006</v>
      </c>
      <c r="R58" s="894">
        <f>'расчеты к штатному'!P58</f>
        <v>91060.896666666653</v>
      </c>
      <c r="S58" s="568"/>
      <c r="T58" s="554"/>
      <c r="U58" s="554">
        <v>0.1</v>
      </c>
      <c r="V58" s="567">
        <f t="shared" si="9"/>
        <v>7462.2350000000006</v>
      </c>
      <c r="W58" s="569"/>
      <c r="X58" s="554"/>
      <c r="Y58" s="700"/>
      <c r="Z58" s="570">
        <f t="shared" si="7"/>
        <v>82084.585000000006</v>
      </c>
      <c r="AA58" s="274">
        <f t="shared" si="8"/>
        <v>0</v>
      </c>
      <c r="AB58" s="274">
        <f t="shared" si="8"/>
        <v>0</v>
      </c>
      <c r="AC58" s="681">
        <f>'расчеты к штатному'!X58-оклад!Z58</f>
        <v>43124.147916666654</v>
      </c>
      <c r="AD58" s="684">
        <f>('расчеты к штатному'!P58/оклад!Q58)-100%</f>
        <v>0.22028985507246346</v>
      </c>
    </row>
    <row r="59" spans="1:30" s="80" customFormat="1" ht="17.25" customHeight="1">
      <c r="A59" s="547">
        <v>33</v>
      </c>
      <c r="B59" s="153" t="s">
        <v>171</v>
      </c>
      <c r="C59" s="561" t="s">
        <v>99</v>
      </c>
      <c r="D59" s="563" t="s">
        <v>25</v>
      </c>
      <c r="E59" s="562" t="s">
        <v>489</v>
      </c>
      <c r="F59" s="562" t="s">
        <v>34</v>
      </c>
      <c r="G59" s="560">
        <v>1</v>
      </c>
      <c r="H59" s="563" t="s">
        <v>102</v>
      </c>
      <c r="I59" s="563" t="s">
        <v>103</v>
      </c>
      <c r="J59" s="581">
        <v>1</v>
      </c>
      <c r="K59" s="554">
        <v>17697</v>
      </c>
      <c r="L59" s="565">
        <v>36</v>
      </c>
      <c r="M59" s="554">
        <f t="shared" si="5"/>
        <v>2</v>
      </c>
      <c r="N59" s="574" t="s">
        <v>152</v>
      </c>
      <c r="O59" s="555">
        <v>4.32</v>
      </c>
      <c r="P59" s="566"/>
      <c r="Q59" s="567">
        <f t="shared" si="6"/>
        <v>152902.08000000002</v>
      </c>
      <c r="R59" s="894">
        <f>'расчеты к штатному'!P59</f>
        <v>168121.5</v>
      </c>
      <c r="S59" s="568"/>
      <c r="T59" s="554"/>
      <c r="U59" s="554">
        <v>0.1</v>
      </c>
      <c r="V59" s="567">
        <f t="shared" si="9"/>
        <v>15290.208000000002</v>
      </c>
      <c r="W59" s="569"/>
      <c r="X59" s="554"/>
      <c r="Y59" s="700"/>
      <c r="Z59" s="570">
        <f t="shared" ref="Z59:Z77" si="10">V59+Q59</f>
        <v>168192.28800000003</v>
      </c>
      <c r="AA59" s="274"/>
      <c r="AB59" s="274"/>
      <c r="AC59" s="681">
        <f>'расчеты к штатному'!X59-оклад!Z59</f>
        <v>62974.77449999997</v>
      </c>
      <c r="AD59" s="684">
        <f>('расчеты к штатному'!P59/оклад!Q59)-100%</f>
        <v>9.9537037037036979E-2</v>
      </c>
    </row>
    <row r="60" spans="1:30" s="80" customFormat="1" ht="16.5" customHeight="1">
      <c r="A60" s="560">
        <v>34</v>
      </c>
      <c r="B60" s="153" t="s">
        <v>207</v>
      </c>
      <c r="C60" s="561" t="s">
        <v>99</v>
      </c>
      <c r="D60" s="563" t="s">
        <v>25</v>
      </c>
      <c r="E60" s="562" t="s">
        <v>208</v>
      </c>
      <c r="F60" s="562" t="s">
        <v>209</v>
      </c>
      <c r="G60" s="560">
        <v>1</v>
      </c>
      <c r="H60" s="563" t="s">
        <v>102</v>
      </c>
      <c r="I60" s="563" t="s">
        <v>103</v>
      </c>
      <c r="J60" s="581">
        <v>2</v>
      </c>
      <c r="K60" s="554">
        <v>17697</v>
      </c>
      <c r="L60" s="565">
        <v>4</v>
      </c>
      <c r="M60" s="554">
        <f t="shared" si="5"/>
        <v>0.22222222222222221</v>
      </c>
      <c r="N60" s="566" t="s">
        <v>104</v>
      </c>
      <c r="O60" s="566">
        <v>3.68</v>
      </c>
      <c r="P60" s="566"/>
      <c r="Q60" s="567">
        <f t="shared" si="6"/>
        <v>14472.213333333335</v>
      </c>
      <c r="R60" s="894">
        <f>'расчеты к штатному'!P61</f>
        <v>140912.36249999999</v>
      </c>
      <c r="S60" s="568"/>
      <c r="T60" s="554"/>
      <c r="U60" s="554">
        <v>0.1</v>
      </c>
      <c r="V60" s="567">
        <f t="shared" si="9"/>
        <v>1447.2213333333336</v>
      </c>
      <c r="W60" s="569"/>
      <c r="X60" s="554"/>
      <c r="Y60" s="700"/>
      <c r="Z60" s="570">
        <f t="shared" si="10"/>
        <v>15919.434666666668</v>
      </c>
      <c r="AA60" s="274">
        <f t="shared" ref="AA60:AB74" si="11">W60+S60</f>
        <v>0</v>
      </c>
      <c r="AB60" s="274">
        <f t="shared" si="11"/>
        <v>0</v>
      </c>
      <c r="AC60" s="681">
        <f>'расчеты к штатному'!X61-оклад!Z60</f>
        <v>177835.06377083334</v>
      </c>
      <c r="AD60" s="684">
        <f>('расчеты к штатному'!P61/оклад!Q60)-100%</f>
        <v>8.7367527173913029</v>
      </c>
    </row>
    <row r="61" spans="1:30" s="80" customFormat="1" ht="17.25" customHeight="1">
      <c r="A61" s="547">
        <v>35</v>
      </c>
      <c r="B61" s="153" t="s">
        <v>173</v>
      </c>
      <c r="C61" s="561" t="s">
        <v>99</v>
      </c>
      <c r="D61" s="563" t="s">
        <v>25</v>
      </c>
      <c r="E61" s="562" t="s">
        <v>490</v>
      </c>
      <c r="F61" s="562" t="s">
        <v>101</v>
      </c>
      <c r="G61" s="560">
        <v>1</v>
      </c>
      <c r="H61" s="563" t="s">
        <v>102</v>
      </c>
      <c r="I61" s="563" t="s">
        <v>103</v>
      </c>
      <c r="J61" s="581">
        <v>1</v>
      </c>
      <c r="K61" s="554">
        <v>17697</v>
      </c>
      <c r="L61" s="565">
        <v>34.5</v>
      </c>
      <c r="M61" s="554">
        <f t="shared" si="5"/>
        <v>1.9166666666666667</v>
      </c>
      <c r="N61" s="574" t="s">
        <v>152</v>
      </c>
      <c r="O61" s="582">
        <v>4.08</v>
      </c>
      <c r="P61" s="582"/>
      <c r="Q61" s="567">
        <f t="shared" si="6"/>
        <v>138390.53999999998</v>
      </c>
      <c r="R61" s="894">
        <f>'расчеты к штатному'!P62</f>
        <v>44016.371666666673</v>
      </c>
      <c r="S61" s="568"/>
      <c r="T61" s="554"/>
      <c r="U61" s="554">
        <v>0.1</v>
      </c>
      <c r="V61" s="567">
        <f t="shared" si="9"/>
        <v>13839.053999999998</v>
      </c>
      <c r="W61" s="569"/>
      <c r="X61" s="554"/>
      <c r="Y61" s="700"/>
      <c r="Z61" s="570">
        <f t="shared" si="10"/>
        <v>152229.59399999998</v>
      </c>
      <c r="AA61" s="274">
        <f t="shared" si="11"/>
        <v>0</v>
      </c>
      <c r="AB61" s="274">
        <f t="shared" si="11"/>
        <v>0</v>
      </c>
      <c r="AC61" s="681">
        <f>'расчеты к штатному'!X62-оклад!Z61</f>
        <v>-91707.082958333311</v>
      </c>
      <c r="AD61" s="684">
        <f>('расчеты к штатному'!P62/оклад!Q61)-100%</f>
        <v>-0.6819408922989485</v>
      </c>
    </row>
    <row r="62" spans="1:30" s="80" customFormat="1" ht="17.25" customHeight="1">
      <c r="A62" s="560">
        <v>36</v>
      </c>
      <c r="B62" s="153" t="s">
        <v>175</v>
      </c>
      <c r="C62" s="561" t="s">
        <v>99</v>
      </c>
      <c r="D62" s="563" t="s">
        <v>25</v>
      </c>
      <c r="E62" s="562" t="s">
        <v>491</v>
      </c>
      <c r="F62" s="562" t="s">
        <v>114</v>
      </c>
      <c r="G62" s="560">
        <v>1</v>
      </c>
      <c r="H62" s="563" t="s">
        <v>102</v>
      </c>
      <c r="I62" s="563" t="s">
        <v>103</v>
      </c>
      <c r="J62" s="581">
        <v>1</v>
      </c>
      <c r="K62" s="554">
        <v>17697</v>
      </c>
      <c r="L62" s="565">
        <v>9</v>
      </c>
      <c r="M62" s="554">
        <f t="shared" si="5"/>
        <v>0.5</v>
      </c>
      <c r="N62" s="574" t="s">
        <v>152</v>
      </c>
      <c r="O62" s="555">
        <v>4.32</v>
      </c>
      <c r="P62" s="566"/>
      <c r="Q62" s="567">
        <f t="shared" si="6"/>
        <v>38225.520000000004</v>
      </c>
      <c r="R62" s="894">
        <f>'расчеты к штатному'!P63</f>
        <v>42030.375</v>
      </c>
      <c r="S62" s="568"/>
      <c r="T62" s="554"/>
      <c r="U62" s="554">
        <v>0.1</v>
      </c>
      <c r="V62" s="567">
        <f t="shared" si="9"/>
        <v>3822.5520000000006</v>
      </c>
      <c r="W62" s="569"/>
      <c r="X62" s="554"/>
      <c r="Y62" s="700"/>
      <c r="Z62" s="570">
        <f t="shared" si="10"/>
        <v>42048.072000000007</v>
      </c>
      <c r="AA62" s="274">
        <f t="shared" si="11"/>
        <v>0</v>
      </c>
      <c r="AB62" s="274">
        <f t="shared" si="11"/>
        <v>0</v>
      </c>
      <c r="AC62" s="681">
        <f>'расчеты к штатному'!X63-оклад!Z62</f>
        <v>15743.693624999993</v>
      </c>
      <c r="AD62" s="684">
        <f>('расчеты к штатному'!P63/оклад!Q62)-100%</f>
        <v>9.9537037037036979E-2</v>
      </c>
    </row>
    <row r="63" spans="1:30" s="125" customFormat="1" ht="17.25" customHeight="1">
      <c r="A63" s="547">
        <v>37</v>
      </c>
      <c r="B63" s="153" t="s">
        <v>177</v>
      </c>
      <c r="C63" s="561" t="s">
        <v>99</v>
      </c>
      <c r="D63" s="563" t="s">
        <v>178</v>
      </c>
      <c r="E63" s="562" t="s">
        <v>492</v>
      </c>
      <c r="F63" s="562" t="s">
        <v>93</v>
      </c>
      <c r="G63" s="560">
        <v>1</v>
      </c>
      <c r="H63" s="563" t="s">
        <v>102</v>
      </c>
      <c r="I63" s="563" t="s">
        <v>103</v>
      </c>
      <c r="J63" s="581">
        <v>2</v>
      </c>
      <c r="K63" s="554">
        <v>17697</v>
      </c>
      <c r="L63" s="565">
        <v>26</v>
      </c>
      <c r="M63" s="554">
        <f t="shared" si="5"/>
        <v>1.4444444444444444</v>
      </c>
      <c r="N63" s="566" t="s">
        <v>104</v>
      </c>
      <c r="O63" s="566">
        <v>3.8</v>
      </c>
      <c r="P63" s="566"/>
      <c r="Q63" s="567">
        <f t="shared" si="6"/>
        <v>97136.866666666654</v>
      </c>
      <c r="R63" s="894">
        <f>'расчеты к штатному'!P64</f>
        <v>20764.480000000003</v>
      </c>
      <c r="S63" s="568"/>
      <c r="T63" s="554"/>
      <c r="U63" s="554">
        <v>0.1</v>
      </c>
      <c r="V63" s="567">
        <f t="shared" si="9"/>
        <v>9713.6866666666665</v>
      </c>
      <c r="W63" s="569"/>
      <c r="X63" s="554"/>
      <c r="Y63" s="700"/>
      <c r="Z63" s="570">
        <f t="shared" si="10"/>
        <v>106850.55333333332</v>
      </c>
      <c r="AA63" s="682">
        <f t="shared" si="11"/>
        <v>0</v>
      </c>
      <c r="AB63" s="682">
        <f t="shared" si="11"/>
        <v>0</v>
      </c>
      <c r="AC63" s="681">
        <f>'расчеты к штатному'!X64-оклад!Z63</f>
        <v>-78299.393333333312</v>
      </c>
      <c r="AD63" s="684">
        <f>('расчеты к штатному'!P64/оклад!Q63)-100%</f>
        <v>-0.78623481781376514</v>
      </c>
    </row>
    <row r="64" spans="1:30" s="125" customFormat="1" ht="17.25" customHeight="1">
      <c r="A64" s="560">
        <v>38</v>
      </c>
      <c r="B64" s="491" t="s">
        <v>448</v>
      </c>
      <c r="C64" s="561" t="s">
        <v>99</v>
      </c>
      <c r="D64" s="563" t="s">
        <v>75</v>
      </c>
      <c r="E64" s="562" t="s">
        <v>449</v>
      </c>
      <c r="F64" s="562" t="s">
        <v>159</v>
      </c>
      <c r="G64" s="560">
        <v>1</v>
      </c>
      <c r="H64" s="563" t="s">
        <v>102</v>
      </c>
      <c r="I64" s="563" t="s">
        <v>118</v>
      </c>
      <c r="J64" s="581">
        <v>4</v>
      </c>
      <c r="K64" s="554">
        <v>17697</v>
      </c>
      <c r="L64" s="565">
        <v>14</v>
      </c>
      <c r="M64" s="554">
        <f t="shared" si="5"/>
        <v>0.77777777777777779</v>
      </c>
      <c r="N64" s="574" t="s">
        <v>112</v>
      </c>
      <c r="O64" s="566">
        <v>2.9</v>
      </c>
      <c r="P64" s="566"/>
      <c r="Q64" s="567">
        <f t="shared" si="6"/>
        <v>39916.566666666658</v>
      </c>
      <c r="R64" s="894" t="e">
        <f>'расчеты к штатному'!#REF!</f>
        <v>#REF!</v>
      </c>
      <c r="S64" s="568"/>
      <c r="T64" s="554"/>
      <c r="U64" s="554">
        <v>0.1</v>
      </c>
      <c r="V64" s="567">
        <f t="shared" si="9"/>
        <v>3991.6566666666658</v>
      </c>
      <c r="W64" s="569"/>
      <c r="X64" s="554"/>
      <c r="Y64" s="700"/>
      <c r="Z64" s="570">
        <f t="shared" si="10"/>
        <v>43908.223333333328</v>
      </c>
      <c r="AA64" s="682"/>
      <c r="AB64" s="682"/>
      <c r="AC64" s="681" t="e">
        <f>'расчеты к штатному'!#REF!-оклад!Z64</f>
        <v>#REF!</v>
      </c>
      <c r="AD64" s="684" t="e">
        <f>('расчеты к штатному'!#REF!/оклад!Q64)-100%</f>
        <v>#REF!</v>
      </c>
    </row>
    <row r="65" spans="1:46" s="125" customFormat="1" ht="17.25" customHeight="1">
      <c r="A65" s="547">
        <v>39</v>
      </c>
      <c r="B65" s="153" t="s">
        <v>182</v>
      </c>
      <c r="C65" s="561" t="s">
        <v>99</v>
      </c>
      <c r="D65" s="563" t="s">
        <v>25</v>
      </c>
      <c r="E65" s="562" t="s">
        <v>494</v>
      </c>
      <c r="F65" s="562" t="s">
        <v>93</v>
      </c>
      <c r="G65" s="560">
        <v>1</v>
      </c>
      <c r="H65" s="563" t="s">
        <v>102</v>
      </c>
      <c r="I65" s="563" t="s">
        <v>103</v>
      </c>
      <c r="J65" s="581">
        <v>1</v>
      </c>
      <c r="K65" s="554">
        <v>17697</v>
      </c>
      <c r="L65" s="565">
        <v>35</v>
      </c>
      <c r="M65" s="554">
        <f t="shared" si="5"/>
        <v>1.9444444444444444</v>
      </c>
      <c r="N65" s="574" t="s">
        <v>152</v>
      </c>
      <c r="O65" s="566">
        <v>4.2</v>
      </c>
      <c r="P65" s="566"/>
      <c r="Q65" s="567">
        <f t="shared" si="6"/>
        <v>144525.5</v>
      </c>
      <c r="R65" s="894">
        <f>'расчеты к штатному'!P66</f>
        <v>156775.75666666668</v>
      </c>
      <c r="S65" s="568"/>
      <c r="T65" s="554"/>
      <c r="U65" s="554">
        <v>0.1</v>
      </c>
      <c r="V65" s="567">
        <f t="shared" si="9"/>
        <v>14452.550000000001</v>
      </c>
      <c r="W65" s="569"/>
      <c r="X65" s="554"/>
      <c r="Y65" s="700"/>
      <c r="Z65" s="570">
        <f t="shared" si="10"/>
        <v>158978.04999999999</v>
      </c>
      <c r="AA65" s="682"/>
      <c r="AB65" s="682"/>
      <c r="AC65" s="681">
        <f>'расчеты к штатному'!X66-оклад!Z65</f>
        <v>56588.615416666697</v>
      </c>
      <c r="AD65" s="684">
        <f>('расчеты к штатному'!P66/оклад!Q65)-100%</f>
        <v>8.4761904761904816E-2</v>
      </c>
    </row>
    <row r="66" spans="1:46" s="80" customFormat="1" ht="17.25" customHeight="1">
      <c r="A66" s="560">
        <v>40</v>
      </c>
      <c r="B66" s="153" t="s">
        <v>184</v>
      </c>
      <c r="C66" s="561" t="s">
        <v>99</v>
      </c>
      <c r="D66" s="563" t="s">
        <v>25</v>
      </c>
      <c r="E66" s="586" t="s">
        <v>495</v>
      </c>
      <c r="F66" s="562" t="s">
        <v>27</v>
      </c>
      <c r="G66" s="560">
        <v>1</v>
      </c>
      <c r="H66" s="563" t="s">
        <v>102</v>
      </c>
      <c r="I66" s="563" t="s">
        <v>103</v>
      </c>
      <c r="J66" s="581">
        <v>1</v>
      </c>
      <c r="K66" s="554">
        <v>17697</v>
      </c>
      <c r="L66" s="565">
        <v>31</v>
      </c>
      <c r="M66" s="554">
        <f t="shared" si="5"/>
        <v>1.7222222222222223</v>
      </c>
      <c r="N66" s="574" t="s">
        <v>152</v>
      </c>
      <c r="O66" s="555">
        <v>4.32</v>
      </c>
      <c r="P66" s="566"/>
      <c r="Q66" s="567">
        <f t="shared" si="6"/>
        <v>131665.68000000002</v>
      </c>
      <c r="R66" s="894">
        <f>'расчеты к штатному'!P67</f>
        <v>135431.20833333334</v>
      </c>
      <c r="S66" s="568"/>
      <c r="T66" s="554"/>
      <c r="U66" s="554">
        <v>0.1</v>
      </c>
      <c r="V66" s="567">
        <f t="shared" si="9"/>
        <v>13166.568000000003</v>
      </c>
      <c r="W66" s="569"/>
      <c r="X66" s="554"/>
      <c r="Y66" s="700"/>
      <c r="Z66" s="570">
        <f t="shared" si="10"/>
        <v>144832.24800000002</v>
      </c>
      <c r="AA66" s="274">
        <f t="shared" si="11"/>
        <v>0</v>
      </c>
      <c r="AB66" s="274">
        <f t="shared" si="11"/>
        <v>0</v>
      </c>
      <c r="AC66" s="681">
        <f>'расчеты к штатному'!X67-оклад!Z66</f>
        <v>41385.663458333322</v>
      </c>
      <c r="AD66" s="684">
        <f>('расчеты к штатному'!P67/оклад!Q66)-100%</f>
        <v>2.8599163679808637E-2</v>
      </c>
    </row>
    <row r="67" spans="1:46" s="80" customFormat="1" ht="17.25" customHeight="1">
      <c r="A67" s="547">
        <v>41</v>
      </c>
      <c r="B67" s="153" t="s">
        <v>186</v>
      </c>
      <c r="C67" s="561" t="s">
        <v>99</v>
      </c>
      <c r="D67" s="563" t="s">
        <v>25</v>
      </c>
      <c r="E67" s="562" t="s">
        <v>496</v>
      </c>
      <c r="F67" s="562" t="s">
        <v>27</v>
      </c>
      <c r="G67" s="560">
        <v>1</v>
      </c>
      <c r="H67" s="563" t="s">
        <v>102</v>
      </c>
      <c r="I67" s="563" t="s">
        <v>103</v>
      </c>
      <c r="J67" s="581">
        <v>1</v>
      </c>
      <c r="K67" s="554">
        <v>17697</v>
      </c>
      <c r="L67" s="565">
        <v>23</v>
      </c>
      <c r="M67" s="554">
        <f t="shared" si="5"/>
        <v>1.2777777777777777</v>
      </c>
      <c r="N67" s="574" t="s">
        <v>152</v>
      </c>
      <c r="O67" s="555">
        <v>4.32</v>
      </c>
      <c r="P67" s="566"/>
      <c r="Q67" s="567">
        <f t="shared" si="6"/>
        <v>97687.440000000017</v>
      </c>
      <c r="R67" s="894">
        <f>'расчеты к штатному'!P68</f>
        <v>116751.04166666667</v>
      </c>
      <c r="S67" s="568"/>
      <c r="T67" s="554"/>
      <c r="U67" s="554">
        <v>0.1</v>
      </c>
      <c r="V67" s="567">
        <f t="shared" si="9"/>
        <v>9768.7440000000024</v>
      </c>
      <c r="W67" s="569"/>
      <c r="X67" s="554"/>
      <c r="Y67" s="700"/>
      <c r="Z67" s="570">
        <f t="shared" si="10"/>
        <v>107456.18400000002</v>
      </c>
      <c r="AA67" s="274">
        <f t="shared" si="11"/>
        <v>0</v>
      </c>
      <c r="AB67" s="274">
        <f t="shared" si="11"/>
        <v>0</v>
      </c>
      <c r="AC67" s="681">
        <f>'расчеты к штатному'!X68-оклад!Z67</f>
        <v>53076.498291666663</v>
      </c>
      <c r="AD67" s="684">
        <f>('расчеты к штатному'!P68/оклад!Q67)-100%</f>
        <v>0.19514895330112703</v>
      </c>
    </row>
    <row r="68" spans="1:46" s="80" customFormat="1" ht="17.25" customHeight="1">
      <c r="A68" s="560">
        <v>42</v>
      </c>
      <c r="B68" s="587" t="s">
        <v>188</v>
      </c>
      <c r="C68" s="588" t="s">
        <v>99</v>
      </c>
      <c r="D68" s="589" t="s">
        <v>25</v>
      </c>
      <c r="E68" s="590" t="s">
        <v>497</v>
      </c>
      <c r="F68" s="591" t="s">
        <v>51</v>
      </c>
      <c r="G68" s="592">
        <v>1</v>
      </c>
      <c r="H68" s="589" t="s">
        <v>102</v>
      </c>
      <c r="I68" s="589" t="s">
        <v>103</v>
      </c>
      <c r="J68" s="581">
        <v>1</v>
      </c>
      <c r="K68" s="593">
        <v>17697</v>
      </c>
      <c r="L68" s="594">
        <v>36</v>
      </c>
      <c r="M68" s="554">
        <f t="shared" si="5"/>
        <v>2</v>
      </c>
      <c r="N68" s="574" t="s">
        <v>152</v>
      </c>
      <c r="O68" s="595">
        <v>4.26</v>
      </c>
      <c r="P68" s="595"/>
      <c r="Q68" s="596">
        <f t="shared" si="6"/>
        <v>150778.44</v>
      </c>
      <c r="R68" s="894">
        <f>'расчеты к штатному'!P69</f>
        <v>152164.70500000002</v>
      </c>
      <c r="S68" s="597"/>
      <c r="T68" s="593"/>
      <c r="U68" s="593">
        <v>0.1</v>
      </c>
      <c r="V68" s="596">
        <f t="shared" si="9"/>
        <v>15077.844000000001</v>
      </c>
      <c r="W68" s="598"/>
      <c r="X68" s="593"/>
      <c r="Y68" s="887"/>
      <c r="Z68" s="599">
        <f t="shared" si="10"/>
        <v>165856.28400000001</v>
      </c>
      <c r="AA68" s="274">
        <f t="shared" si="11"/>
        <v>0</v>
      </c>
      <c r="AB68" s="274">
        <f t="shared" si="11"/>
        <v>0</v>
      </c>
      <c r="AC68" s="681">
        <f>'расчеты к штатному'!X69-оклад!Z68</f>
        <v>43370.18537500003</v>
      </c>
      <c r="AD68" s="684">
        <f>('расчеты к штатному'!P69/оклад!Q68)-100%</f>
        <v>9.1940532081378201E-3</v>
      </c>
    </row>
    <row r="69" spans="1:46" s="80" customFormat="1" ht="17.25" customHeight="1">
      <c r="A69" s="547">
        <v>43</v>
      </c>
      <c r="B69" s="587" t="s">
        <v>450</v>
      </c>
      <c r="C69" s="588" t="s">
        <v>99</v>
      </c>
      <c r="D69" s="589" t="s">
        <v>25</v>
      </c>
      <c r="E69" s="590" t="s">
        <v>451</v>
      </c>
      <c r="F69" s="591" t="s">
        <v>34</v>
      </c>
      <c r="G69" s="592">
        <v>1</v>
      </c>
      <c r="H69" s="589" t="s">
        <v>102</v>
      </c>
      <c r="I69" s="589" t="s">
        <v>103</v>
      </c>
      <c r="J69" s="581">
        <v>1</v>
      </c>
      <c r="K69" s="593">
        <v>17697</v>
      </c>
      <c r="L69" s="594">
        <v>21</v>
      </c>
      <c r="M69" s="554">
        <f t="shared" si="5"/>
        <v>1.1666666666666667</v>
      </c>
      <c r="N69" s="574" t="s">
        <v>152</v>
      </c>
      <c r="O69" s="555">
        <v>4.32</v>
      </c>
      <c r="P69" s="595"/>
      <c r="Q69" s="596">
        <f t="shared" si="6"/>
        <v>89192.880000000019</v>
      </c>
      <c r="R69" s="894">
        <f>'расчеты к штатному'!P70</f>
        <v>126091.12500000001</v>
      </c>
      <c r="S69" s="597"/>
      <c r="T69" s="593"/>
      <c r="U69" s="593">
        <v>0.1</v>
      </c>
      <c r="V69" s="596">
        <f t="shared" si="9"/>
        <v>8919.2880000000023</v>
      </c>
      <c r="W69" s="598"/>
      <c r="X69" s="593"/>
      <c r="Y69" s="887"/>
      <c r="Z69" s="599">
        <f t="shared" si="10"/>
        <v>98112.16800000002</v>
      </c>
      <c r="AA69" s="274">
        <f t="shared" si="11"/>
        <v>0</v>
      </c>
      <c r="AB69" s="274">
        <f t="shared" si="11"/>
        <v>0</v>
      </c>
      <c r="AC69" s="681">
        <f>'расчеты к штатному'!X70-оклад!Z69</f>
        <v>75263.128875000009</v>
      </c>
      <c r="AD69" s="684">
        <f>('расчеты к штатному'!P70/оклад!Q69)-100%</f>
        <v>0.41369047619047605</v>
      </c>
    </row>
    <row r="70" spans="1:46" s="80" customFormat="1" ht="17.25" customHeight="1">
      <c r="A70" s="560">
        <v>44</v>
      </c>
      <c r="B70" s="587" t="s">
        <v>454</v>
      </c>
      <c r="C70" s="588" t="s">
        <v>99</v>
      </c>
      <c r="D70" s="589" t="s">
        <v>189</v>
      </c>
      <c r="E70" s="590" t="s">
        <v>460</v>
      </c>
      <c r="F70" s="591" t="s">
        <v>77</v>
      </c>
      <c r="G70" s="592">
        <v>1</v>
      </c>
      <c r="H70" s="589" t="s">
        <v>102</v>
      </c>
      <c r="I70" s="589" t="s">
        <v>103</v>
      </c>
      <c r="J70" s="581">
        <v>4</v>
      </c>
      <c r="K70" s="593">
        <v>17697</v>
      </c>
      <c r="L70" s="594">
        <v>34</v>
      </c>
      <c r="M70" s="554">
        <f t="shared" si="5"/>
        <v>1.8888888888888888</v>
      </c>
      <c r="N70" s="574" t="s">
        <v>112</v>
      </c>
      <c r="O70" s="595">
        <v>2.92</v>
      </c>
      <c r="P70" s="595"/>
      <c r="Q70" s="596">
        <f t="shared" si="6"/>
        <v>97608.786666666652</v>
      </c>
      <c r="R70" s="894">
        <f>'расчеты к штатному'!P71</f>
        <v>109426.45</v>
      </c>
      <c r="S70" s="597"/>
      <c r="T70" s="593"/>
      <c r="U70" s="593">
        <v>0.1</v>
      </c>
      <c r="V70" s="596">
        <f t="shared" si="9"/>
        <v>9760.8786666666656</v>
      </c>
      <c r="W70" s="598"/>
      <c r="X70" s="593"/>
      <c r="Y70" s="887"/>
      <c r="Z70" s="599">
        <f t="shared" si="10"/>
        <v>107369.66533333332</v>
      </c>
      <c r="AA70" s="274">
        <f t="shared" si="11"/>
        <v>0</v>
      </c>
      <c r="AB70" s="274">
        <f t="shared" si="11"/>
        <v>0</v>
      </c>
      <c r="AC70" s="681">
        <f>'расчеты к штатному'!X71-оклад!Z70</f>
        <v>43091.703416666671</v>
      </c>
      <c r="AD70" s="684">
        <f>('расчеты к штатному'!P71/оклад!Q70)-100%</f>
        <v>0.12107171635777614</v>
      </c>
    </row>
    <row r="71" spans="1:46" s="80" customFormat="1" ht="17.25" customHeight="1">
      <c r="A71" s="547">
        <v>45</v>
      </c>
      <c r="B71" s="159" t="s">
        <v>191</v>
      </c>
      <c r="C71" s="600" t="s">
        <v>99</v>
      </c>
      <c r="D71" s="601" t="s">
        <v>25</v>
      </c>
      <c r="E71" s="602" t="s">
        <v>498</v>
      </c>
      <c r="F71" s="585" t="s">
        <v>73</v>
      </c>
      <c r="G71" s="603">
        <v>1</v>
      </c>
      <c r="H71" s="601" t="s">
        <v>102</v>
      </c>
      <c r="I71" s="601" t="s">
        <v>103</v>
      </c>
      <c r="J71" s="604">
        <v>2</v>
      </c>
      <c r="K71" s="605">
        <v>17697</v>
      </c>
      <c r="L71" s="606">
        <v>20</v>
      </c>
      <c r="M71" s="554">
        <f t="shared" si="5"/>
        <v>1.1111111111111112</v>
      </c>
      <c r="N71" s="566" t="s">
        <v>104</v>
      </c>
      <c r="O71" s="579">
        <v>3.62</v>
      </c>
      <c r="P71" s="579"/>
      <c r="Q71" s="607">
        <f t="shared" si="6"/>
        <v>71181.266666666663</v>
      </c>
      <c r="R71" s="894" t="e">
        <f>'расчеты к штатному'!#REF!</f>
        <v>#REF!</v>
      </c>
      <c r="S71" s="608"/>
      <c r="T71" s="605"/>
      <c r="U71" s="605">
        <v>0.1</v>
      </c>
      <c r="V71" s="607">
        <f t="shared" si="9"/>
        <v>7118.126666666667</v>
      </c>
      <c r="W71" s="609"/>
      <c r="X71" s="605"/>
      <c r="Y71" s="888"/>
      <c r="Z71" s="610">
        <f t="shared" si="10"/>
        <v>78299.393333333326</v>
      </c>
      <c r="AA71" s="304">
        <f t="shared" si="11"/>
        <v>0</v>
      </c>
      <c r="AB71" s="304">
        <f t="shared" si="11"/>
        <v>0</v>
      </c>
      <c r="AC71" s="681" t="e">
        <f>'расчеты к штатному'!#REF!-оклад!Z71</f>
        <v>#REF!</v>
      </c>
      <c r="AD71" s="684" t="e">
        <f>('расчеты к штатному'!#REF!/оклад!Q71)-100%</f>
        <v>#REF!</v>
      </c>
    </row>
    <row r="72" spans="1:46" s="80" customFormat="1" ht="17.25" customHeight="1">
      <c r="A72" s="560">
        <v>46</v>
      </c>
      <c r="B72" s="159" t="s">
        <v>193</v>
      </c>
      <c r="C72" s="600" t="s">
        <v>99</v>
      </c>
      <c r="D72" s="601" t="s">
        <v>64</v>
      </c>
      <c r="E72" s="602" t="s">
        <v>459</v>
      </c>
      <c r="F72" s="562" t="s">
        <v>252</v>
      </c>
      <c r="G72" s="603">
        <v>1</v>
      </c>
      <c r="H72" s="563" t="s">
        <v>102</v>
      </c>
      <c r="I72" s="563" t="s">
        <v>118</v>
      </c>
      <c r="J72" s="581">
        <v>3</v>
      </c>
      <c r="K72" s="554">
        <v>17697</v>
      </c>
      <c r="L72" s="606">
        <v>31</v>
      </c>
      <c r="M72" s="554">
        <f t="shared" si="5"/>
        <v>1.7222222222222223</v>
      </c>
      <c r="N72" s="566" t="s">
        <v>109</v>
      </c>
      <c r="O72" s="579">
        <v>3.03</v>
      </c>
      <c r="P72" s="579"/>
      <c r="Q72" s="607">
        <f t="shared" si="6"/>
        <v>92348.845000000001</v>
      </c>
      <c r="R72" s="894">
        <f>'расчеты к штатному'!P72</f>
        <v>128804.66499999999</v>
      </c>
      <c r="S72" s="608"/>
      <c r="T72" s="605"/>
      <c r="U72" s="605">
        <v>0.1</v>
      </c>
      <c r="V72" s="607">
        <f t="shared" si="9"/>
        <v>9234.8845000000001</v>
      </c>
      <c r="W72" s="609"/>
      <c r="X72" s="605"/>
      <c r="Y72" s="888"/>
      <c r="Z72" s="611">
        <f t="shared" si="10"/>
        <v>101583.7295</v>
      </c>
      <c r="AA72" s="304"/>
      <c r="AB72" s="304"/>
      <c r="AC72" s="681">
        <f>'расчеты к штатному'!X72-оклад!Z72</f>
        <v>75522.684874999992</v>
      </c>
      <c r="AD72" s="684">
        <f>('расчеты к штатному'!P72/оклад!Q72)-100%</f>
        <v>0.39476205685084631</v>
      </c>
    </row>
    <row r="73" spans="1:46" s="80" customFormat="1" ht="17.25" customHeight="1">
      <c r="A73" s="547">
        <v>47</v>
      </c>
      <c r="B73" s="159" t="s">
        <v>197</v>
      </c>
      <c r="C73" s="600" t="s">
        <v>99</v>
      </c>
      <c r="D73" s="563" t="s">
        <v>25</v>
      </c>
      <c r="E73" s="210" t="s">
        <v>499</v>
      </c>
      <c r="F73" s="562" t="s">
        <v>34</v>
      </c>
      <c r="G73" s="603">
        <v>1</v>
      </c>
      <c r="H73" s="601" t="s">
        <v>102</v>
      </c>
      <c r="I73" s="601" t="s">
        <v>103</v>
      </c>
      <c r="J73" s="604">
        <v>1</v>
      </c>
      <c r="K73" s="605">
        <v>17697</v>
      </c>
      <c r="L73" s="606">
        <v>28</v>
      </c>
      <c r="M73" s="554">
        <f t="shared" si="5"/>
        <v>1.5555555555555556</v>
      </c>
      <c r="N73" s="574" t="s">
        <v>152</v>
      </c>
      <c r="O73" s="566">
        <v>4.32</v>
      </c>
      <c r="P73" s="579"/>
      <c r="Q73" s="607">
        <f t="shared" si="6"/>
        <v>118923.84000000003</v>
      </c>
      <c r="R73" s="894">
        <f>'расчеты к штатному'!P73</f>
        <v>140101.25</v>
      </c>
      <c r="S73" s="608"/>
      <c r="T73" s="605"/>
      <c r="U73" s="605">
        <v>0.1</v>
      </c>
      <c r="V73" s="607">
        <f t="shared" si="9"/>
        <v>11892.384000000004</v>
      </c>
      <c r="W73" s="609"/>
      <c r="X73" s="605"/>
      <c r="Y73" s="888"/>
      <c r="Z73" s="611">
        <f t="shared" si="10"/>
        <v>130816.22400000003</v>
      </c>
      <c r="AA73" s="304">
        <f t="shared" si="11"/>
        <v>0</v>
      </c>
      <c r="AB73" s="304">
        <f t="shared" si="11"/>
        <v>0</v>
      </c>
      <c r="AC73" s="681">
        <f>'расчеты к штатному'!X73-оклад!Z73</f>
        <v>61822.994749999969</v>
      </c>
      <c r="AD73" s="684">
        <f>('расчеты к штатному'!P73/оклад!Q73)-100%</f>
        <v>0.17807539682539653</v>
      </c>
    </row>
    <row r="74" spans="1:46" s="80" customFormat="1" ht="17.25" customHeight="1">
      <c r="A74" s="560">
        <v>48</v>
      </c>
      <c r="B74" s="159" t="s">
        <v>199</v>
      </c>
      <c r="C74" s="600" t="s">
        <v>99</v>
      </c>
      <c r="D74" s="563" t="s">
        <v>25</v>
      </c>
      <c r="E74" s="210" t="s">
        <v>457</v>
      </c>
      <c r="F74" s="562" t="s">
        <v>122</v>
      </c>
      <c r="G74" s="603">
        <v>1</v>
      </c>
      <c r="H74" s="563" t="s">
        <v>102</v>
      </c>
      <c r="I74" s="563" t="s">
        <v>118</v>
      </c>
      <c r="J74" s="581">
        <v>4</v>
      </c>
      <c r="K74" s="605">
        <v>17697</v>
      </c>
      <c r="L74" s="606">
        <v>14</v>
      </c>
      <c r="M74" s="554">
        <f t="shared" si="5"/>
        <v>0.77777777777777779</v>
      </c>
      <c r="N74" s="574" t="s">
        <v>112</v>
      </c>
      <c r="O74" s="579">
        <v>2.93</v>
      </c>
      <c r="P74" s="579"/>
      <c r="Q74" s="607">
        <f t="shared" si="6"/>
        <v>40329.496666666673</v>
      </c>
      <c r="R74" s="894">
        <f>'расчеты к штатному'!P76</f>
        <v>43259.333333333328</v>
      </c>
      <c r="S74" s="608"/>
      <c r="T74" s="605"/>
      <c r="U74" s="605">
        <v>0.1</v>
      </c>
      <c r="V74" s="607">
        <f t="shared" si="9"/>
        <v>4032.9496666666673</v>
      </c>
      <c r="W74" s="609"/>
      <c r="X74" s="605"/>
      <c r="Y74" s="888"/>
      <c r="Z74" s="611">
        <f t="shared" si="10"/>
        <v>44362.446333333341</v>
      </c>
      <c r="AA74" s="304">
        <f t="shared" si="11"/>
        <v>0</v>
      </c>
      <c r="AB74" s="304">
        <f t="shared" si="11"/>
        <v>0</v>
      </c>
      <c r="AC74" s="681">
        <f>'расчеты к штатному'!X76-оклад!Z74</f>
        <v>15119.136999999981</v>
      </c>
      <c r="AD74" s="684">
        <f>('расчеты к штатному'!P76/оклад!Q74)-100%</f>
        <v>7.2647489029741275E-2</v>
      </c>
    </row>
    <row r="75" spans="1:46" s="80" customFormat="1" ht="17.25" customHeight="1">
      <c r="A75" s="547">
        <v>49</v>
      </c>
      <c r="B75" s="159" t="s">
        <v>439</v>
      </c>
      <c r="C75" s="600" t="s">
        <v>99</v>
      </c>
      <c r="D75" s="563" t="s">
        <v>75</v>
      </c>
      <c r="E75" s="562" t="s">
        <v>504</v>
      </c>
      <c r="F75" s="562" t="s">
        <v>159</v>
      </c>
      <c r="G75" s="612">
        <v>1</v>
      </c>
      <c r="H75" s="580" t="s">
        <v>102</v>
      </c>
      <c r="I75" s="580" t="s">
        <v>118</v>
      </c>
      <c r="J75" s="574">
        <v>4</v>
      </c>
      <c r="K75" s="554">
        <v>17697</v>
      </c>
      <c r="L75" s="606">
        <v>25</v>
      </c>
      <c r="M75" s="554">
        <f t="shared" si="5"/>
        <v>1.3888888888888888</v>
      </c>
      <c r="N75" s="574" t="s">
        <v>112</v>
      </c>
      <c r="O75" s="579">
        <v>2.9</v>
      </c>
      <c r="P75" s="579"/>
      <c r="Q75" s="607">
        <f t="shared" si="6"/>
        <v>71279.583333333328</v>
      </c>
      <c r="R75" s="894">
        <f>'расчеты к штатному'!P77</f>
        <v>81602.833333333314</v>
      </c>
      <c r="S75" s="608"/>
      <c r="T75" s="605"/>
      <c r="U75" s="605">
        <v>0.1</v>
      </c>
      <c r="V75" s="607">
        <f t="shared" si="9"/>
        <v>7127.958333333333</v>
      </c>
      <c r="W75" s="609"/>
      <c r="X75" s="605"/>
      <c r="Y75" s="888"/>
      <c r="Z75" s="611">
        <f t="shared" si="10"/>
        <v>78407.541666666657</v>
      </c>
      <c r="AA75" s="304"/>
      <c r="AB75" s="304"/>
      <c r="AC75" s="681">
        <f>'расчеты к штатному'!X77-оклад!Z75</f>
        <v>33796.354166666657</v>
      </c>
      <c r="AD75" s="684">
        <f>('расчеты к штатному'!P77/оклад!Q75)-100%</f>
        <v>0.1448275862068964</v>
      </c>
    </row>
    <row r="76" spans="1:46" s="80" customFormat="1" ht="17.25" customHeight="1">
      <c r="A76" s="560">
        <v>50</v>
      </c>
      <c r="B76" s="159" t="s">
        <v>200</v>
      </c>
      <c r="C76" s="600" t="s">
        <v>99</v>
      </c>
      <c r="D76" s="563" t="s">
        <v>25</v>
      </c>
      <c r="E76" s="210" t="s">
        <v>500</v>
      </c>
      <c r="F76" s="562" t="s">
        <v>34</v>
      </c>
      <c r="G76" s="603">
        <v>1</v>
      </c>
      <c r="H76" s="563" t="s">
        <v>102</v>
      </c>
      <c r="I76" s="563" t="s">
        <v>103</v>
      </c>
      <c r="J76" s="581">
        <v>2</v>
      </c>
      <c r="K76" s="554">
        <v>17697</v>
      </c>
      <c r="L76" s="565">
        <v>18</v>
      </c>
      <c r="M76" s="554">
        <f t="shared" si="5"/>
        <v>1</v>
      </c>
      <c r="N76" s="566" t="s">
        <v>104</v>
      </c>
      <c r="O76" s="566">
        <v>3.92</v>
      </c>
      <c r="P76" s="579"/>
      <c r="Q76" s="607">
        <f t="shared" si="6"/>
        <v>69372.240000000005</v>
      </c>
      <c r="R76" s="894" t="e">
        <f>'расчеты к штатному'!#REF!</f>
        <v>#REF!</v>
      </c>
      <c r="S76" s="608"/>
      <c r="T76" s="605"/>
      <c r="U76" s="605">
        <v>0.1</v>
      </c>
      <c r="V76" s="607">
        <f t="shared" si="9"/>
        <v>6937.2240000000011</v>
      </c>
      <c r="W76" s="609"/>
      <c r="X76" s="605"/>
      <c r="Y76" s="888"/>
      <c r="Z76" s="611">
        <f t="shared" si="10"/>
        <v>76309.464000000007</v>
      </c>
      <c r="AA76" s="304"/>
      <c r="AB76" s="304"/>
      <c r="AC76" s="681" t="e">
        <f>'расчеты к штатному'!#REF!-оклад!Z76</f>
        <v>#REF!</v>
      </c>
      <c r="AD76" s="684" t="e">
        <f>('расчеты к штатному'!#REF!/оклад!Q76)-100%</f>
        <v>#REF!</v>
      </c>
    </row>
    <row r="77" spans="1:46" s="80" customFormat="1" ht="17.25" customHeight="1">
      <c r="A77" s="547">
        <v>51</v>
      </c>
      <c r="B77" s="153" t="s">
        <v>202</v>
      </c>
      <c r="C77" s="561" t="s">
        <v>99</v>
      </c>
      <c r="D77" s="563" t="s">
        <v>75</v>
      </c>
      <c r="E77" s="210" t="s">
        <v>203</v>
      </c>
      <c r="F77" s="562" t="s">
        <v>66</v>
      </c>
      <c r="G77" s="560">
        <v>1</v>
      </c>
      <c r="H77" s="563" t="s">
        <v>102</v>
      </c>
      <c r="I77" s="563" t="s">
        <v>103</v>
      </c>
      <c r="J77" s="581">
        <v>3</v>
      </c>
      <c r="K77" s="554">
        <v>17697</v>
      </c>
      <c r="L77" s="606">
        <v>32</v>
      </c>
      <c r="M77" s="554">
        <f t="shared" si="5"/>
        <v>1.7777777777777777</v>
      </c>
      <c r="N77" s="566" t="s">
        <v>109</v>
      </c>
      <c r="O77" s="579">
        <v>3.57</v>
      </c>
      <c r="P77" s="579"/>
      <c r="Q77" s="607">
        <f t="shared" si="6"/>
        <v>112316.95999999999</v>
      </c>
      <c r="R77" s="894">
        <f>'расчеты к штатному'!P79</f>
        <v>141782.465</v>
      </c>
      <c r="S77" s="608"/>
      <c r="T77" s="605"/>
      <c r="U77" s="605">
        <v>0.1</v>
      </c>
      <c r="V77" s="607">
        <f t="shared" si="9"/>
        <v>11231.696</v>
      </c>
      <c r="W77" s="609"/>
      <c r="X77" s="605"/>
      <c r="Y77" s="888"/>
      <c r="Z77" s="611">
        <f t="shared" si="10"/>
        <v>123548.65599999999</v>
      </c>
      <c r="AA77" s="304"/>
      <c r="AB77" s="304"/>
      <c r="AC77" s="681">
        <f>'расчеты к штатному'!X79-оклад!Z77</f>
        <v>71402.233375000011</v>
      </c>
      <c r="AD77" s="684">
        <f>('расчеты к штатному'!P79/оклад!Q77)-100%</f>
        <v>0.26234243697478998</v>
      </c>
    </row>
    <row r="78" spans="1:46" s="112" customFormat="1" ht="17.25" customHeight="1">
      <c r="A78" s="613"/>
      <c r="B78" s="250"/>
      <c r="C78" s="614"/>
      <c r="D78" s="615"/>
      <c r="E78" s="616"/>
      <c r="F78" s="616"/>
      <c r="G78" s="617"/>
      <c r="H78" s="615"/>
      <c r="I78" s="615"/>
      <c r="J78" s="618"/>
      <c r="K78" s="619"/>
      <c r="L78" s="620">
        <f>SUM(L27:L77)</f>
        <v>1099</v>
      </c>
      <c r="M78" s="619"/>
      <c r="N78" s="621"/>
      <c r="O78" s="622"/>
      <c r="P78" s="621"/>
      <c r="Q78" s="623"/>
      <c r="R78" s="894">
        <f>'расчеты к штатному'!P80</f>
        <v>0</v>
      </c>
      <c r="S78" s="624"/>
      <c r="T78" s="619"/>
      <c r="U78" s="619"/>
      <c r="V78" s="623"/>
      <c r="W78" s="625"/>
      <c r="X78" s="619"/>
      <c r="Y78" s="889"/>
      <c r="Z78" s="626"/>
      <c r="AA78" s="104"/>
      <c r="AB78" s="104"/>
      <c r="AC78" s="878"/>
      <c r="AD78" s="879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</row>
    <row r="79" spans="1:46" s="80" customFormat="1" ht="15.75">
      <c r="A79" s="560">
        <v>1</v>
      </c>
      <c r="B79" s="153" t="s">
        <v>215</v>
      </c>
      <c r="C79" s="561" t="s">
        <v>99</v>
      </c>
      <c r="D79" s="563" t="s">
        <v>25</v>
      </c>
      <c r="E79" s="562" t="s">
        <v>441</v>
      </c>
      <c r="F79" s="562" t="s">
        <v>217</v>
      </c>
      <c r="G79" s="571">
        <v>1</v>
      </c>
      <c r="H79" s="580" t="s">
        <v>102</v>
      </c>
      <c r="I79" s="580" t="s">
        <v>103</v>
      </c>
      <c r="J79" s="574">
        <v>1</v>
      </c>
      <c r="K79" s="554">
        <v>17697</v>
      </c>
      <c r="L79" s="573">
        <v>20</v>
      </c>
      <c r="M79" s="554">
        <f t="shared" ref="M79:M101" si="12">L79/18</f>
        <v>1.1111111111111112</v>
      </c>
      <c r="N79" s="574" t="s">
        <v>152</v>
      </c>
      <c r="O79" s="575">
        <v>4.26</v>
      </c>
      <c r="P79" s="575"/>
      <c r="Q79" s="567">
        <f t="shared" ref="Q79:Q101" si="13">O79*K79/18*L79</f>
        <v>83765.8</v>
      </c>
      <c r="R79" s="894">
        <f>'расчеты к штатному'!P81</f>
        <v>92221.03333333334</v>
      </c>
      <c r="S79" s="568"/>
      <c r="T79" s="554"/>
      <c r="U79" s="554">
        <v>0.1</v>
      </c>
      <c r="V79" s="567">
        <f>Q79*U79</f>
        <v>8376.58</v>
      </c>
      <c r="W79" s="569"/>
      <c r="X79" s="554"/>
      <c r="Y79" s="700"/>
      <c r="Z79" s="570">
        <f t="shared" ref="Z79:Z101" si="14">V79+Q79</f>
        <v>92142.38</v>
      </c>
      <c r="AA79" s="274">
        <f t="shared" ref="AA79:AB101" si="15">W79+S79</f>
        <v>0</v>
      </c>
      <c r="AB79" s="274">
        <f t="shared" si="15"/>
        <v>0</v>
      </c>
      <c r="AC79" s="681">
        <f>'расчеты к штатному'!X81-оклад!Z79</f>
        <v>34661.540833333333</v>
      </c>
      <c r="AD79" s="684">
        <f>('расчеты к штатному'!P81/оклад!Q79)-100%</f>
        <v>0.10093896713615025</v>
      </c>
    </row>
    <row r="80" spans="1:46" s="80" customFormat="1" ht="17.25" customHeight="1">
      <c r="A80" s="560">
        <v>2</v>
      </c>
      <c r="B80" s="153" t="s">
        <v>222</v>
      </c>
      <c r="C80" s="561" t="s">
        <v>148</v>
      </c>
      <c r="D80" s="563" t="s">
        <v>25</v>
      </c>
      <c r="E80" s="562" t="s">
        <v>223</v>
      </c>
      <c r="F80" s="562" t="s">
        <v>224</v>
      </c>
      <c r="G80" s="571">
        <v>1</v>
      </c>
      <c r="H80" s="580" t="s">
        <v>102</v>
      </c>
      <c r="I80" s="580" t="s">
        <v>103</v>
      </c>
      <c r="J80" s="574">
        <v>3</v>
      </c>
      <c r="K80" s="554">
        <v>17697</v>
      </c>
      <c r="L80" s="573">
        <v>34</v>
      </c>
      <c r="M80" s="554">
        <f t="shared" si="12"/>
        <v>1.8888888888888888</v>
      </c>
      <c r="N80" s="566" t="s">
        <v>109</v>
      </c>
      <c r="O80" s="575">
        <v>3.45</v>
      </c>
      <c r="P80" s="575"/>
      <c r="Q80" s="567">
        <f t="shared" si="13"/>
        <v>115325.45000000001</v>
      </c>
      <c r="R80" s="894">
        <f>'расчеты к штатному'!P82</f>
        <v>145194.05333333334</v>
      </c>
      <c r="S80" s="568"/>
      <c r="T80" s="554"/>
      <c r="U80" s="554">
        <v>0.1</v>
      </c>
      <c r="V80" s="567">
        <f>Q80*U80</f>
        <v>11532.545000000002</v>
      </c>
      <c r="W80" s="569"/>
      <c r="X80" s="554"/>
      <c r="Y80" s="700"/>
      <c r="Z80" s="570">
        <f t="shared" si="14"/>
        <v>126857.99500000001</v>
      </c>
      <c r="AA80" s="274">
        <f t="shared" si="15"/>
        <v>0</v>
      </c>
      <c r="AB80" s="274">
        <f t="shared" si="15"/>
        <v>0</v>
      </c>
      <c r="AC80" s="681">
        <f>'расчеты к штатному'!X82-оклад!Z80</f>
        <v>72783.828333333353</v>
      </c>
      <c r="AD80" s="684">
        <f>('расчеты к штатному'!P82/оклад!Q80)-100%</f>
        <v>0.25899403239556684</v>
      </c>
    </row>
    <row r="81" spans="1:30" s="80" customFormat="1" ht="17.25" customHeight="1">
      <c r="A81" s="560">
        <v>3</v>
      </c>
      <c r="B81" s="153" t="s">
        <v>124</v>
      </c>
      <c r="C81" s="561" t="s">
        <v>125</v>
      </c>
      <c r="D81" s="560" t="s">
        <v>75</v>
      </c>
      <c r="E81" s="582" t="s">
        <v>126</v>
      </c>
      <c r="F81" s="562" t="s">
        <v>108</v>
      </c>
      <c r="G81" s="560">
        <v>1</v>
      </c>
      <c r="H81" s="563" t="s">
        <v>102</v>
      </c>
      <c r="I81" s="563" t="s">
        <v>118</v>
      </c>
      <c r="J81" s="581">
        <v>3</v>
      </c>
      <c r="K81" s="554">
        <v>17697</v>
      </c>
      <c r="L81" s="565">
        <v>13</v>
      </c>
      <c r="M81" s="554">
        <f t="shared" si="12"/>
        <v>0.72222222222222221</v>
      </c>
      <c r="N81" s="574" t="s">
        <v>109</v>
      </c>
      <c r="O81" s="566">
        <v>2.96</v>
      </c>
      <c r="P81" s="566">
        <v>2.85</v>
      </c>
      <c r="Q81" s="567">
        <f t="shared" si="13"/>
        <v>37832.253333333334</v>
      </c>
      <c r="R81" s="894">
        <f>'расчеты к штатному'!P83</f>
        <v>49207.491666666669</v>
      </c>
      <c r="S81" s="568"/>
      <c r="T81" s="554"/>
      <c r="U81" s="554">
        <v>0.1</v>
      </c>
      <c r="V81" s="567">
        <f>U81*Q81</f>
        <v>3783.2253333333338</v>
      </c>
      <c r="W81" s="569"/>
      <c r="X81" s="554"/>
      <c r="Y81" s="700"/>
      <c r="Z81" s="570">
        <f t="shared" si="14"/>
        <v>41615.47866666667</v>
      </c>
      <c r="AA81" s="274">
        <f t="shared" si="15"/>
        <v>0</v>
      </c>
      <c r="AB81" s="274">
        <f t="shared" si="15"/>
        <v>0</v>
      </c>
      <c r="AC81" s="681">
        <f>'расчеты к штатному'!X83-оклад!Z81</f>
        <v>26044.822374999996</v>
      </c>
      <c r="AD81" s="684">
        <f>('расчеты к штатному'!P83/оклад!Q81)-100%</f>
        <v>0.30067567567567566</v>
      </c>
    </row>
    <row r="82" spans="1:30" s="80" customFormat="1" ht="17.25" customHeight="1">
      <c r="A82" s="560">
        <v>4</v>
      </c>
      <c r="B82" s="153" t="s">
        <v>116</v>
      </c>
      <c r="C82" s="561" t="s">
        <v>99</v>
      </c>
      <c r="D82" s="560" t="s">
        <v>64</v>
      </c>
      <c r="E82" s="583" t="s">
        <v>117</v>
      </c>
      <c r="F82" s="562" t="s">
        <v>114</v>
      </c>
      <c r="G82" s="560">
        <v>1</v>
      </c>
      <c r="H82" s="563" t="s">
        <v>102</v>
      </c>
      <c r="I82" s="563" t="s">
        <v>118</v>
      </c>
      <c r="J82" s="564">
        <v>1</v>
      </c>
      <c r="K82" s="554">
        <v>17697</v>
      </c>
      <c r="L82" s="565">
        <v>5</v>
      </c>
      <c r="M82" s="554">
        <f t="shared" si="12"/>
        <v>0.27777777777777779</v>
      </c>
      <c r="N82" s="574" t="s">
        <v>152</v>
      </c>
      <c r="O82" s="566">
        <v>3.89</v>
      </c>
      <c r="P82" s="566">
        <v>3.89</v>
      </c>
      <c r="Q82" s="567">
        <f t="shared" si="13"/>
        <v>19122.591666666667</v>
      </c>
      <c r="R82" s="894">
        <f>'расчеты к штатному'!P86</f>
        <v>22219.566666666666</v>
      </c>
      <c r="S82" s="568"/>
      <c r="T82" s="554"/>
      <c r="U82" s="554">
        <v>0.1</v>
      </c>
      <c r="V82" s="567">
        <f>U82*Q82</f>
        <v>1912.2591666666667</v>
      </c>
      <c r="W82" s="569"/>
      <c r="X82" s="554"/>
      <c r="Y82" s="700"/>
      <c r="Z82" s="570">
        <f t="shared" si="14"/>
        <v>21034.850833333334</v>
      </c>
      <c r="AA82" s="274">
        <f t="shared" si="15"/>
        <v>0</v>
      </c>
      <c r="AB82" s="274">
        <f t="shared" si="15"/>
        <v>0</v>
      </c>
      <c r="AC82" s="681">
        <f>'расчеты к штатному'!X86-оклад!Z82</f>
        <v>9517.0533333333333</v>
      </c>
      <c r="AD82" s="684">
        <f>('расчеты к штатному'!P86/оклад!Q82)-100%</f>
        <v>0.16195372750642667</v>
      </c>
    </row>
    <row r="83" spans="1:30" s="80" customFormat="1" ht="17.25" customHeight="1">
      <c r="A83" s="560">
        <v>5</v>
      </c>
      <c r="B83" s="153" t="s">
        <v>127</v>
      </c>
      <c r="C83" s="561" t="s">
        <v>99</v>
      </c>
      <c r="D83" s="560" t="s">
        <v>25</v>
      </c>
      <c r="E83" s="562" t="s">
        <v>128</v>
      </c>
      <c r="F83" s="562" t="s">
        <v>34</v>
      </c>
      <c r="G83" s="560">
        <v>1</v>
      </c>
      <c r="H83" s="563" t="s">
        <v>102</v>
      </c>
      <c r="I83" s="563" t="s">
        <v>103</v>
      </c>
      <c r="J83" s="564">
        <v>1</v>
      </c>
      <c r="K83" s="554">
        <v>17697</v>
      </c>
      <c r="L83" s="565">
        <v>6</v>
      </c>
      <c r="M83" s="554">
        <f t="shared" si="12"/>
        <v>0.33333333333333331</v>
      </c>
      <c r="N83" s="574" t="s">
        <v>152</v>
      </c>
      <c r="O83" s="566">
        <v>4.32</v>
      </c>
      <c r="P83" s="566"/>
      <c r="Q83" s="567">
        <f t="shared" si="13"/>
        <v>25483.680000000004</v>
      </c>
      <c r="R83" s="894">
        <f>'расчеты к штатному'!P87</f>
        <v>28020.25</v>
      </c>
      <c r="S83" s="568"/>
      <c r="T83" s="554"/>
      <c r="U83" s="554">
        <v>0.1</v>
      </c>
      <c r="V83" s="567">
        <f>U83*Q83</f>
        <v>2548.3680000000004</v>
      </c>
      <c r="W83" s="569"/>
      <c r="X83" s="554"/>
      <c r="Y83" s="700"/>
      <c r="Z83" s="570">
        <f t="shared" si="14"/>
        <v>28032.048000000003</v>
      </c>
      <c r="AA83" s="274">
        <f t="shared" si="15"/>
        <v>0</v>
      </c>
      <c r="AB83" s="274">
        <f t="shared" si="15"/>
        <v>0</v>
      </c>
      <c r="AC83" s="681">
        <f>'расчеты к штатному'!X87-оклад!Z83</f>
        <v>10495.795749999997</v>
      </c>
      <c r="AD83" s="684">
        <f>('расчеты к штатному'!P87/оклад!Q83)-100%</f>
        <v>9.9537037037036757E-2</v>
      </c>
    </row>
    <row r="84" spans="1:30" s="80" customFormat="1" ht="17.25" customHeight="1">
      <c r="A84" s="560">
        <v>6</v>
      </c>
      <c r="B84" s="153" t="s">
        <v>227</v>
      </c>
      <c r="C84" s="561" t="s">
        <v>99</v>
      </c>
      <c r="D84" s="560" t="s">
        <v>25</v>
      </c>
      <c r="E84" s="562" t="s">
        <v>228</v>
      </c>
      <c r="F84" s="562" t="s">
        <v>229</v>
      </c>
      <c r="G84" s="571">
        <v>1</v>
      </c>
      <c r="H84" s="580" t="s">
        <v>102</v>
      </c>
      <c r="I84" s="580" t="s">
        <v>103</v>
      </c>
      <c r="J84" s="574">
        <v>3</v>
      </c>
      <c r="K84" s="554">
        <v>17697</v>
      </c>
      <c r="L84" s="573">
        <v>28</v>
      </c>
      <c r="M84" s="554">
        <f t="shared" si="12"/>
        <v>1.5555555555555556</v>
      </c>
      <c r="N84" s="566" t="s">
        <v>109</v>
      </c>
      <c r="O84" s="575">
        <v>3.33</v>
      </c>
      <c r="P84" s="575"/>
      <c r="Q84" s="567">
        <f t="shared" si="13"/>
        <v>91670.46</v>
      </c>
      <c r="R84" s="894">
        <f>'расчеты к штатному'!P88</f>
        <v>104549.94333333333</v>
      </c>
      <c r="S84" s="568"/>
      <c r="T84" s="554"/>
      <c r="U84" s="554">
        <v>0.1</v>
      </c>
      <c r="V84" s="567">
        <f>Q84*U84</f>
        <v>9167.0460000000003</v>
      </c>
      <c r="W84" s="569"/>
      <c r="X84" s="554"/>
      <c r="Y84" s="700"/>
      <c r="Z84" s="570">
        <f t="shared" si="14"/>
        <v>100837.50600000001</v>
      </c>
      <c r="AA84" s="274">
        <f t="shared" si="15"/>
        <v>0</v>
      </c>
      <c r="AB84" s="274">
        <f t="shared" si="15"/>
        <v>0</v>
      </c>
      <c r="AC84" s="681">
        <f>'расчеты к штатному'!X88-оклад!Z84</f>
        <v>42918.66608333333</v>
      </c>
      <c r="AD84" s="684">
        <f>('расчеты к штатному'!P88/оклад!Q84)-100%</f>
        <v>0.14049764049764035</v>
      </c>
    </row>
    <row r="85" spans="1:30" s="80" customFormat="1" ht="17.25" customHeight="1">
      <c r="A85" s="560">
        <v>7</v>
      </c>
      <c r="B85" s="153" t="s">
        <v>230</v>
      </c>
      <c r="C85" s="561" t="s">
        <v>99</v>
      </c>
      <c r="D85" s="560" t="s">
        <v>25</v>
      </c>
      <c r="E85" s="582" t="s">
        <v>231</v>
      </c>
      <c r="F85" s="582" t="s">
        <v>40</v>
      </c>
      <c r="G85" s="627">
        <v>1</v>
      </c>
      <c r="H85" s="580" t="s">
        <v>232</v>
      </c>
      <c r="I85" s="580" t="s">
        <v>233</v>
      </c>
      <c r="J85" s="574">
        <v>1</v>
      </c>
      <c r="K85" s="554">
        <v>17697</v>
      </c>
      <c r="L85" s="573">
        <v>36</v>
      </c>
      <c r="M85" s="554">
        <f t="shared" si="12"/>
        <v>2</v>
      </c>
      <c r="N85" s="574" t="s">
        <v>152</v>
      </c>
      <c r="O85" s="566">
        <v>4.32</v>
      </c>
      <c r="P85" s="566"/>
      <c r="Q85" s="567">
        <f t="shared" si="13"/>
        <v>152902.08000000002</v>
      </c>
      <c r="R85" s="894">
        <f>'расчеты к штатному'!P89</f>
        <v>163520.27999999997</v>
      </c>
      <c r="S85" s="568"/>
      <c r="T85" s="554"/>
      <c r="U85" s="554">
        <v>0.1</v>
      </c>
      <c r="V85" s="567">
        <f>Q85*U85</f>
        <v>15290.208000000002</v>
      </c>
      <c r="W85" s="569"/>
      <c r="X85" s="554"/>
      <c r="Y85" s="700"/>
      <c r="Z85" s="570">
        <f t="shared" si="14"/>
        <v>168192.28800000003</v>
      </c>
      <c r="AA85" s="274">
        <f t="shared" si="15"/>
        <v>0</v>
      </c>
      <c r="AB85" s="274">
        <f t="shared" si="15"/>
        <v>0</v>
      </c>
      <c r="AC85" s="681">
        <f>'расчеты к штатному'!X89-оклад!Z85</f>
        <v>56648.096999999951</v>
      </c>
      <c r="AD85" s="684">
        <f>('расчеты к штатному'!P89/оклад!Q85)-100%</f>
        <v>6.9444444444444198E-2</v>
      </c>
    </row>
    <row r="86" spans="1:30" s="80" customFormat="1" ht="17.25" customHeight="1">
      <c r="A86" s="560">
        <v>8</v>
      </c>
      <c r="B86" s="153" t="s">
        <v>133</v>
      </c>
      <c r="C86" s="561" t="s">
        <v>99</v>
      </c>
      <c r="D86" s="563" t="s">
        <v>25</v>
      </c>
      <c r="E86" s="562" t="s">
        <v>474</v>
      </c>
      <c r="F86" s="562" t="s">
        <v>34</v>
      </c>
      <c r="G86" s="560">
        <v>1</v>
      </c>
      <c r="H86" s="563" t="s">
        <v>102</v>
      </c>
      <c r="I86" s="563" t="s">
        <v>103</v>
      </c>
      <c r="J86" s="581">
        <v>1</v>
      </c>
      <c r="K86" s="554">
        <v>17697</v>
      </c>
      <c r="L86" s="565">
        <v>17</v>
      </c>
      <c r="M86" s="554">
        <f t="shared" si="12"/>
        <v>0.94444444444444442</v>
      </c>
      <c r="N86" s="574" t="s">
        <v>152</v>
      </c>
      <c r="O86" s="566">
        <v>4.32</v>
      </c>
      <c r="P86" s="566"/>
      <c r="Q86" s="567">
        <f t="shared" si="13"/>
        <v>72203.760000000009</v>
      </c>
      <c r="R86" s="894" t="e">
        <f>'расчеты к штатному'!#REF!</f>
        <v>#REF!</v>
      </c>
      <c r="S86" s="568"/>
      <c r="T86" s="554"/>
      <c r="U86" s="554">
        <v>0.1</v>
      </c>
      <c r="V86" s="567">
        <f>U86*Q86</f>
        <v>7220.3760000000011</v>
      </c>
      <c r="W86" s="569"/>
      <c r="X86" s="554"/>
      <c r="Y86" s="700"/>
      <c r="Z86" s="570">
        <f t="shared" si="14"/>
        <v>79424.136000000013</v>
      </c>
      <c r="AA86" s="274">
        <f t="shared" si="15"/>
        <v>0</v>
      </c>
      <c r="AB86" s="274">
        <f t="shared" si="15"/>
        <v>0</v>
      </c>
      <c r="AC86" s="681" t="e">
        <f>'расчеты к штатному'!#REF!-оклад!Z86</f>
        <v>#REF!</v>
      </c>
      <c r="AD86" s="684" t="e">
        <f>('расчеты к штатному'!#REF!/оклад!Q86)-100%</f>
        <v>#REF!</v>
      </c>
    </row>
    <row r="87" spans="1:30" s="80" customFormat="1" ht="17.25" customHeight="1">
      <c r="A87" s="560">
        <v>9</v>
      </c>
      <c r="B87" s="153" t="s">
        <v>160</v>
      </c>
      <c r="C87" s="561" t="s">
        <v>148</v>
      </c>
      <c r="D87" s="563" t="s">
        <v>25</v>
      </c>
      <c r="E87" s="562" t="s">
        <v>484</v>
      </c>
      <c r="F87" s="562" t="s">
        <v>34</v>
      </c>
      <c r="G87" s="560">
        <v>1</v>
      </c>
      <c r="H87" s="563" t="s">
        <v>102</v>
      </c>
      <c r="I87" s="563" t="s">
        <v>103</v>
      </c>
      <c r="J87" s="564">
        <v>2</v>
      </c>
      <c r="K87" s="554">
        <v>17697</v>
      </c>
      <c r="L87" s="565">
        <v>11</v>
      </c>
      <c r="M87" s="554">
        <f t="shared" si="12"/>
        <v>0.61111111111111116</v>
      </c>
      <c r="N87" s="566" t="s">
        <v>104</v>
      </c>
      <c r="O87" s="566">
        <v>3.92</v>
      </c>
      <c r="P87" s="566"/>
      <c r="Q87" s="567">
        <f t="shared" si="13"/>
        <v>42394.146666666675</v>
      </c>
      <c r="R87" s="894">
        <f>'расчеты к штатному'!P90</f>
        <v>48774.898333333338</v>
      </c>
      <c r="S87" s="568"/>
      <c r="T87" s="554"/>
      <c r="U87" s="554">
        <v>0.1</v>
      </c>
      <c r="V87" s="567">
        <f>U87*Q87</f>
        <v>4239.4146666666675</v>
      </c>
      <c r="W87" s="569"/>
      <c r="X87" s="554"/>
      <c r="Y87" s="700"/>
      <c r="Z87" s="570">
        <f t="shared" si="14"/>
        <v>46633.561333333346</v>
      </c>
      <c r="AA87" s="274">
        <f t="shared" si="15"/>
        <v>0</v>
      </c>
      <c r="AB87" s="274">
        <f t="shared" si="15"/>
        <v>0</v>
      </c>
      <c r="AC87" s="681">
        <f>'расчеты к штатному'!X90-оклад!Z87</f>
        <v>20431.923874999993</v>
      </c>
      <c r="AD87" s="684">
        <f>('расчеты к штатному'!P90/оклад!Q87)-100%</f>
        <v>0.15051020408163263</v>
      </c>
    </row>
    <row r="88" spans="1:30" s="80" customFormat="1" ht="17.25" customHeight="1">
      <c r="A88" s="560">
        <v>10</v>
      </c>
      <c r="B88" s="153" t="s">
        <v>360</v>
      </c>
      <c r="C88" s="561" t="s">
        <v>99</v>
      </c>
      <c r="D88" s="563" t="s">
        <v>25</v>
      </c>
      <c r="E88" s="562" t="s">
        <v>361</v>
      </c>
      <c r="F88" s="562" t="s">
        <v>362</v>
      </c>
      <c r="G88" s="571">
        <v>1</v>
      </c>
      <c r="H88" s="580" t="s">
        <v>102</v>
      </c>
      <c r="I88" s="580" t="s">
        <v>103</v>
      </c>
      <c r="J88" s="574">
        <v>1</v>
      </c>
      <c r="K88" s="554">
        <v>17697</v>
      </c>
      <c r="L88" s="573">
        <v>24</v>
      </c>
      <c r="M88" s="554">
        <f t="shared" si="12"/>
        <v>1.3333333333333333</v>
      </c>
      <c r="N88" s="566" t="s">
        <v>152</v>
      </c>
      <c r="O88" s="575">
        <v>4.1399999999999997</v>
      </c>
      <c r="P88" s="575"/>
      <c r="Q88" s="567">
        <f t="shared" si="13"/>
        <v>97687.439999999988</v>
      </c>
      <c r="R88" s="894">
        <f>'расчеты к штатному'!P91</f>
        <v>111835.20833333331</v>
      </c>
      <c r="S88" s="568"/>
      <c r="T88" s="554"/>
      <c r="U88" s="554">
        <v>0.1</v>
      </c>
      <c r="V88" s="567">
        <f>Q88*U88</f>
        <v>9768.7439999999988</v>
      </c>
      <c r="W88" s="569"/>
      <c r="X88" s="554"/>
      <c r="Y88" s="700"/>
      <c r="Z88" s="570">
        <f t="shared" si="14"/>
        <v>107456.18399999998</v>
      </c>
      <c r="AA88" s="274"/>
      <c r="AB88" s="274"/>
      <c r="AC88" s="681">
        <f>'расчеты к штатному'!X91-оклад!Z88</f>
        <v>46317.227458333306</v>
      </c>
      <c r="AD88" s="684">
        <f>('расчеты к штатному'!P91/оклад!Q88)-100%</f>
        <v>0.14482689210950084</v>
      </c>
    </row>
    <row r="89" spans="1:30" s="80" customFormat="1" ht="17.25" customHeight="1">
      <c r="A89" s="560">
        <v>11</v>
      </c>
      <c r="B89" s="153" t="s">
        <v>162</v>
      </c>
      <c r="C89" s="561" t="s">
        <v>99</v>
      </c>
      <c r="D89" s="563" t="s">
        <v>25</v>
      </c>
      <c r="E89" s="562" t="s">
        <v>485</v>
      </c>
      <c r="F89" s="562" t="s">
        <v>77</v>
      </c>
      <c r="G89" s="560">
        <v>1</v>
      </c>
      <c r="H89" s="563" t="s">
        <v>102</v>
      </c>
      <c r="I89" s="580" t="s">
        <v>103</v>
      </c>
      <c r="J89" s="581">
        <v>4</v>
      </c>
      <c r="K89" s="554">
        <v>17697</v>
      </c>
      <c r="L89" s="565">
        <v>22</v>
      </c>
      <c r="M89" s="554">
        <f t="shared" si="12"/>
        <v>1.2222222222222223</v>
      </c>
      <c r="N89" s="574" t="s">
        <v>112</v>
      </c>
      <c r="O89" s="566">
        <v>2.92</v>
      </c>
      <c r="P89" s="566"/>
      <c r="Q89" s="567">
        <f t="shared" si="13"/>
        <v>63158.626666666663</v>
      </c>
      <c r="R89" s="894">
        <f>'расчеты к штатному'!P92</f>
        <v>80246.063333333324</v>
      </c>
      <c r="S89" s="568"/>
      <c r="T89" s="554"/>
      <c r="U89" s="554">
        <v>0.1</v>
      </c>
      <c r="V89" s="567">
        <f>U89*Q89</f>
        <v>6315.8626666666669</v>
      </c>
      <c r="W89" s="569"/>
      <c r="X89" s="554"/>
      <c r="Y89" s="700"/>
      <c r="Z89" s="570">
        <f t="shared" si="14"/>
        <v>69474.489333333331</v>
      </c>
      <c r="AA89" s="274">
        <f t="shared" si="15"/>
        <v>0</v>
      </c>
      <c r="AB89" s="274">
        <f t="shared" si="15"/>
        <v>0</v>
      </c>
      <c r="AC89" s="681">
        <f>'расчеты к штатному'!X92-оклад!Z89</f>
        <v>40863.847750000001</v>
      </c>
      <c r="AD89" s="684">
        <f>('расчеты к штатному'!P92/оклад!Q89)-100%</f>
        <v>0.27054794520547931</v>
      </c>
    </row>
    <row r="90" spans="1:30" s="80" customFormat="1" ht="17.25" customHeight="1">
      <c r="A90" s="560">
        <v>12</v>
      </c>
      <c r="B90" s="153" t="s">
        <v>237</v>
      </c>
      <c r="C90" s="561" t="s">
        <v>99</v>
      </c>
      <c r="D90" s="563" t="s">
        <v>25</v>
      </c>
      <c r="E90" s="562" t="s">
        <v>238</v>
      </c>
      <c r="F90" s="562" t="s">
        <v>239</v>
      </c>
      <c r="G90" s="571">
        <v>1</v>
      </c>
      <c r="H90" s="580" t="s">
        <v>102</v>
      </c>
      <c r="I90" s="580" t="s">
        <v>103</v>
      </c>
      <c r="J90" s="574">
        <v>2</v>
      </c>
      <c r="K90" s="554">
        <v>17697</v>
      </c>
      <c r="L90" s="573">
        <v>25</v>
      </c>
      <c r="M90" s="554">
        <f t="shared" si="12"/>
        <v>1.3888888888888888</v>
      </c>
      <c r="N90" s="566" t="s">
        <v>104</v>
      </c>
      <c r="O90" s="575">
        <v>3.68</v>
      </c>
      <c r="P90" s="575"/>
      <c r="Q90" s="567">
        <f t="shared" si="13"/>
        <v>90451.333333333343</v>
      </c>
      <c r="R90" s="894">
        <f>'расчеты к штатному'!P93</f>
        <v>105690.41666666664</v>
      </c>
      <c r="S90" s="568"/>
      <c r="T90" s="554"/>
      <c r="U90" s="554">
        <v>0.1</v>
      </c>
      <c r="V90" s="567">
        <f>Q90*U90</f>
        <v>9045.133333333335</v>
      </c>
      <c r="W90" s="569"/>
      <c r="X90" s="554"/>
      <c r="Y90" s="700"/>
      <c r="Z90" s="570">
        <f t="shared" si="14"/>
        <v>99496.466666666674</v>
      </c>
      <c r="AA90" s="274">
        <f t="shared" si="15"/>
        <v>0</v>
      </c>
      <c r="AB90" s="274">
        <f t="shared" si="15"/>
        <v>0</v>
      </c>
      <c r="AC90" s="681">
        <f>'расчеты к штатному'!X93-оклад!Z90</f>
        <v>45827.856249999983</v>
      </c>
      <c r="AD90" s="684">
        <f>('расчеты к штатному'!P93/оклад!Q90)-100%</f>
        <v>0.16847826086956474</v>
      </c>
    </row>
    <row r="91" spans="1:30" s="80" customFormat="1" ht="17.25" customHeight="1">
      <c r="A91" s="560">
        <v>13</v>
      </c>
      <c r="B91" s="153" t="s">
        <v>281</v>
      </c>
      <c r="C91" s="561" t="s">
        <v>99</v>
      </c>
      <c r="D91" s="628" t="s">
        <v>25</v>
      </c>
      <c r="E91" s="586" t="s">
        <v>430</v>
      </c>
      <c r="F91" s="562" t="s">
        <v>40</v>
      </c>
      <c r="G91" s="560">
        <v>1</v>
      </c>
      <c r="H91" s="563" t="s">
        <v>102</v>
      </c>
      <c r="I91" s="563" t="s">
        <v>103</v>
      </c>
      <c r="J91" s="629">
        <v>1</v>
      </c>
      <c r="K91" s="554">
        <v>17697</v>
      </c>
      <c r="L91" s="573">
        <v>12</v>
      </c>
      <c r="M91" s="554">
        <f t="shared" si="12"/>
        <v>0.66666666666666663</v>
      </c>
      <c r="N91" s="574" t="s">
        <v>152</v>
      </c>
      <c r="O91" s="566">
        <v>4.32</v>
      </c>
      <c r="P91" s="575"/>
      <c r="Q91" s="567">
        <f t="shared" si="13"/>
        <v>50967.360000000008</v>
      </c>
      <c r="R91" s="894">
        <f>'расчеты к штатному'!P94</f>
        <v>56040.5</v>
      </c>
      <c r="S91" s="568"/>
      <c r="T91" s="554"/>
      <c r="U91" s="554">
        <v>0.1</v>
      </c>
      <c r="V91" s="567">
        <f>Q91*U91</f>
        <v>5096.7360000000008</v>
      </c>
      <c r="W91" s="569"/>
      <c r="X91" s="554"/>
      <c r="Y91" s="700"/>
      <c r="Z91" s="570">
        <f t="shared" si="14"/>
        <v>56064.096000000005</v>
      </c>
      <c r="AA91" s="274">
        <f t="shared" si="15"/>
        <v>0</v>
      </c>
      <c r="AB91" s="274">
        <f t="shared" si="15"/>
        <v>0</v>
      </c>
      <c r="AC91" s="681">
        <f>'расчеты к штатному'!X94-оклад!Z91</f>
        <v>20991.591499999995</v>
      </c>
      <c r="AD91" s="684">
        <f>('расчеты к штатному'!P94/оклад!Q91)-100%</f>
        <v>9.9537037037036757E-2</v>
      </c>
    </row>
    <row r="92" spans="1:30" s="80" customFormat="1" ht="17.25" customHeight="1">
      <c r="A92" s="560">
        <v>14</v>
      </c>
      <c r="B92" s="477" t="s">
        <v>436</v>
      </c>
      <c r="C92" s="561" t="s">
        <v>99</v>
      </c>
      <c r="D92" s="563" t="s">
        <v>75</v>
      </c>
      <c r="E92" s="562" t="s">
        <v>437</v>
      </c>
      <c r="F92" s="562" t="s">
        <v>438</v>
      </c>
      <c r="G92" s="560"/>
      <c r="H92" s="563" t="s">
        <v>102</v>
      </c>
      <c r="I92" s="563" t="s">
        <v>118</v>
      </c>
      <c r="J92" s="581">
        <v>4</v>
      </c>
      <c r="K92" s="554">
        <v>17697</v>
      </c>
      <c r="L92" s="565">
        <v>6</v>
      </c>
      <c r="M92" s="554">
        <f t="shared" si="12"/>
        <v>0.33333333333333331</v>
      </c>
      <c r="N92" s="574" t="s">
        <v>112</v>
      </c>
      <c r="O92" s="566">
        <v>2.9</v>
      </c>
      <c r="P92" s="566"/>
      <c r="Q92" s="567">
        <f t="shared" si="13"/>
        <v>17107.099999999999</v>
      </c>
      <c r="R92" s="894" t="e">
        <f>'расчеты к штатному'!#REF!</f>
        <v>#REF!</v>
      </c>
      <c r="S92" s="568"/>
      <c r="T92" s="554"/>
      <c r="U92" s="554">
        <v>0.1</v>
      </c>
      <c r="V92" s="567">
        <f>U92*Q92</f>
        <v>1710.71</v>
      </c>
      <c r="W92" s="569"/>
      <c r="X92" s="554"/>
      <c r="Y92" s="700"/>
      <c r="Z92" s="570">
        <f t="shared" si="14"/>
        <v>18817.809999999998</v>
      </c>
      <c r="AA92" s="274">
        <f>W92+S92</f>
        <v>0</v>
      </c>
      <c r="AB92" s="274">
        <f>X92+T92</f>
        <v>0</v>
      </c>
      <c r="AC92" s="681" t="e">
        <f>'расчеты к штатному'!#REF!-оклад!Z92</f>
        <v>#REF!</v>
      </c>
      <c r="AD92" s="684" t="e">
        <f>('расчеты к штатному'!#REF!/оклад!Q92)-100%</f>
        <v>#REF!</v>
      </c>
    </row>
    <row r="93" spans="1:30" s="80" customFormat="1" ht="17.25" customHeight="1">
      <c r="A93" s="560">
        <v>15</v>
      </c>
      <c r="B93" s="153" t="s">
        <v>243</v>
      </c>
      <c r="C93" s="561" t="s">
        <v>99</v>
      </c>
      <c r="D93" s="563" t="s">
        <v>25</v>
      </c>
      <c r="E93" s="562" t="s">
        <v>244</v>
      </c>
      <c r="F93" s="562" t="s">
        <v>239</v>
      </c>
      <c r="G93" s="571">
        <v>1</v>
      </c>
      <c r="H93" s="580" t="s">
        <v>102</v>
      </c>
      <c r="I93" s="580" t="s">
        <v>103</v>
      </c>
      <c r="J93" s="574">
        <v>3</v>
      </c>
      <c r="K93" s="554">
        <v>17697</v>
      </c>
      <c r="L93" s="573">
        <v>36</v>
      </c>
      <c r="M93" s="554">
        <f t="shared" si="12"/>
        <v>2</v>
      </c>
      <c r="N93" s="566" t="s">
        <v>109</v>
      </c>
      <c r="O93" s="575">
        <v>3.51</v>
      </c>
      <c r="P93" s="575"/>
      <c r="Q93" s="567">
        <f t="shared" si="13"/>
        <v>124232.93999999999</v>
      </c>
      <c r="R93" s="894">
        <f>'расчеты к штатному'!P98</f>
        <v>17461.04</v>
      </c>
      <c r="S93" s="568"/>
      <c r="T93" s="554"/>
      <c r="U93" s="554">
        <v>0.1</v>
      </c>
      <c r="V93" s="567">
        <f t="shared" ref="V93:V99" si="16">Q93*U93</f>
        <v>12423.294</v>
      </c>
      <c r="W93" s="569"/>
      <c r="X93" s="554"/>
      <c r="Y93" s="700"/>
      <c r="Z93" s="570">
        <f t="shared" si="14"/>
        <v>136656.234</v>
      </c>
      <c r="AA93" s="274"/>
      <c r="AB93" s="274"/>
      <c r="AC93" s="681">
        <f>'расчеты к штатному'!X98-оклад!Z93</f>
        <v>-112647.30399999999</v>
      </c>
      <c r="AD93" s="684">
        <f>('расчеты к штатному'!P98/оклад!Q93)-100%</f>
        <v>-0.85944919278252607</v>
      </c>
    </row>
    <row r="94" spans="1:30" s="80" customFormat="1" ht="17.25" customHeight="1">
      <c r="A94" s="560">
        <v>16</v>
      </c>
      <c r="B94" s="153" t="s">
        <v>245</v>
      </c>
      <c r="C94" s="561" t="s">
        <v>99</v>
      </c>
      <c r="D94" s="563" t="s">
        <v>25</v>
      </c>
      <c r="E94" s="562" t="s">
        <v>246</v>
      </c>
      <c r="F94" s="562" t="s">
        <v>40</v>
      </c>
      <c r="G94" s="571">
        <v>1</v>
      </c>
      <c r="H94" s="580" t="s">
        <v>102</v>
      </c>
      <c r="I94" s="580" t="s">
        <v>103</v>
      </c>
      <c r="J94" s="574">
        <v>1</v>
      </c>
      <c r="K94" s="554">
        <v>17697</v>
      </c>
      <c r="L94" s="573">
        <v>33</v>
      </c>
      <c r="M94" s="554">
        <f t="shared" si="12"/>
        <v>1.8333333333333333</v>
      </c>
      <c r="N94" s="574" t="s">
        <v>152</v>
      </c>
      <c r="O94" s="566">
        <v>4.32</v>
      </c>
      <c r="P94" s="575"/>
      <c r="Q94" s="567">
        <f t="shared" si="13"/>
        <v>140160.24000000002</v>
      </c>
      <c r="R94" s="894">
        <f>'расчеты к штатному'!P99</f>
        <v>141399.03000000003</v>
      </c>
      <c r="S94" s="568"/>
      <c r="T94" s="554"/>
      <c r="U94" s="554">
        <v>0.1</v>
      </c>
      <c r="V94" s="567">
        <f t="shared" si="16"/>
        <v>14016.024000000003</v>
      </c>
      <c r="W94" s="569"/>
      <c r="X94" s="554"/>
      <c r="Y94" s="700"/>
      <c r="Z94" s="570">
        <f t="shared" si="14"/>
        <v>154176.26400000002</v>
      </c>
      <c r="AA94" s="274">
        <f t="shared" si="15"/>
        <v>0</v>
      </c>
      <c r="AB94" s="274">
        <f t="shared" si="15"/>
        <v>0</v>
      </c>
      <c r="AC94" s="681">
        <f>'расчеты к штатному'!X99-оклад!Z94</f>
        <v>40247.402250000014</v>
      </c>
      <c r="AD94" s="684">
        <f>('расчеты к штатному'!P99/оклад!Q94)-100%</f>
        <v>8.8383838383838675E-3</v>
      </c>
    </row>
    <row r="95" spans="1:30" s="80" customFormat="1" ht="17.25" customHeight="1">
      <c r="A95" s="560">
        <v>17</v>
      </c>
      <c r="B95" s="153" t="s">
        <v>250</v>
      </c>
      <c r="C95" s="561" t="s">
        <v>99</v>
      </c>
      <c r="D95" s="563" t="s">
        <v>64</v>
      </c>
      <c r="E95" s="562" t="s">
        <v>251</v>
      </c>
      <c r="F95" s="562" t="s">
        <v>252</v>
      </c>
      <c r="G95" s="571">
        <v>1</v>
      </c>
      <c r="H95" s="580" t="s">
        <v>102</v>
      </c>
      <c r="I95" s="580" t="s">
        <v>118</v>
      </c>
      <c r="J95" s="574">
        <v>3</v>
      </c>
      <c r="K95" s="554">
        <v>17697</v>
      </c>
      <c r="L95" s="573">
        <v>22</v>
      </c>
      <c r="M95" s="554">
        <f t="shared" si="12"/>
        <v>1.2222222222222223</v>
      </c>
      <c r="N95" s="566" t="s">
        <v>109</v>
      </c>
      <c r="O95" s="575">
        <v>2.94</v>
      </c>
      <c r="P95" s="575"/>
      <c r="Q95" s="567">
        <f t="shared" si="13"/>
        <v>63591.22</v>
      </c>
      <c r="R95" s="894" t="e">
        <f>'расчеты к штатному'!#REF!</f>
        <v>#REF!</v>
      </c>
      <c r="S95" s="568"/>
      <c r="T95" s="554"/>
      <c r="U95" s="554">
        <v>0.1</v>
      </c>
      <c r="V95" s="567">
        <f t="shared" si="16"/>
        <v>6359.1220000000003</v>
      </c>
      <c r="W95" s="569"/>
      <c r="X95" s="554"/>
      <c r="Y95" s="700"/>
      <c r="Z95" s="570">
        <f t="shared" si="14"/>
        <v>69950.342000000004</v>
      </c>
      <c r="AA95" s="274">
        <f t="shared" si="15"/>
        <v>0</v>
      </c>
      <c r="AB95" s="274">
        <f t="shared" si="15"/>
        <v>0</v>
      </c>
      <c r="AC95" s="681" t="e">
        <f>'расчеты к штатному'!#REF!-оклад!Z95</f>
        <v>#REF!</v>
      </c>
      <c r="AD95" s="684" t="e">
        <f>('расчеты к штатному'!#REF!/оклад!Q95)-100%</f>
        <v>#REF!</v>
      </c>
    </row>
    <row r="96" spans="1:30" s="80" customFormat="1" ht="17.25" customHeight="1">
      <c r="A96" s="560">
        <v>18</v>
      </c>
      <c r="B96" s="153" t="s">
        <v>253</v>
      </c>
      <c r="C96" s="561" t="s">
        <v>148</v>
      </c>
      <c r="D96" s="563" t="s">
        <v>25</v>
      </c>
      <c r="E96" s="562" t="s">
        <v>254</v>
      </c>
      <c r="F96" s="562" t="s">
        <v>242</v>
      </c>
      <c r="G96" s="571">
        <v>1</v>
      </c>
      <c r="H96" s="580" t="s">
        <v>102</v>
      </c>
      <c r="I96" s="580" t="s">
        <v>103</v>
      </c>
      <c r="J96" s="574">
        <v>1</v>
      </c>
      <c r="K96" s="554">
        <v>17697</v>
      </c>
      <c r="L96" s="573">
        <v>35</v>
      </c>
      <c r="M96" s="554">
        <f t="shared" si="12"/>
        <v>1.9444444444444444</v>
      </c>
      <c r="N96" s="566" t="s">
        <v>104</v>
      </c>
      <c r="O96" s="566">
        <v>4.32</v>
      </c>
      <c r="P96" s="575"/>
      <c r="Q96" s="567">
        <f t="shared" si="13"/>
        <v>148654.80000000002</v>
      </c>
      <c r="R96" s="894">
        <f>'расчеты к штатному'!P101</f>
        <v>134320.22999999998</v>
      </c>
      <c r="S96" s="568"/>
      <c r="T96" s="554"/>
      <c r="U96" s="554">
        <v>0.1</v>
      </c>
      <c r="V96" s="567">
        <f t="shared" si="16"/>
        <v>14865.480000000003</v>
      </c>
      <c r="W96" s="569"/>
      <c r="X96" s="554"/>
      <c r="Y96" s="700"/>
      <c r="Z96" s="570">
        <f t="shared" si="14"/>
        <v>163520.28000000003</v>
      </c>
      <c r="AA96" s="274">
        <f t="shared" si="15"/>
        <v>0</v>
      </c>
      <c r="AB96" s="274">
        <f t="shared" si="15"/>
        <v>0</v>
      </c>
      <c r="AC96" s="681">
        <f>'расчеты к штатному'!X101-оклад!Z96</f>
        <v>21170.036249999946</v>
      </c>
      <c r="AD96" s="684">
        <f>('расчеты к штатному'!P101/оклад!Q96)-100%</f>
        <v>-9.6428571428571641E-2</v>
      </c>
    </row>
    <row r="97" spans="1:46" s="80" customFormat="1" ht="17.25" customHeight="1">
      <c r="A97" s="560">
        <v>19</v>
      </c>
      <c r="B97" s="153" t="s">
        <v>255</v>
      </c>
      <c r="C97" s="561" t="s">
        <v>99</v>
      </c>
      <c r="D97" s="563" t="s">
        <v>25</v>
      </c>
      <c r="E97" s="562" t="s">
        <v>256</v>
      </c>
      <c r="F97" s="562" t="s">
        <v>40</v>
      </c>
      <c r="G97" s="571">
        <v>1</v>
      </c>
      <c r="H97" s="580" t="s">
        <v>102</v>
      </c>
      <c r="I97" s="580" t="s">
        <v>103</v>
      </c>
      <c r="J97" s="574">
        <v>1</v>
      </c>
      <c r="K97" s="554">
        <v>17697</v>
      </c>
      <c r="L97" s="573">
        <v>35</v>
      </c>
      <c r="M97" s="554">
        <f t="shared" si="12"/>
        <v>1.9444444444444444</v>
      </c>
      <c r="N97" s="574" t="s">
        <v>152</v>
      </c>
      <c r="O97" s="566">
        <v>4.32</v>
      </c>
      <c r="P97" s="566"/>
      <c r="Q97" s="567">
        <f t="shared" si="13"/>
        <v>148654.80000000002</v>
      </c>
      <c r="R97" s="894">
        <f>'расчеты к штатному'!P102</f>
        <v>168121.5</v>
      </c>
      <c r="S97" s="568"/>
      <c r="T97" s="554"/>
      <c r="U97" s="554">
        <v>0.1</v>
      </c>
      <c r="V97" s="567">
        <f t="shared" si="16"/>
        <v>14865.480000000003</v>
      </c>
      <c r="W97" s="569"/>
      <c r="X97" s="554"/>
      <c r="Y97" s="700"/>
      <c r="Z97" s="570">
        <f t="shared" si="14"/>
        <v>163520.28000000003</v>
      </c>
      <c r="AA97" s="274">
        <f t="shared" si="15"/>
        <v>0</v>
      </c>
      <c r="AB97" s="274">
        <f t="shared" si="15"/>
        <v>0</v>
      </c>
      <c r="AC97" s="681">
        <f>'расчеты к штатному'!X102-оклад!Z97</f>
        <v>67646.782499999972</v>
      </c>
      <c r="AD97" s="684">
        <f>('расчеты к штатному'!P102/оклад!Q97)-100%</f>
        <v>0.13095238095238071</v>
      </c>
    </row>
    <row r="98" spans="1:46" s="80" customFormat="1" ht="17.25" customHeight="1">
      <c r="A98" s="560">
        <v>20</v>
      </c>
      <c r="B98" s="159" t="s">
        <v>257</v>
      </c>
      <c r="C98" s="600" t="s">
        <v>99</v>
      </c>
      <c r="D98" s="601" t="s">
        <v>25</v>
      </c>
      <c r="E98" s="585" t="s">
        <v>258</v>
      </c>
      <c r="F98" s="585" t="s">
        <v>259</v>
      </c>
      <c r="G98" s="612">
        <v>1</v>
      </c>
      <c r="H98" s="630" t="s">
        <v>102</v>
      </c>
      <c r="I98" s="630" t="s">
        <v>103</v>
      </c>
      <c r="J98" s="631">
        <v>2</v>
      </c>
      <c r="K98" s="605">
        <v>17697</v>
      </c>
      <c r="L98" s="632">
        <v>30</v>
      </c>
      <c r="M98" s="554">
        <f t="shared" si="12"/>
        <v>1.6666666666666667</v>
      </c>
      <c r="N98" s="566" t="s">
        <v>104</v>
      </c>
      <c r="O98" s="633">
        <v>3.62</v>
      </c>
      <c r="P98" s="633"/>
      <c r="Q98" s="607">
        <f t="shared" si="13"/>
        <v>106771.90000000001</v>
      </c>
      <c r="R98" s="894">
        <f>'расчеты к штатному'!P103</f>
        <v>158781.41666666669</v>
      </c>
      <c r="S98" s="608"/>
      <c r="T98" s="605"/>
      <c r="U98" s="605">
        <v>0.1</v>
      </c>
      <c r="V98" s="607">
        <f t="shared" si="16"/>
        <v>10677.190000000002</v>
      </c>
      <c r="W98" s="609"/>
      <c r="X98" s="605"/>
      <c r="Y98" s="888"/>
      <c r="Z98" s="611">
        <f t="shared" si="14"/>
        <v>117449.09000000001</v>
      </c>
      <c r="AA98" s="304">
        <f t="shared" si="15"/>
        <v>0</v>
      </c>
      <c r="AB98" s="304">
        <f t="shared" si="15"/>
        <v>0</v>
      </c>
      <c r="AC98" s="681">
        <f>'расчеты к штатному'!X103-оклад!Z98</f>
        <v>100875.3579166667</v>
      </c>
      <c r="AD98" s="684">
        <f>('расчеты к штатному'!P103/оклад!Q98)-100%</f>
        <v>0.48710865561694305</v>
      </c>
    </row>
    <row r="99" spans="1:46" s="115" customFormat="1" ht="17.25" customHeight="1">
      <c r="A99" s="560">
        <v>21</v>
      </c>
      <c r="B99" s="153" t="s">
        <v>388</v>
      </c>
      <c r="C99" s="561" t="s">
        <v>99</v>
      </c>
      <c r="D99" s="563" t="s">
        <v>189</v>
      </c>
      <c r="E99" s="562" t="s">
        <v>390</v>
      </c>
      <c r="F99" s="562" t="s">
        <v>34</v>
      </c>
      <c r="G99" s="571">
        <v>1</v>
      </c>
      <c r="H99" s="580" t="s">
        <v>102</v>
      </c>
      <c r="I99" s="580" t="s">
        <v>103</v>
      </c>
      <c r="J99" s="574">
        <v>1</v>
      </c>
      <c r="K99" s="554">
        <v>17697</v>
      </c>
      <c r="L99" s="573">
        <v>9</v>
      </c>
      <c r="M99" s="554">
        <f t="shared" si="12"/>
        <v>0.5</v>
      </c>
      <c r="N99" s="574" t="s">
        <v>152</v>
      </c>
      <c r="O99" s="566">
        <v>4.32</v>
      </c>
      <c r="P99" s="575"/>
      <c r="Q99" s="567">
        <f t="shared" si="13"/>
        <v>38225.520000000004</v>
      </c>
      <c r="R99" s="894">
        <f>'расчеты к штатному'!P106</f>
        <v>42030.375</v>
      </c>
      <c r="S99" s="568"/>
      <c r="T99" s="554"/>
      <c r="U99" s="554">
        <v>0.1</v>
      </c>
      <c r="V99" s="567">
        <f t="shared" si="16"/>
        <v>3822.5520000000006</v>
      </c>
      <c r="W99" s="569"/>
      <c r="X99" s="554"/>
      <c r="Y99" s="700"/>
      <c r="Z99" s="570">
        <f t="shared" si="14"/>
        <v>42048.072000000007</v>
      </c>
      <c r="AA99" s="274">
        <f t="shared" si="15"/>
        <v>0</v>
      </c>
      <c r="AB99" s="274">
        <f t="shared" si="15"/>
        <v>0</v>
      </c>
      <c r="AC99" s="681">
        <f>'расчеты к штатному'!X106-оклад!Z99</f>
        <v>15743.693624999993</v>
      </c>
      <c r="AD99" s="684">
        <f>('расчеты к штатному'!P106/оклад!Q99)-100%</f>
        <v>9.9537037037036979E-2</v>
      </c>
    </row>
    <row r="100" spans="1:46" s="81" customFormat="1" ht="17.25" customHeight="1">
      <c r="A100" s="560">
        <v>22</v>
      </c>
      <c r="B100" s="153" t="s">
        <v>199</v>
      </c>
      <c r="C100" s="561" t="s">
        <v>99</v>
      </c>
      <c r="D100" s="563" t="s">
        <v>25</v>
      </c>
      <c r="E100" s="210" t="s">
        <v>158</v>
      </c>
      <c r="F100" s="562" t="s">
        <v>159</v>
      </c>
      <c r="G100" s="560">
        <v>1</v>
      </c>
      <c r="H100" s="563" t="s">
        <v>102</v>
      </c>
      <c r="I100" s="563" t="s">
        <v>118</v>
      </c>
      <c r="J100" s="581">
        <v>4</v>
      </c>
      <c r="K100" s="554">
        <v>17697</v>
      </c>
      <c r="L100" s="565">
        <v>12</v>
      </c>
      <c r="M100" s="554">
        <f t="shared" si="12"/>
        <v>0.66666666666666663</v>
      </c>
      <c r="N100" s="574" t="s">
        <v>112</v>
      </c>
      <c r="O100" s="566">
        <v>2.93</v>
      </c>
      <c r="P100" s="566"/>
      <c r="Q100" s="567">
        <f t="shared" si="13"/>
        <v>34568.140000000007</v>
      </c>
      <c r="R100" s="894">
        <f>'расчеты к штатному'!P107</f>
        <v>41907.479166666664</v>
      </c>
      <c r="S100" s="568"/>
      <c r="T100" s="554"/>
      <c r="U100" s="554">
        <v>0.1</v>
      </c>
      <c r="V100" s="567">
        <f>U100*Q100</f>
        <v>3456.8140000000008</v>
      </c>
      <c r="W100" s="569"/>
      <c r="X100" s="554"/>
      <c r="Y100" s="700"/>
      <c r="Z100" s="570">
        <f t="shared" si="14"/>
        <v>38024.954000000005</v>
      </c>
      <c r="AA100" s="274"/>
      <c r="AB100" s="274"/>
      <c r="AC100" s="681">
        <f>'расчеты к штатному'!X107-оклад!Z100</f>
        <v>19597.829854166659</v>
      </c>
      <c r="AD100" s="684">
        <f>('расчеты к штатному'!P107/оклад!Q100)-100%</f>
        <v>0.21231513083048892</v>
      </c>
    </row>
    <row r="101" spans="1:46" s="81" customFormat="1" ht="17.25" customHeight="1">
      <c r="A101" s="560">
        <v>23</v>
      </c>
      <c r="B101" s="153" t="s">
        <v>439</v>
      </c>
      <c r="C101" s="561" t="s">
        <v>99</v>
      </c>
      <c r="D101" s="563"/>
      <c r="E101" s="562" t="s">
        <v>440</v>
      </c>
      <c r="F101" s="562" t="s">
        <v>159</v>
      </c>
      <c r="G101" s="571">
        <v>1</v>
      </c>
      <c r="H101" s="580" t="s">
        <v>102</v>
      </c>
      <c r="I101" s="580" t="s">
        <v>118</v>
      </c>
      <c r="J101" s="574">
        <v>4</v>
      </c>
      <c r="K101" s="554">
        <v>17697</v>
      </c>
      <c r="L101" s="573">
        <v>6</v>
      </c>
      <c r="M101" s="554">
        <f t="shared" si="12"/>
        <v>0.33333333333333331</v>
      </c>
      <c r="N101" s="574" t="s">
        <v>112</v>
      </c>
      <c r="O101" s="575">
        <v>2.9</v>
      </c>
      <c r="P101" s="575"/>
      <c r="Q101" s="567">
        <f t="shared" si="13"/>
        <v>17107.099999999999</v>
      </c>
      <c r="R101" s="894" t="e">
        <f>'расчеты к штатному'!#REF!</f>
        <v>#REF!</v>
      </c>
      <c r="S101" s="568"/>
      <c r="T101" s="554"/>
      <c r="U101" s="554">
        <v>0.1</v>
      </c>
      <c r="V101" s="567">
        <f>Q101*U101</f>
        <v>1710.71</v>
      </c>
      <c r="W101" s="569"/>
      <c r="X101" s="554"/>
      <c r="Y101" s="700"/>
      <c r="Z101" s="570">
        <f t="shared" si="14"/>
        <v>18817.809999999998</v>
      </c>
      <c r="AA101" s="274">
        <f t="shared" si="15"/>
        <v>0</v>
      </c>
      <c r="AB101" s="274">
        <f t="shared" si="15"/>
        <v>0</v>
      </c>
      <c r="AC101" s="681" t="e">
        <f>'расчеты к штатному'!#REF!-оклад!Z101</f>
        <v>#REF!</v>
      </c>
      <c r="AD101" s="684" t="e">
        <f>('расчеты к штатному'!#REF!/оклад!Q101)-100%</f>
        <v>#REF!</v>
      </c>
    </row>
    <row r="102" spans="1:46" s="205" customFormat="1" ht="17.25" customHeight="1">
      <c r="A102" s="617"/>
      <c r="B102" s="250"/>
      <c r="C102" s="614"/>
      <c r="D102" s="615"/>
      <c r="E102" s="616"/>
      <c r="F102" s="616"/>
      <c r="G102" s="634"/>
      <c r="H102" s="635"/>
      <c r="I102" s="635"/>
      <c r="J102" s="636"/>
      <c r="K102" s="619"/>
      <c r="L102" s="637">
        <f>SUM(L79:L101)</f>
        <v>477</v>
      </c>
      <c r="M102" s="619"/>
      <c r="N102" s="636"/>
      <c r="O102" s="638"/>
      <c r="P102" s="639"/>
      <c r="Q102" s="623"/>
      <c r="R102" s="894">
        <f>'расчеты к штатному'!P108</f>
        <v>0</v>
      </c>
      <c r="S102" s="624"/>
      <c r="T102" s="619"/>
      <c r="U102" s="619"/>
      <c r="V102" s="623"/>
      <c r="W102" s="625"/>
      <c r="X102" s="619"/>
      <c r="Y102" s="889"/>
      <c r="Z102" s="626"/>
      <c r="AA102" s="104"/>
      <c r="AB102" s="104"/>
      <c r="AC102" s="878"/>
      <c r="AD102" s="879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</row>
    <row r="103" spans="1:46" s="80" customFormat="1" ht="17.25" customHeight="1">
      <c r="A103" s="547">
        <v>1</v>
      </c>
      <c r="B103" s="640" t="s">
        <v>36</v>
      </c>
      <c r="C103" s="641" t="s">
        <v>99</v>
      </c>
      <c r="D103" s="642" t="s">
        <v>25</v>
      </c>
      <c r="E103" s="643" t="s">
        <v>424</v>
      </c>
      <c r="F103" s="583" t="s">
        <v>40</v>
      </c>
      <c r="G103" s="547">
        <v>1</v>
      </c>
      <c r="H103" s="577" t="s">
        <v>102</v>
      </c>
      <c r="I103" s="577" t="s">
        <v>103</v>
      </c>
      <c r="J103" s="644">
        <v>1</v>
      </c>
      <c r="K103" s="552">
        <v>17697</v>
      </c>
      <c r="L103" s="645">
        <v>9</v>
      </c>
      <c r="M103" s="552">
        <f t="shared" ref="M103:M121" si="17">L103/18</f>
        <v>0.5</v>
      </c>
      <c r="N103" s="574" t="s">
        <v>152</v>
      </c>
      <c r="O103" s="566">
        <v>4.32</v>
      </c>
      <c r="P103" s="642"/>
      <c r="Q103" s="556">
        <f t="shared" ref="Q103:Q121" si="18">O103*K103/18*L103</f>
        <v>38225.520000000004</v>
      </c>
      <c r="R103" s="894">
        <f>'расчеты к штатному'!P109</f>
        <v>42030.375</v>
      </c>
      <c r="S103" s="557"/>
      <c r="T103" s="552"/>
      <c r="U103" s="552">
        <v>0.1</v>
      </c>
      <c r="V103" s="556">
        <f t="shared" ref="V103:V113" si="19">Q103*U103</f>
        <v>3822.5520000000006</v>
      </c>
      <c r="W103" s="558"/>
      <c r="X103" s="552"/>
      <c r="Y103" s="552"/>
      <c r="Z103" s="559">
        <f t="shared" ref="Z103:Z121" si="20">V103+Q103</f>
        <v>42048.072000000007</v>
      </c>
      <c r="AA103" s="319">
        <f t="shared" ref="AA103:AB121" si="21">W103+S103</f>
        <v>0</v>
      </c>
      <c r="AB103" s="319">
        <f t="shared" si="21"/>
        <v>0</v>
      </c>
      <c r="AC103" s="681">
        <f>'расчеты к штатному'!X109-оклад!Z103</f>
        <v>15743.693624999993</v>
      </c>
      <c r="AD103" s="684">
        <f>('расчеты к штатному'!P109/оклад!Q103)-100%</f>
        <v>9.9537037037036979E-2</v>
      </c>
    </row>
    <row r="104" spans="1:46" s="80" customFormat="1" ht="17.25" customHeight="1">
      <c r="A104" s="547">
        <v>2</v>
      </c>
      <c r="B104" s="646" t="s">
        <v>261</v>
      </c>
      <c r="C104" s="647" t="s">
        <v>99</v>
      </c>
      <c r="D104" s="628" t="s">
        <v>25</v>
      </c>
      <c r="E104" s="586" t="s">
        <v>435</v>
      </c>
      <c r="F104" s="562" t="s">
        <v>425</v>
      </c>
      <c r="G104" s="560">
        <v>1</v>
      </c>
      <c r="H104" s="563" t="s">
        <v>102</v>
      </c>
      <c r="I104" s="563" t="s">
        <v>103</v>
      </c>
      <c r="J104" s="629">
        <v>2</v>
      </c>
      <c r="K104" s="554">
        <v>17697</v>
      </c>
      <c r="L104" s="648">
        <v>35</v>
      </c>
      <c r="M104" s="554">
        <f t="shared" si="17"/>
        <v>1.9444444444444444</v>
      </c>
      <c r="N104" s="566" t="s">
        <v>104</v>
      </c>
      <c r="O104" s="628">
        <v>3.68</v>
      </c>
      <c r="P104" s="628"/>
      <c r="Q104" s="567">
        <f t="shared" si="18"/>
        <v>126631.86666666668</v>
      </c>
      <c r="R104" s="894">
        <f>'расчеты к штатному'!P110</f>
        <v>138675.65833333333</v>
      </c>
      <c r="S104" s="568"/>
      <c r="T104" s="554"/>
      <c r="U104" s="554">
        <v>0.1</v>
      </c>
      <c r="V104" s="567">
        <f t="shared" si="19"/>
        <v>12663.186666666668</v>
      </c>
      <c r="W104" s="569"/>
      <c r="X104" s="554"/>
      <c r="Y104" s="700"/>
      <c r="Z104" s="570">
        <f t="shared" si="20"/>
        <v>139295.05333333334</v>
      </c>
      <c r="AA104" s="274">
        <f t="shared" si="21"/>
        <v>0</v>
      </c>
      <c r="AB104" s="274">
        <f t="shared" si="21"/>
        <v>0</v>
      </c>
      <c r="AC104" s="681">
        <f>'расчеты к штатному'!X110-оклад!Z104</f>
        <v>51383.976874999993</v>
      </c>
      <c r="AD104" s="684">
        <f>('расчеты к штатному'!P110/оклад!Q104)-100%</f>
        <v>9.5108695652173614E-2</v>
      </c>
    </row>
    <row r="105" spans="1:46" s="80" customFormat="1" ht="16.5" customHeight="1">
      <c r="A105" s="547">
        <v>3</v>
      </c>
      <c r="B105" s="647" t="s">
        <v>264</v>
      </c>
      <c r="C105" s="647" t="s">
        <v>99</v>
      </c>
      <c r="D105" s="628" t="s">
        <v>25</v>
      </c>
      <c r="E105" s="586" t="s">
        <v>426</v>
      </c>
      <c r="F105" s="562" t="s">
        <v>40</v>
      </c>
      <c r="G105" s="560">
        <v>1</v>
      </c>
      <c r="H105" s="563" t="s">
        <v>102</v>
      </c>
      <c r="I105" s="563" t="s">
        <v>103</v>
      </c>
      <c r="J105" s="629">
        <v>1</v>
      </c>
      <c r="K105" s="554">
        <v>17697</v>
      </c>
      <c r="L105" s="648">
        <v>36</v>
      </c>
      <c r="M105" s="554">
        <f t="shared" si="17"/>
        <v>2</v>
      </c>
      <c r="N105" s="574" t="s">
        <v>152</v>
      </c>
      <c r="O105" s="566">
        <v>4.32</v>
      </c>
      <c r="P105" s="628"/>
      <c r="Q105" s="567">
        <f t="shared" si="18"/>
        <v>152902.08000000002</v>
      </c>
      <c r="R105" s="894">
        <f>'расчеты к штатному'!P112</f>
        <v>149441.33333333334</v>
      </c>
      <c r="S105" s="568"/>
      <c r="T105" s="554"/>
      <c r="U105" s="554">
        <v>0.1</v>
      </c>
      <c r="V105" s="567">
        <f t="shared" si="19"/>
        <v>15290.208000000002</v>
      </c>
      <c r="W105" s="569"/>
      <c r="X105" s="554"/>
      <c r="Y105" s="700"/>
      <c r="Z105" s="570">
        <f t="shared" si="20"/>
        <v>168192.28800000003</v>
      </c>
      <c r="AA105" s="274">
        <f t="shared" si="21"/>
        <v>0</v>
      </c>
      <c r="AB105" s="274">
        <f t="shared" si="21"/>
        <v>0</v>
      </c>
      <c r="AC105" s="681">
        <f>'расчеты к штатному'!X112-оклад!Z105</f>
        <v>37289.545333333313</v>
      </c>
      <c r="AD105" s="684">
        <f>('расчеты к штатному'!P112/оклад!Q105)-100%</f>
        <v>-2.2633744855967142E-2</v>
      </c>
    </row>
    <row r="106" spans="1:46" s="80" customFormat="1" ht="17.25" customHeight="1">
      <c r="A106" s="547">
        <v>4</v>
      </c>
      <c r="B106" s="647" t="s">
        <v>268</v>
      </c>
      <c r="C106" s="647" t="s">
        <v>99</v>
      </c>
      <c r="D106" s="628" t="s">
        <v>25</v>
      </c>
      <c r="E106" s="586" t="s">
        <v>427</v>
      </c>
      <c r="F106" s="562" t="s">
        <v>40</v>
      </c>
      <c r="G106" s="560">
        <v>1</v>
      </c>
      <c r="H106" s="563" t="s">
        <v>102</v>
      </c>
      <c r="I106" s="563" t="s">
        <v>103</v>
      </c>
      <c r="J106" s="629">
        <v>1</v>
      </c>
      <c r="K106" s="554">
        <v>17697</v>
      </c>
      <c r="L106" s="648">
        <v>36</v>
      </c>
      <c r="M106" s="554">
        <f t="shared" si="17"/>
        <v>2</v>
      </c>
      <c r="N106" s="574" t="s">
        <v>152</v>
      </c>
      <c r="O106" s="566">
        <v>4.32</v>
      </c>
      <c r="P106" s="628"/>
      <c r="Q106" s="567">
        <f t="shared" si="18"/>
        <v>152902.08000000002</v>
      </c>
      <c r="R106" s="894">
        <f>'расчеты к штатному'!P113</f>
        <v>149441.33333333334</v>
      </c>
      <c r="S106" s="568"/>
      <c r="T106" s="554"/>
      <c r="U106" s="554">
        <v>0.1</v>
      </c>
      <c r="V106" s="567">
        <f t="shared" si="19"/>
        <v>15290.208000000002</v>
      </c>
      <c r="W106" s="569"/>
      <c r="X106" s="554"/>
      <c r="Y106" s="700"/>
      <c r="Z106" s="570">
        <f t="shared" si="20"/>
        <v>168192.28800000003</v>
      </c>
      <c r="AA106" s="274">
        <f t="shared" si="21"/>
        <v>0</v>
      </c>
      <c r="AB106" s="274">
        <f t="shared" si="21"/>
        <v>0</v>
      </c>
      <c r="AC106" s="681">
        <f>'расчеты к штатному'!X113-оклад!Z106</f>
        <v>37289.545333333313</v>
      </c>
      <c r="AD106" s="684">
        <f>('расчеты к штатному'!P113/оклад!Q106)-100%</f>
        <v>-2.2633744855967142E-2</v>
      </c>
    </row>
    <row r="107" spans="1:46" s="80" customFormat="1" ht="17.25" customHeight="1">
      <c r="A107" s="547">
        <v>5</v>
      </c>
      <c r="B107" s="647" t="s">
        <v>269</v>
      </c>
      <c r="C107" s="647" t="s">
        <v>99</v>
      </c>
      <c r="D107" s="628" t="s">
        <v>25</v>
      </c>
      <c r="E107" s="586" t="s">
        <v>428</v>
      </c>
      <c r="F107" s="582" t="s">
        <v>271</v>
      </c>
      <c r="G107" s="560">
        <v>1</v>
      </c>
      <c r="H107" s="563" t="s">
        <v>102</v>
      </c>
      <c r="I107" s="563" t="s">
        <v>103</v>
      </c>
      <c r="J107" s="629">
        <v>1</v>
      </c>
      <c r="K107" s="554">
        <v>17697</v>
      </c>
      <c r="L107" s="648">
        <v>36</v>
      </c>
      <c r="M107" s="554">
        <f t="shared" si="17"/>
        <v>2</v>
      </c>
      <c r="N107" s="566" t="s">
        <v>104</v>
      </c>
      <c r="O107" s="628">
        <v>4.26</v>
      </c>
      <c r="P107" s="628"/>
      <c r="Q107" s="567">
        <f t="shared" si="18"/>
        <v>150778.44</v>
      </c>
      <c r="R107" s="894">
        <f>'расчеты к штатному'!P114</f>
        <v>154435.81999999998</v>
      </c>
      <c r="S107" s="568"/>
      <c r="T107" s="554"/>
      <c r="U107" s="554">
        <v>0.1</v>
      </c>
      <c r="V107" s="567">
        <f t="shared" si="19"/>
        <v>15077.844000000001</v>
      </c>
      <c r="W107" s="569"/>
      <c r="X107" s="554"/>
      <c r="Y107" s="700"/>
      <c r="Z107" s="570">
        <f t="shared" si="20"/>
        <v>165856.28400000001</v>
      </c>
      <c r="AA107" s="274">
        <f t="shared" si="21"/>
        <v>0</v>
      </c>
      <c r="AB107" s="274">
        <f t="shared" si="21"/>
        <v>0</v>
      </c>
      <c r="AC107" s="681">
        <f>'расчеты к штатному'!X114-оклад!Z107</f>
        <v>46492.968499999959</v>
      </c>
      <c r="AD107" s="684">
        <f>('расчеты к штатному'!P114/оклад!Q107)-100%</f>
        <v>2.4256651017214192E-2</v>
      </c>
    </row>
    <row r="108" spans="1:46" s="80" customFormat="1" ht="17.25" customHeight="1">
      <c r="A108" s="547">
        <v>6</v>
      </c>
      <c r="B108" s="647" t="s">
        <v>421</v>
      </c>
      <c r="C108" s="647" t="s">
        <v>99</v>
      </c>
      <c r="D108" s="628" t="s">
        <v>75</v>
      </c>
      <c r="E108" s="586" t="s">
        <v>422</v>
      </c>
      <c r="F108" s="562" t="s">
        <v>159</v>
      </c>
      <c r="G108" s="560">
        <v>1</v>
      </c>
      <c r="H108" s="563" t="s">
        <v>102</v>
      </c>
      <c r="I108" s="563" t="s">
        <v>118</v>
      </c>
      <c r="J108" s="629">
        <v>4</v>
      </c>
      <c r="K108" s="554">
        <v>17697</v>
      </c>
      <c r="L108" s="649">
        <v>10</v>
      </c>
      <c r="M108" s="554">
        <f t="shared" si="17"/>
        <v>0.55555555555555558</v>
      </c>
      <c r="N108" s="574" t="s">
        <v>112</v>
      </c>
      <c r="O108" s="628">
        <v>2.9</v>
      </c>
      <c r="P108" s="628"/>
      <c r="Q108" s="567">
        <f t="shared" si="18"/>
        <v>28511.833333333328</v>
      </c>
      <c r="R108" s="894" t="e">
        <f>'расчеты к штатному'!#REF!</f>
        <v>#REF!</v>
      </c>
      <c r="S108" s="568"/>
      <c r="T108" s="554"/>
      <c r="U108" s="554">
        <v>0.1</v>
      </c>
      <c r="V108" s="567">
        <f t="shared" si="19"/>
        <v>2851.1833333333329</v>
      </c>
      <c r="W108" s="569"/>
      <c r="X108" s="554"/>
      <c r="Y108" s="700"/>
      <c r="Z108" s="570">
        <f t="shared" si="20"/>
        <v>31363.016666666663</v>
      </c>
      <c r="AA108" s="274">
        <f t="shared" si="21"/>
        <v>0</v>
      </c>
      <c r="AB108" s="274">
        <f t="shared" si="21"/>
        <v>0</v>
      </c>
      <c r="AC108" s="681" t="e">
        <f>'расчеты к штатному'!#REF!-оклад!Z108</f>
        <v>#REF!</v>
      </c>
      <c r="AD108" s="684" t="e">
        <f>('расчеты к штатному'!#REF!/оклад!Q108)-100%</f>
        <v>#REF!</v>
      </c>
    </row>
    <row r="109" spans="1:46" s="80" customFormat="1" ht="17.25" customHeight="1">
      <c r="A109" s="547">
        <v>7</v>
      </c>
      <c r="B109" s="647" t="s">
        <v>391</v>
      </c>
      <c r="C109" s="647" t="s">
        <v>99</v>
      </c>
      <c r="D109" s="563" t="s">
        <v>75</v>
      </c>
      <c r="E109" s="586" t="s">
        <v>433</v>
      </c>
      <c r="F109" s="582" t="s">
        <v>77</v>
      </c>
      <c r="G109" s="560">
        <v>1</v>
      </c>
      <c r="H109" s="563" t="s">
        <v>102</v>
      </c>
      <c r="I109" s="563" t="s">
        <v>118</v>
      </c>
      <c r="J109" s="629">
        <v>4</v>
      </c>
      <c r="K109" s="554">
        <v>17697</v>
      </c>
      <c r="L109" s="648">
        <v>33</v>
      </c>
      <c r="M109" s="554">
        <f t="shared" si="17"/>
        <v>1.8333333333333333</v>
      </c>
      <c r="N109" s="574" t="s">
        <v>112</v>
      </c>
      <c r="O109" s="650">
        <v>3</v>
      </c>
      <c r="P109" s="650"/>
      <c r="Q109" s="567">
        <f t="shared" si="18"/>
        <v>97333.5</v>
      </c>
      <c r="R109" s="894">
        <f>'расчеты к штатному'!P127</f>
        <v>87541.16</v>
      </c>
      <c r="S109" s="568"/>
      <c r="T109" s="554"/>
      <c r="U109" s="554">
        <v>0.1</v>
      </c>
      <c r="V109" s="567">
        <f t="shared" si="19"/>
        <v>9733.35</v>
      </c>
      <c r="W109" s="569"/>
      <c r="X109" s="554"/>
      <c r="Y109" s="700"/>
      <c r="Z109" s="570">
        <f t="shared" si="20"/>
        <v>107066.85</v>
      </c>
      <c r="AA109" s="274">
        <f>W109+S109</f>
        <v>0</v>
      </c>
      <c r="AB109" s="274">
        <f>X109+T109</f>
        <v>0</v>
      </c>
      <c r="AC109" s="681">
        <f>'расчеты к штатному'!X127-оклад!Z109</f>
        <v>13302.24500000001</v>
      </c>
      <c r="AD109" s="684">
        <f>('расчеты к штатному'!P127/оклад!Q109)-100%</f>
        <v>-0.10060606060606059</v>
      </c>
    </row>
    <row r="110" spans="1:46" s="80" customFormat="1" ht="16.5" customHeight="1">
      <c r="A110" s="547">
        <v>8</v>
      </c>
      <c r="B110" s="647" t="s">
        <v>272</v>
      </c>
      <c r="C110" s="647" t="s">
        <v>99</v>
      </c>
      <c r="D110" s="628" t="s">
        <v>25</v>
      </c>
      <c r="E110" s="586" t="s">
        <v>429</v>
      </c>
      <c r="F110" s="582" t="s">
        <v>434</v>
      </c>
      <c r="G110" s="560">
        <v>1</v>
      </c>
      <c r="H110" s="563" t="s">
        <v>102</v>
      </c>
      <c r="I110" s="563" t="s">
        <v>103</v>
      </c>
      <c r="J110" s="629">
        <v>1</v>
      </c>
      <c r="K110" s="554">
        <v>17697</v>
      </c>
      <c r="L110" s="648">
        <v>36</v>
      </c>
      <c r="M110" s="554">
        <f t="shared" si="17"/>
        <v>2</v>
      </c>
      <c r="N110" s="574" t="s">
        <v>152</v>
      </c>
      <c r="O110" s="628">
        <v>4.26</v>
      </c>
      <c r="P110" s="628"/>
      <c r="Q110" s="567">
        <f t="shared" si="18"/>
        <v>150778.44</v>
      </c>
      <c r="R110" s="894">
        <f>'расчеты к штатному'!P115</f>
        <v>147553.65333333335</v>
      </c>
      <c r="S110" s="568"/>
      <c r="T110" s="554"/>
      <c r="U110" s="554">
        <v>0.1</v>
      </c>
      <c r="V110" s="567">
        <f t="shared" si="19"/>
        <v>15077.844000000001</v>
      </c>
      <c r="W110" s="569"/>
      <c r="X110" s="554"/>
      <c r="Y110" s="700"/>
      <c r="Z110" s="570">
        <f t="shared" si="20"/>
        <v>165856.28400000001</v>
      </c>
      <c r="AA110" s="274"/>
      <c r="AB110" s="274"/>
      <c r="AC110" s="681">
        <f>'расчеты к штатному'!X115-оклад!Z110</f>
        <v>37029.989333333331</v>
      </c>
      <c r="AD110" s="684">
        <f>('расчеты к штатному'!P115/оклад!Q110)-100%</f>
        <v>-2.1387584767866397E-2</v>
      </c>
    </row>
    <row r="111" spans="1:46" s="80" customFormat="1" ht="17.25" customHeight="1">
      <c r="A111" s="547">
        <v>9</v>
      </c>
      <c r="B111" s="646" t="s">
        <v>274</v>
      </c>
      <c r="C111" s="647" t="s">
        <v>99</v>
      </c>
      <c r="D111" s="628" t="s">
        <v>25</v>
      </c>
      <c r="E111" s="586" t="s">
        <v>442</v>
      </c>
      <c r="F111" s="582" t="s">
        <v>403</v>
      </c>
      <c r="G111" s="560">
        <v>1</v>
      </c>
      <c r="H111" s="563" t="s">
        <v>102</v>
      </c>
      <c r="I111" s="563" t="s">
        <v>103</v>
      </c>
      <c r="J111" s="629">
        <v>2</v>
      </c>
      <c r="K111" s="554">
        <v>17697</v>
      </c>
      <c r="L111" s="648">
        <v>27</v>
      </c>
      <c r="M111" s="554">
        <f t="shared" si="17"/>
        <v>1.5</v>
      </c>
      <c r="N111" s="566" t="s">
        <v>104</v>
      </c>
      <c r="O111" s="628">
        <v>3.62</v>
      </c>
      <c r="P111" s="628"/>
      <c r="Q111" s="567">
        <f t="shared" si="18"/>
        <v>96094.71</v>
      </c>
      <c r="R111" s="894">
        <f>'расчеты к штатному'!P125</f>
        <v>94069.386666666673</v>
      </c>
      <c r="S111" s="568"/>
      <c r="T111" s="554"/>
      <c r="U111" s="554">
        <v>0.1</v>
      </c>
      <c r="V111" s="567">
        <f t="shared" si="19"/>
        <v>9609.4710000000014</v>
      </c>
      <c r="W111" s="569"/>
      <c r="X111" s="554"/>
      <c r="Y111" s="700"/>
      <c r="Z111" s="570">
        <f t="shared" si="20"/>
        <v>105704.18100000001</v>
      </c>
      <c r="AA111" s="274">
        <f t="shared" si="21"/>
        <v>0</v>
      </c>
      <c r="AB111" s="274">
        <f t="shared" si="21"/>
        <v>0</v>
      </c>
      <c r="AC111" s="681">
        <f>'расчеты к штатному'!X125-оклад!Z111</f>
        <v>23641.225666666665</v>
      </c>
      <c r="AD111" s="684">
        <f>('расчеты к штатному'!P125/оклад!Q111)-100%</f>
        <v>-2.1076324943728242E-2</v>
      </c>
    </row>
    <row r="112" spans="1:46" s="80" customFormat="1" ht="17.25" customHeight="1">
      <c r="A112" s="547">
        <v>10</v>
      </c>
      <c r="B112" s="646" t="s">
        <v>420</v>
      </c>
      <c r="C112" s="647" t="s">
        <v>99</v>
      </c>
      <c r="D112" s="628" t="s">
        <v>25</v>
      </c>
      <c r="E112" s="586" t="s">
        <v>443</v>
      </c>
      <c r="F112" s="582" t="s">
        <v>403</v>
      </c>
      <c r="G112" s="560"/>
      <c r="H112" s="563" t="s">
        <v>102</v>
      </c>
      <c r="I112" s="563" t="s">
        <v>103</v>
      </c>
      <c r="J112" s="629">
        <v>4</v>
      </c>
      <c r="K112" s="554">
        <v>17697</v>
      </c>
      <c r="L112" s="648">
        <v>18</v>
      </c>
      <c r="M112" s="554">
        <f t="shared" si="17"/>
        <v>1</v>
      </c>
      <c r="N112" s="574" t="s">
        <v>112</v>
      </c>
      <c r="O112" s="628">
        <v>3.04</v>
      </c>
      <c r="P112" s="628"/>
      <c r="Q112" s="567">
        <f t="shared" si="18"/>
        <v>53798.879999999997</v>
      </c>
      <c r="R112" s="894">
        <f>'расчеты к штатному'!P122</f>
        <v>82782.633333333331</v>
      </c>
      <c r="S112" s="568"/>
      <c r="T112" s="554"/>
      <c r="U112" s="554">
        <v>0.1</v>
      </c>
      <c r="V112" s="567">
        <f t="shared" si="19"/>
        <v>5379.8879999999999</v>
      </c>
      <c r="W112" s="569"/>
      <c r="X112" s="554"/>
      <c r="Y112" s="700"/>
      <c r="Z112" s="570">
        <f t="shared" si="20"/>
        <v>59178.767999999996</v>
      </c>
      <c r="AA112" s="274">
        <f t="shared" si="21"/>
        <v>0</v>
      </c>
      <c r="AB112" s="274">
        <f t="shared" si="21"/>
        <v>0</v>
      </c>
      <c r="AC112" s="681">
        <f>'расчеты к штатному'!X122-оклад!Z112</f>
        <v>54647.352833333323</v>
      </c>
      <c r="AD112" s="684">
        <f>('расчеты к штатному'!P122/оклад!Q112)-100%</f>
        <v>0.53874269005847952</v>
      </c>
    </row>
    <row r="113" spans="1:30" s="80" customFormat="1" ht="17.25" customHeight="1">
      <c r="A113" s="547">
        <v>11</v>
      </c>
      <c r="B113" s="646" t="s">
        <v>277</v>
      </c>
      <c r="C113" s="647" t="s">
        <v>99</v>
      </c>
      <c r="D113" s="628" t="s">
        <v>25</v>
      </c>
      <c r="E113" s="586" t="s">
        <v>430</v>
      </c>
      <c r="F113" s="562" t="s">
        <v>40</v>
      </c>
      <c r="G113" s="560">
        <v>1</v>
      </c>
      <c r="H113" s="563" t="s">
        <v>102</v>
      </c>
      <c r="I113" s="563" t="s">
        <v>103</v>
      </c>
      <c r="J113" s="629">
        <v>1</v>
      </c>
      <c r="K113" s="554">
        <v>17697</v>
      </c>
      <c r="L113" s="648">
        <v>15</v>
      </c>
      <c r="M113" s="554">
        <f t="shared" si="17"/>
        <v>0.83333333333333337</v>
      </c>
      <c r="N113" s="574" t="s">
        <v>152</v>
      </c>
      <c r="O113" s="566">
        <v>4.32</v>
      </c>
      <c r="P113" s="628"/>
      <c r="Q113" s="567">
        <f t="shared" si="18"/>
        <v>63709.200000000012</v>
      </c>
      <c r="R113" s="894" t="e">
        <f>'расчеты к штатному'!#REF!</f>
        <v>#REF!</v>
      </c>
      <c r="S113" s="568"/>
      <c r="T113" s="554"/>
      <c r="U113" s="554">
        <v>0.1</v>
      </c>
      <c r="V113" s="567">
        <f t="shared" si="19"/>
        <v>6370.9200000000019</v>
      </c>
      <c r="W113" s="569"/>
      <c r="X113" s="554"/>
      <c r="Y113" s="700"/>
      <c r="Z113" s="570">
        <f t="shared" si="20"/>
        <v>70080.12000000001</v>
      </c>
      <c r="AA113" s="274">
        <f t="shared" si="21"/>
        <v>0</v>
      </c>
      <c r="AB113" s="274">
        <f t="shared" si="21"/>
        <v>0</v>
      </c>
      <c r="AC113" s="681" t="e">
        <f>'расчеты к штатному'!#REF!-оклад!Z113</f>
        <v>#REF!</v>
      </c>
      <c r="AD113" s="684" t="e">
        <f>('расчеты к штатному'!#REF!/оклад!Q113)-100%</f>
        <v>#REF!</v>
      </c>
    </row>
    <row r="114" spans="1:30" s="80" customFormat="1" ht="17.25" customHeight="1">
      <c r="A114" s="547">
        <v>12</v>
      </c>
      <c r="B114" s="153" t="s">
        <v>175</v>
      </c>
      <c r="C114" s="561" t="s">
        <v>99</v>
      </c>
      <c r="D114" s="563" t="s">
        <v>25</v>
      </c>
      <c r="E114" s="562" t="s">
        <v>491</v>
      </c>
      <c r="F114" s="562" t="s">
        <v>114</v>
      </c>
      <c r="G114" s="560">
        <v>1</v>
      </c>
      <c r="H114" s="563" t="s">
        <v>102</v>
      </c>
      <c r="I114" s="563" t="s">
        <v>103</v>
      </c>
      <c r="J114" s="581">
        <v>1</v>
      </c>
      <c r="K114" s="554">
        <v>17697</v>
      </c>
      <c r="L114" s="565">
        <v>14</v>
      </c>
      <c r="M114" s="554">
        <f t="shared" si="17"/>
        <v>0.77777777777777779</v>
      </c>
      <c r="N114" s="574" t="s">
        <v>152</v>
      </c>
      <c r="O114" s="566">
        <v>4.32</v>
      </c>
      <c r="P114" s="566"/>
      <c r="Q114" s="567">
        <f t="shared" si="18"/>
        <v>59461.920000000013</v>
      </c>
      <c r="R114" s="894">
        <f>'расчеты к штатному'!P116</f>
        <v>28020.25</v>
      </c>
      <c r="S114" s="568"/>
      <c r="T114" s="554"/>
      <c r="U114" s="554">
        <v>0.1</v>
      </c>
      <c r="V114" s="567">
        <f>U114*Q114</f>
        <v>5946.1920000000018</v>
      </c>
      <c r="W114" s="569"/>
      <c r="X114" s="554"/>
      <c r="Y114" s="700"/>
      <c r="Z114" s="570">
        <f t="shared" si="20"/>
        <v>65408.112000000016</v>
      </c>
      <c r="AA114" s="274">
        <f t="shared" si="21"/>
        <v>0</v>
      </c>
      <c r="AB114" s="274">
        <f t="shared" si="21"/>
        <v>0</v>
      </c>
      <c r="AC114" s="681">
        <f>'расчеты к штатному'!X116-оклад!Z114</f>
        <v>-26880.268250000016</v>
      </c>
      <c r="AD114" s="684">
        <f>('расчеты к штатному'!P116/оклад!Q114)-100%</f>
        <v>-0.52876984126984139</v>
      </c>
    </row>
    <row r="115" spans="1:30" s="80" customFormat="1" ht="17.25" customHeight="1">
      <c r="A115" s="547">
        <v>13</v>
      </c>
      <c r="B115" s="647" t="s">
        <v>281</v>
      </c>
      <c r="C115" s="647" t="s">
        <v>99</v>
      </c>
      <c r="D115" s="628" t="s">
        <v>25</v>
      </c>
      <c r="E115" s="586" t="s">
        <v>430</v>
      </c>
      <c r="F115" s="562" t="s">
        <v>40</v>
      </c>
      <c r="G115" s="560">
        <v>1</v>
      </c>
      <c r="H115" s="563" t="s">
        <v>102</v>
      </c>
      <c r="I115" s="563" t="s">
        <v>103</v>
      </c>
      <c r="J115" s="629">
        <v>1</v>
      </c>
      <c r="K115" s="554">
        <v>17697</v>
      </c>
      <c r="L115" s="648">
        <v>24</v>
      </c>
      <c r="M115" s="554">
        <f t="shared" si="17"/>
        <v>1.3333333333333333</v>
      </c>
      <c r="N115" s="574" t="s">
        <v>152</v>
      </c>
      <c r="O115" s="566">
        <v>4.32</v>
      </c>
      <c r="P115" s="628"/>
      <c r="Q115" s="567">
        <f t="shared" si="18"/>
        <v>101934.72000000002</v>
      </c>
      <c r="R115" s="894">
        <f>'расчеты к штатному'!P117</f>
        <v>84060.75</v>
      </c>
      <c r="S115" s="568"/>
      <c r="T115" s="554"/>
      <c r="U115" s="554">
        <v>0.1</v>
      </c>
      <c r="V115" s="567">
        <f t="shared" ref="V115:V121" si="22">Q115*U115</f>
        <v>10193.472000000002</v>
      </c>
      <c r="W115" s="569"/>
      <c r="X115" s="554"/>
      <c r="Y115" s="700"/>
      <c r="Z115" s="570">
        <f t="shared" si="20"/>
        <v>112128.19200000001</v>
      </c>
      <c r="AA115" s="274"/>
      <c r="AB115" s="274"/>
      <c r="AC115" s="681">
        <f>'расчеты к штатному'!X117-оклад!Z115</f>
        <v>3455.33924999999</v>
      </c>
      <c r="AD115" s="684">
        <f>('расчеты к штатному'!P117/оклад!Q115)-100%</f>
        <v>-0.17534722222222232</v>
      </c>
    </row>
    <row r="116" spans="1:30" s="80" customFormat="1" ht="17.25" customHeight="1">
      <c r="A116" s="547">
        <v>14</v>
      </c>
      <c r="B116" s="647" t="s">
        <v>180</v>
      </c>
      <c r="C116" s="647" t="s">
        <v>284</v>
      </c>
      <c r="D116" s="628" t="s">
        <v>25</v>
      </c>
      <c r="E116" s="586" t="s">
        <v>493</v>
      </c>
      <c r="F116" s="562" t="s">
        <v>40</v>
      </c>
      <c r="G116" s="560"/>
      <c r="H116" s="563" t="s">
        <v>102</v>
      </c>
      <c r="I116" s="563" t="s">
        <v>103</v>
      </c>
      <c r="J116" s="629">
        <v>3</v>
      </c>
      <c r="K116" s="554">
        <v>17697</v>
      </c>
      <c r="L116" s="649">
        <v>20</v>
      </c>
      <c r="M116" s="554">
        <f t="shared" si="17"/>
        <v>1.1111111111111112</v>
      </c>
      <c r="N116" s="566" t="s">
        <v>109</v>
      </c>
      <c r="O116" s="628">
        <v>3.75</v>
      </c>
      <c r="P116" s="628"/>
      <c r="Q116" s="567">
        <f t="shared" si="18"/>
        <v>73737.5</v>
      </c>
      <c r="R116" s="894">
        <f>'расчеты к штатному'!P123</f>
        <v>79636.5</v>
      </c>
      <c r="S116" s="568"/>
      <c r="T116" s="554"/>
      <c r="U116" s="554">
        <v>0.1</v>
      </c>
      <c r="V116" s="567">
        <f t="shared" si="22"/>
        <v>7373.75</v>
      </c>
      <c r="W116" s="569"/>
      <c r="X116" s="554"/>
      <c r="Y116" s="700"/>
      <c r="Z116" s="570">
        <f t="shared" si="20"/>
        <v>81111.25</v>
      </c>
      <c r="AA116" s="274"/>
      <c r="AB116" s="274"/>
      <c r="AC116" s="681">
        <f>'расчеты к штатному'!X123-оклад!Z116</f>
        <v>28388.9375</v>
      </c>
      <c r="AD116" s="684">
        <f>('расчеты к штатному'!P123/оклад!Q116)-100%</f>
        <v>8.0000000000000071E-2</v>
      </c>
    </row>
    <row r="117" spans="1:30" s="80" customFormat="1" ht="17.25" customHeight="1">
      <c r="A117" s="547">
        <v>15</v>
      </c>
      <c r="B117" s="647" t="s">
        <v>282</v>
      </c>
      <c r="C117" s="647" t="s">
        <v>99</v>
      </c>
      <c r="D117" s="628" t="s">
        <v>25</v>
      </c>
      <c r="E117" s="586" t="s">
        <v>431</v>
      </c>
      <c r="F117" s="562" t="s">
        <v>40</v>
      </c>
      <c r="G117" s="560">
        <v>1</v>
      </c>
      <c r="H117" s="563" t="s">
        <v>102</v>
      </c>
      <c r="I117" s="563" t="s">
        <v>103</v>
      </c>
      <c r="J117" s="629">
        <v>1</v>
      </c>
      <c r="K117" s="554">
        <v>17697</v>
      </c>
      <c r="L117" s="648">
        <v>36</v>
      </c>
      <c r="M117" s="554">
        <f t="shared" si="17"/>
        <v>2</v>
      </c>
      <c r="N117" s="574" t="s">
        <v>152</v>
      </c>
      <c r="O117" s="566">
        <v>4.32</v>
      </c>
      <c r="P117" s="628"/>
      <c r="Q117" s="567">
        <f t="shared" si="18"/>
        <v>152902.08000000002</v>
      </c>
      <c r="R117" s="894">
        <f>'расчеты к штатному'!P118</f>
        <v>158781.41666666669</v>
      </c>
      <c r="S117" s="568"/>
      <c r="T117" s="554"/>
      <c r="U117" s="554">
        <v>0.1</v>
      </c>
      <c r="V117" s="567">
        <f t="shared" si="22"/>
        <v>15290.208000000002</v>
      </c>
      <c r="W117" s="569"/>
      <c r="X117" s="554"/>
      <c r="Y117" s="700"/>
      <c r="Z117" s="570">
        <f t="shared" si="20"/>
        <v>168192.28800000003</v>
      </c>
      <c r="AA117" s="274">
        <f t="shared" si="21"/>
        <v>0</v>
      </c>
      <c r="AB117" s="274">
        <f t="shared" si="21"/>
        <v>0</v>
      </c>
      <c r="AC117" s="681">
        <f>'расчеты к штатному'!X118-оклад!Z117</f>
        <v>50132.159916666686</v>
      </c>
      <c r="AD117" s="684">
        <f>('расчеты к штатному'!P118/оклад!Q117)-100%</f>
        <v>3.8451646090535085E-2</v>
      </c>
    </row>
    <row r="118" spans="1:30" s="80" customFormat="1" ht="17.25" customHeight="1">
      <c r="A118" s="547">
        <v>16</v>
      </c>
      <c r="B118" s="647" t="s">
        <v>392</v>
      </c>
      <c r="C118" s="647" t="s">
        <v>99</v>
      </c>
      <c r="D118" s="563" t="s">
        <v>189</v>
      </c>
      <c r="E118" s="586" t="s">
        <v>444</v>
      </c>
      <c r="F118" s="582" t="s">
        <v>434</v>
      </c>
      <c r="G118" s="560">
        <v>1</v>
      </c>
      <c r="H118" s="563" t="s">
        <v>102</v>
      </c>
      <c r="I118" s="563" t="s">
        <v>103</v>
      </c>
      <c r="J118" s="572">
        <v>2</v>
      </c>
      <c r="K118" s="554">
        <v>17697</v>
      </c>
      <c r="L118" s="648">
        <v>14</v>
      </c>
      <c r="M118" s="554">
        <f t="shared" si="17"/>
        <v>0.77777777777777779</v>
      </c>
      <c r="N118" s="566" t="s">
        <v>104</v>
      </c>
      <c r="O118" s="650">
        <v>3.86</v>
      </c>
      <c r="P118" s="650"/>
      <c r="Q118" s="567">
        <f t="shared" si="18"/>
        <v>53130.32666666666</v>
      </c>
      <c r="R118" s="894">
        <f>'расчеты к штатному'!P126</f>
        <v>104766.24</v>
      </c>
      <c r="S118" s="568"/>
      <c r="T118" s="554"/>
      <c r="U118" s="554">
        <v>0.1</v>
      </c>
      <c r="V118" s="567">
        <f t="shared" si="22"/>
        <v>5313.032666666666</v>
      </c>
      <c r="W118" s="569"/>
      <c r="X118" s="554"/>
      <c r="Y118" s="700"/>
      <c r="Z118" s="570">
        <f t="shared" si="20"/>
        <v>58443.359333333327</v>
      </c>
      <c r="AA118" s="274">
        <f t="shared" si="21"/>
        <v>0</v>
      </c>
      <c r="AB118" s="274">
        <f t="shared" si="21"/>
        <v>0</v>
      </c>
      <c r="AC118" s="681">
        <f>'расчеты к штатному'!X126-оклад!Z118</f>
        <v>85610.22066666669</v>
      </c>
      <c r="AD118" s="684">
        <f>('расчеты к штатному'!P126/оклад!Q118)-100%</f>
        <v>0.97187268689859407</v>
      </c>
    </row>
    <row r="119" spans="1:30" s="80" customFormat="1" ht="17.25" customHeight="1">
      <c r="A119" s="547">
        <v>17</v>
      </c>
      <c r="B119" s="647" t="s">
        <v>184</v>
      </c>
      <c r="C119" s="647" t="s">
        <v>99</v>
      </c>
      <c r="D119" s="628" t="s">
        <v>25</v>
      </c>
      <c r="E119" s="586" t="s">
        <v>427</v>
      </c>
      <c r="F119" s="562" t="s">
        <v>40</v>
      </c>
      <c r="G119" s="560">
        <v>1</v>
      </c>
      <c r="H119" s="563" t="s">
        <v>102</v>
      </c>
      <c r="I119" s="563" t="s">
        <v>103</v>
      </c>
      <c r="J119" s="629">
        <v>1</v>
      </c>
      <c r="K119" s="554">
        <v>17697</v>
      </c>
      <c r="L119" s="648">
        <v>4</v>
      </c>
      <c r="M119" s="554">
        <f t="shared" si="17"/>
        <v>0.22222222222222221</v>
      </c>
      <c r="N119" s="574" t="s">
        <v>152</v>
      </c>
      <c r="O119" s="566">
        <v>4.32</v>
      </c>
      <c r="P119" s="628"/>
      <c r="Q119" s="567">
        <f t="shared" si="18"/>
        <v>16989.120000000003</v>
      </c>
      <c r="R119" s="894">
        <f>'расчеты к штатному'!P120</f>
        <v>74720.666666666672</v>
      </c>
      <c r="S119" s="568"/>
      <c r="T119" s="554"/>
      <c r="U119" s="554">
        <v>0.1</v>
      </c>
      <c r="V119" s="567">
        <f t="shared" si="22"/>
        <v>1698.9120000000003</v>
      </c>
      <c r="W119" s="569"/>
      <c r="X119" s="554"/>
      <c r="Y119" s="700"/>
      <c r="Z119" s="570">
        <f t="shared" si="20"/>
        <v>18688.032000000003</v>
      </c>
      <c r="AA119" s="274">
        <f>W119+S119</f>
        <v>0</v>
      </c>
      <c r="AB119" s="274">
        <f>X119+T119</f>
        <v>0</v>
      </c>
      <c r="AC119" s="681">
        <f>'расчеты к штатному'!X120-оклад!Z119</f>
        <v>84052.884666666665</v>
      </c>
      <c r="AD119" s="684">
        <f>('расчеты к штатному'!P120/оклад!Q119)-100%</f>
        <v>3.3981481481481479</v>
      </c>
    </row>
    <row r="120" spans="1:30" s="80" customFormat="1" ht="17.25" customHeight="1">
      <c r="A120" s="547">
        <v>18</v>
      </c>
      <c r="B120" s="647" t="s">
        <v>287</v>
      </c>
      <c r="C120" s="647" t="s">
        <v>99</v>
      </c>
      <c r="D120" s="628" t="s">
        <v>25</v>
      </c>
      <c r="E120" s="586" t="s">
        <v>432</v>
      </c>
      <c r="F120" s="562" t="s">
        <v>40</v>
      </c>
      <c r="G120" s="560">
        <v>1</v>
      </c>
      <c r="H120" s="563" t="s">
        <v>102</v>
      </c>
      <c r="I120" s="563" t="s">
        <v>103</v>
      </c>
      <c r="J120" s="629">
        <v>1</v>
      </c>
      <c r="K120" s="554">
        <v>17697</v>
      </c>
      <c r="L120" s="648">
        <v>29</v>
      </c>
      <c r="M120" s="554">
        <f t="shared" si="17"/>
        <v>1.6111111111111112</v>
      </c>
      <c r="N120" s="574" t="s">
        <v>152</v>
      </c>
      <c r="O120" s="566">
        <v>4.32</v>
      </c>
      <c r="P120" s="628"/>
      <c r="Q120" s="567">
        <f t="shared" si="18"/>
        <v>123171.12000000002</v>
      </c>
      <c r="R120" s="894">
        <f>'расчеты к штатному'!P121</f>
        <v>116751.04166666667</v>
      </c>
      <c r="S120" s="568"/>
      <c r="T120" s="554"/>
      <c r="U120" s="554">
        <v>0.1</v>
      </c>
      <c r="V120" s="567">
        <f t="shared" si="22"/>
        <v>12317.112000000003</v>
      </c>
      <c r="W120" s="569"/>
      <c r="X120" s="554"/>
      <c r="Y120" s="700"/>
      <c r="Z120" s="570">
        <f t="shared" si="20"/>
        <v>135488.23200000002</v>
      </c>
      <c r="AA120" s="274">
        <f t="shared" si="21"/>
        <v>0</v>
      </c>
      <c r="AB120" s="274">
        <f t="shared" si="21"/>
        <v>0</v>
      </c>
      <c r="AC120" s="681">
        <f>'расчеты к штатному'!X121-оклад!Z120</f>
        <v>25044.450291666668</v>
      </c>
      <c r="AD120" s="684">
        <f>('расчеты к штатному'!P121/оклад!Q120)-100%</f>
        <v>-5.2123243933588914E-2</v>
      </c>
    </row>
    <row r="121" spans="1:30" s="80" customFormat="1" ht="17.25" customHeight="1">
      <c r="A121" s="547">
        <v>19</v>
      </c>
      <c r="B121" s="647" t="s">
        <v>289</v>
      </c>
      <c r="C121" s="647" t="s">
        <v>99</v>
      </c>
      <c r="D121" s="563" t="s">
        <v>64</v>
      </c>
      <c r="E121" s="586" t="s">
        <v>423</v>
      </c>
      <c r="F121" s="582" t="s">
        <v>108</v>
      </c>
      <c r="G121" s="560">
        <v>1</v>
      </c>
      <c r="H121" s="563" t="s">
        <v>102</v>
      </c>
      <c r="I121" s="563" t="s">
        <v>118</v>
      </c>
      <c r="J121" s="629">
        <v>4</v>
      </c>
      <c r="K121" s="554">
        <v>17697</v>
      </c>
      <c r="L121" s="648">
        <v>30</v>
      </c>
      <c r="M121" s="554">
        <f t="shared" si="17"/>
        <v>1.6666666666666667</v>
      </c>
      <c r="N121" s="574" t="s">
        <v>112</v>
      </c>
      <c r="O121" s="650">
        <v>2.96</v>
      </c>
      <c r="P121" s="650"/>
      <c r="Q121" s="567">
        <f t="shared" si="18"/>
        <v>87305.200000000012</v>
      </c>
      <c r="R121" s="894">
        <f>'расчеты к штатному'!P131</f>
        <v>61054.65</v>
      </c>
      <c r="S121" s="568"/>
      <c r="T121" s="554"/>
      <c r="U121" s="554">
        <v>0.1</v>
      </c>
      <c r="V121" s="567">
        <f t="shared" si="22"/>
        <v>8730.5200000000023</v>
      </c>
      <c r="W121" s="569"/>
      <c r="X121" s="554"/>
      <c r="Y121" s="700"/>
      <c r="Z121" s="570">
        <f t="shared" si="20"/>
        <v>96035.720000000016</v>
      </c>
      <c r="AA121" s="274">
        <f t="shared" si="21"/>
        <v>0</v>
      </c>
      <c r="AB121" s="274">
        <f t="shared" si="21"/>
        <v>0</v>
      </c>
      <c r="AC121" s="681">
        <f>'расчеты к штатному'!X131-оклад!Z121</f>
        <v>-12085.576250000013</v>
      </c>
      <c r="AD121" s="684">
        <f>('расчеты к штатному'!P131/оклад!Q121)-100%</f>
        <v>-0.30067567567567577</v>
      </c>
    </row>
    <row r="122" spans="1:30" s="24" customFormat="1" ht="17.25" customHeight="1">
      <c r="A122" s="651"/>
      <c r="B122" s="652"/>
      <c r="C122" s="652"/>
      <c r="D122" s="653"/>
      <c r="E122" s="654"/>
      <c r="F122" s="655"/>
      <c r="G122" s="656"/>
      <c r="H122" s="653"/>
      <c r="I122" s="653"/>
      <c r="J122" s="657"/>
      <c r="K122" s="658"/>
      <c r="L122" s="659">
        <f>SUM(L103:L121)</f>
        <v>462</v>
      </c>
      <c r="M122" s="659"/>
      <c r="N122" s="659"/>
      <c r="O122" s="660"/>
      <c r="P122" s="659"/>
      <c r="Q122" s="659"/>
      <c r="R122" s="894">
        <f>'расчеты к штатному'!P137</f>
        <v>0</v>
      </c>
      <c r="S122" s="659"/>
      <c r="T122" s="659"/>
      <c r="U122" s="659"/>
      <c r="V122" s="659"/>
      <c r="W122" s="659"/>
      <c r="X122" s="659"/>
      <c r="Y122" s="890"/>
      <c r="Z122" s="660"/>
      <c r="AA122" s="98"/>
      <c r="AB122" s="98"/>
      <c r="AC122" s="878"/>
      <c r="AD122" s="879"/>
    </row>
    <row r="123" spans="1:30" s="80" customFormat="1" ht="17.25" customHeight="1">
      <c r="A123" s="560">
        <v>1</v>
      </c>
      <c r="B123" s="661" t="s">
        <v>291</v>
      </c>
      <c r="C123" s="647" t="s">
        <v>99</v>
      </c>
      <c r="D123" s="663" t="s">
        <v>25</v>
      </c>
      <c r="E123" s="664" t="s">
        <v>293</v>
      </c>
      <c r="F123" s="664" t="s">
        <v>40</v>
      </c>
      <c r="G123" s="177">
        <v>1</v>
      </c>
      <c r="H123" s="177" t="s">
        <v>102</v>
      </c>
      <c r="I123" s="177" t="s">
        <v>103</v>
      </c>
      <c r="J123" s="178">
        <v>1</v>
      </c>
      <c r="K123" s="554">
        <v>17697</v>
      </c>
      <c r="L123" s="665">
        <v>31</v>
      </c>
      <c r="M123" s="567">
        <f>L123/18</f>
        <v>1.7222222222222223</v>
      </c>
      <c r="N123" s="574" t="s">
        <v>152</v>
      </c>
      <c r="O123" s="567">
        <v>4.32</v>
      </c>
      <c r="P123" s="567"/>
      <c r="Q123" s="567">
        <f t="shared" ref="Q123:Q137" si="23">K123*O123/18*L123</f>
        <v>131665.68000000002</v>
      </c>
      <c r="R123" s="894">
        <f>'расчеты к штатному'!P138</f>
        <v>144771.29166666669</v>
      </c>
      <c r="S123" s="666">
        <v>0.25</v>
      </c>
      <c r="T123" s="554">
        <f t="shared" ref="T123:T137" si="24">S123*Q123</f>
        <v>32916.420000000006</v>
      </c>
      <c r="U123" s="554">
        <v>0.1</v>
      </c>
      <c r="V123" s="567">
        <f t="shared" ref="V123:V137" si="25">(Q123+T123)*10%</f>
        <v>16458.210000000003</v>
      </c>
      <c r="W123" s="569"/>
      <c r="X123" s="554"/>
      <c r="Y123" s="700"/>
      <c r="Z123" s="570">
        <f t="shared" ref="Z123:Z137" si="26">V123+T123+Q123</f>
        <v>181040.31000000003</v>
      </c>
      <c r="AA123" s="274">
        <f>W123+U123+S123</f>
        <v>0.35</v>
      </c>
      <c r="AB123" s="274">
        <f>X123+V123+T123</f>
        <v>49374.630000000005</v>
      </c>
      <c r="AC123" s="681">
        <f>'расчеты к штатному'!X138-оклад!Z123</f>
        <v>67490.103229166678</v>
      </c>
      <c r="AD123" s="684">
        <f>('расчеты к штатному'!P138/оклад!Q123)-100%</f>
        <v>9.9537037037036979E-2</v>
      </c>
    </row>
    <row r="124" spans="1:30" s="80" customFormat="1" ht="17.25" customHeight="1">
      <c r="A124" s="560">
        <v>2</v>
      </c>
      <c r="B124" s="661" t="s">
        <v>516</v>
      </c>
      <c r="C124" s="647" t="s">
        <v>99</v>
      </c>
      <c r="D124" s="663" t="s">
        <v>25</v>
      </c>
      <c r="E124" s="664" t="s">
        <v>430</v>
      </c>
      <c r="F124" s="664" t="s">
        <v>40</v>
      </c>
      <c r="G124" s="177">
        <v>1</v>
      </c>
      <c r="H124" s="177" t="s">
        <v>102</v>
      </c>
      <c r="I124" s="177" t="s">
        <v>103</v>
      </c>
      <c r="J124" s="178">
        <v>1</v>
      </c>
      <c r="K124" s="554">
        <v>17697</v>
      </c>
      <c r="L124" s="665">
        <v>18</v>
      </c>
      <c r="M124" s="567">
        <f t="shared" ref="M124:M137" si="27">L124/18</f>
        <v>1</v>
      </c>
      <c r="N124" s="574" t="s">
        <v>152</v>
      </c>
      <c r="O124" s="567">
        <v>4.32</v>
      </c>
      <c r="P124" s="567"/>
      <c r="Q124" s="567">
        <f t="shared" si="23"/>
        <v>76451.040000000008</v>
      </c>
      <c r="R124" s="894">
        <f>'расчеты к штатному'!P139</f>
        <v>23055.258333333335</v>
      </c>
      <c r="S124" s="666">
        <v>0.25</v>
      </c>
      <c r="T124" s="554">
        <f t="shared" si="24"/>
        <v>19112.760000000002</v>
      </c>
      <c r="U124" s="554">
        <v>0.1</v>
      </c>
      <c r="V124" s="567">
        <f t="shared" si="25"/>
        <v>9556.3800000000028</v>
      </c>
      <c r="W124" s="569"/>
      <c r="X124" s="554"/>
      <c r="Y124" s="700"/>
      <c r="Z124" s="570">
        <f t="shared" si="26"/>
        <v>105120.18000000002</v>
      </c>
      <c r="AA124" s="274"/>
      <c r="AB124" s="274"/>
      <c r="AC124" s="681">
        <f>'расчеты к штатному'!X139-оклад!Z124</f>
        <v>-65493.954739583351</v>
      </c>
      <c r="AD124" s="684">
        <f>('расчеты к штатному'!P139/оклад!Q124)-100%</f>
        <v>-0.69843106995884774</v>
      </c>
    </row>
    <row r="125" spans="1:30" s="80" customFormat="1" ht="17.25" customHeight="1">
      <c r="A125" s="560">
        <v>3</v>
      </c>
      <c r="B125" s="690" t="s">
        <v>517</v>
      </c>
      <c r="C125" s="647" t="s">
        <v>99</v>
      </c>
      <c r="D125" s="663" t="s">
        <v>25</v>
      </c>
      <c r="E125" s="664" t="s">
        <v>518</v>
      </c>
      <c r="F125" s="664" t="s">
        <v>366</v>
      </c>
      <c r="G125" s="177">
        <v>1</v>
      </c>
      <c r="H125" s="177" t="s">
        <v>102</v>
      </c>
      <c r="I125" s="177" t="s">
        <v>103</v>
      </c>
      <c r="J125" s="178">
        <v>1</v>
      </c>
      <c r="K125" s="554">
        <v>17697</v>
      </c>
      <c r="L125" s="665">
        <v>4</v>
      </c>
      <c r="M125" s="567">
        <f t="shared" si="27"/>
        <v>0.22222222222222221</v>
      </c>
      <c r="N125" s="574" t="s">
        <v>152</v>
      </c>
      <c r="O125" s="567">
        <v>4.26</v>
      </c>
      <c r="P125" s="567"/>
      <c r="Q125" s="567">
        <f t="shared" si="23"/>
        <v>16753.16</v>
      </c>
      <c r="R125" s="894">
        <f>'расчеты к штатному'!P140</f>
        <v>84060.75</v>
      </c>
      <c r="S125" s="666">
        <v>0.25</v>
      </c>
      <c r="T125" s="554">
        <f t="shared" si="24"/>
        <v>4188.29</v>
      </c>
      <c r="U125" s="554">
        <v>0.1</v>
      </c>
      <c r="V125" s="567">
        <f t="shared" si="25"/>
        <v>2094.145</v>
      </c>
      <c r="W125" s="569"/>
      <c r="X125" s="554"/>
      <c r="Y125" s="700"/>
      <c r="Z125" s="570">
        <f t="shared" si="26"/>
        <v>23035.595000000001</v>
      </c>
      <c r="AA125" s="274"/>
      <c r="AB125" s="274"/>
      <c r="AC125" s="681">
        <f>'расчеты к штатному'!X140-оклад!Z125</f>
        <v>121443.8190625</v>
      </c>
      <c r="AD125" s="684">
        <f>('расчеты к штатному'!P140/оклад!Q125)-100%</f>
        <v>4.017605633802817</v>
      </c>
    </row>
    <row r="126" spans="1:30" s="80" customFormat="1" ht="17.25" customHeight="1">
      <c r="A126" s="560">
        <v>4</v>
      </c>
      <c r="B126" s="691" t="s">
        <v>421</v>
      </c>
      <c r="C126" s="647" t="s">
        <v>99</v>
      </c>
      <c r="D126" s="663" t="s">
        <v>75</v>
      </c>
      <c r="E126" s="664" t="s">
        <v>520</v>
      </c>
      <c r="F126" s="664" t="s">
        <v>159</v>
      </c>
      <c r="G126" s="177">
        <v>1</v>
      </c>
      <c r="H126" s="177" t="s">
        <v>102</v>
      </c>
      <c r="I126" s="177" t="s">
        <v>118</v>
      </c>
      <c r="J126" s="178">
        <v>4</v>
      </c>
      <c r="K126" s="554">
        <v>17697</v>
      </c>
      <c r="L126" s="665">
        <v>10</v>
      </c>
      <c r="M126" s="567">
        <f t="shared" si="27"/>
        <v>0.55555555555555558</v>
      </c>
      <c r="N126" s="574" t="s">
        <v>385</v>
      </c>
      <c r="O126" s="567">
        <v>2.9</v>
      </c>
      <c r="P126" s="567"/>
      <c r="Q126" s="567">
        <f t="shared" si="23"/>
        <v>28511.833333333328</v>
      </c>
      <c r="R126" s="894">
        <f>'расчеты к штатному'!P141</f>
        <v>38844.914999999994</v>
      </c>
      <c r="S126" s="666">
        <v>0.25</v>
      </c>
      <c r="T126" s="554">
        <f t="shared" si="24"/>
        <v>7127.9583333333321</v>
      </c>
      <c r="U126" s="554">
        <v>0.1</v>
      </c>
      <c r="V126" s="567">
        <f t="shared" si="25"/>
        <v>3563.9791666666661</v>
      </c>
      <c r="W126" s="569"/>
      <c r="X126" s="554"/>
      <c r="Y126" s="700"/>
      <c r="Z126" s="570">
        <f t="shared" si="26"/>
        <v>39203.770833333328</v>
      </c>
      <c r="AA126" s="274"/>
      <c r="AB126" s="274"/>
      <c r="AC126" s="681">
        <f>'расчеты к штатному'!X141-оклад!Z126</f>
        <v>27560.926822916648</v>
      </c>
      <c r="AD126" s="684">
        <f>('расчеты к штатному'!P141/оклад!Q126)-100%</f>
        <v>0.36241379310344835</v>
      </c>
    </row>
    <row r="127" spans="1:30" s="80" customFormat="1" ht="17.25" customHeight="1">
      <c r="A127" s="560">
        <v>5</v>
      </c>
      <c r="B127" s="691" t="s">
        <v>519</v>
      </c>
      <c r="C127" s="692" t="s">
        <v>99</v>
      </c>
      <c r="D127" s="693" t="s">
        <v>25</v>
      </c>
      <c r="E127" s="694" t="s">
        <v>521</v>
      </c>
      <c r="F127" s="664" t="s">
        <v>366</v>
      </c>
      <c r="G127" s="695">
        <v>1</v>
      </c>
      <c r="H127" s="177" t="s">
        <v>102</v>
      </c>
      <c r="I127" s="177" t="s">
        <v>103</v>
      </c>
      <c r="J127" s="178">
        <v>1</v>
      </c>
      <c r="K127" s="554">
        <v>17697</v>
      </c>
      <c r="L127" s="696">
        <v>18</v>
      </c>
      <c r="M127" s="697">
        <f t="shared" si="27"/>
        <v>1</v>
      </c>
      <c r="N127" s="698" t="s">
        <v>152</v>
      </c>
      <c r="O127" s="697">
        <v>4.26</v>
      </c>
      <c r="P127" s="697"/>
      <c r="Q127" s="567">
        <f t="shared" si="23"/>
        <v>75389.22</v>
      </c>
      <c r="R127" s="894">
        <f>'расчеты к штатному'!P142</f>
        <v>53326.959999999992</v>
      </c>
      <c r="S127" s="666">
        <v>0.25</v>
      </c>
      <c r="T127" s="554">
        <f t="shared" si="24"/>
        <v>18847.305</v>
      </c>
      <c r="U127" s="554">
        <v>0.1</v>
      </c>
      <c r="V127" s="567">
        <f t="shared" si="25"/>
        <v>9423.6525000000001</v>
      </c>
      <c r="W127" s="699"/>
      <c r="X127" s="700"/>
      <c r="Y127" s="700"/>
      <c r="Z127" s="570">
        <f t="shared" si="26"/>
        <v>103660.17750000001</v>
      </c>
      <c r="AA127" s="688"/>
      <c r="AB127" s="688"/>
      <c r="AC127" s="681">
        <f>'расчеты к штатному'!X142-оклад!Z127</f>
        <v>-12004.46500000004</v>
      </c>
      <c r="AD127" s="684">
        <f>('расчеты к штатному'!P142/оклад!Q127)-100%</f>
        <v>-0.29264475743348994</v>
      </c>
    </row>
    <row r="128" spans="1:30" s="80" customFormat="1" ht="16.5" customHeight="1">
      <c r="A128" s="560">
        <v>6</v>
      </c>
      <c r="B128" s="662" t="s">
        <v>298</v>
      </c>
      <c r="C128" s="647" t="s">
        <v>99</v>
      </c>
      <c r="D128" s="663" t="s">
        <v>300</v>
      </c>
      <c r="E128" s="664" t="s">
        <v>522</v>
      </c>
      <c r="F128" s="667" t="s">
        <v>40</v>
      </c>
      <c r="G128" s="177">
        <v>1</v>
      </c>
      <c r="H128" s="177" t="s">
        <v>102</v>
      </c>
      <c r="I128" s="177" t="s">
        <v>118</v>
      </c>
      <c r="J128" s="178">
        <v>2</v>
      </c>
      <c r="K128" s="554">
        <v>17697</v>
      </c>
      <c r="L128" s="665">
        <v>9</v>
      </c>
      <c r="M128" s="567">
        <f t="shared" si="27"/>
        <v>0.5</v>
      </c>
      <c r="N128" s="566" t="s">
        <v>104</v>
      </c>
      <c r="O128" s="663">
        <v>3.41</v>
      </c>
      <c r="P128" s="663"/>
      <c r="Q128" s="567">
        <f t="shared" si="23"/>
        <v>30173.385000000002</v>
      </c>
      <c r="R128" s="894">
        <f>'расчеты к штатному'!P143</f>
        <v>42030.375</v>
      </c>
      <c r="S128" s="666">
        <v>0.25</v>
      </c>
      <c r="T128" s="554">
        <f t="shared" si="24"/>
        <v>7543.3462500000005</v>
      </c>
      <c r="U128" s="554">
        <v>0.1</v>
      </c>
      <c r="V128" s="567">
        <f t="shared" si="25"/>
        <v>3771.6731250000007</v>
      </c>
      <c r="W128" s="569"/>
      <c r="X128" s="554"/>
      <c r="Y128" s="700"/>
      <c r="Z128" s="570">
        <f t="shared" si="26"/>
        <v>41488.404375000006</v>
      </c>
      <c r="AA128" s="274">
        <f t="shared" ref="AA128:AB137" si="28">W128+U128+S128</f>
        <v>0.35</v>
      </c>
      <c r="AB128" s="274">
        <f t="shared" si="28"/>
        <v>11315.019375000002</v>
      </c>
      <c r="AC128" s="681">
        <f>'расчеты к штатному'!X143-оклад!Z128</f>
        <v>30751.302656249994</v>
      </c>
      <c r="AD128" s="684">
        <f>('расчеты к штатному'!P143/оклад!Q128)-100%</f>
        <v>0.39296187683284445</v>
      </c>
    </row>
    <row r="129" spans="1:46" s="80" customFormat="1" ht="17.25" customHeight="1">
      <c r="A129" s="560">
        <v>7</v>
      </c>
      <c r="B129" s="153" t="s">
        <v>116</v>
      </c>
      <c r="C129" s="561" t="s">
        <v>99</v>
      </c>
      <c r="D129" s="560" t="s">
        <v>64</v>
      </c>
      <c r="E129" s="583" t="s">
        <v>470</v>
      </c>
      <c r="F129" s="562" t="s">
        <v>114</v>
      </c>
      <c r="G129" s="560">
        <v>1</v>
      </c>
      <c r="H129" s="563" t="s">
        <v>102</v>
      </c>
      <c r="I129" s="563" t="s">
        <v>118</v>
      </c>
      <c r="J129" s="564">
        <v>1</v>
      </c>
      <c r="K129" s="554">
        <v>17697</v>
      </c>
      <c r="L129" s="565">
        <v>12</v>
      </c>
      <c r="M129" s="554">
        <f t="shared" si="27"/>
        <v>0.66666666666666663</v>
      </c>
      <c r="N129" s="574" t="s">
        <v>152</v>
      </c>
      <c r="O129" s="566">
        <v>3.89</v>
      </c>
      <c r="P129" s="566">
        <v>3.89</v>
      </c>
      <c r="Q129" s="567">
        <f>O129*K129/18*L129</f>
        <v>45894.22</v>
      </c>
      <c r="R129" s="894">
        <f>'расчеты к штатному'!P144</f>
        <v>67051.966666666674</v>
      </c>
      <c r="S129" s="666">
        <v>0.25</v>
      </c>
      <c r="T129" s="554">
        <f t="shared" si="24"/>
        <v>11473.555</v>
      </c>
      <c r="U129" s="554">
        <v>0.1</v>
      </c>
      <c r="V129" s="567">
        <f t="shared" si="25"/>
        <v>5736.7775000000001</v>
      </c>
      <c r="W129" s="569"/>
      <c r="X129" s="554"/>
      <c r="Y129" s="700"/>
      <c r="Z129" s="570">
        <f t="shared" si="26"/>
        <v>63104.552500000005</v>
      </c>
      <c r="AA129" s="274">
        <f>W129+S129</f>
        <v>0.25</v>
      </c>
      <c r="AB129" s="274">
        <f>X129+T129</f>
        <v>11473.555</v>
      </c>
      <c r="AC129" s="681">
        <f>'расчеты к штатному'!X144-оклад!Z129</f>
        <v>52141.015208333352</v>
      </c>
      <c r="AD129" s="684">
        <f>('расчеты к штатному'!P144/оклад!Q129)-100%</f>
        <v>0.46101113967437879</v>
      </c>
    </row>
    <row r="130" spans="1:46" s="80" customFormat="1" ht="17.25" customHeight="1">
      <c r="A130" s="560">
        <v>8</v>
      </c>
      <c r="B130" s="661" t="s">
        <v>38</v>
      </c>
      <c r="C130" s="647" t="s">
        <v>99</v>
      </c>
      <c r="D130" s="663" t="s">
        <v>25</v>
      </c>
      <c r="E130" s="664" t="s">
        <v>305</v>
      </c>
      <c r="F130" s="667" t="s">
        <v>40</v>
      </c>
      <c r="G130" s="177">
        <v>1</v>
      </c>
      <c r="H130" s="177" t="s">
        <v>102</v>
      </c>
      <c r="I130" s="177" t="s">
        <v>103</v>
      </c>
      <c r="J130" s="178">
        <v>1</v>
      </c>
      <c r="K130" s="554">
        <v>17697</v>
      </c>
      <c r="L130" s="665">
        <v>9</v>
      </c>
      <c r="M130" s="567">
        <f t="shared" si="27"/>
        <v>0.5</v>
      </c>
      <c r="N130" s="574" t="s">
        <v>152</v>
      </c>
      <c r="O130" s="567">
        <v>4.32</v>
      </c>
      <c r="P130" s="567"/>
      <c r="Q130" s="567">
        <f t="shared" si="23"/>
        <v>38225.520000000004</v>
      </c>
      <c r="R130" s="894">
        <f>'расчеты к штатному'!P145</f>
        <v>121421.08333333334</v>
      </c>
      <c r="S130" s="666">
        <v>0.25</v>
      </c>
      <c r="T130" s="554">
        <f t="shared" si="24"/>
        <v>9556.380000000001</v>
      </c>
      <c r="U130" s="554">
        <v>0.1</v>
      </c>
      <c r="V130" s="567">
        <f t="shared" si="25"/>
        <v>4778.1900000000014</v>
      </c>
      <c r="W130" s="569"/>
      <c r="X130" s="554"/>
      <c r="Y130" s="700"/>
      <c r="Z130" s="570">
        <f t="shared" si="26"/>
        <v>52560.090000000011</v>
      </c>
      <c r="AA130" s="274">
        <f t="shared" si="28"/>
        <v>0.35</v>
      </c>
      <c r="AB130" s="274">
        <f t="shared" si="28"/>
        <v>14334.570000000003</v>
      </c>
      <c r="AC130" s="681">
        <f>'расчеты к штатному'!X145-оклад!Z130</f>
        <v>156132.39697916672</v>
      </c>
      <c r="AD130" s="684">
        <f>('расчеты к штатному'!P145/оклад!Q130)-100%</f>
        <v>2.1764403292181069</v>
      </c>
    </row>
    <row r="131" spans="1:46" s="80" customFormat="1" ht="17.25" customHeight="1">
      <c r="A131" s="560">
        <v>9</v>
      </c>
      <c r="B131" s="669" t="s">
        <v>306</v>
      </c>
      <c r="C131" s="647" t="s">
        <v>99</v>
      </c>
      <c r="D131" s="663" t="s">
        <v>25</v>
      </c>
      <c r="E131" s="670" t="s">
        <v>307</v>
      </c>
      <c r="F131" s="671" t="s">
        <v>308</v>
      </c>
      <c r="G131" s="182">
        <v>1</v>
      </c>
      <c r="H131" s="177" t="s">
        <v>102</v>
      </c>
      <c r="I131" s="177" t="s">
        <v>103</v>
      </c>
      <c r="J131" s="182">
        <v>4</v>
      </c>
      <c r="K131" s="554">
        <v>17697</v>
      </c>
      <c r="L131" s="665">
        <v>20</v>
      </c>
      <c r="M131" s="567">
        <f t="shared" si="27"/>
        <v>1.1111111111111112</v>
      </c>
      <c r="N131" s="574" t="s">
        <v>112</v>
      </c>
      <c r="O131" s="663">
        <v>2.77</v>
      </c>
      <c r="P131" s="663"/>
      <c r="Q131" s="567">
        <f t="shared" si="23"/>
        <v>54467.433333333334</v>
      </c>
      <c r="R131" s="894">
        <f>'расчеты к штатному'!P146</f>
        <v>37163.700000000004</v>
      </c>
      <c r="S131" s="666">
        <v>0.25</v>
      </c>
      <c r="T131" s="554">
        <f t="shared" si="24"/>
        <v>13616.858333333334</v>
      </c>
      <c r="U131" s="554">
        <v>0.1</v>
      </c>
      <c r="V131" s="567">
        <f t="shared" si="25"/>
        <v>6808.4291666666677</v>
      </c>
      <c r="W131" s="569"/>
      <c r="X131" s="554"/>
      <c r="Y131" s="700"/>
      <c r="Z131" s="570">
        <f t="shared" si="26"/>
        <v>74892.72083333334</v>
      </c>
      <c r="AA131" s="274">
        <f t="shared" si="28"/>
        <v>0.35</v>
      </c>
      <c r="AB131" s="274">
        <f t="shared" si="28"/>
        <v>20425.287500000002</v>
      </c>
      <c r="AC131" s="681">
        <f>'расчеты к штатному'!X146-оклад!Z131</f>
        <v>-11017.611458333333</v>
      </c>
      <c r="AD131" s="684">
        <f>('расчеты к штатному'!P146/оклад!Q131)-100%</f>
        <v>-0.31768953068592054</v>
      </c>
    </row>
    <row r="132" spans="1:46" s="80" customFormat="1" ht="17.25" customHeight="1">
      <c r="A132" s="560">
        <v>10</v>
      </c>
      <c r="B132" s="661" t="s">
        <v>309</v>
      </c>
      <c r="C132" s="647" t="s">
        <v>99</v>
      </c>
      <c r="D132" s="663" t="s">
        <v>25</v>
      </c>
      <c r="E132" s="664" t="s">
        <v>311</v>
      </c>
      <c r="F132" s="667" t="s">
        <v>40</v>
      </c>
      <c r="G132" s="177">
        <v>1</v>
      </c>
      <c r="H132" s="177" t="s">
        <v>102</v>
      </c>
      <c r="I132" s="177" t="s">
        <v>103</v>
      </c>
      <c r="J132" s="178">
        <v>1</v>
      </c>
      <c r="K132" s="554">
        <v>17697</v>
      </c>
      <c r="L132" s="665">
        <v>26</v>
      </c>
      <c r="M132" s="567">
        <f t="shared" si="27"/>
        <v>1.4444444444444444</v>
      </c>
      <c r="N132" s="574" t="s">
        <v>152</v>
      </c>
      <c r="O132" s="567">
        <v>4.32</v>
      </c>
      <c r="P132" s="567"/>
      <c r="Q132" s="567">
        <f t="shared" si="23"/>
        <v>110429.28000000001</v>
      </c>
      <c r="R132" s="894">
        <f>'расчеты к штатному'!P147</f>
        <v>62765.36</v>
      </c>
      <c r="S132" s="666">
        <v>0.25</v>
      </c>
      <c r="T132" s="554">
        <f t="shared" si="24"/>
        <v>27607.320000000003</v>
      </c>
      <c r="U132" s="554">
        <v>0.1</v>
      </c>
      <c r="V132" s="567">
        <f t="shared" si="25"/>
        <v>13803.660000000002</v>
      </c>
      <c r="W132" s="569"/>
      <c r="X132" s="554"/>
      <c r="Y132" s="700"/>
      <c r="Z132" s="570">
        <f t="shared" si="26"/>
        <v>151840.26</v>
      </c>
      <c r="AA132" s="274">
        <f t="shared" si="28"/>
        <v>0.35</v>
      </c>
      <c r="AB132" s="274">
        <f t="shared" si="28"/>
        <v>41410.980000000003</v>
      </c>
      <c r="AC132" s="681">
        <f>'расчеты к штатному'!X147-оклад!Z132</f>
        <v>-43962.297500000015</v>
      </c>
      <c r="AD132" s="684">
        <f>('расчеты к штатному'!P147/оклад!Q132)-100%</f>
        <v>-0.43162393162393164</v>
      </c>
    </row>
    <row r="133" spans="1:46" s="80" customFormat="1" ht="17.25" customHeight="1">
      <c r="A133" s="560">
        <v>11</v>
      </c>
      <c r="B133" s="701" t="s">
        <v>447</v>
      </c>
      <c r="C133" s="692" t="s">
        <v>99</v>
      </c>
      <c r="D133" s="663" t="s">
        <v>300</v>
      </c>
      <c r="E133" s="664" t="s">
        <v>520</v>
      </c>
      <c r="F133" s="664" t="s">
        <v>159</v>
      </c>
      <c r="G133" s="695">
        <v>1</v>
      </c>
      <c r="H133" s="177" t="s">
        <v>102</v>
      </c>
      <c r="I133" s="177" t="s">
        <v>118</v>
      </c>
      <c r="J133" s="178">
        <v>4</v>
      </c>
      <c r="K133" s="554">
        <v>17697</v>
      </c>
      <c r="L133" s="696">
        <v>20</v>
      </c>
      <c r="M133" s="697">
        <f t="shared" si="27"/>
        <v>1.1111111111111112</v>
      </c>
      <c r="N133" s="698" t="s">
        <v>385</v>
      </c>
      <c r="O133" s="697">
        <v>2.9</v>
      </c>
      <c r="P133" s="697"/>
      <c r="Q133" s="567">
        <f t="shared" si="23"/>
        <v>57023.666666666657</v>
      </c>
      <c r="R133" s="894">
        <f>'расчеты к штатному'!P148</f>
        <v>111756.55499999999</v>
      </c>
      <c r="S133" s="666">
        <v>0.25</v>
      </c>
      <c r="T133" s="554">
        <f t="shared" si="24"/>
        <v>14255.916666666664</v>
      </c>
      <c r="U133" s="554">
        <v>0.1</v>
      </c>
      <c r="V133" s="567">
        <f t="shared" si="25"/>
        <v>7127.9583333333321</v>
      </c>
      <c r="W133" s="699"/>
      <c r="X133" s="700"/>
      <c r="Y133" s="700"/>
      <c r="Z133" s="570">
        <f t="shared" si="26"/>
        <v>78407.541666666657</v>
      </c>
      <c r="AA133" s="688"/>
      <c r="AB133" s="688"/>
      <c r="AC133" s="681">
        <f>'расчеты к штатному'!X148-оклад!Z133</f>
        <v>113674.0372395833</v>
      </c>
      <c r="AD133" s="684">
        <f>('расчеты к штатному'!P148/оклад!Q133)-100%</f>
        <v>0.95982758620689679</v>
      </c>
    </row>
    <row r="134" spans="1:46" s="80" customFormat="1" ht="17.25" customHeight="1">
      <c r="A134" s="560">
        <v>12</v>
      </c>
      <c r="B134" s="702" t="s">
        <v>274</v>
      </c>
      <c r="C134" s="692" t="s">
        <v>136</v>
      </c>
      <c r="D134" s="663" t="s">
        <v>25</v>
      </c>
      <c r="E134" s="694" t="s">
        <v>523</v>
      </c>
      <c r="F134" s="694" t="s">
        <v>403</v>
      </c>
      <c r="G134" s="695">
        <v>1</v>
      </c>
      <c r="H134" s="177" t="s">
        <v>102</v>
      </c>
      <c r="I134" s="177" t="s">
        <v>103</v>
      </c>
      <c r="J134" s="178">
        <v>1</v>
      </c>
      <c r="K134" s="554">
        <v>17697</v>
      </c>
      <c r="L134" s="696">
        <v>10</v>
      </c>
      <c r="M134" s="697">
        <f t="shared" si="27"/>
        <v>0.55555555555555558</v>
      </c>
      <c r="N134" s="698" t="s">
        <v>152</v>
      </c>
      <c r="O134" s="697">
        <v>3.62</v>
      </c>
      <c r="P134" s="697"/>
      <c r="Q134" s="567">
        <f t="shared" si="23"/>
        <v>35590.633333333331</v>
      </c>
      <c r="R134" s="894">
        <f>'расчеты к штатному'!P150</f>
        <v>41587.950000000012</v>
      </c>
      <c r="S134" s="666">
        <v>0.25</v>
      </c>
      <c r="T134" s="554">
        <f t="shared" si="24"/>
        <v>8897.6583333333328</v>
      </c>
      <c r="U134" s="554">
        <v>0.1</v>
      </c>
      <c r="V134" s="567">
        <f t="shared" si="25"/>
        <v>4448.8291666666664</v>
      </c>
      <c r="W134" s="699"/>
      <c r="X134" s="700"/>
      <c r="Y134" s="700"/>
      <c r="Z134" s="570">
        <f t="shared" si="26"/>
        <v>48937.120833333334</v>
      </c>
      <c r="AA134" s="688"/>
      <c r="AB134" s="688"/>
      <c r="AC134" s="681">
        <f>'расчеты к штатному'!X150-оклад!Z134</f>
        <v>22542.16822916668</v>
      </c>
      <c r="AD134" s="684">
        <f>('расчеты к штатному'!P150/оклад!Q134)-100%</f>
        <v>0.16850828729281808</v>
      </c>
    </row>
    <row r="135" spans="1:46" s="80" customFormat="1" ht="17.25" customHeight="1">
      <c r="A135" s="560">
        <v>13</v>
      </c>
      <c r="B135" s="176" t="s">
        <v>524</v>
      </c>
      <c r="C135" s="692" t="s">
        <v>525</v>
      </c>
      <c r="D135" s="693" t="s">
        <v>25</v>
      </c>
      <c r="E135" s="694" t="s">
        <v>526</v>
      </c>
      <c r="F135" s="664" t="s">
        <v>366</v>
      </c>
      <c r="G135" s="695">
        <v>1</v>
      </c>
      <c r="H135" s="177" t="s">
        <v>102</v>
      </c>
      <c r="I135" s="177" t="s">
        <v>103</v>
      </c>
      <c r="J135" s="178">
        <v>1</v>
      </c>
      <c r="K135" s="554">
        <v>17697</v>
      </c>
      <c r="L135" s="696">
        <v>18</v>
      </c>
      <c r="M135" s="697">
        <f t="shared" si="27"/>
        <v>1</v>
      </c>
      <c r="N135" s="698" t="s">
        <v>152</v>
      </c>
      <c r="O135" s="697">
        <v>4.26</v>
      </c>
      <c r="P135" s="697"/>
      <c r="Q135" s="567">
        <f t="shared" si="23"/>
        <v>75389.22</v>
      </c>
      <c r="R135" s="894">
        <f>'расчеты к штатному'!P151</f>
        <v>84060.75</v>
      </c>
      <c r="S135" s="666">
        <v>0.25</v>
      </c>
      <c r="T135" s="554">
        <f t="shared" si="24"/>
        <v>18847.305</v>
      </c>
      <c r="U135" s="554">
        <v>0.1</v>
      </c>
      <c r="V135" s="567">
        <f t="shared" si="25"/>
        <v>9423.6525000000001</v>
      </c>
      <c r="W135" s="699"/>
      <c r="X135" s="700"/>
      <c r="Y135" s="700"/>
      <c r="Z135" s="570">
        <f t="shared" si="26"/>
        <v>103660.17750000001</v>
      </c>
      <c r="AA135" s="688"/>
      <c r="AB135" s="688"/>
      <c r="AC135" s="681">
        <f>'расчеты к штатному'!X151-оклад!Z135</f>
        <v>40819.236562499995</v>
      </c>
      <c r="AD135" s="684">
        <f>('расчеты к штатному'!P151/оклад!Q135)-100%</f>
        <v>0.11502347417840375</v>
      </c>
    </row>
    <row r="136" spans="1:46" s="80" customFormat="1" ht="17.25" customHeight="1">
      <c r="A136" s="560">
        <v>14</v>
      </c>
      <c r="B136" s="662" t="s">
        <v>319</v>
      </c>
      <c r="C136" s="647" t="s">
        <v>99</v>
      </c>
      <c r="D136" s="663" t="s">
        <v>25</v>
      </c>
      <c r="E136" s="664" t="s">
        <v>320</v>
      </c>
      <c r="F136" s="667" t="s">
        <v>249</v>
      </c>
      <c r="G136" s="177">
        <v>1</v>
      </c>
      <c r="H136" s="177" t="s">
        <v>232</v>
      </c>
      <c r="I136" s="177" t="s">
        <v>233</v>
      </c>
      <c r="J136" s="178">
        <v>3</v>
      </c>
      <c r="K136" s="554">
        <v>17697</v>
      </c>
      <c r="L136" s="665">
        <v>27</v>
      </c>
      <c r="M136" s="567">
        <f t="shared" si="27"/>
        <v>1.5</v>
      </c>
      <c r="N136" s="566" t="s">
        <v>109</v>
      </c>
      <c r="O136" s="663">
        <v>3.45</v>
      </c>
      <c r="P136" s="663"/>
      <c r="Q136" s="567">
        <f t="shared" si="23"/>
        <v>91581.975000000006</v>
      </c>
      <c r="R136" s="894">
        <f>'расчеты к штатному'!P153</f>
        <v>65380.583333333336</v>
      </c>
      <c r="S136" s="666">
        <v>0.25</v>
      </c>
      <c r="T136" s="554">
        <f t="shared" si="24"/>
        <v>22895.493750000001</v>
      </c>
      <c r="U136" s="554">
        <v>0.1</v>
      </c>
      <c r="V136" s="567">
        <f t="shared" si="25"/>
        <v>11447.746875000001</v>
      </c>
      <c r="W136" s="569"/>
      <c r="X136" s="554"/>
      <c r="Y136" s="700"/>
      <c r="Z136" s="570">
        <f t="shared" si="26"/>
        <v>125925.21562500001</v>
      </c>
      <c r="AA136" s="10">
        <f t="shared" si="28"/>
        <v>0.35</v>
      </c>
      <c r="AB136" s="10">
        <f t="shared" si="28"/>
        <v>34343.240625000006</v>
      </c>
      <c r="AC136" s="681">
        <f>'расчеты к штатному'!X153-оклад!Z136</f>
        <v>-13552.338020833326</v>
      </c>
      <c r="AD136" s="684">
        <f>('расчеты к штатному'!P153/оклад!Q136)-100%</f>
        <v>-0.28609769189479339</v>
      </c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</row>
    <row r="137" spans="1:46" s="80" customFormat="1" ht="17.25" customHeight="1">
      <c r="A137" s="560">
        <v>15</v>
      </c>
      <c r="B137" s="661" t="s">
        <v>324</v>
      </c>
      <c r="C137" s="647" t="s">
        <v>99</v>
      </c>
      <c r="D137" s="663" t="s">
        <v>25</v>
      </c>
      <c r="E137" s="664" t="s">
        <v>325</v>
      </c>
      <c r="F137" s="667" t="s">
        <v>40</v>
      </c>
      <c r="G137" s="177">
        <v>1</v>
      </c>
      <c r="H137" s="177" t="s">
        <v>102</v>
      </c>
      <c r="I137" s="177" t="s">
        <v>103</v>
      </c>
      <c r="J137" s="178">
        <v>1</v>
      </c>
      <c r="K137" s="554">
        <v>17697</v>
      </c>
      <c r="L137" s="665">
        <v>14</v>
      </c>
      <c r="M137" s="567">
        <f t="shared" si="27"/>
        <v>0.77777777777777779</v>
      </c>
      <c r="N137" s="574" t="s">
        <v>152</v>
      </c>
      <c r="O137" s="567">
        <v>4.32</v>
      </c>
      <c r="P137" s="567"/>
      <c r="Q137" s="567">
        <f t="shared" si="23"/>
        <v>59461.920000000013</v>
      </c>
      <c r="R137" s="894">
        <f>'расчеты к штатному'!P154</f>
        <v>82998.930000000008</v>
      </c>
      <c r="S137" s="666">
        <v>0.25</v>
      </c>
      <c r="T137" s="554">
        <f t="shared" si="24"/>
        <v>14865.480000000003</v>
      </c>
      <c r="U137" s="554">
        <v>0.1</v>
      </c>
      <c r="V137" s="567">
        <f t="shared" si="25"/>
        <v>7432.7400000000025</v>
      </c>
      <c r="W137" s="569"/>
      <c r="X137" s="554"/>
      <c r="Y137" s="700"/>
      <c r="Z137" s="570">
        <f t="shared" si="26"/>
        <v>81760.140000000014</v>
      </c>
      <c r="AA137" s="274">
        <f t="shared" si="28"/>
        <v>0.35</v>
      </c>
      <c r="AB137" s="274">
        <f t="shared" si="28"/>
        <v>22298.220000000005</v>
      </c>
      <c r="AC137" s="681">
        <f>'расчеты к штатному'!X154-оклад!Z137</f>
        <v>60894.270937499998</v>
      </c>
      <c r="AD137" s="684">
        <f>('расчеты к штатному'!P154/оклад!Q137)-100%</f>
        <v>0.39583333333333326</v>
      </c>
    </row>
    <row r="138" spans="1:46" s="24" customFormat="1" ht="17.25" customHeight="1">
      <c r="A138" s="617"/>
      <c r="B138" s="672"/>
      <c r="C138" s="672"/>
      <c r="D138" s="673"/>
      <c r="E138" s="673"/>
      <c r="F138" s="672"/>
      <c r="G138" s="119"/>
      <c r="H138" s="119"/>
      <c r="I138" s="119"/>
      <c r="J138" s="120"/>
      <c r="K138" s="619"/>
      <c r="L138" s="674">
        <f>SUM(L129:L137)</f>
        <v>156</v>
      </c>
      <c r="M138" s="623"/>
      <c r="N138" s="675"/>
      <c r="O138" s="668"/>
      <c r="P138" s="673"/>
      <c r="Q138" s="623"/>
      <c r="R138" s="894">
        <f>'расчеты к штатному'!P155</f>
        <v>0</v>
      </c>
      <c r="S138" s="676"/>
      <c r="T138" s="619"/>
      <c r="U138" s="619"/>
      <c r="V138" s="623"/>
      <c r="W138" s="625"/>
      <c r="X138" s="619"/>
      <c r="Y138" s="889"/>
      <c r="Z138" s="626"/>
      <c r="AA138" s="104"/>
      <c r="AB138" s="104"/>
      <c r="AC138" s="878"/>
      <c r="AD138" s="879"/>
    </row>
    <row r="139" spans="1:46" s="78" customFormat="1" ht="18" customHeight="1">
      <c r="A139" s="703">
        <v>141</v>
      </c>
      <c r="B139" s="548" t="s">
        <v>368</v>
      </c>
      <c r="C139" s="647" t="s">
        <v>338</v>
      </c>
      <c r="D139" s="547" t="s">
        <v>64</v>
      </c>
      <c r="E139" s="704"/>
      <c r="F139" s="705"/>
      <c r="G139" s="706" t="s">
        <v>409</v>
      </c>
      <c r="H139" s="577"/>
      <c r="I139" s="707"/>
      <c r="J139" s="577">
        <v>2</v>
      </c>
      <c r="K139" s="552">
        <v>17697</v>
      </c>
      <c r="L139" s="552"/>
      <c r="M139" s="556">
        <v>1.5</v>
      </c>
      <c r="N139" s="552"/>
      <c r="O139" s="552">
        <v>2.44</v>
      </c>
      <c r="P139" s="552"/>
      <c r="Q139" s="567">
        <f>K139*O139*M139</f>
        <v>64771.020000000004</v>
      </c>
      <c r="R139" s="894">
        <f>'расчеты к штатному'!P156</f>
        <v>74592.854999999996</v>
      </c>
      <c r="S139" s="552">
        <f t="shared" ref="S139:S165" si="29">K139*Q140*N139</f>
        <v>0</v>
      </c>
      <c r="T139" s="557"/>
      <c r="U139" s="708">
        <v>0.1</v>
      </c>
      <c r="V139" s="552">
        <f t="shared" ref="V139:V165" si="30">U139*Q139</f>
        <v>6477.1020000000008</v>
      </c>
      <c r="W139" s="552"/>
      <c r="X139" s="558"/>
      <c r="Y139" s="558"/>
      <c r="Z139" s="559">
        <f t="shared" ref="Z139:Z165" si="31">Q139+V139+X139</f>
        <v>71248.122000000003</v>
      </c>
      <c r="AA139" s="319">
        <f t="shared" ref="AA139:AA165" si="32">S139+W139+Z139</f>
        <v>71248.122000000003</v>
      </c>
      <c r="AB139" s="319">
        <f t="shared" ref="AB139:AB165" si="33">T139+X139+AA139</f>
        <v>71248.122000000003</v>
      </c>
      <c r="AC139" s="681">
        <f>'расчеты к штатному'!X156-оклад!Z139</f>
        <v>10804.018499999991</v>
      </c>
      <c r="AD139" s="684">
        <f>('расчеты к штатному'!P156/оклад!Q139)-100%</f>
        <v>0.15163934426229497</v>
      </c>
      <c r="AE139" s="79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79"/>
    </row>
    <row r="140" spans="1:46" s="78" customFormat="1" ht="15.75" customHeight="1">
      <c r="A140" s="709">
        <v>142</v>
      </c>
      <c r="B140" s="153" t="s">
        <v>332</v>
      </c>
      <c r="C140" s="647" t="s">
        <v>338</v>
      </c>
      <c r="D140" s="560" t="s">
        <v>64</v>
      </c>
      <c r="E140" s="710"/>
      <c r="F140" s="711"/>
      <c r="G140" s="712" t="s">
        <v>404</v>
      </c>
      <c r="H140" s="563"/>
      <c r="I140" s="689"/>
      <c r="J140" s="563">
        <v>2</v>
      </c>
      <c r="K140" s="554">
        <v>17697</v>
      </c>
      <c r="L140" s="554"/>
      <c r="M140" s="552">
        <v>0.5</v>
      </c>
      <c r="N140" s="554"/>
      <c r="O140" s="552">
        <v>2.44</v>
      </c>
      <c r="P140" s="552"/>
      <c r="Q140" s="567">
        <f t="shared" ref="Q140:Q165" si="34">K140*O140*M140</f>
        <v>21590.34</v>
      </c>
      <c r="R140" s="894">
        <f>'расчеты к штатному'!P157</f>
        <v>24864.285</v>
      </c>
      <c r="S140" s="552">
        <f t="shared" si="29"/>
        <v>0</v>
      </c>
      <c r="T140" s="568"/>
      <c r="U140" s="708">
        <v>0.1</v>
      </c>
      <c r="V140" s="552">
        <f t="shared" si="30"/>
        <v>2159.0340000000001</v>
      </c>
      <c r="W140" s="554"/>
      <c r="X140" s="554"/>
      <c r="Y140" s="552"/>
      <c r="Z140" s="559">
        <f t="shared" si="31"/>
        <v>23749.374</v>
      </c>
      <c r="AA140" s="319">
        <f t="shared" si="32"/>
        <v>23749.374</v>
      </c>
      <c r="AB140" s="319">
        <f t="shared" si="33"/>
        <v>23749.374</v>
      </c>
      <c r="AC140" s="681">
        <f>'расчеты к штатному'!X157-оклад!Z140</f>
        <v>3601.3394999999982</v>
      </c>
      <c r="AD140" s="684">
        <f>('расчеты к штатному'!P157/оклад!Q140)-100%</f>
        <v>0.15163934426229497</v>
      </c>
      <c r="AE140" s="79"/>
      <c r="AF140" s="79"/>
      <c r="AG140" s="79"/>
      <c r="AH140" s="79"/>
      <c r="AI140" s="79"/>
      <c r="AJ140" s="79"/>
      <c r="AK140" s="79"/>
      <c r="AL140" s="79"/>
      <c r="AM140" s="79"/>
      <c r="AN140" s="79"/>
      <c r="AO140" s="79"/>
      <c r="AP140" s="79"/>
    </row>
    <row r="141" spans="1:46" s="80" customFormat="1" ht="15.75">
      <c r="A141" s="703">
        <v>143</v>
      </c>
      <c r="B141" s="153" t="s">
        <v>350</v>
      </c>
      <c r="C141" s="647" t="s">
        <v>338</v>
      </c>
      <c r="D141" s="560" t="s">
        <v>64</v>
      </c>
      <c r="E141" s="710"/>
      <c r="F141" s="560"/>
      <c r="G141" s="712" t="s">
        <v>404</v>
      </c>
      <c r="H141" s="563"/>
      <c r="I141" s="689"/>
      <c r="J141" s="563">
        <v>2</v>
      </c>
      <c r="K141" s="554">
        <v>17697</v>
      </c>
      <c r="L141" s="554"/>
      <c r="M141" s="554">
        <v>0.5</v>
      </c>
      <c r="N141" s="554"/>
      <c r="O141" s="552">
        <v>2.44</v>
      </c>
      <c r="P141" s="554"/>
      <c r="Q141" s="567">
        <f t="shared" si="34"/>
        <v>21590.34</v>
      </c>
      <c r="R141" s="894">
        <f>'расчеты к штатному'!P158</f>
        <v>24864.285</v>
      </c>
      <c r="S141" s="552">
        <f t="shared" si="29"/>
        <v>0</v>
      </c>
      <c r="T141" s="554"/>
      <c r="U141" s="708">
        <v>0.1</v>
      </c>
      <c r="V141" s="552">
        <f t="shared" si="30"/>
        <v>2159.0340000000001</v>
      </c>
      <c r="W141" s="554"/>
      <c r="X141" s="554"/>
      <c r="Y141" s="552"/>
      <c r="Z141" s="559">
        <f t="shared" si="31"/>
        <v>23749.374</v>
      </c>
      <c r="AA141" s="319">
        <f t="shared" si="32"/>
        <v>23749.374</v>
      </c>
      <c r="AB141" s="319">
        <f t="shared" si="33"/>
        <v>23749.374</v>
      </c>
      <c r="AC141" s="681">
        <f>'расчеты к штатному'!X158-оклад!Z141</f>
        <v>3601.3394999999982</v>
      </c>
      <c r="AD141" s="684">
        <f>('расчеты к штатному'!P158/оклад!Q141)-100%</f>
        <v>0.15163934426229497</v>
      </c>
    </row>
    <row r="142" spans="1:46" s="80" customFormat="1" ht="15.75">
      <c r="A142" s="709">
        <v>144</v>
      </c>
      <c r="B142" s="153" t="s">
        <v>335</v>
      </c>
      <c r="C142" s="561" t="s">
        <v>336</v>
      </c>
      <c r="D142" s="560" t="s">
        <v>64</v>
      </c>
      <c r="E142" s="710"/>
      <c r="F142" s="560"/>
      <c r="G142" s="712" t="s">
        <v>409</v>
      </c>
      <c r="H142" s="563"/>
      <c r="I142" s="689"/>
      <c r="J142" s="563">
        <v>4</v>
      </c>
      <c r="K142" s="554">
        <v>17697</v>
      </c>
      <c r="L142" s="554"/>
      <c r="M142" s="554">
        <v>1.5</v>
      </c>
      <c r="N142" s="554"/>
      <c r="O142" s="554">
        <v>2.5099999999999998</v>
      </c>
      <c r="P142" s="554"/>
      <c r="Q142" s="567">
        <f t="shared" si="34"/>
        <v>66629.204999999987</v>
      </c>
      <c r="R142" s="894">
        <f>'расчеты к штатному'!P159</f>
        <v>76716.494999999995</v>
      </c>
      <c r="S142" s="552">
        <f t="shared" si="29"/>
        <v>0</v>
      </c>
      <c r="T142" s="554"/>
      <c r="U142" s="708">
        <v>0.1</v>
      </c>
      <c r="V142" s="552">
        <f t="shared" si="30"/>
        <v>6662.9204999999993</v>
      </c>
      <c r="W142" s="554"/>
      <c r="X142" s="554"/>
      <c r="Y142" s="552"/>
      <c r="Z142" s="559">
        <f t="shared" si="31"/>
        <v>73292.12549999998</v>
      </c>
      <c r="AA142" s="319">
        <f t="shared" si="32"/>
        <v>73292.12549999998</v>
      </c>
      <c r="AB142" s="319">
        <f t="shared" si="33"/>
        <v>73292.12549999998</v>
      </c>
      <c r="AC142" s="681">
        <f>'расчеты к штатному'!X159-оклад!Z142</f>
        <v>11096.019000000015</v>
      </c>
      <c r="AD142" s="684">
        <f>('расчеты к штатному'!P159/оклад!Q142)-100%</f>
        <v>0.15139442231075706</v>
      </c>
    </row>
    <row r="143" spans="1:46" s="129" customFormat="1" ht="15.75">
      <c r="A143" s="703">
        <v>145</v>
      </c>
      <c r="B143" s="646" t="s">
        <v>337</v>
      </c>
      <c r="C143" s="647" t="s">
        <v>338</v>
      </c>
      <c r="D143" s="628" t="s">
        <v>64</v>
      </c>
      <c r="E143" s="713"/>
      <c r="F143" s="628"/>
      <c r="G143" s="628">
        <v>0.5</v>
      </c>
      <c r="H143" s="714"/>
      <c r="I143" s="715"/>
      <c r="J143" s="628">
        <v>2</v>
      </c>
      <c r="K143" s="715">
        <v>17697</v>
      </c>
      <c r="L143" s="715"/>
      <c r="M143" s="554">
        <v>0.5</v>
      </c>
      <c r="N143" s="554"/>
      <c r="O143" s="552">
        <v>2.44</v>
      </c>
      <c r="P143" s="552"/>
      <c r="Q143" s="567">
        <f t="shared" si="34"/>
        <v>21590.34</v>
      </c>
      <c r="R143" s="894">
        <f>'расчеты к штатному'!P160</f>
        <v>24864.285</v>
      </c>
      <c r="S143" s="552">
        <f t="shared" si="29"/>
        <v>0</v>
      </c>
      <c r="T143" s="554"/>
      <c r="U143" s="708">
        <v>0.1</v>
      </c>
      <c r="V143" s="552">
        <f t="shared" si="30"/>
        <v>2159.0340000000001</v>
      </c>
      <c r="W143" s="554"/>
      <c r="X143" s="554"/>
      <c r="Y143" s="552"/>
      <c r="Z143" s="559">
        <f t="shared" si="31"/>
        <v>23749.374</v>
      </c>
      <c r="AA143" s="319">
        <f t="shared" si="32"/>
        <v>23749.374</v>
      </c>
      <c r="AB143" s="319">
        <f t="shared" si="33"/>
        <v>23749.374</v>
      </c>
      <c r="AC143" s="681">
        <f>'расчеты к штатному'!X160-оклад!Z143</f>
        <v>3601.3394999999982</v>
      </c>
      <c r="AD143" s="684">
        <f>('расчеты к штатному'!P160/оклад!Q143)-100%</f>
        <v>0.15163934426229497</v>
      </c>
    </row>
    <row r="144" spans="1:46" s="129" customFormat="1" ht="15.75">
      <c r="A144" s="709">
        <v>146</v>
      </c>
      <c r="B144" s="646" t="s">
        <v>382</v>
      </c>
      <c r="C144" s="647" t="s">
        <v>338</v>
      </c>
      <c r="D144" s="560" t="s">
        <v>64</v>
      </c>
      <c r="E144" s="713"/>
      <c r="F144" s="646"/>
      <c r="G144" s="628">
        <v>0.5</v>
      </c>
      <c r="H144" s="714"/>
      <c r="I144" s="715"/>
      <c r="J144" s="628">
        <v>2</v>
      </c>
      <c r="K144" s="715">
        <v>17697</v>
      </c>
      <c r="L144" s="715"/>
      <c r="M144" s="554">
        <v>0.5</v>
      </c>
      <c r="N144" s="554"/>
      <c r="O144" s="552">
        <v>2.44</v>
      </c>
      <c r="P144" s="552"/>
      <c r="Q144" s="567">
        <f t="shared" si="34"/>
        <v>21590.34</v>
      </c>
      <c r="R144" s="894">
        <f>'расчеты к штатному'!P161</f>
        <v>24864.285</v>
      </c>
      <c r="S144" s="552">
        <f>K144*Q146*N144</f>
        <v>0</v>
      </c>
      <c r="T144" s="554"/>
      <c r="U144" s="708">
        <v>0.1</v>
      </c>
      <c r="V144" s="552">
        <f t="shared" si="30"/>
        <v>2159.0340000000001</v>
      </c>
      <c r="W144" s="554"/>
      <c r="X144" s="554"/>
      <c r="Y144" s="552"/>
      <c r="Z144" s="559">
        <f t="shared" si="31"/>
        <v>23749.374</v>
      </c>
      <c r="AA144" s="319">
        <f t="shared" si="32"/>
        <v>23749.374</v>
      </c>
      <c r="AB144" s="319">
        <f t="shared" si="33"/>
        <v>23749.374</v>
      </c>
      <c r="AC144" s="681">
        <f>'расчеты к штатному'!X161-оклад!Z144</f>
        <v>3601.3394999999982</v>
      </c>
      <c r="AD144" s="684">
        <f>('расчеты к штатному'!P161/оклад!Q144)-100%</f>
        <v>0.15163934426229497</v>
      </c>
    </row>
    <row r="145" spans="1:42" s="129" customFormat="1" ht="15.75">
      <c r="A145" s="703">
        <v>147</v>
      </c>
      <c r="B145" s="646" t="s">
        <v>383</v>
      </c>
      <c r="C145" s="647" t="s">
        <v>338</v>
      </c>
      <c r="D145" s="560" t="s">
        <v>75</v>
      </c>
      <c r="E145" s="713"/>
      <c r="F145" s="716"/>
      <c r="G145" s="628">
        <v>1</v>
      </c>
      <c r="H145" s="714"/>
      <c r="I145" s="715"/>
      <c r="J145" s="628">
        <v>2</v>
      </c>
      <c r="K145" s="715">
        <v>17697</v>
      </c>
      <c r="L145" s="715"/>
      <c r="M145" s="554">
        <v>1</v>
      </c>
      <c r="N145" s="554"/>
      <c r="O145" s="552">
        <v>2.44</v>
      </c>
      <c r="P145" s="552"/>
      <c r="Q145" s="567">
        <f t="shared" si="34"/>
        <v>43180.68</v>
      </c>
      <c r="R145" s="894">
        <f>'расчеты к штатному'!P162</f>
        <v>49728.57</v>
      </c>
      <c r="S145" s="552">
        <f>K145*Q147*N145</f>
        <v>0</v>
      </c>
      <c r="T145" s="554"/>
      <c r="U145" s="708">
        <v>0.1</v>
      </c>
      <c r="V145" s="552">
        <f t="shared" si="30"/>
        <v>4318.0680000000002</v>
      </c>
      <c r="W145" s="554"/>
      <c r="X145" s="554"/>
      <c r="Y145" s="552"/>
      <c r="Z145" s="559">
        <f t="shared" si="31"/>
        <v>47498.748</v>
      </c>
      <c r="AA145" s="319">
        <f t="shared" si="32"/>
        <v>47498.748</v>
      </c>
      <c r="AB145" s="319">
        <f t="shared" si="33"/>
        <v>47498.748</v>
      </c>
      <c r="AC145" s="681">
        <f>'расчеты к штатному'!X162-оклад!Z145</f>
        <v>7202.6789999999964</v>
      </c>
      <c r="AD145" s="684">
        <f>('расчеты к штатному'!P162/оклад!Q145)-100%</f>
        <v>0.15163934426229497</v>
      </c>
    </row>
    <row r="146" spans="1:42" s="78" customFormat="1" ht="15.75">
      <c r="A146" s="703">
        <v>148</v>
      </c>
      <c r="B146" s="153" t="s">
        <v>339</v>
      </c>
      <c r="C146" s="647" t="s">
        <v>340</v>
      </c>
      <c r="D146" s="560" t="s">
        <v>64</v>
      </c>
      <c r="E146" s="563"/>
      <c r="F146" s="711"/>
      <c r="G146" s="712">
        <v>1</v>
      </c>
      <c r="H146" s="563"/>
      <c r="I146" s="689"/>
      <c r="J146" s="563">
        <v>2</v>
      </c>
      <c r="K146" s="554">
        <v>17697</v>
      </c>
      <c r="L146" s="554"/>
      <c r="M146" s="554">
        <v>1</v>
      </c>
      <c r="N146" s="554"/>
      <c r="O146" s="552">
        <v>2.44</v>
      </c>
      <c r="P146" s="552"/>
      <c r="Q146" s="567">
        <f t="shared" si="34"/>
        <v>43180.68</v>
      </c>
      <c r="R146" s="894">
        <f>'расчеты к штатному'!P163</f>
        <v>49728.57</v>
      </c>
      <c r="S146" s="552">
        <f t="shared" si="29"/>
        <v>0</v>
      </c>
      <c r="T146" s="568"/>
      <c r="U146" s="708">
        <v>0.1</v>
      </c>
      <c r="V146" s="552">
        <f t="shared" si="30"/>
        <v>4318.0680000000002</v>
      </c>
      <c r="W146" s="569">
        <v>0.3</v>
      </c>
      <c r="X146" s="554">
        <f t="shared" ref="X146:X152" si="35">W146*K146</f>
        <v>5309.0999999999995</v>
      </c>
      <c r="Y146" s="552"/>
      <c r="Z146" s="559">
        <f t="shared" si="31"/>
        <v>52807.847999999998</v>
      </c>
      <c r="AA146" s="319">
        <f t="shared" si="32"/>
        <v>52808.148000000001</v>
      </c>
      <c r="AB146" s="319">
        <f t="shared" si="33"/>
        <v>58117.248</v>
      </c>
      <c r="AC146" s="681">
        <f>'расчеты к штатному'!X163-оклад!Z146</f>
        <v>7202.6789999999964</v>
      </c>
      <c r="AD146" s="684">
        <f>('расчеты к штатному'!P163/оклад!Q146)-100%</f>
        <v>0.15163934426229497</v>
      </c>
      <c r="AE146" s="79"/>
      <c r="AF146" s="79"/>
      <c r="AG146" s="79"/>
      <c r="AH146" s="79"/>
      <c r="AI146" s="79"/>
      <c r="AJ146" s="79"/>
      <c r="AK146" s="79"/>
      <c r="AL146" s="79"/>
      <c r="AM146" s="79"/>
      <c r="AN146" s="79"/>
      <c r="AO146" s="79"/>
      <c r="AP146" s="79"/>
    </row>
    <row r="147" spans="1:42" s="78" customFormat="1" ht="15.75">
      <c r="A147" s="709">
        <v>149</v>
      </c>
      <c r="B147" s="153" t="s">
        <v>341</v>
      </c>
      <c r="C147" s="647" t="s">
        <v>340</v>
      </c>
      <c r="D147" s="560" t="s">
        <v>64</v>
      </c>
      <c r="E147" s="563"/>
      <c r="F147" s="711"/>
      <c r="G147" s="712">
        <v>1</v>
      </c>
      <c r="H147" s="563"/>
      <c r="I147" s="689"/>
      <c r="J147" s="563">
        <v>2</v>
      </c>
      <c r="K147" s="554">
        <v>17697</v>
      </c>
      <c r="L147" s="554"/>
      <c r="M147" s="554">
        <v>1</v>
      </c>
      <c r="N147" s="554"/>
      <c r="O147" s="552">
        <v>2.44</v>
      </c>
      <c r="P147" s="552"/>
      <c r="Q147" s="567">
        <f t="shared" si="34"/>
        <v>43180.68</v>
      </c>
      <c r="R147" s="894">
        <f>'расчеты к штатному'!P164</f>
        <v>49728.57</v>
      </c>
      <c r="S147" s="552">
        <f t="shared" si="29"/>
        <v>0</v>
      </c>
      <c r="T147" s="568"/>
      <c r="U147" s="708">
        <v>0.1</v>
      </c>
      <c r="V147" s="552">
        <f t="shared" si="30"/>
        <v>4318.0680000000002</v>
      </c>
      <c r="W147" s="569">
        <v>0.3</v>
      </c>
      <c r="X147" s="554">
        <f t="shared" si="35"/>
        <v>5309.0999999999995</v>
      </c>
      <c r="Y147" s="552"/>
      <c r="Z147" s="559">
        <f t="shared" si="31"/>
        <v>52807.847999999998</v>
      </c>
      <c r="AA147" s="319">
        <f t="shared" si="32"/>
        <v>52808.148000000001</v>
      </c>
      <c r="AB147" s="319">
        <f t="shared" si="33"/>
        <v>58117.248</v>
      </c>
      <c r="AC147" s="681">
        <f>'расчеты к штатному'!X164-оклад!Z147</f>
        <v>7202.6789999999964</v>
      </c>
      <c r="AD147" s="684">
        <f>('расчеты к штатному'!P164/оклад!Q147)-100%</f>
        <v>0.15163934426229497</v>
      </c>
      <c r="AE147" s="79"/>
      <c r="AF147" s="79"/>
      <c r="AG147" s="79"/>
      <c r="AH147" s="79"/>
      <c r="AI147" s="79"/>
      <c r="AJ147" s="79"/>
      <c r="AK147" s="79"/>
      <c r="AL147" s="79"/>
      <c r="AM147" s="79"/>
      <c r="AN147" s="79"/>
      <c r="AO147" s="79"/>
      <c r="AP147" s="79"/>
    </row>
    <row r="148" spans="1:42" s="78" customFormat="1" ht="15.75">
      <c r="A148" s="703">
        <v>150</v>
      </c>
      <c r="B148" s="153" t="s">
        <v>342</v>
      </c>
      <c r="C148" s="647" t="s">
        <v>340</v>
      </c>
      <c r="D148" s="560" t="s">
        <v>64</v>
      </c>
      <c r="E148" s="563"/>
      <c r="F148" s="711"/>
      <c r="G148" s="712">
        <v>1</v>
      </c>
      <c r="H148" s="563"/>
      <c r="I148" s="689"/>
      <c r="J148" s="563">
        <v>2</v>
      </c>
      <c r="K148" s="554">
        <v>17697</v>
      </c>
      <c r="L148" s="554"/>
      <c r="M148" s="554">
        <v>1</v>
      </c>
      <c r="N148" s="554"/>
      <c r="O148" s="552">
        <v>2.44</v>
      </c>
      <c r="P148" s="552"/>
      <c r="Q148" s="567">
        <f t="shared" si="34"/>
        <v>43180.68</v>
      </c>
      <c r="R148" s="894">
        <f>'расчеты к штатному'!P165</f>
        <v>49728.57</v>
      </c>
      <c r="S148" s="552">
        <f t="shared" si="29"/>
        <v>0</v>
      </c>
      <c r="T148" s="568"/>
      <c r="U148" s="708">
        <v>0.1</v>
      </c>
      <c r="V148" s="552">
        <f t="shared" si="30"/>
        <v>4318.0680000000002</v>
      </c>
      <c r="W148" s="569">
        <v>0.3</v>
      </c>
      <c r="X148" s="554">
        <f t="shared" si="35"/>
        <v>5309.0999999999995</v>
      </c>
      <c r="Y148" s="552"/>
      <c r="Z148" s="559">
        <f t="shared" si="31"/>
        <v>52807.847999999998</v>
      </c>
      <c r="AA148" s="319">
        <f t="shared" si="32"/>
        <v>52808.148000000001</v>
      </c>
      <c r="AB148" s="319">
        <f t="shared" si="33"/>
        <v>58117.248</v>
      </c>
      <c r="AC148" s="681">
        <f>'расчеты к штатному'!X165-оклад!Z148</f>
        <v>7202.6789999999964</v>
      </c>
      <c r="AD148" s="684">
        <f>('расчеты к штатному'!P165/оклад!Q148)-100%</f>
        <v>0.15163934426229497</v>
      </c>
      <c r="AE148" s="79"/>
      <c r="AF148" s="79"/>
      <c r="AG148" s="79"/>
      <c r="AH148" s="79"/>
      <c r="AI148" s="79"/>
      <c r="AJ148" s="79"/>
      <c r="AK148" s="79"/>
      <c r="AL148" s="79"/>
      <c r="AM148" s="79"/>
      <c r="AN148" s="79"/>
      <c r="AO148" s="79"/>
      <c r="AP148" s="79"/>
    </row>
    <row r="149" spans="1:42" s="78" customFormat="1" ht="15.75">
      <c r="A149" s="709">
        <v>151</v>
      </c>
      <c r="B149" s="153" t="s">
        <v>343</v>
      </c>
      <c r="C149" s="647" t="s">
        <v>340</v>
      </c>
      <c r="D149" s="560" t="s">
        <v>64</v>
      </c>
      <c r="E149" s="563"/>
      <c r="F149" s="711"/>
      <c r="G149" s="712">
        <v>1</v>
      </c>
      <c r="H149" s="563"/>
      <c r="I149" s="689"/>
      <c r="J149" s="563">
        <v>2</v>
      </c>
      <c r="K149" s="554">
        <v>17697</v>
      </c>
      <c r="L149" s="554"/>
      <c r="M149" s="554">
        <v>1</v>
      </c>
      <c r="N149" s="554"/>
      <c r="O149" s="552">
        <v>2.44</v>
      </c>
      <c r="P149" s="552"/>
      <c r="Q149" s="567">
        <f t="shared" si="34"/>
        <v>43180.68</v>
      </c>
      <c r="R149" s="894">
        <f>'расчеты к штатному'!P166</f>
        <v>49728.57</v>
      </c>
      <c r="S149" s="552">
        <f t="shared" si="29"/>
        <v>0</v>
      </c>
      <c r="T149" s="568"/>
      <c r="U149" s="708">
        <v>0.1</v>
      </c>
      <c r="V149" s="552">
        <f t="shared" si="30"/>
        <v>4318.0680000000002</v>
      </c>
      <c r="W149" s="569">
        <v>0.3</v>
      </c>
      <c r="X149" s="554">
        <f t="shared" si="35"/>
        <v>5309.0999999999995</v>
      </c>
      <c r="Y149" s="552"/>
      <c r="Z149" s="559">
        <f t="shared" si="31"/>
        <v>52807.847999999998</v>
      </c>
      <c r="AA149" s="319">
        <f t="shared" si="32"/>
        <v>52808.148000000001</v>
      </c>
      <c r="AB149" s="319">
        <f t="shared" si="33"/>
        <v>58117.248</v>
      </c>
      <c r="AC149" s="681">
        <f>'расчеты к штатному'!X166-оклад!Z149</f>
        <v>7202.6789999999964</v>
      </c>
      <c r="AD149" s="684">
        <f>('расчеты к штатному'!P166/оклад!Q149)-100%</f>
        <v>0.15163934426229497</v>
      </c>
      <c r="AE149" s="79"/>
      <c r="AF149" s="79"/>
      <c r="AG149" s="79"/>
      <c r="AH149" s="79"/>
      <c r="AI149" s="79"/>
      <c r="AJ149" s="79"/>
      <c r="AK149" s="79"/>
      <c r="AL149" s="79"/>
      <c r="AM149" s="79"/>
      <c r="AN149" s="79"/>
      <c r="AO149" s="79"/>
      <c r="AP149" s="79"/>
    </row>
    <row r="150" spans="1:42" s="80" customFormat="1" ht="15.75">
      <c r="A150" s="703">
        <v>152</v>
      </c>
      <c r="B150" s="153" t="s">
        <v>505</v>
      </c>
      <c r="C150" s="647" t="s">
        <v>340</v>
      </c>
      <c r="D150" s="560" t="s">
        <v>64</v>
      </c>
      <c r="E150" s="563"/>
      <c r="F150" s="717"/>
      <c r="G150" s="712">
        <v>1</v>
      </c>
      <c r="H150" s="563"/>
      <c r="I150" s="689"/>
      <c r="J150" s="563">
        <v>2</v>
      </c>
      <c r="K150" s="554">
        <v>17697</v>
      </c>
      <c r="L150" s="554"/>
      <c r="M150" s="554">
        <v>1</v>
      </c>
      <c r="N150" s="554"/>
      <c r="O150" s="552">
        <v>2.44</v>
      </c>
      <c r="P150" s="552"/>
      <c r="Q150" s="567">
        <f t="shared" si="34"/>
        <v>43180.68</v>
      </c>
      <c r="R150" s="894">
        <f>'расчеты к штатному'!P167</f>
        <v>74592.854999999996</v>
      </c>
      <c r="S150" s="552">
        <f t="shared" si="29"/>
        <v>0</v>
      </c>
      <c r="T150" s="554"/>
      <c r="U150" s="708">
        <v>0.1</v>
      </c>
      <c r="V150" s="552">
        <f t="shared" si="30"/>
        <v>4318.0680000000002</v>
      </c>
      <c r="W150" s="569">
        <v>0.3</v>
      </c>
      <c r="X150" s="554">
        <f t="shared" si="35"/>
        <v>5309.0999999999995</v>
      </c>
      <c r="Y150" s="552"/>
      <c r="Z150" s="559">
        <f t="shared" si="31"/>
        <v>52807.847999999998</v>
      </c>
      <c r="AA150" s="319">
        <f t="shared" si="32"/>
        <v>52808.148000000001</v>
      </c>
      <c r="AB150" s="319">
        <f t="shared" si="33"/>
        <v>58117.248</v>
      </c>
      <c r="AC150" s="681">
        <f>'расчеты к штатному'!X167-оклад!Z150</f>
        <v>37207.94249999999</v>
      </c>
      <c r="AD150" s="684">
        <f>('расчеты к штатному'!P167/оклад!Q150)-100%</f>
        <v>0.72745901639344246</v>
      </c>
    </row>
    <row r="151" spans="1:42" s="80" customFormat="1" ht="15.75">
      <c r="A151" s="709">
        <v>153</v>
      </c>
      <c r="B151" s="153" t="s">
        <v>378</v>
      </c>
      <c r="C151" s="647" t="s">
        <v>340</v>
      </c>
      <c r="D151" s="560" t="s">
        <v>64</v>
      </c>
      <c r="E151" s="563"/>
      <c r="F151" s="711"/>
      <c r="G151" s="712">
        <v>1</v>
      </c>
      <c r="H151" s="563"/>
      <c r="I151" s="689"/>
      <c r="J151" s="563">
        <v>2</v>
      </c>
      <c r="K151" s="554">
        <v>17697</v>
      </c>
      <c r="L151" s="554"/>
      <c r="M151" s="554">
        <v>1</v>
      </c>
      <c r="N151" s="554"/>
      <c r="O151" s="552">
        <v>2.44</v>
      </c>
      <c r="P151" s="552"/>
      <c r="Q151" s="567">
        <f t="shared" si="34"/>
        <v>43180.68</v>
      </c>
      <c r="R151" s="894" t="e">
        <f>'расчеты к штатному'!#REF!</f>
        <v>#REF!</v>
      </c>
      <c r="S151" s="552">
        <f t="shared" si="29"/>
        <v>0</v>
      </c>
      <c r="T151" s="554"/>
      <c r="U151" s="708">
        <v>0.1</v>
      </c>
      <c r="V151" s="552">
        <f t="shared" si="30"/>
        <v>4318.0680000000002</v>
      </c>
      <c r="W151" s="569">
        <v>0.3</v>
      </c>
      <c r="X151" s="554">
        <f t="shared" si="35"/>
        <v>5309.0999999999995</v>
      </c>
      <c r="Y151" s="552"/>
      <c r="Z151" s="559">
        <f t="shared" si="31"/>
        <v>52807.847999999998</v>
      </c>
      <c r="AA151" s="319">
        <f t="shared" si="32"/>
        <v>52808.148000000001</v>
      </c>
      <c r="AB151" s="319">
        <f t="shared" si="33"/>
        <v>58117.248</v>
      </c>
      <c r="AC151" s="681" t="e">
        <f>'расчеты к штатному'!#REF!-оклад!Z151</f>
        <v>#REF!</v>
      </c>
      <c r="AD151" s="684" t="e">
        <f>('расчеты к штатному'!#REF!/оклад!Q151)-100%</f>
        <v>#REF!</v>
      </c>
    </row>
    <row r="152" spans="1:42" s="80" customFormat="1" ht="15.75">
      <c r="A152" s="703">
        <v>154</v>
      </c>
      <c r="B152" s="153" t="s">
        <v>506</v>
      </c>
      <c r="C152" s="647" t="s">
        <v>340</v>
      </c>
      <c r="D152" s="560" t="s">
        <v>64</v>
      </c>
      <c r="E152" s="563"/>
      <c r="F152" s="711"/>
      <c r="G152" s="712">
        <v>1</v>
      </c>
      <c r="H152" s="563"/>
      <c r="I152" s="689"/>
      <c r="J152" s="563">
        <v>2</v>
      </c>
      <c r="K152" s="554">
        <v>17697</v>
      </c>
      <c r="L152" s="554"/>
      <c r="M152" s="554">
        <v>1</v>
      </c>
      <c r="N152" s="554"/>
      <c r="O152" s="552">
        <v>2.44</v>
      </c>
      <c r="P152" s="552"/>
      <c r="Q152" s="567">
        <f t="shared" si="34"/>
        <v>43180.68</v>
      </c>
      <c r="R152" s="894">
        <f>'расчеты к штатному'!P168</f>
        <v>74592.854999999996</v>
      </c>
      <c r="S152" s="552">
        <f t="shared" si="29"/>
        <v>0</v>
      </c>
      <c r="T152" s="554"/>
      <c r="U152" s="708">
        <v>0.1</v>
      </c>
      <c r="V152" s="552">
        <f t="shared" si="30"/>
        <v>4318.0680000000002</v>
      </c>
      <c r="W152" s="569">
        <v>0.3</v>
      </c>
      <c r="X152" s="554">
        <f t="shared" si="35"/>
        <v>5309.0999999999995</v>
      </c>
      <c r="Y152" s="552"/>
      <c r="Z152" s="559">
        <f t="shared" si="31"/>
        <v>52807.847999999998</v>
      </c>
      <c r="AA152" s="319">
        <f t="shared" si="32"/>
        <v>52808.148000000001</v>
      </c>
      <c r="AB152" s="319">
        <f t="shared" si="33"/>
        <v>58117.248</v>
      </c>
      <c r="AC152" s="681">
        <f>'расчеты к штатному'!X168-оклад!Z152</f>
        <v>37207.94249999999</v>
      </c>
      <c r="AD152" s="684">
        <f>('расчеты к штатному'!P168/оклад!Q152)-100%</f>
        <v>0.72745901639344246</v>
      </c>
    </row>
    <row r="153" spans="1:42" s="129" customFormat="1" ht="15.75">
      <c r="A153" s="709">
        <v>155</v>
      </c>
      <c r="B153" s="646" t="s">
        <v>507</v>
      </c>
      <c r="C153" s="647" t="s">
        <v>340</v>
      </c>
      <c r="D153" s="560" t="s">
        <v>64</v>
      </c>
      <c r="E153" s="713"/>
      <c r="F153" s="628"/>
      <c r="G153" s="712">
        <v>1</v>
      </c>
      <c r="H153" s="714"/>
      <c r="I153" s="715"/>
      <c r="J153" s="563">
        <v>2</v>
      </c>
      <c r="K153" s="715">
        <v>17697</v>
      </c>
      <c r="L153" s="715"/>
      <c r="M153" s="554">
        <v>1.3</v>
      </c>
      <c r="N153" s="554"/>
      <c r="O153" s="552">
        <v>2.44</v>
      </c>
      <c r="P153" s="552"/>
      <c r="Q153" s="567">
        <f t="shared" si="34"/>
        <v>56134.884000000005</v>
      </c>
      <c r="R153" s="894">
        <f>'расчеты к штатному'!P169</f>
        <v>64647.141000000003</v>
      </c>
      <c r="S153" s="552">
        <f t="shared" si="29"/>
        <v>0</v>
      </c>
      <c r="T153" s="554"/>
      <c r="U153" s="708">
        <v>0.1</v>
      </c>
      <c r="V153" s="552">
        <f t="shared" si="30"/>
        <v>5613.4884000000011</v>
      </c>
      <c r="W153" s="569">
        <v>0.3</v>
      </c>
      <c r="X153" s="554">
        <f>W153*K153/1*1.3</f>
        <v>6901.83</v>
      </c>
      <c r="Y153" s="552"/>
      <c r="Z153" s="559">
        <f t="shared" si="31"/>
        <v>68650.202400000009</v>
      </c>
      <c r="AA153" s="319">
        <f t="shared" si="32"/>
        <v>68650.502400000012</v>
      </c>
      <c r="AB153" s="319">
        <f t="shared" si="33"/>
        <v>75552.332400000014</v>
      </c>
      <c r="AC153" s="681">
        <f>'расчеты к штатному'!X169-оклад!Z153</f>
        <v>9363.4826999999932</v>
      </c>
      <c r="AD153" s="684">
        <f>('расчеты к штатному'!P169/оклад!Q153)-100%</f>
        <v>0.15163934426229497</v>
      </c>
    </row>
    <row r="154" spans="1:42" s="80" customFormat="1" ht="15.75">
      <c r="A154" s="703">
        <v>156</v>
      </c>
      <c r="B154" s="718" t="s">
        <v>508</v>
      </c>
      <c r="C154" s="719" t="s">
        <v>340</v>
      </c>
      <c r="D154" s="720" t="s">
        <v>75</v>
      </c>
      <c r="E154" s="720"/>
      <c r="F154" s="721"/>
      <c r="G154" s="720">
        <v>1</v>
      </c>
      <c r="H154" s="722"/>
      <c r="I154" s="722"/>
      <c r="J154" s="601">
        <v>2</v>
      </c>
      <c r="K154" s="723">
        <v>17697</v>
      </c>
      <c r="L154" s="723"/>
      <c r="M154" s="554">
        <v>1</v>
      </c>
      <c r="N154" s="723"/>
      <c r="O154" s="552">
        <v>2.44</v>
      </c>
      <c r="P154" s="552"/>
      <c r="Q154" s="567">
        <f t="shared" si="34"/>
        <v>43180.68</v>
      </c>
      <c r="R154" s="894">
        <f>'расчеты к штатному'!P170</f>
        <v>49728.57</v>
      </c>
      <c r="S154" s="552">
        <f t="shared" si="29"/>
        <v>0</v>
      </c>
      <c r="T154" s="723"/>
      <c r="U154" s="708">
        <v>0.1</v>
      </c>
      <c r="V154" s="552">
        <f>U154*Q154</f>
        <v>4318.0680000000002</v>
      </c>
      <c r="W154" s="609">
        <v>0.3</v>
      </c>
      <c r="X154" s="605">
        <f>W154*K154</f>
        <v>5309.0999999999995</v>
      </c>
      <c r="Y154" s="891"/>
      <c r="Z154" s="559">
        <f t="shared" si="31"/>
        <v>52807.847999999998</v>
      </c>
      <c r="AA154" s="319">
        <f t="shared" si="32"/>
        <v>52808.148000000001</v>
      </c>
      <c r="AB154" s="319">
        <f t="shared" si="33"/>
        <v>58117.248</v>
      </c>
      <c r="AC154" s="681">
        <f>'расчеты к штатному'!X170-оклад!Z154</f>
        <v>7202.6789999999964</v>
      </c>
      <c r="AD154" s="684">
        <f>('расчеты к штатному'!P170/оклад!Q154)-100%</f>
        <v>0.15163934426229497</v>
      </c>
      <c r="AE154" s="81"/>
      <c r="AF154" s="81"/>
      <c r="AG154" s="83"/>
      <c r="AH154" s="82"/>
      <c r="AI154" s="81"/>
    </row>
    <row r="155" spans="1:42" s="78" customFormat="1" ht="15.75">
      <c r="A155" s="709">
        <v>156</v>
      </c>
      <c r="B155" s="153" t="s">
        <v>345</v>
      </c>
      <c r="C155" s="561" t="s">
        <v>346</v>
      </c>
      <c r="D155" s="560" t="s">
        <v>64</v>
      </c>
      <c r="E155" s="563"/>
      <c r="F155" s="711"/>
      <c r="G155" s="712">
        <v>1</v>
      </c>
      <c r="H155" s="563"/>
      <c r="I155" s="689"/>
      <c r="J155" s="563">
        <v>1</v>
      </c>
      <c r="K155" s="554">
        <v>17697</v>
      </c>
      <c r="L155" s="554"/>
      <c r="M155" s="723">
        <v>1</v>
      </c>
      <c r="N155" s="554"/>
      <c r="O155" s="554">
        <v>2.41</v>
      </c>
      <c r="P155" s="554"/>
      <c r="Q155" s="567">
        <f t="shared" si="34"/>
        <v>42649.770000000004</v>
      </c>
      <c r="R155" s="894">
        <f>'расчеты к штатному'!P171</f>
        <v>49020.69</v>
      </c>
      <c r="S155" s="552">
        <f t="shared" si="29"/>
        <v>0</v>
      </c>
      <c r="T155" s="568"/>
      <c r="U155" s="708">
        <v>0.1</v>
      </c>
      <c r="V155" s="552">
        <f t="shared" si="30"/>
        <v>4264.9770000000008</v>
      </c>
      <c r="W155" s="724">
        <v>0.5</v>
      </c>
      <c r="X155" s="593">
        <v>12439.34</v>
      </c>
      <c r="Y155" s="892"/>
      <c r="Z155" s="559">
        <f t="shared" si="31"/>
        <v>59354.087</v>
      </c>
      <c r="AA155" s="319">
        <f t="shared" si="32"/>
        <v>59354.587</v>
      </c>
      <c r="AB155" s="319">
        <f t="shared" si="33"/>
        <v>71793.926999999996</v>
      </c>
      <c r="AC155" s="681">
        <f>'расчеты к штатному'!X171-оклад!Z155</f>
        <v>7008.0120000000024</v>
      </c>
      <c r="AD155" s="684">
        <f>('расчеты к штатному'!P171/оклад!Q155)-100%</f>
        <v>0.14937759336099576</v>
      </c>
      <c r="AE155" s="79"/>
      <c r="AF155" s="79"/>
      <c r="AG155" s="79"/>
      <c r="AH155" s="79"/>
      <c r="AI155" s="79"/>
      <c r="AJ155" s="79"/>
      <c r="AK155" s="79"/>
      <c r="AL155" s="79"/>
      <c r="AM155" s="79"/>
      <c r="AN155" s="79"/>
      <c r="AO155" s="79"/>
      <c r="AP155" s="79"/>
    </row>
    <row r="156" spans="1:42" s="78" customFormat="1" ht="15.75">
      <c r="A156" s="703">
        <v>157</v>
      </c>
      <c r="B156" s="153" t="s">
        <v>347</v>
      </c>
      <c r="C156" s="561" t="s">
        <v>346</v>
      </c>
      <c r="D156" s="560" t="s">
        <v>25</v>
      </c>
      <c r="E156" s="563"/>
      <c r="F156" s="560"/>
      <c r="G156" s="712">
        <v>1</v>
      </c>
      <c r="H156" s="563"/>
      <c r="I156" s="689"/>
      <c r="J156" s="563">
        <v>1</v>
      </c>
      <c r="K156" s="554">
        <v>17697</v>
      </c>
      <c r="L156" s="554"/>
      <c r="M156" s="554">
        <v>1</v>
      </c>
      <c r="N156" s="554"/>
      <c r="O156" s="554">
        <v>2.41</v>
      </c>
      <c r="P156" s="554"/>
      <c r="Q156" s="567">
        <f t="shared" si="34"/>
        <v>42649.770000000004</v>
      </c>
      <c r="R156" s="894">
        <f>'расчеты к штатному'!P172</f>
        <v>49020.69</v>
      </c>
      <c r="S156" s="552">
        <f t="shared" si="29"/>
        <v>0</v>
      </c>
      <c r="T156" s="568"/>
      <c r="U156" s="708">
        <v>0.1</v>
      </c>
      <c r="V156" s="552">
        <f t="shared" si="30"/>
        <v>4264.9770000000008</v>
      </c>
      <c r="W156" s="724">
        <v>0.5</v>
      </c>
      <c r="X156" s="593">
        <v>12439.34</v>
      </c>
      <c r="Y156" s="892"/>
      <c r="Z156" s="559">
        <f t="shared" si="31"/>
        <v>59354.087</v>
      </c>
      <c r="AA156" s="319">
        <f t="shared" si="32"/>
        <v>59354.587</v>
      </c>
      <c r="AB156" s="319">
        <f t="shared" si="33"/>
        <v>71793.926999999996</v>
      </c>
      <c r="AC156" s="681">
        <f>'расчеты к штатному'!X172-оклад!Z156</f>
        <v>7008.0120000000024</v>
      </c>
      <c r="AD156" s="684">
        <f>('расчеты к штатному'!P172/оклад!Q156)-100%</f>
        <v>0.14937759336099576</v>
      </c>
      <c r="AE156" s="79"/>
      <c r="AF156" s="79"/>
      <c r="AG156" s="79"/>
      <c r="AH156" s="79"/>
      <c r="AI156" s="79"/>
      <c r="AJ156" s="79"/>
      <c r="AK156" s="79"/>
      <c r="AL156" s="79"/>
      <c r="AM156" s="79"/>
      <c r="AN156" s="79"/>
      <c r="AO156" s="79"/>
      <c r="AP156" s="79"/>
    </row>
    <row r="157" spans="1:42" s="78" customFormat="1" ht="15.75">
      <c r="A157" s="709">
        <v>158</v>
      </c>
      <c r="B157" s="153" t="s">
        <v>348</v>
      </c>
      <c r="C157" s="561" t="s">
        <v>346</v>
      </c>
      <c r="D157" s="560" t="s">
        <v>64</v>
      </c>
      <c r="E157" s="563"/>
      <c r="F157" s="560"/>
      <c r="G157" s="712">
        <v>1</v>
      </c>
      <c r="H157" s="563"/>
      <c r="I157" s="689"/>
      <c r="J157" s="563">
        <v>1</v>
      </c>
      <c r="K157" s="554">
        <v>17697</v>
      </c>
      <c r="L157" s="554"/>
      <c r="M157" s="554">
        <v>1</v>
      </c>
      <c r="N157" s="554"/>
      <c r="O157" s="554">
        <v>2.41</v>
      </c>
      <c r="P157" s="554"/>
      <c r="Q157" s="567">
        <f t="shared" si="34"/>
        <v>42649.770000000004</v>
      </c>
      <c r="R157" s="894">
        <f>'расчеты к штатному'!P173</f>
        <v>49020.69</v>
      </c>
      <c r="S157" s="552">
        <f t="shared" si="29"/>
        <v>0</v>
      </c>
      <c r="T157" s="568"/>
      <c r="U157" s="708">
        <v>0.1</v>
      </c>
      <c r="V157" s="552">
        <f t="shared" si="30"/>
        <v>4264.9770000000008</v>
      </c>
      <c r="W157" s="724">
        <v>0.5</v>
      </c>
      <c r="X157" s="593">
        <v>12439.34</v>
      </c>
      <c r="Y157" s="892"/>
      <c r="Z157" s="559">
        <f t="shared" si="31"/>
        <v>59354.087</v>
      </c>
      <c r="AA157" s="319">
        <f t="shared" si="32"/>
        <v>59354.587</v>
      </c>
      <c r="AB157" s="319">
        <f t="shared" si="33"/>
        <v>71793.926999999996</v>
      </c>
      <c r="AC157" s="681">
        <f>'расчеты к штатному'!X173-оклад!Z157</f>
        <v>7008.0120000000024</v>
      </c>
      <c r="AD157" s="684">
        <f>('расчеты к штатному'!P173/оклад!Q157)-100%</f>
        <v>0.14937759336099576</v>
      </c>
      <c r="AE157" s="79"/>
      <c r="AF157" s="79"/>
      <c r="AG157" s="79"/>
      <c r="AH157" s="79"/>
      <c r="AI157" s="79"/>
      <c r="AJ157" s="79"/>
      <c r="AK157" s="79"/>
      <c r="AL157" s="79"/>
      <c r="AM157" s="79"/>
      <c r="AN157" s="79"/>
      <c r="AO157" s="79"/>
      <c r="AP157" s="79"/>
    </row>
    <row r="158" spans="1:42" s="80" customFormat="1" ht="15.75">
      <c r="A158" s="703">
        <v>159</v>
      </c>
      <c r="B158" s="153" t="s">
        <v>416</v>
      </c>
      <c r="C158" s="725" t="s">
        <v>346</v>
      </c>
      <c r="D158" s="560" t="s">
        <v>64</v>
      </c>
      <c r="E158" s="563"/>
      <c r="F158" s="560"/>
      <c r="G158" s="712">
        <v>1</v>
      </c>
      <c r="H158" s="563"/>
      <c r="I158" s="689"/>
      <c r="J158" s="563">
        <v>1</v>
      </c>
      <c r="K158" s="554">
        <v>17697</v>
      </c>
      <c r="L158" s="554"/>
      <c r="M158" s="554">
        <v>1</v>
      </c>
      <c r="N158" s="554"/>
      <c r="O158" s="554">
        <v>2.41</v>
      </c>
      <c r="P158" s="554"/>
      <c r="Q158" s="567">
        <f t="shared" si="34"/>
        <v>42649.770000000004</v>
      </c>
      <c r="R158" s="894">
        <f>'расчеты к штатному'!P174</f>
        <v>49020.69</v>
      </c>
      <c r="S158" s="552">
        <f t="shared" si="29"/>
        <v>0</v>
      </c>
      <c r="T158" s="554"/>
      <c r="U158" s="708">
        <v>0.1</v>
      </c>
      <c r="V158" s="552">
        <f t="shared" si="30"/>
        <v>4264.9770000000008</v>
      </c>
      <c r="W158" s="724">
        <v>0.5</v>
      </c>
      <c r="X158" s="593">
        <v>12439.34</v>
      </c>
      <c r="Y158" s="892"/>
      <c r="Z158" s="559">
        <f t="shared" si="31"/>
        <v>59354.087</v>
      </c>
      <c r="AA158" s="319">
        <f t="shared" si="32"/>
        <v>59354.587</v>
      </c>
      <c r="AB158" s="319">
        <f t="shared" si="33"/>
        <v>71793.926999999996</v>
      </c>
      <c r="AC158" s="681">
        <f>'расчеты к штатному'!X174-оклад!Z158</f>
        <v>7008.0120000000024</v>
      </c>
      <c r="AD158" s="684">
        <f>('расчеты к штатному'!P174/оклад!Q158)-100%</f>
        <v>0.14937759336099576</v>
      </c>
    </row>
    <row r="159" spans="1:42" s="80" customFormat="1" ht="15.75">
      <c r="A159" s="709">
        <v>160</v>
      </c>
      <c r="B159" s="153" t="s">
        <v>333</v>
      </c>
      <c r="C159" s="725" t="s">
        <v>346</v>
      </c>
      <c r="D159" s="560" t="s">
        <v>64</v>
      </c>
      <c r="E159" s="563"/>
      <c r="F159" s="560"/>
      <c r="G159" s="712">
        <v>1</v>
      </c>
      <c r="H159" s="563"/>
      <c r="I159" s="689"/>
      <c r="J159" s="563">
        <v>1</v>
      </c>
      <c r="K159" s="554">
        <v>17697</v>
      </c>
      <c r="L159" s="554"/>
      <c r="M159" s="554">
        <v>1</v>
      </c>
      <c r="N159" s="554"/>
      <c r="O159" s="554">
        <v>2.41</v>
      </c>
      <c r="P159" s="554"/>
      <c r="Q159" s="567">
        <f t="shared" si="34"/>
        <v>42649.770000000004</v>
      </c>
      <c r="R159" s="894">
        <f>'расчеты к штатному'!P175</f>
        <v>49020.69</v>
      </c>
      <c r="S159" s="552">
        <f t="shared" si="29"/>
        <v>0</v>
      </c>
      <c r="T159" s="554"/>
      <c r="U159" s="708">
        <v>0.1</v>
      </c>
      <c r="V159" s="552">
        <f t="shared" si="30"/>
        <v>4264.9770000000008</v>
      </c>
      <c r="W159" s="724">
        <v>0.5</v>
      </c>
      <c r="X159" s="593">
        <v>12439.34</v>
      </c>
      <c r="Y159" s="892"/>
      <c r="Z159" s="559">
        <f t="shared" si="31"/>
        <v>59354.087</v>
      </c>
      <c r="AA159" s="319">
        <f t="shared" si="32"/>
        <v>59354.587</v>
      </c>
      <c r="AB159" s="319">
        <f t="shared" si="33"/>
        <v>71793.926999999996</v>
      </c>
      <c r="AC159" s="681">
        <f>'расчеты к штатному'!X175-оклад!Z159</f>
        <v>7008.0120000000024</v>
      </c>
      <c r="AD159" s="684">
        <f>('расчеты к штатному'!P175/оклад!Q159)-100%</f>
        <v>0.14937759336099576</v>
      </c>
    </row>
    <row r="160" spans="1:42" s="80" customFormat="1" ht="15.75">
      <c r="A160" s="703">
        <v>161</v>
      </c>
      <c r="B160" s="153" t="s">
        <v>350</v>
      </c>
      <c r="C160" s="725" t="s">
        <v>346</v>
      </c>
      <c r="D160" s="560" t="s">
        <v>64</v>
      </c>
      <c r="E160" s="563"/>
      <c r="F160" s="560"/>
      <c r="G160" s="712">
        <v>1</v>
      </c>
      <c r="H160" s="563"/>
      <c r="I160" s="689"/>
      <c r="J160" s="563">
        <v>1</v>
      </c>
      <c r="K160" s="554">
        <v>17697</v>
      </c>
      <c r="L160" s="554"/>
      <c r="M160" s="554">
        <v>1</v>
      </c>
      <c r="N160" s="554"/>
      <c r="O160" s="554">
        <v>2.41</v>
      </c>
      <c r="P160" s="554"/>
      <c r="Q160" s="567">
        <f t="shared" si="34"/>
        <v>42649.770000000004</v>
      </c>
      <c r="R160" s="894">
        <f>'расчеты к штатному'!P176</f>
        <v>49020.69</v>
      </c>
      <c r="S160" s="552">
        <f t="shared" si="29"/>
        <v>0</v>
      </c>
      <c r="T160" s="554"/>
      <c r="U160" s="708">
        <v>0.1</v>
      </c>
      <c r="V160" s="552">
        <f t="shared" si="30"/>
        <v>4264.9770000000008</v>
      </c>
      <c r="W160" s="724">
        <v>0.5</v>
      </c>
      <c r="X160" s="593">
        <v>12439.34</v>
      </c>
      <c r="Y160" s="892"/>
      <c r="Z160" s="559">
        <f t="shared" si="31"/>
        <v>59354.087</v>
      </c>
      <c r="AA160" s="319">
        <f t="shared" si="32"/>
        <v>59354.587</v>
      </c>
      <c r="AB160" s="319">
        <f t="shared" si="33"/>
        <v>71793.926999999996</v>
      </c>
      <c r="AC160" s="681">
        <f>'расчеты к штатному'!X176-оклад!Z160</f>
        <v>7008.0120000000024</v>
      </c>
      <c r="AD160" s="684">
        <f>('расчеты к штатному'!P176/оклад!Q160)-100%</f>
        <v>0.14937759336099576</v>
      </c>
    </row>
    <row r="161" spans="1:46" s="80" customFormat="1" ht="15.75">
      <c r="A161" s="709">
        <v>162</v>
      </c>
      <c r="B161" s="726" t="s">
        <v>351</v>
      </c>
      <c r="C161" s="662" t="s">
        <v>352</v>
      </c>
      <c r="D161" s="663" t="s">
        <v>75</v>
      </c>
      <c r="E161" s="663"/>
      <c r="F161" s="727"/>
      <c r="G161" s="663">
        <v>1</v>
      </c>
      <c r="H161" s="728"/>
      <c r="I161" s="728"/>
      <c r="J161" s="663">
        <v>1</v>
      </c>
      <c r="K161" s="567">
        <v>17697</v>
      </c>
      <c r="L161" s="567"/>
      <c r="M161" s="554">
        <v>1</v>
      </c>
      <c r="N161" s="567"/>
      <c r="O161" s="554">
        <v>2.41</v>
      </c>
      <c r="P161" s="554"/>
      <c r="Q161" s="567">
        <f t="shared" si="34"/>
        <v>42649.770000000004</v>
      </c>
      <c r="R161" s="894">
        <f>'расчеты к штатному'!P177</f>
        <v>49020.69</v>
      </c>
      <c r="S161" s="552">
        <f t="shared" si="29"/>
        <v>0</v>
      </c>
      <c r="T161" s="567"/>
      <c r="U161" s="708">
        <v>0.1</v>
      </c>
      <c r="V161" s="552">
        <f t="shared" si="30"/>
        <v>4264.9770000000008</v>
      </c>
      <c r="W161" s="567">
        <v>0</v>
      </c>
      <c r="X161" s="593">
        <v>12439.34</v>
      </c>
      <c r="Y161" s="892"/>
      <c r="Z161" s="559">
        <f t="shared" si="31"/>
        <v>59354.087</v>
      </c>
      <c r="AA161" s="319">
        <f t="shared" si="32"/>
        <v>59354.087</v>
      </c>
      <c r="AB161" s="319">
        <f t="shared" si="33"/>
        <v>71793.426999999996</v>
      </c>
      <c r="AC161" s="681">
        <f>'расчеты к штатному'!X177-оклад!Z161</f>
        <v>7008.0120000000024</v>
      </c>
      <c r="AD161" s="684">
        <f>('расчеты к штатному'!P177/оклад!Q161)-100%</f>
        <v>0.14937759336099576</v>
      </c>
      <c r="AE161" s="81"/>
      <c r="AF161" s="81"/>
      <c r="AG161" s="83"/>
      <c r="AH161" s="82"/>
      <c r="AI161" s="81"/>
    </row>
    <row r="162" spans="1:46" s="80" customFormat="1" ht="15.75">
      <c r="A162" s="703">
        <v>163</v>
      </c>
      <c r="B162" s="726" t="s">
        <v>353</v>
      </c>
      <c r="C162" s="662" t="s">
        <v>352</v>
      </c>
      <c r="D162" s="663" t="s">
        <v>75</v>
      </c>
      <c r="E162" s="663"/>
      <c r="F162" s="727"/>
      <c r="G162" s="663">
        <v>1</v>
      </c>
      <c r="H162" s="728"/>
      <c r="I162" s="728"/>
      <c r="J162" s="663">
        <v>1</v>
      </c>
      <c r="K162" s="567">
        <v>17697</v>
      </c>
      <c r="L162" s="567"/>
      <c r="M162" s="554">
        <v>1</v>
      </c>
      <c r="N162" s="567"/>
      <c r="O162" s="554">
        <v>2.41</v>
      </c>
      <c r="P162" s="554"/>
      <c r="Q162" s="567">
        <f t="shared" si="34"/>
        <v>42649.770000000004</v>
      </c>
      <c r="R162" s="894">
        <f>'расчеты к штатному'!P178</f>
        <v>49020.69</v>
      </c>
      <c r="S162" s="552">
        <f t="shared" si="29"/>
        <v>0</v>
      </c>
      <c r="T162" s="567"/>
      <c r="U162" s="708">
        <v>0.1</v>
      </c>
      <c r="V162" s="552">
        <f t="shared" si="30"/>
        <v>4264.9770000000008</v>
      </c>
      <c r="W162" s="567">
        <v>0</v>
      </c>
      <c r="X162" s="593">
        <v>12439.34</v>
      </c>
      <c r="Y162" s="892"/>
      <c r="Z162" s="559">
        <f t="shared" si="31"/>
        <v>59354.087</v>
      </c>
      <c r="AA162" s="319">
        <f t="shared" si="32"/>
        <v>59354.087</v>
      </c>
      <c r="AB162" s="319">
        <f t="shared" si="33"/>
        <v>71793.426999999996</v>
      </c>
      <c r="AC162" s="681">
        <f>'расчеты к штатному'!X178-оклад!Z162</f>
        <v>7008.0120000000024</v>
      </c>
      <c r="AD162" s="684">
        <f>('расчеты к штатному'!P178/оклад!Q162)-100%</f>
        <v>0.14937759336099576</v>
      </c>
      <c r="AE162" s="81"/>
      <c r="AF162" s="81"/>
      <c r="AG162" s="83"/>
      <c r="AH162" s="82"/>
      <c r="AI162" s="81"/>
    </row>
    <row r="163" spans="1:46" s="80" customFormat="1" ht="15.75">
      <c r="A163" s="709">
        <v>164</v>
      </c>
      <c r="B163" s="729" t="s">
        <v>354</v>
      </c>
      <c r="C163" s="662" t="s">
        <v>352</v>
      </c>
      <c r="D163" s="663" t="s">
        <v>75</v>
      </c>
      <c r="E163" s="663"/>
      <c r="F163" s="727"/>
      <c r="G163" s="663">
        <v>1</v>
      </c>
      <c r="H163" s="728"/>
      <c r="I163" s="728"/>
      <c r="J163" s="663">
        <v>1</v>
      </c>
      <c r="K163" s="567">
        <v>17697</v>
      </c>
      <c r="L163" s="567"/>
      <c r="M163" s="554">
        <v>1</v>
      </c>
      <c r="N163" s="567"/>
      <c r="O163" s="554">
        <v>2.41</v>
      </c>
      <c r="P163" s="554"/>
      <c r="Q163" s="567">
        <f t="shared" si="34"/>
        <v>42649.770000000004</v>
      </c>
      <c r="R163" s="894">
        <f>'расчеты к штатному'!P179</f>
        <v>49020.69</v>
      </c>
      <c r="S163" s="552">
        <f t="shared" si="29"/>
        <v>0</v>
      </c>
      <c r="T163" s="567"/>
      <c r="U163" s="708">
        <v>0.1</v>
      </c>
      <c r="V163" s="552">
        <f t="shared" si="30"/>
        <v>4264.9770000000008</v>
      </c>
      <c r="W163" s="567">
        <v>0</v>
      </c>
      <c r="X163" s="593">
        <v>12439.34</v>
      </c>
      <c r="Y163" s="892"/>
      <c r="Z163" s="559">
        <f t="shared" si="31"/>
        <v>59354.087</v>
      </c>
      <c r="AA163" s="319">
        <f t="shared" si="32"/>
        <v>59354.087</v>
      </c>
      <c r="AB163" s="319">
        <f t="shared" si="33"/>
        <v>71793.426999999996</v>
      </c>
      <c r="AC163" s="681">
        <f>'расчеты к штатному'!X179-оклад!Z163</f>
        <v>7008.0120000000024</v>
      </c>
      <c r="AD163" s="684">
        <f>('расчеты к штатному'!P179/оклад!Q163)-100%</f>
        <v>0.14937759336099576</v>
      </c>
      <c r="AE163" s="81"/>
      <c r="AF163" s="81"/>
      <c r="AG163" s="83"/>
      <c r="AH163" s="82"/>
      <c r="AI163" s="81"/>
    </row>
    <row r="164" spans="1:46" s="129" customFormat="1" ht="15.75">
      <c r="A164" s="703">
        <v>165</v>
      </c>
      <c r="B164" s="646" t="s">
        <v>355</v>
      </c>
      <c r="C164" s="647" t="s">
        <v>356</v>
      </c>
      <c r="D164" s="663" t="s">
        <v>75</v>
      </c>
      <c r="E164" s="646"/>
      <c r="F164" s="646"/>
      <c r="G164" s="628">
        <v>1</v>
      </c>
      <c r="H164" s="714"/>
      <c r="I164" s="715"/>
      <c r="J164" s="628">
        <v>1</v>
      </c>
      <c r="K164" s="715">
        <v>17697</v>
      </c>
      <c r="L164" s="715"/>
      <c r="M164" s="554">
        <v>1</v>
      </c>
      <c r="N164" s="554"/>
      <c r="O164" s="554">
        <v>2.41</v>
      </c>
      <c r="P164" s="554"/>
      <c r="Q164" s="567">
        <f t="shared" si="34"/>
        <v>42649.770000000004</v>
      </c>
      <c r="R164" s="894">
        <f>'расчеты к штатному'!P180</f>
        <v>49020.69</v>
      </c>
      <c r="S164" s="552">
        <f t="shared" si="29"/>
        <v>0</v>
      </c>
      <c r="T164" s="554"/>
      <c r="U164" s="708">
        <v>0.1</v>
      </c>
      <c r="V164" s="552">
        <f t="shared" si="30"/>
        <v>4264.9770000000008</v>
      </c>
      <c r="W164" s="567">
        <v>0</v>
      </c>
      <c r="X164" s="567">
        <v>0</v>
      </c>
      <c r="Y164" s="556"/>
      <c r="Z164" s="559">
        <f t="shared" si="31"/>
        <v>46914.747000000003</v>
      </c>
      <c r="AA164" s="319">
        <f t="shared" si="32"/>
        <v>46914.747000000003</v>
      </c>
      <c r="AB164" s="319">
        <f t="shared" si="33"/>
        <v>46914.747000000003</v>
      </c>
      <c r="AC164" s="681">
        <f>'расчеты к штатному'!X180-оклад!Z164</f>
        <v>7008.0120000000024</v>
      </c>
      <c r="AD164" s="684">
        <f>('расчеты к штатному'!P180/оклад!Q164)-100%</f>
        <v>0.14937759336099576</v>
      </c>
    </row>
    <row r="165" spans="1:46" s="129" customFormat="1" ht="15.75">
      <c r="A165" s="709">
        <v>166</v>
      </c>
      <c r="B165" s="646" t="s">
        <v>357</v>
      </c>
      <c r="C165" s="561" t="s">
        <v>358</v>
      </c>
      <c r="D165" s="560" t="s">
        <v>64</v>
      </c>
      <c r="E165" s="646"/>
      <c r="F165" s="646"/>
      <c r="G165" s="628">
        <v>1</v>
      </c>
      <c r="H165" s="714"/>
      <c r="I165" s="715"/>
      <c r="J165" s="628">
        <v>1</v>
      </c>
      <c r="K165" s="715">
        <v>17697</v>
      </c>
      <c r="L165" s="715"/>
      <c r="M165" s="554">
        <v>1</v>
      </c>
      <c r="N165" s="554"/>
      <c r="O165" s="554">
        <v>2.41</v>
      </c>
      <c r="P165" s="554"/>
      <c r="Q165" s="567">
        <f t="shared" si="34"/>
        <v>42649.770000000004</v>
      </c>
      <c r="R165" s="894">
        <f>'расчеты к штатному'!P181</f>
        <v>49020.69</v>
      </c>
      <c r="S165" s="552">
        <f t="shared" si="29"/>
        <v>0</v>
      </c>
      <c r="T165" s="554"/>
      <c r="U165" s="708">
        <v>0.1</v>
      </c>
      <c r="V165" s="552">
        <f t="shared" si="30"/>
        <v>4264.9770000000008</v>
      </c>
      <c r="W165" s="567">
        <v>0</v>
      </c>
      <c r="X165" s="567">
        <v>0</v>
      </c>
      <c r="Y165" s="556"/>
      <c r="Z165" s="559">
        <f t="shared" si="31"/>
        <v>46914.747000000003</v>
      </c>
      <c r="AA165" s="319">
        <f t="shared" si="32"/>
        <v>46914.747000000003</v>
      </c>
      <c r="AB165" s="319">
        <f t="shared" si="33"/>
        <v>46914.747000000003</v>
      </c>
      <c r="AC165" s="681">
        <f>'расчеты к штатному'!X181-оклад!Z165</f>
        <v>7008.0120000000024</v>
      </c>
      <c r="AD165" s="684">
        <f>('расчеты к штатному'!P181/оклад!Q165)-100%</f>
        <v>0.14937759336099576</v>
      </c>
    </row>
    <row r="166" spans="1:46" s="84" customFormat="1" ht="22.5" customHeight="1">
      <c r="A166" s="2322" t="s">
        <v>359</v>
      </c>
      <c r="B166" s="2322"/>
      <c r="C166" s="2322"/>
      <c r="D166" s="2322"/>
      <c r="E166" s="687"/>
      <c r="F166" s="687"/>
      <c r="G166" s="678"/>
      <c r="H166" s="687"/>
      <c r="I166" s="687"/>
      <c r="J166" s="687"/>
      <c r="K166" s="687"/>
      <c r="L166" s="679"/>
      <c r="M166" s="680">
        <v>170.63</v>
      </c>
      <c r="N166" s="680"/>
      <c r="O166" s="680"/>
      <c r="P166" s="680"/>
      <c r="Q166" s="680">
        <f>SUM(Q6:Q165)</f>
        <v>10962933.627333319</v>
      </c>
      <c r="R166" s="894">
        <f>'расчеты к штатному'!P182</f>
        <v>13538980.718499999</v>
      </c>
      <c r="S166" s="680"/>
      <c r="T166" s="680">
        <f>SUM(T6:T165)</f>
        <v>254536.93416666664</v>
      </c>
      <c r="U166" s="680"/>
      <c r="V166" s="680">
        <f>SUM(V6:V165)</f>
        <v>1119468.6103999987</v>
      </c>
      <c r="W166" s="680"/>
      <c r="X166" s="680">
        <f>SUM(X6:X165)</f>
        <v>164868.08999999997</v>
      </c>
      <c r="Y166" s="893"/>
      <c r="Z166" s="626">
        <f>SUM(Z6:Z165)</f>
        <v>12501807.261899987</v>
      </c>
      <c r="AA166" s="626" t="e">
        <f>SUM(AA6:AA165)</f>
        <v>#VALUE!</v>
      </c>
      <c r="AB166" s="626">
        <f>SUM(AB6:AB165)</f>
        <v>1987114.3598999989</v>
      </c>
      <c r="AC166" s="626" t="e">
        <f>SUM(AC6:AC165)</f>
        <v>#REF!</v>
      </c>
      <c r="AD166" s="626" t="e">
        <f>SUM(AD6:AD165)</f>
        <v>#REF!</v>
      </c>
      <c r="AE166" s="262"/>
      <c r="AF166" s="262"/>
      <c r="AG166" s="262"/>
      <c r="AH166" s="262"/>
      <c r="AI166" s="262"/>
      <c r="AJ166" s="262"/>
      <c r="AK166" s="262"/>
      <c r="AL166" s="262"/>
      <c r="AM166" s="262"/>
      <c r="AN166" s="262"/>
      <c r="AO166" s="262"/>
      <c r="AP166" s="262"/>
      <c r="AQ166" s="262"/>
      <c r="AR166" s="262"/>
      <c r="AS166" s="262"/>
      <c r="AT166" s="262"/>
    </row>
    <row r="167" spans="1:46" s="24" customFormat="1">
      <c r="A167" s="1"/>
      <c r="B167" s="1"/>
      <c r="C167" s="686"/>
      <c r="D167" s="1"/>
      <c r="E167" s="1"/>
      <c r="F167" s="1"/>
      <c r="G167" s="1"/>
      <c r="H167" s="1"/>
      <c r="I167" s="1"/>
      <c r="J167" s="1"/>
      <c r="K167" s="1"/>
      <c r="L167" s="1"/>
      <c r="M167" s="85"/>
      <c r="N167" s="86"/>
      <c r="O167" s="23"/>
      <c r="P167" s="23"/>
      <c r="Q167" s="87"/>
      <c r="R167" s="87"/>
      <c r="S167" s="88"/>
      <c r="T167" s="1"/>
      <c r="U167" s="1"/>
      <c r="V167" s="1"/>
      <c r="W167" s="1"/>
      <c r="X167" s="1"/>
      <c r="Y167" s="1"/>
      <c r="Z167" s="1"/>
      <c r="AA167" s="1"/>
      <c r="AB167" s="1"/>
    </row>
    <row r="168" spans="1:46" s="24" customFormat="1">
      <c r="A168" s="1"/>
      <c r="B168" s="1"/>
      <c r="C168" s="686"/>
      <c r="D168" s="1"/>
      <c r="E168" s="1"/>
      <c r="F168" s="1"/>
      <c r="G168" s="1"/>
      <c r="H168" s="1"/>
      <c r="I168" s="1"/>
      <c r="J168" s="1"/>
      <c r="K168" s="1"/>
      <c r="L168" s="1"/>
      <c r="N168" s="89"/>
      <c r="S168" s="1"/>
      <c r="T168" s="1"/>
      <c r="U168" s="1"/>
      <c r="V168" s="1"/>
      <c r="W168" s="1"/>
      <c r="X168" s="1"/>
      <c r="Y168" s="1"/>
      <c r="Z168" s="3"/>
      <c r="AA168" s="3"/>
      <c r="AB168" s="3"/>
    </row>
    <row r="169" spans="1:46" s="24" customFormat="1">
      <c r="A169" s="1"/>
      <c r="B169" s="1"/>
      <c r="C169" s="686"/>
      <c r="D169" s="1"/>
      <c r="E169" s="1"/>
      <c r="F169" s="1"/>
      <c r="G169" s="1"/>
      <c r="H169" s="1"/>
      <c r="I169" s="1"/>
      <c r="J169" s="1"/>
      <c r="K169" s="1"/>
      <c r="L169" s="1"/>
      <c r="M169" s="3">
        <v>2283</v>
      </c>
      <c r="N169" s="686"/>
      <c r="O169" s="1"/>
      <c r="P169" s="1"/>
      <c r="Q169" s="1"/>
      <c r="R169" s="1"/>
      <c r="S169" s="1"/>
      <c r="T169" s="1"/>
      <c r="U169" s="1"/>
      <c r="V169" s="1"/>
      <c r="W169" s="3"/>
      <c r="X169" s="3"/>
      <c r="Y169" s="3"/>
      <c r="Z169" s="3"/>
      <c r="AA169" s="3"/>
      <c r="AB169" s="3"/>
    </row>
    <row r="170" spans="1:46" s="24" customFormat="1">
      <c r="A170" s="1"/>
      <c r="B170" s="1"/>
      <c r="C170" s="686"/>
      <c r="D170" s="1"/>
      <c r="E170" s="1"/>
      <c r="F170" s="1"/>
      <c r="G170" s="1"/>
      <c r="H170" s="1"/>
      <c r="I170" s="1"/>
      <c r="J170" s="1"/>
      <c r="K170" s="3"/>
      <c r="L170" s="1"/>
      <c r="M170" s="3">
        <f>SUM(M139:M165)</f>
        <v>26.3</v>
      </c>
      <c r="N170" s="686"/>
      <c r="O170" s="1"/>
      <c r="P170" s="1"/>
      <c r="Q170" s="1"/>
      <c r="R170" s="1"/>
      <c r="S170" s="90"/>
      <c r="T170" s="90"/>
      <c r="U170" s="1"/>
      <c r="V170" s="1"/>
      <c r="W170" s="1"/>
      <c r="X170" s="1"/>
      <c r="Y170" s="1"/>
      <c r="Z170" s="1"/>
      <c r="AA170" s="1"/>
      <c r="AB170" s="1"/>
    </row>
    <row r="171" spans="1:46" s="24" customFormat="1">
      <c r="A171" s="1"/>
      <c r="B171" s="1"/>
      <c r="C171" s="686"/>
      <c r="D171" s="1"/>
      <c r="E171" s="1"/>
      <c r="F171" s="1"/>
      <c r="G171" s="1"/>
      <c r="H171" s="1"/>
      <c r="I171" s="1"/>
      <c r="J171" s="1"/>
      <c r="K171" s="3"/>
      <c r="L171" s="1"/>
      <c r="M171" s="3">
        <f>SUM(M6:M25)</f>
        <v>17.5</v>
      </c>
      <c r="N171" s="686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46" s="24" customFormat="1">
      <c r="A172" s="1"/>
      <c r="B172" s="1"/>
      <c r="C172" s="686"/>
      <c r="D172" s="1"/>
      <c r="E172" s="1"/>
      <c r="F172" s="1"/>
      <c r="G172" s="1"/>
      <c r="H172" s="1"/>
      <c r="I172" s="3"/>
      <c r="J172" s="1"/>
      <c r="K172" s="3"/>
      <c r="L172" s="1"/>
      <c r="M172" s="744">
        <f>SUM(M169:M171)</f>
        <v>2326.8000000000002</v>
      </c>
      <c r="N172" s="686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7" spans="1:28" s="24" customFormat="1">
      <c r="A177" s="1"/>
      <c r="B177" s="1"/>
      <c r="C177" s="686"/>
      <c r="D177" s="1"/>
      <c r="E177" s="1"/>
      <c r="F177" s="1"/>
      <c r="G177" s="1"/>
      <c r="H177" s="1"/>
      <c r="I177" s="1"/>
      <c r="J177" s="1"/>
      <c r="K177" s="1"/>
      <c r="L177" s="1"/>
      <c r="M177" s="3"/>
      <c r="N177" s="686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</sheetData>
  <mergeCells count="29">
    <mergeCell ref="A2:Z2"/>
    <mergeCell ref="A3:Z3"/>
    <mergeCell ref="A4:A5"/>
    <mergeCell ref="B4:B5"/>
    <mergeCell ref="C4:C5"/>
    <mergeCell ref="D4:D5"/>
    <mergeCell ref="E4:E5"/>
    <mergeCell ref="F4:F5"/>
    <mergeCell ref="G4:G5"/>
    <mergeCell ref="H4:H5"/>
    <mergeCell ref="S4:T4"/>
    <mergeCell ref="U4:V4"/>
    <mergeCell ref="W4:X4"/>
    <mergeCell ref="I4:I5"/>
    <mergeCell ref="J4:J5"/>
    <mergeCell ref="K4:K5"/>
    <mergeCell ref="L4:L5"/>
    <mergeCell ref="M4:M5"/>
    <mergeCell ref="N4:N5"/>
    <mergeCell ref="A166:D166"/>
    <mergeCell ref="R4:R5"/>
    <mergeCell ref="O4:O5"/>
    <mergeCell ref="P4:P5"/>
    <mergeCell ref="Q4:Q5"/>
    <mergeCell ref="Z4:Z5"/>
    <mergeCell ref="AA4:AA5"/>
    <mergeCell ref="AB4:AB5"/>
    <mergeCell ref="AC4:AC5"/>
    <mergeCell ref="AD4:AD5"/>
  </mergeCells>
  <pageMargins left="0" right="0" top="0.64" bottom="0" header="0.43" footer="0.31496062992125984"/>
  <pageSetup paperSize="9" scale="53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18">
    <tabColor rgb="FFFF0000"/>
  </sheetPr>
  <dimension ref="A1:AR178"/>
  <sheetViews>
    <sheetView topLeftCell="A148" zoomScale="70" zoomScaleNormal="70" zoomScaleSheetLayoutView="40" workbookViewId="0">
      <pane xSplit="3" topLeftCell="D1" activePane="topRight" state="frozen"/>
      <selection pane="topRight" activeCell="W178" sqref="W178"/>
    </sheetView>
  </sheetViews>
  <sheetFormatPr defaultRowHeight="12.75"/>
  <cols>
    <col min="1" max="1" width="6.42578125" style="1" customWidth="1"/>
    <col min="2" max="2" width="21.85546875" style="1" customWidth="1"/>
    <col min="3" max="3" width="17.7109375" style="686" customWidth="1"/>
    <col min="4" max="4" width="11.140625" style="1" customWidth="1"/>
    <col min="5" max="5" width="16.7109375" style="1" customWidth="1"/>
    <col min="6" max="6" width="13.5703125" style="1" customWidth="1"/>
    <col min="7" max="7" width="7.42578125" style="1" customWidth="1"/>
    <col min="8" max="8" width="4.7109375" style="1" customWidth="1"/>
    <col min="9" max="9" width="8.5703125" style="1" customWidth="1"/>
    <col min="10" max="10" width="5.5703125" style="1" customWidth="1"/>
    <col min="11" max="11" width="11.5703125" style="1" customWidth="1"/>
    <col min="12" max="12" width="10.42578125" style="1" customWidth="1"/>
    <col min="13" max="13" width="10.85546875" style="1" customWidth="1"/>
    <col min="14" max="14" width="9.7109375" style="686" bestFit="1" customWidth="1"/>
    <col min="15" max="16" width="8" style="1" customWidth="1"/>
    <col min="17" max="17" width="16.28515625" style="1" customWidth="1"/>
    <col min="18" max="18" width="10.5703125" style="1" customWidth="1"/>
    <col min="19" max="19" width="11.85546875" style="1" customWidth="1"/>
    <col min="20" max="20" width="13.85546875" style="1" customWidth="1"/>
    <col min="21" max="21" width="15.140625" style="1" customWidth="1"/>
    <col min="22" max="22" width="8.5703125" style="1" customWidth="1"/>
    <col min="23" max="23" width="11.7109375" style="1" customWidth="1"/>
    <col min="24" max="24" width="15.28515625" style="1" customWidth="1"/>
    <col min="25" max="26" width="18.28515625" style="1" hidden="1" customWidth="1"/>
    <col min="27" max="27" width="13" style="24" bestFit="1" customWidth="1"/>
    <col min="28" max="28" width="11.7109375" style="24" bestFit="1" customWidth="1"/>
    <col min="29" max="29" width="13" style="24" bestFit="1" customWidth="1"/>
    <col min="30" max="30" width="11" style="24" bestFit="1" customWidth="1"/>
    <col min="31" max="33" width="9.140625" style="24"/>
    <col min="34" max="34" width="11.28515625" style="24" bestFit="1" customWidth="1"/>
    <col min="35" max="35" width="10.7109375" style="24" bestFit="1" customWidth="1"/>
    <col min="36" max="44" width="9.140625" style="24"/>
    <col min="45" max="257" width="9.140625" style="1"/>
    <col min="258" max="258" width="6.42578125" style="1" customWidth="1"/>
    <col min="259" max="259" width="20.7109375" style="1" customWidth="1"/>
    <col min="260" max="260" width="24.7109375" style="1" customWidth="1"/>
    <col min="261" max="261" width="11.140625" style="1" customWidth="1"/>
    <col min="262" max="262" width="12.28515625" style="1" customWidth="1"/>
    <col min="263" max="263" width="11.140625" style="1" customWidth="1"/>
    <col min="264" max="264" width="10.42578125" style="1" customWidth="1"/>
    <col min="265" max="265" width="4.7109375" style="1" customWidth="1"/>
    <col min="266" max="266" width="8.5703125" style="1" customWidth="1"/>
    <col min="267" max="267" width="5.5703125" style="1" customWidth="1"/>
    <col min="268" max="269" width="11.5703125" style="1" customWidth="1"/>
    <col min="270" max="270" width="10.85546875" style="1" customWidth="1"/>
    <col min="271" max="271" width="7.7109375" style="1" customWidth="1"/>
    <col min="272" max="272" width="8" style="1" customWidth="1"/>
    <col min="273" max="273" width="16.28515625" style="1" customWidth="1"/>
    <col min="274" max="274" width="10.5703125" style="1" customWidth="1"/>
    <col min="275" max="275" width="14.140625" style="1" customWidth="1"/>
    <col min="276" max="276" width="10.140625" style="1" customWidth="1"/>
    <col min="277" max="277" width="15.140625" style="1" customWidth="1"/>
    <col min="278" max="278" width="8.5703125" style="1" customWidth="1"/>
    <col min="279" max="279" width="14.28515625" style="1" customWidth="1"/>
    <col min="280" max="280" width="18.28515625" style="1" customWidth="1"/>
    <col min="281" max="281" width="13" style="1" bestFit="1" customWidth="1"/>
    <col min="282" max="282" width="11.7109375" style="1" bestFit="1" customWidth="1"/>
    <col min="283" max="289" width="9.140625" style="1"/>
    <col min="290" max="290" width="11.28515625" style="1" bestFit="1" customWidth="1"/>
    <col min="291" max="291" width="10.7109375" style="1" bestFit="1" customWidth="1"/>
    <col min="292" max="513" width="9.140625" style="1"/>
    <col min="514" max="514" width="6.42578125" style="1" customWidth="1"/>
    <col min="515" max="515" width="20.7109375" style="1" customWidth="1"/>
    <col min="516" max="516" width="24.7109375" style="1" customWidth="1"/>
    <col min="517" max="517" width="11.140625" style="1" customWidth="1"/>
    <col min="518" max="518" width="12.28515625" style="1" customWidth="1"/>
    <col min="519" max="519" width="11.140625" style="1" customWidth="1"/>
    <col min="520" max="520" width="10.42578125" style="1" customWidth="1"/>
    <col min="521" max="521" width="4.7109375" style="1" customWidth="1"/>
    <col min="522" max="522" width="8.5703125" style="1" customWidth="1"/>
    <col min="523" max="523" width="5.5703125" style="1" customWidth="1"/>
    <col min="524" max="525" width="11.5703125" style="1" customWidth="1"/>
    <col min="526" max="526" width="10.85546875" style="1" customWidth="1"/>
    <col min="527" max="527" width="7.7109375" style="1" customWidth="1"/>
    <col min="528" max="528" width="8" style="1" customWidth="1"/>
    <col min="529" max="529" width="16.28515625" style="1" customWidth="1"/>
    <col min="530" max="530" width="10.5703125" style="1" customWidth="1"/>
    <col min="531" max="531" width="14.140625" style="1" customWidth="1"/>
    <col min="532" max="532" width="10.140625" style="1" customWidth="1"/>
    <col min="533" max="533" width="15.140625" style="1" customWidth="1"/>
    <col min="534" max="534" width="8.5703125" style="1" customWidth="1"/>
    <col min="535" max="535" width="14.28515625" style="1" customWidth="1"/>
    <col min="536" max="536" width="18.28515625" style="1" customWidth="1"/>
    <col min="537" max="537" width="13" style="1" bestFit="1" customWidth="1"/>
    <col min="538" max="538" width="11.7109375" style="1" bestFit="1" customWidth="1"/>
    <col min="539" max="545" width="9.140625" style="1"/>
    <col min="546" max="546" width="11.28515625" style="1" bestFit="1" customWidth="1"/>
    <col min="547" max="547" width="10.7109375" style="1" bestFit="1" customWidth="1"/>
    <col min="548" max="769" width="9.140625" style="1"/>
    <col min="770" max="770" width="6.42578125" style="1" customWidth="1"/>
    <col min="771" max="771" width="20.7109375" style="1" customWidth="1"/>
    <col min="772" max="772" width="24.7109375" style="1" customWidth="1"/>
    <col min="773" max="773" width="11.140625" style="1" customWidth="1"/>
    <col min="774" max="774" width="12.28515625" style="1" customWidth="1"/>
    <col min="775" max="775" width="11.140625" style="1" customWidth="1"/>
    <col min="776" max="776" width="10.42578125" style="1" customWidth="1"/>
    <col min="777" max="777" width="4.7109375" style="1" customWidth="1"/>
    <col min="778" max="778" width="8.5703125" style="1" customWidth="1"/>
    <col min="779" max="779" width="5.5703125" style="1" customWidth="1"/>
    <col min="780" max="781" width="11.5703125" style="1" customWidth="1"/>
    <col min="782" max="782" width="10.85546875" style="1" customWidth="1"/>
    <col min="783" max="783" width="7.7109375" style="1" customWidth="1"/>
    <col min="784" max="784" width="8" style="1" customWidth="1"/>
    <col min="785" max="785" width="16.28515625" style="1" customWidth="1"/>
    <col min="786" max="786" width="10.5703125" style="1" customWidth="1"/>
    <col min="787" max="787" width="14.140625" style="1" customWidth="1"/>
    <col min="788" max="788" width="10.140625" style="1" customWidth="1"/>
    <col min="789" max="789" width="15.140625" style="1" customWidth="1"/>
    <col min="790" max="790" width="8.5703125" style="1" customWidth="1"/>
    <col min="791" max="791" width="14.28515625" style="1" customWidth="1"/>
    <col min="792" max="792" width="18.28515625" style="1" customWidth="1"/>
    <col min="793" max="793" width="13" style="1" bestFit="1" customWidth="1"/>
    <col min="794" max="794" width="11.7109375" style="1" bestFit="1" customWidth="1"/>
    <col min="795" max="801" width="9.140625" style="1"/>
    <col min="802" max="802" width="11.28515625" style="1" bestFit="1" customWidth="1"/>
    <col min="803" max="803" width="10.7109375" style="1" bestFit="1" customWidth="1"/>
    <col min="804" max="1025" width="9.140625" style="1"/>
    <col min="1026" max="1026" width="6.42578125" style="1" customWidth="1"/>
    <col min="1027" max="1027" width="20.7109375" style="1" customWidth="1"/>
    <col min="1028" max="1028" width="24.7109375" style="1" customWidth="1"/>
    <col min="1029" max="1029" width="11.140625" style="1" customWidth="1"/>
    <col min="1030" max="1030" width="12.28515625" style="1" customWidth="1"/>
    <col min="1031" max="1031" width="11.140625" style="1" customWidth="1"/>
    <col min="1032" max="1032" width="10.42578125" style="1" customWidth="1"/>
    <col min="1033" max="1033" width="4.7109375" style="1" customWidth="1"/>
    <col min="1034" max="1034" width="8.5703125" style="1" customWidth="1"/>
    <col min="1035" max="1035" width="5.5703125" style="1" customWidth="1"/>
    <col min="1036" max="1037" width="11.5703125" style="1" customWidth="1"/>
    <col min="1038" max="1038" width="10.85546875" style="1" customWidth="1"/>
    <col min="1039" max="1039" width="7.7109375" style="1" customWidth="1"/>
    <col min="1040" max="1040" width="8" style="1" customWidth="1"/>
    <col min="1041" max="1041" width="16.28515625" style="1" customWidth="1"/>
    <col min="1042" max="1042" width="10.5703125" style="1" customWidth="1"/>
    <col min="1043" max="1043" width="14.140625" style="1" customWidth="1"/>
    <col min="1044" max="1044" width="10.140625" style="1" customWidth="1"/>
    <col min="1045" max="1045" width="15.140625" style="1" customWidth="1"/>
    <col min="1046" max="1046" width="8.5703125" style="1" customWidth="1"/>
    <col min="1047" max="1047" width="14.28515625" style="1" customWidth="1"/>
    <col min="1048" max="1048" width="18.28515625" style="1" customWidth="1"/>
    <col min="1049" max="1049" width="13" style="1" bestFit="1" customWidth="1"/>
    <col min="1050" max="1050" width="11.7109375" style="1" bestFit="1" customWidth="1"/>
    <col min="1051" max="1057" width="9.140625" style="1"/>
    <col min="1058" max="1058" width="11.28515625" style="1" bestFit="1" customWidth="1"/>
    <col min="1059" max="1059" width="10.7109375" style="1" bestFit="1" customWidth="1"/>
    <col min="1060" max="1281" width="9.140625" style="1"/>
    <col min="1282" max="1282" width="6.42578125" style="1" customWidth="1"/>
    <col min="1283" max="1283" width="20.7109375" style="1" customWidth="1"/>
    <col min="1284" max="1284" width="24.7109375" style="1" customWidth="1"/>
    <col min="1285" max="1285" width="11.140625" style="1" customWidth="1"/>
    <col min="1286" max="1286" width="12.28515625" style="1" customWidth="1"/>
    <col min="1287" max="1287" width="11.140625" style="1" customWidth="1"/>
    <col min="1288" max="1288" width="10.42578125" style="1" customWidth="1"/>
    <col min="1289" max="1289" width="4.7109375" style="1" customWidth="1"/>
    <col min="1290" max="1290" width="8.5703125" style="1" customWidth="1"/>
    <col min="1291" max="1291" width="5.5703125" style="1" customWidth="1"/>
    <col min="1292" max="1293" width="11.5703125" style="1" customWidth="1"/>
    <col min="1294" max="1294" width="10.85546875" style="1" customWidth="1"/>
    <col min="1295" max="1295" width="7.7109375" style="1" customWidth="1"/>
    <col min="1296" max="1296" width="8" style="1" customWidth="1"/>
    <col min="1297" max="1297" width="16.28515625" style="1" customWidth="1"/>
    <col min="1298" max="1298" width="10.5703125" style="1" customWidth="1"/>
    <col min="1299" max="1299" width="14.140625" style="1" customWidth="1"/>
    <col min="1300" max="1300" width="10.140625" style="1" customWidth="1"/>
    <col min="1301" max="1301" width="15.140625" style="1" customWidth="1"/>
    <col min="1302" max="1302" width="8.5703125" style="1" customWidth="1"/>
    <col min="1303" max="1303" width="14.28515625" style="1" customWidth="1"/>
    <col min="1304" max="1304" width="18.28515625" style="1" customWidth="1"/>
    <col min="1305" max="1305" width="13" style="1" bestFit="1" customWidth="1"/>
    <col min="1306" max="1306" width="11.7109375" style="1" bestFit="1" customWidth="1"/>
    <col min="1307" max="1313" width="9.140625" style="1"/>
    <col min="1314" max="1314" width="11.28515625" style="1" bestFit="1" customWidth="1"/>
    <col min="1315" max="1315" width="10.7109375" style="1" bestFit="1" customWidth="1"/>
    <col min="1316" max="1537" width="9.140625" style="1"/>
    <col min="1538" max="1538" width="6.42578125" style="1" customWidth="1"/>
    <col min="1539" max="1539" width="20.7109375" style="1" customWidth="1"/>
    <col min="1540" max="1540" width="24.7109375" style="1" customWidth="1"/>
    <col min="1541" max="1541" width="11.140625" style="1" customWidth="1"/>
    <col min="1542" max="1542" width="12.28515625" style="1" customWidth="1"/>
    <col min="1543" max="1543" width="11.140625" style="1" customWidth="1"/>
    <col min="1544" max="1544" width="10.42578125" style="1" customWidth="1"/>
    <col min="1545" max="1545" width="4.7109375" style="1" customWidth="1"/>
    <col min="1546" max="1546" width="8.5703125" style="1" customWidth="1"/>
    <col min="1547" max="1547" width="5.5703125" style="1" customWidth="1"/>
    <col min="1548" max="1549" width="11.5703125" style="1" customWidth="1"/>
    <col min="1550" max="1550" width="10.85546875" style="1" customWidth="1"/>
    <col min="1551" max="1551" width="7.7109375" style="1" customWidth="1"/>
    <col min="1552" max="1552" width="8" style="1" customWidth="1"/>
    <col min="1553" max="1553" width="16.28515625" style="1" customWidth="1"/>
    <col min="1554" max="1554" width="10.5703125" style="1" customWidth="1"/>
    <col min="1555" max="1555" width="14.140625" style="1" customWidth="1"/>
    <col min="1556" max="1556" width="10.140625" style="1" customWidth="1"/>
    <col min="1557" max="1557" width="15.140625" style="1" customWidth="1"/>
    <col min="1558" max="1558" width="8.5703125" style="1" customWidth="1"/>
    <col min="1559" max="1559" width="14.28515625" style="1" customWidth="1"/>
    <col min="1560" max="1560" width="18.28515625" style="1" customWidth="1"/>
    <col min="1561" max="1561" width="13" style="1" bestFit="1" customWidth="1"/>
    <col min="1562" max="1562" width="11.7109375" style="1" bestFit="1" customWidth="1"/>
    <col min="1563" max="1569" width="9.140625" style="1"/>
    <col min="1570" max="1570" width="11.28515625" style="1" bestFit="1" customWidth="1"/>
    <col min="1571" max="1571" width="10.7109375" style="1" bestFit="1" customWidth="1"/>
    <col min="1572" max="1793" width="9.140625" style="1"/>
    <col min="1794" max="1794" width="6.42578125" style="1" customWidth="1"/>
    <col min="1795" max="1795" width="20.7109375" style="1" customWidth="1"/>
    <col min="1796" max="1796" width="24.7109375" style="1" customWidth="1"/>
    <col min="1797" max="1797" width="11.140625" style="1" customWidth="1"/>
    <col min="1798" max="1798" width="12.28515625" style="1" customWidth="1"/>
    <col min="1799" max="1799" width="11.140625" style="1" customWidth="1"/>
    <col min="1800" max="1800" width="10.42578125" style="1" customWidth="1"/>
    <col min="1801" max="1801" width="4.7109375" style="1" customWidth="1"/>
    <col min="1802" max="1802" width="8.5703125" style="1" customWidth="1"/>
    <col min="1803" max="1803" width="5.5703125" style="1" customWidth="1"/>
    <col min="1804" max="1805" width="11.5703125" style="1" customWidth="1"/>
    <col min="1806" max="1806" width="10.85546875" style="1" customWidth="1"/>
    <col min="1807" max="1807" width="7.7109375" style="1" customWidth="1"/>
    <col min="1808" max="1808" width="8" style="1" customWidth="1"/>
    <col min="1809" max="1809" width="16.28515625" style="1" customWidth="1"/>
    <col min="1810" max="1810" width="10.5703125" style="1" customWidth="1"/>
    <col min="1811" max="1811" width="14.140625" style="1" customWidth="1"/>
    <col min="1812" max="1812" width="10.140625" style="1" customWidth="1"/>
    <col min="1813" max="1813" width="15.140625" style="1" customWidth="1"/>
    <col min="1814" max="1814" width="8.5703125" style="1" customWidth="1"/>
    <col min="1815" max="1815" width="14.28515625" style="1" customWidth="1"/>
    <col min="1816" max="1816" width="18.28515625" style="1" customWidth="1"/>
    <col min="1817" max="1817" width="13" style="1" bestFit="1" customWidth="1"/>
    <col min="1818" max="1818" width="11.7109375" style="1" bestFit="1" customWidth="1"/>
    <col min="1819" max="1825" width="9.140625" style="1"/>
    <col min="1826" max="1826" width="11.28515625" style="1" bestFit="1" customWidth="1"/>
    <col min="1827" max="1827" width="10.7109375" style="1" bestFit="1" customWidth="1"/>
    <col min="1828" max="2049" width="9.140625" style="1"/>
    <col min="2050" max="2050" width="6.42578125" style="1" customWidth="1"/>
    <col min="2051" max="2051" width="20.7109375" style="1" customWidth="1"/>
    <col min="2052" max="2052" width="24.7109375" style="1" customWidth="1"/>
    <col min="2053" max="2053" width="11.140625" style="1" customWidth="1"/>
    <col min="2054" max="2054" width="12.28515625" style="1" customWidth="1"/>
    <col min="2055" max="2055" width="11.140625" style="1" customWidth="1"/>
    <col min="2056" max="2056" width="10.42578125" style="1" customWidth="1"/>
    <col min="2057" max="2057" width="4.7109375" style="1" customWidth="1"/>
    <col min="2058" max="2058" width="8.5703125" style="1" customWidth="1"/>
    <col min="2059" max="2059" width="5.5703125" style="1" customWidth="1"/>
    <col min="2060" max="2061" width="11.5703125" style="1" customWidth="1"/>
    <col min="2062" max="2062" width="10.85546875" style="1" customWidth="1"/>
    <col min="2063" max="2063" width="7.7109375" style="1" customWidth="1"/>
    <col min="2064" max="2064" width="8" style="1" customWidth="1"/>
    <col min="2065" max="2065" width="16.28515625" style="1" customWidth="1"/>
    <col min="2066" max="2066" width="10.5703125" style="1" customWidth="1"/>
    <col min="2067" max="2067" width="14.140625" style="1" customWidth="1"/>
    <col min="2068" max="2068" width="10.140625" style="1" customWidth="1"/>
    <col min="2069" max="2069" width="15.140625" style="1" customWidth="1"/>
    <col min="2070" max="2070" width="8.5703125" style="1" customWidth="1"/>
    <col min="2071" max="2071" width="14.28515625" style="1" customWidth="1"/>
    <col min="2072" max="2072" width="18.28515625" style="1" customWidth="1"/>
    <col min="2073" max="2073" width="13" style="1" bestFit="1" customWidth="1"/>
    <col min="2074" max="2074" width="11.7109375" style="1" bestFit="1" customWidth="1"/>
    <col min="2075" max="2081" width="9.140625" style="1"/>
    <col min="2082" max="2082" width="11.28515625" style="1" bestFit="1" customWidth="1"/>
    <col min="2083" max="2083" width="10.7109375" style="1" bestFit="1" customWidth="1"/>
    <col min="2084" max="2305" width="9.140625" style="1"/>
    <col min="2306" max="2306" width="6.42578125" style="1" customWidth="1"/>
    <col min="2307" max="2307" width="20.7109375" style="1" customWidth="1"/>
    <col min="2308" max="2308" width="24.7109375" style="1" customWidth="1"/>
    <col min="2309" max="2309" width="11.140625" style="1" customWidth="1"/>
    <col min="2310" max="2310" width="12.28515625" style="1" customWidth="1"/>
    <col min="2311" max="2311" width="11.140625" style="1" customWidth="1"/>
    <col min="2312" max="2312" width="10.42578125" style="1" customWidth="1"/>
    <col min="2313" max="2313" width="4.7109375" style="1" customWidth="1"/>
    <col min="2314" max="2314" width="8.5703125" style="1" customWidth="1"/>
    <col min="2315" max="2315" width="5.5703125" style="1" customWidth="1"/>
    <col min="2316" max="2317" width="11.5703125" style="1" customWidth="1"/>
    <col min="2318" max="2318" width="10.85546875" style="1" customWidth="1"/>
    <col min="2319" max="2319" width="7.7109375" style="1" customWidth="1"/>
    <col min="2320" max="2320" width="8" style="1" customWidth="1"/>
    <col min="2321" max="2321" width="16.28515625" style="1" customWidth="1"/>
    <col min="2322" max="2322" width="10.5703125" style="1" customWidth="1"/>
    <col min="2323" max="2323" width="14.140625" style="1" customWidth="1"/>
    <col min="2324" max="2324" width="10.140625" style="1" customWidth="1"/>
    <col min="2325" max="2325" width="15.140625" style="1" customWidth="1"/>
    <col min="2326" max="2326" width="8.5703125" style="1" customWidth="1"/>
    <col min="2327" max="2327" width="14.28515625" style="1" customWidth="1"/>
    <col min="2328" max="2328" width="18.28515625" style="1" customWidth="1"/>
    <col min="2329" max="2329" width="13" style="1" bestFit="1" customWidth="1"/>
    <col min="2330" max="2330" width="11.7109375" style="1" bestFit="1" customWidth="1"/>
    <col min="2331" max="2337" width="9.140625" style="1"/>
    <col min="2338" max="2338" width="11.28515625" style="1" bestFit="1" customWidth="1"/>
    <col min="2339" max="2339" width="10.7109375" style="1" bestFit="1" customWidth="1"/>
    <col min="2340" max="2561" width="9.140625" style="1"/>
    <col min="2562" max="2562" width="6.42578125" style="1" customWidth="1"/>
    <col min="2563" max="2563" width="20.7109375" style="1" customWidth="1"/>
    <col min="2564" max="2564" width="24.7109375" style="1" customWidth="1"/>
    <col min="2565" max="2565" width="11.140625" style="1" customWidth="1"/>
    <col min="2566" max="2566" width="12.28515625" style="1" customWidth="1"/>
    <col min="2567" max="2567" width="11.140625" style="1" customWidth="1"/>
    <col min="2568" max="2568" width="10.42578125" style="1" customWidth="1"/>
    <col min="2569" max="2569" width="4.7109375" style="1" customWidth="1"/>
    <col min="2570" max="2570" width="8.5703125" style="1" customWidth="1"/>
    <col min="2571" max="2571" width="5.5703125" style="1" customWidth="1"/>
    <col min="2572" max="2573" width="11.5703125" style="1" customWidth="1"/>
    <col min="2574" max="2574" width="10.85546875" style="1" customWidth="1"/>
    <col min="2575" max="2575" width="7.7109375" style="1" customWidth="1"/>
    <col min="2576" max="2576" width="8" style="1" customWidth="1"/>
    <col min="2577" max="2577" width="16.28515625" style="1" customWidth="1"/>
    <col min="2578" max="2578" width="10.5703125" style="1" customWidth="1"/>
    <col min="2579" max="2579" width="14.140625" style="1" customWidth="1"/>
    <col min="2580" max="2580" width="10.140625" style="1" customWidth="1"/>
    <col min="2581" max="2581" width="15.140625" style="1" customWidth="1"/>
    <col min="2582" max="2582" width="8.5703125" style="1" customWidth="1"/>
    <col min="2583" max="2583" width="14.28515625" style="1" customWidth="1"/>
    <col min="2584" max="2584" width="18.28515625" style="1" customWidth="1"/>
    <col min="2585" max="2585" width="13" style="1" bestFit="1" customWidth="1"/>
    <col min="2586" max="2586" width="11.7109375" style="1" bestFit="1" customWidth="1"/>
    <col min="2587" max="2593" width="9.140625" style="1"/>
    <col min="2594" max="2594" width="11.28515625" style="1" bestFit="1" customWidth="1"/>
    <col min="2595" max="2595" width="10.7109375" style="1" bestFit="1" customWidth="1"/>
    <col min="2596" max="2817" width="9.140625" style="1"/>
    <col min="2818" max="2818" width="6.42578125" style="1" customWidth="1"/>
    <col min="2819" max="2819" width="20.7109375" style="1" customWidth="1"/>
    <col min="2820" max="2820" width="24.7109375" style="1" customWidth="1"/>
    <col min="2821" max="2821" width="11.140625" style="1" customWidth="1"/>
    <col min="2822" max="2822" width="12.28515625" style="1" customWidth="1"/>
    <col min="2823" max="2823" width="11.140625" style="1" customWidth="1"/>
    <col min="2824" max="2824" width="10.42578125" style="1" customWidth="1"/>
    <col min="2825" max="2825" width="4.7109375" style="1" customWidth="1"/>
    <col min="2826" max="2826" width="8.5703125" style="1" customWidth="1"/>
    <col min="2827" max="2827" width="5.5703125" style="1" customWidth="1"/>
    <col min="2828" max="2829" width="11.5703125" style="1" customWidth="1"/>
    <col min="2830" max="2830" width="10.85546875" style="1" customWidth="1"/>
    <col min="2831" max="2831" width="7.7109375" style="1" customWidth="1"/>
    <col min="2832" max="2832" width="8" style="1" customWidth="1"/>
    <col min="2833" max="2833" width="16.28515625" style="1" customWidth="1"/>
    <col min="2834" max="2834" width="10.5703125" style="1" customWidth="1"/>
    <col min="2835" max="2835" width="14.140625" style="1" customWidth="1"/>
    <col min="2836" max="2836" width="10.140625" style="1" customWidth="1"/>
    <col min="2837" max="2837" width="15.140625" style="1" customWidth="1"/>
    <col min="2838" max="2838" width="8.5703125" style="1" customWidth="1"/>
    <col min="2839" max="2839" width="14.28515625" style="1" customWidth="1"/>
    <col min="2840" max="2840" width="18.28515625" style="1" customWidth="1"/>
    <col min="2841" max="2841" width="13" style="1" bestFit="1" customWidth="1"/>
    <col min="2842" max="2842" width="11.7109375" style="1" bestFit="1" customWidth="1"/>
    <col min="2843" max="2849" width="9.140625" style="1"/>
    <col min="2850" max="2850" width="11.28515625" style="1" bestFit="1" customWidth="1"/>
    <col min="2851" max="2851" width="10.7109375" style="1" bestFit="1" customWidth="1"/>
    <col min="2852" max="3073" width="9.140625" style="1"/>
    <col min="3074" max="3074" width="6.42578125" style="1" customWidth="1"/>
    <col min="3075" max="3075" width="20.7109375" style="1" customWidth="1"/>
    <col min="3076" max="3076" width="24.7109375" style="1" customWidth="1"/>
    <col min="3077" max="3077" width="11.140625" style="1" customWidth="1"/>
    <col min="3078" max="3078" width="12.28515625" style="1" customWidth="1"/>
    <col min="3079" max="3079" width="11.140625" style="1" customWidth="1"/>
    <col min="3080" max="3080" width="10.42578125" style="1" customWidth="1"/>
    <col min="3081" max="3081" width="4.7109375" style="1" customWidth="1"/>
    <col min="3082" max="3082" width="8.5703125" style="1" customWidth="1"/>
    <col min="3083" max="3083" width="5.5703125" style="1" customWidth="1"/>
    <col min="3084" max="3085" width="11.5703125" style="1" customWidth="1"/>
    <col min="3086" max="3086" width="10.85546875" style="1" customWidth="1"/>
    <col min="3087" max="3087" width="7.7109375" style="1" customWidth="1"/>
    <col min="3088" max="3088" width="8" style="1" customWidth="1"/>
    <col min="3089" max="3089" width="16.28515625" style="1" customWidth="1"/>
    <col min="3090" max="3090" width="10.5703125" style="1" customWidth="1"/>
    <col min="3091" max="3091" width="14.140625" style="1" customWidth="1"/>
    <col min="3092" max="3092" width="10.140625" style="1" customWidth="1"/>
    <col min="3093" max="3093" width="15.140625" style="1" customWidth="1"/>
    <col min="3094" max="3094" width="8.5703125" style="1" customWidth="1"/>
    <col min="3095" max="3095" width="14.28515625" style="1" customWidth="1"/>
    <col min="3096" max="3096" width="18.28515625" style="1" customWidth="1"/>
    <col min="3097" max="3097" width="13" style="1" bestFit="1" customWidth="1"/>
    <col min="3098" max="3098" width="11.7109375" style="1" bestFit="1" customWidth="1"/>
    <col min="3099" max="3105" width="9.140625" style="1"/>
    <col min="3106" max="3106" width="11.28515625" style="1" bestFit="1" customWidth="1"/>
    <col min="3107" max="3107" width="10.7109375" style="1" bestFit="1" customWidth="1"/>
    <col min="3108" max="3329" width="9.140625" style="1"/>
    <col min="3330" max="3330" width="6.42578125" style="1" customWidth="1"/>
    <col min="3331" max="3331" width="20.7109375" style="1" customWidth="1"/>
    <col min="3332" max="3332" width="24.7109375" style="1" customWidth="1"/>
    <col min="3333" max="3333" width="11.140625" style="1" customWidth="1"/>
    <col min="3334" max="3334" width="12.28515625" style="1" customWidth="1"/>
    <col min="3335" max="3335" width="11.140625" style="1" customWidth="1"/>
    <col min="3336" max="3336" width="10.42578125" style="1" customWidth="1"/>
    <col min="3337" max="3337" width="4.7109375" style="1" customWidth="1"/>
    <col min="3338" max="3338" width="8.5703125" style="1" customWidth="1"/>
    <col min="3339" max="3339" width="5.5703125" style="1" customWidth="1"/>
    <col min="3340" max="3341" width="11.5703125" style="1" customWidth="1"/>
    <col min="3342" max="3342" width="10.85546875" style="1" customWidth="1"/>
    <col min="3343" max="3343" width="7.7109375" style="1" customWidth="1"/>
    <col min="3344" max="3344" width="8" style="1" customWidth="1"/>
    <col min="3345" max="3345" width="16.28515625" style="1" customWidth="1"/>
    <col min="3346" max="3346" width="10.5703125" style="1" customWidth="1"/>
    <col min="3347" max="3347" width="14.140625" style="1" customWidth="1"/>
    <col min="3348" max="3348" width="10.140625" style="1" customWidth="1"/>
    <col min="3349" max="3349" width="15.140625" style="1" customWidth="1"/>
    <col min="3350" max="3350" width="8.5703125" style="1" customWidth="1"/>
    <col min="3351" max="3351" width="14.28515625" style="1" customWidth="1"/>
    <col min="3352" max="3352" width="18.28515625" style="1" customWidth="1"/>
    <col min="3353" max="3353" width="13" style="1" bestFit="1" customWidth="1"/>
    <col min="3354" max="3354" width="11.7109375" style="1" bestFit="1" customWidth="1"/>
    <col min="3355" max="3361" width="9.140625" style="1"/>
    <col min="3362" max="3362" width="11.28515625" style="1" bestFit="1" customWidth="1"/>
    <col min="3363" max="3363" width="10.7109375" style="1" bestFit="1" customWidth="1"/>
    <col min="3364" max="3585" width="9.140625" style="1"/>
    <col min="3586" max="3586" width="6.42578125" style="1" customWidth="1"/>
    <col min="3587" max="3587" width="20.7109375" style="1" customWidth="1"/>
    <col min="3588" max="3588" width="24.7109375" style="1" customWidth="1"/>
    <col min="3589" max="3589" width="11.140625" style="1" customWidth="1"/>
    <col min="3590" max="3590" width="12.28515625" style="1" customWidth="1"/>
    <col min="3591" max="3591" width="11.140625" style="1" customWidth="1"/>
    <col min="3592" max="3592" width="10.42578125" style="1" customWidth="1"/>
    <col min="3593" max="3593" width="4.7109375" style="1" customWidth="1"/>
    <col min="3594" max="3594" width="8.5703125" style="1" customWidth="1"/>
    <col min="3595" max="3595" width="5.5703125" style="1" customWidth="1"/>
    <col min="3596" max="3597" width="11.5703125" style="1" customWidth="1"/>
    <col min="3598" max="3598" width="10.85546875" style="1" customWidth="1"/>
    <col min="3599" max="3599" width="7.7109375" style="1" customWidth="1"/>
    <col min="3600" max="3600" width="8" style="1" customWidth="1"/>
    <col min="3601" max="3601" width="16.28515625" style="1" customWidth="1"/>
    <col min="3602" max="3602" width="10.5703125" style="1" customWidth="1"/>
    <col min="3603" max="3603" width="14.140625" style="1" customWidth="1"/>
    <col min="3604" max="3604" width="10.140625" style="1" customWidth="1"/>
    <col min="3605" max="3605" width="15.140625" style="1" customWidth="1"/>
    <col min="3606" max="3606" width="8.5703125" style="1" customWidth="1"/>
    <col min="3607" max="3607" width="14.28515625" style="1" customWidth="1"/>
    <col min="3608" max="3608" width="18.28515625" style="1" customWidth="1"/>
    <col min="3609" max="3609" width="13" style="1" bestFit="1" customWidth="1"/>
    <col min="3610" max="3610" width="11.7109375" style="1" bestFit="1" customWidth="1"/>
    <col min="3611" max="3617" width="9.140625" style="1"/>
    <col min="3618" max="3618" width="11.28515625" style="1" bestFit="1" customWidth="1"/>
    <col min="3619" max="3619" width="10.7109375" style="1" bestFit="1" customWidth="1"/>
    <col min="3620" max="3841" width="9.140625" style="1"/>
    <col min="3842" max="3842" width="6.42578125" style="1" customWidth="1"/>
    <col min="3843" max="3843" width="20.7109375" style="1" customWidth="1"/>
    <col min="3844" max="3844" width="24.7109375" style="1" customWidth="1"/>
    <col min="3845" max="3845" width="11.140625" style="1" customWidth="1"/>
    <col min="3846" max="3846" width="12.28515625" style="1" customWidth="1"/>
    <col min="3847" max="3847" width="11.140625" style="1" customWidth="1"/>
    <col min="3848" max="3848" width="10.42578125" style="1" customWidth="1"/>
    <col min="3849" max="3849" width="4.7109375" style="1" customWidth="1"/>
    <col min="3850" max="3850" width="8.5703125" style="1" customWidth="1"/>
    <col min="3851" max="3851" width="5.5703125" style="1" customWidth="1"/>
    <col min="3852" max="3853" width="11.5703125" style="1" customWidth="1"/>
    <col min="3854" max="3854" width="10.85546875" style="1" customWidth="1"/>
    <col min="3855" max="3855" width="7.7109375" style="1" customWidth="1"/>
    <col min="3856" max="3856" width="8" style="1" customWidth="1"/>
    <col min="3857" max="3857" width="16.28515625" style="1" customWidth="1"/>
    <col min="3858" max="3858" width="10.5703125" style="1" customWidth="1"/>
    <col min="3859" max="3859" width="14.140625" style="1" customWidth="1"/>
    <col min="3860" max="3860" width="10.140625" style="1" customWidth="1"/>
    <col min="3861" max="3861" width="15.140625" style="1" customWidth="1"/>
    <col min="3862" max="3862" width="8.5703125" style="1" customWidth="1"/>
    <col min="3863" max="3863" width="14.28515625" style="1" customWidth="1"/>
    <col min="3864" max="3864" width="18.28515625" style="1" customWidth="1"/>
    <col min="3865" max="3865" width="13" style="1" bestFit="1" customWidth="1"/>
    <col min="3866" max="3866" width="11.7109375" style="1" bestFit="1" customWidth="1"/>
    <col min="3867" max="3873" width="9.140625" style="1"/>
    <col min="3874" max="3874" width="11.28515625" style="1" bestFit="1" customWidth="1"/>
    <col min="3875" max="3875" width="10.7109375" style="1" bestFit="1" customWidth="1"/>
    <col min="3876" max="4097" width="9.140625" style="1"/>
    <col min="4098" max="4098" width="6.42578125" style="1" customWidth="1"/>
    <col min="4099" max="4099" width="20.7109375" style="1" customWidth="1"/>
    <col min="4100" max="4100" width="24.7109375" style="1" customWidth="1"/>
    <col min="4101" max="4101" width="11.140625" style="1" customWidth="1"/>
    <col min="4102" max="4102" width="12.28515625" style="1" customWidth="1"/>
    <col min="4103" max="4103" width="11.140625" style="1" customWidth="1"/>
    <col min="4104" max="4104" width="10.42578125" style="1" customWidth="1"/>
    <col min="4105" max="4105" width="4.7109375" style="1" customWidth="1"/>
    <col min="4106" max="4106" width="8.5703125" style="1" customWidth="1"/>
    <col min="4107" max="4107" width="5.5703125" style="1" customWidth="1"/>
    <col min="4108" max="4109" width="11.5703125" style="1" customWidth="1"/>
    <col min="4110" max="4110" width="10.85546875" style="1" customWidth="1"/>
    <col min="4111" max="4111" width="7.7109375" style="1" customWidth="1"/>
    <col min="4112" max="4112" width="8" style="1" customWidth="1"/>
    <col min="4113" max="4113" width="16.28515625" style="1" customWidth="1"/>
    <col min="4114" max="4114" width="10.5703125" style="1" customWidth="1"/>
    <col min="4115" max="4115" width="14.140625" style="1" customWidth="1"/>
    <col min="4116" max="4116" width="10.140625" style="1" customWidth="1"/>
    <col min="4117" max="4117" width="15.140625" style="1" customWidth="1"/>
    <col min="4118" max="4118" width="8.5703125" style="1" customWidth="1"/>
    <col min="4119" max="4119" width="14.28515625" style="1" customWidth="1"/>
    <col min="4120" max="4120" width="18.28515625" style="1" customWidth="1"/>
    <col min="4121" max="4121" width="13" style="1" bestFit="1" customWidth="1"/>
    <col min="4122" max="4122" width="11.7109375" style="1" bestFit="1" customWidth="1"/>
    <col min="4123" max="4129" width="9.140625" style="1"/>
    <col min="4130" max="4130" width="11.28515625" style="1" bestFit="1" customWidth="1"/>
    <col min="4131" max="4131" width="10.7109375" style="1" bestFit="1" customWidth="1"/>
    <col min="4132" max="4353" width="9.140625" style="1"/>
    <col min="4354" max="4354" width="6.42578125" style="1" customWidth="1"/>
    <col min="4355" max="4355" width="20.7109375" style="1" customWidth="1"/>
    <col min="4356" max="4356" width="24.7109375" style="1" customWidth="1"/>
    <col min="4357" max="4357" width="11.140625" style="1" customWidth="1"/>
    <col min="4358" max="4358" width="12.28515625" style="1" customWidth="1"/>
    <col min="4359" max="4359" width="11.140625" style="1" customWidth="1"/>
    <col min="4360" max="4360" width="10.42578125" style="1" customWidth="1"/>
    <col min="4361" max="4361" width="4.7109375" style="1" customWidth="1"/>
    <col min="4362" max="4362" width="8.5703125" style="1" customWidth="1"/>
    <col min="4363" max="4363" width="5.5703125" style="1" customWidth="1"/>
    <col min="4364" max="4365" width="11.5703125" style="1" customWidth="1"/>
    <col min="4366" max="4366" width="10.85546875" style="1" customWidth="1"/>
    <col min="4367" max="4367" width="7.7109375" style="1" customWidth="1"/>
    <col min="4368" max="4368" width="8" style="1" customWidth="1"/>
    <col min="4369" max="4369" width="16.28515625" style="1" customWidth="1"/>
    <col min="4370" max="4370" width="10.5703125" style="1" customWidth="1"/>
    <col min="4371" max="4371" width="14.140625" style="1" customWidth="1"/>
    <col min="4372" max="4372" width="10.140625" style="1" customWidth="1"/>
    <col min="4373" max="4373" width="15.140625" style="1" customWidth="1"/>
    <col min="4374" max="4374" width="8.5703125" style="1" customWidth="1"/>
    <col min="4375" max="4375" width="14.28515625" style="1" customWidth="1"/>
    <col min="4376" max="4376" width="18.28515625" style="1" customWidth="1"/>
    <col min="4377" max="4377" width="13" style="1" bestFit="1" customWidth="1"/>
    <col min="4378" max="4378" width="11.7109375" style="1" bestFit="1" customWidth="1"/>
    <col min="4379" max="4385" width="9.140625" style="1"/>
    <col min="4386" max="4386" width="11.28515625" style="1" bestFit="1" customWidth="1"/>
    <col min="4387" max="4387" width="10.7109375" style="1" bestFit="1" customWidth="1"/>
    <col min="4388" max="4609" width="9.140625" style="1"/>
    <col min="4610" max="4610" width="6.42578125" style="1" customWidth="1"/>
    <col min="4611" max="4611" width="20.7109375" style="1" customWidth="1"/>
    <col min="4612" max="4612" width="24.7109375" style="1" customWidth="1"/>
    <col min="4613" max="4613" width="11.140625" style="1" customWidth="1"/>
    <col min="4614" max="4614" width="12.28515625" style="1" customWidth="1"/>
    <col min="4615" max="4615" width="11.140625" style="1" customWidth="1"/>
    <col min="4616" max="4616" width="10.42578125" style="1" customWidth="1"/>
    <col min="4617" max="4617" width="4.7109375" style="1" customWidth="1"/>
    <col min="4618" max="4618" width="8.5703125" style="1" customWidth="1"/>
    <col min="4619" max="4619" width="5.5703125" style="1" customWidth="1"/>
    <col min="4620" max="4621" width="11.5703125" style="1" customWidth="1"/>
    <col min="4622" max="4622" width="10.85546875" style="1" customWidth="1"/>
    <col min="4623" max="4623" width="7.7109375" style="1" customWidth="1"/>
    <col min="4624" max="4624" width="8" style="1" customWidth="1"/>
    <col min="4625" max="4625" width="16.28515625" style="1" customWidth="1"/>
    <col min="4626" max="4626" width="10.5703125" style="1" customWidth="1"/>
    <col min="4627" max="4627" width="14.140625" style="1" customWidth="1"/>
    <col min="4628" max="4628" width="10.140625" style="1" customWidth="1"/>
    <col min="4629" max="4629" width="15.140625" style="1" customWidth="1"/>
    <col min="4630" max="4630" width="8.5703125" style="1" customWidth="1"/>
    <col min="4631" max="4631" width="14.28515625" style="1" customWidth="1"/>
    <col min="4632" max="4632" width="18.28515625" style="1" customWidth="1"/>
    <col min="4633" max="4633" width="13" style="1" bestFit="1" customWidth="1"/>
    <col min="4634" max="4634" width="11.7109375" style="1" bestFit="1" customWidth="1"/>
    <col min="4635" max="4641" width="9.140625" style="1"/>
    <col min="4642" max="4642" width="11.28515625" style="1" bestFit="1" customWidth="1"/>
    <col min="4643" max="4643" width="10.7109375" style="1" bestFit="1" customWidth="1"/>
    <col min="4644" max="4865" width="9.140625" style="1"/>
    <col min="4866" max="4866" width="6.42578125" style="1" customWidth="1"/>
    <col min="4867" max="4867" width="20.7109375" style="1" customWidth="1"/>
    <col min="4868" max="4868" width="24.7109375" style="1" customWidth="1"/>
    <col min="4869" max="4869" width="11.140625" style="1" customWidth="1"/>
    <col min="4870" max="4870" width="12.28515625" style="1" customWidth="1"/>
    <col min="4871" max="4871" width="11.140625" style="1" customWidth="1"/>
    <col min="4872" max="4872" width="10.42578125" style="1" customWidth="1"/>
    <col min="4873" max="4873" width="4.7109375" style="1" customWidth="1"/>
    <col min="4874" max="4874" width="8.5703125" style="1" customWidth="1"/>
    <col min="4875" max="4875" width="5.5703125" style="1" customWidth="1"/>
    <col min="4876" max="4877" width="11.5703125" style="1" customWidth="1"/>
    <col min="4878" max="4878" width="10.85546875" style="1" customWidth="1"/>
    <col min="4879" max="4879" width="7.7109375" style="1" customWidth="1"/>
    <col min="4880" max="4880" width="8" style="1" customWidth="1"/>
    <col min="4881" max="4881" width="16.28515625" style="1" customWidth="1"/>
    <col min="4882" max="4882" width="10.5703125" style="1" customWidth="1"/>
    <col min="4883" max="4883" width="14.140625" style="1" customWidth="1"/>
    <col min="4884" max="4884" width="10.140625" style="1" customWidth="1"/>
    <col min="4885" max="4885" width="15.140625" style="1" customWidth="1"/>
    <col min="4886" max="4886" width="8.5703125" style="1" customWidth="1"/>
    <col min="4887" max="4887" width="14.28515625" style="1" customWidth="1"/>
    <col min="4888" max="4888" width="18.28515625" style="1" customWidth="1"/>
    <col min="4889" max="4889" width="13" style="1" bestFit="1" customWidth="1"/>
    <col min="4890" max="4890" width="11.7109375" style="1" bestFit="1" customWidth="1"/>
    <col min="4891" max="4897" width="9.140625" style="1"/>
    <col min="4898" max="4898" width="11.28515625" style="1" bestFit="1" customWidth="1"/>
    <col min="4899" max="4899" width="10.7109375" style="1" bestFit="1" customWidth="1"/>
    <col min="4900" max="5121" width="9.140625" style="1"/>
    <col min="5122" max="5122" width="6.42578125" style="1" customWidth="1"/>
    <col min="5123" max="5123" width="20.7109375" style="1" customWidth="1"/>
    <col min="5124" max="5124" width="24.7109375" style="1" customWidth="1"/>
    <col min="5125" max="5125" width="11.140625" style="1" customWidth="1"/>
    <col min="5126" max="5126" width="12.28515625" style="1" customWidth="1"/>
    <col min="5127" max="5127" width="11.140625" style="1" customWidth="1"/>
    <col min="5128" max="5128" width="10.42578125" style="1" customWidth="1"/>
    <col min="5129" max="5129" width="4.7109375" style="1" customWidth="1"/>
    <col min="5130" max="5130" width="8.5703125" style="1" customWidth="1"/>
    <col min="5131" max="5131" width="5.5703125" style="1" customWidth="1"/>
    <col min="5132" max="5133" width="11.5703125" style="1" customWidth="1"/>
    <col min="5134" max="5134" width="10.85546875" style="1" customWidth="1"/>
    <col min="5135" max="5135" width="7.7109375" style="1" customWidth="1"/>
    <col min="5136" max="5136" width="8" style="1" customWidth="1"/>
    <col min="5137" max="5137" width="16.28515625" style="1" customWidth="1"/>
    <col min="5138" max="5138" width="10.5703125" style="1" customWidth="1"/>
    <col min="5139" max="5139" width="14.140625" style="1" customWidth="1"/>
    <col min="5140" max="5140" width="10.140625" style="1" customWidth="1"/>
    <col min="5141" max="5141" width="15.140625" style="1" customWidth="1"/>
    <col min="5142" max="5142" width="8.5703125" style="1" customWidth="1"/>
    <col min="5143" max="5143" width="14.28515625" style="1" customWidth="1"/>
    <col min="5144" max="5144" width="18.28515625" style="1" customWidth="1"/>
    <col min="5145" max="5145" width="13" style="1" bestFit="1" customWidth="1"/>
    <col min="5146" max="5146" width="11.7109375" style="1" bestFit="1" customWidth="1"/>
    <col min="5147" max="5153" width="9.140625" style="1"/>
    <col min="5154" max="5154" width="11.28515625" style="1" bestFit="1" customWidth="1"/>
    <col min="5155" max="5155" width="10.7109375" style="1" bestFit="1" customWidth="1"/>
    <col min="5156" max="5377" width="9.140625" style="1"/>
    <col min="5378" max="5378" width="6.42578125" style="1" customWidth="1"/>
    <col min="5379" max="5379" width="20.7109375" style="1" customWidth="1"/>
    <col min="5380" max="5380" width="24.7109375" style="1" customWidth="1"/>
    <col min="5381" max="5381" width="11.140625" style="1" customWidth="1"/>
    <col min="5382" max="5382" width="12.28515625" style="1" customWidth="1"/>
    <col min="5383" max="5383" width="11.140625" style="1" customWidth="1"/>
    <col min="5384" max="5384" width="10.42578125" style="1" customWidth="1"/>
    <col min="5385" max="5385" width="4.7109375" style="1" customWidth="1"/>
    <col min="5386" max="5386" width="8.5703125" style="1" customWidth="1"/>
    <col min="5387" max="5387" width="5.5703125" style="1" customWidth="1"/>
    <col min="5388" max="5389" width="11.5703125" style="1" customWidth="1"/>
    <col min="5390" max="5390" width="10.85546875" style="1" customWidth="1"/>
    <col min="5391" max="5391" width="7.7109375" style="1" customWidth="1"/>
    <col min="5392" max="5392" width="8" style="1" customWidth="1"/>
    <col min="5393" max="5393" width="16.28515625" style="1" customWidth="1"/>
    <col min="5394" max="5394" width="10.5703125" style="1" customWidth="1"/>
    <col min="5395" max="5395" width="14.140625" style="1" customWidth="1"/>
    <col min="5396" max="5396" width="10.140625" style="1" customWidth="1"/>
    <col min="5397" max="5397" width="15.140625" style="1" customWidth="1"/>
    <col min="5398" max="5398" width="8.5703125" style="1" customWidth="1"/>
    <col min="5399" max="5399" width="14.28515625" style="1" customWidth="1"/>
    <col min="5400" max="5400" width="18.28515625" style="1" customWidth="1"/>
    <col min="5401" max="5401" width="13" style="1" bestFit="1" customWidth="1"/>
    <col min="5402" max="5402" width="11.7109375" style="1" bestFit="1" customWidth="1"/>
    <col min="5403" max="5409" width="9.140625" style="1"/>
    <col min="5410" max="5410" width="11.28515625" style="1" bestFit="1" customWidth="1"/>
    <col min="5411" max="5411" width="10.7109375" style="1" bestFit="1" customWidth="1"/>
    <col min="5412" max="5633" width="9.140625" style="1"/>
    <col min="5634" max="5634" width="6.42578125" style="1" customWidth="1"/>
    <col min="5635" max="5635" width="20.7109375" style="1" customWidth="1"/>
    <col min="5636" max="5636" width="24.7109375" style="1" customWidth="1"/>
    <col min="5637" max="5637" width="11.140625" style="1" customWidth="1"/>
    <col min="5638" max="5638" width="12.28515625" style="1" customWidth="1"/>
    <col min="5639" max="5639" width="11.140625" style="1" customWidth="1"/>
    <col min="5640" max="5640" width="10.42578125" style="1" customWidth="1"/>
    <col min="5641" max="5641" width="4.7109375" style="1" customWidth="1"/>
    <col min="5642" max="5642" width="8.5703125" style="1" customWidth="1"/>
    <col min="5643" max="5643" width="5.5703125" style="1" customWidth="1"/>
    <col min="5644" max="5645" width="11.5703125" style="1" customWidth="1"/>
    <col min="5646" max="5646" width="10.85546875" style="1" customWidth="1"/>
    <col min="5647" max="5647" width="7.7109375" style="1" customWidth="1"/>
    <col min="5648" max="5648" width="8" style="1" customWidth="1"/>
    <col min="5649" max="5649" width="16.28515625" style="1" customWidth="1"/>
    <col min="5650" max="5650" width="10.5703125" style="1" customWidth="1"/>
    <col min="5651" max="5651" width="14.140625" style="1" customWidth="1"/>
    <col min="5652" max="5652" width="10.140625" style="1" customWidth="1"/>
    <col min="5653" max="5653" width="15.140625" style="1" customWidth="1"/>
    <col min="5654" max="5654" width="8.5703125" style="1" customWidth="1"/>
    <col min="5655" max="5655" width="14.28515625" style="1" customWidth="1"/>
    <col min="5656" max="5656" width="18.28515625" style="1" customWidth="1"/>
    <col min="5657" max="5657" width="13" style="1" bestFit="1" customWidth="1"/>
    <col min="5658" max="5658" width="11.7109375" style="1" bestFit="1" customWidth="1"/>
    <col min="5659" max="5665" width="9.140625" style="1"/>
    <col min="5666" max="5666" width="11.28515625" style="1" bestFit="1" customWidth="1"/>
    <col min="5667" max="5667" width="10.7109375" style="1" bestFit="1" customWidth="1"/>
    <col min="5668" max="5889" width="9.140625" style="1"/>
    <col min="5890" max="5890" width="6.42578125" style="1" customWidth="1"/>
    <col min="5891" max="5891" width="20.7109375" style="1" customWidth="1"/>
    <col min="5892" max="5892" width="24.7109375" style="1" customWidth="1"/>
    <col min="5893" max="5893" width="11.140625" style="1" customWidth="1"/>
    <col min="5894" max="5894" width="12.28515625" style="1" customWidth="1"/>
    <col min="5895" max="5895" width="11.140625" style="1" customWidth="1"/>
    <col min="5896" max="5896" width="10.42578125" style="1" customWidth="1"/>
    <col min="5897" max="5897" width="4.7109375" style="1" customWidth="1"/>
    <col min="5898" max="5898" width="8.5703125" style="1" customWidth="1"/>
    <col min="5899" max="5899" width="5.5703125" style="1" customWidth="1"/>
    <col min="5900" max="5901" width="11.5703125" style="1" customWidth="1"/>
    <col min="5902" max="5902" width="10.85546875" style="1" customWidth="1"/>
    <col min="5903" max="5903" width="7.7109375" style="1" customWidth="1"/>
    <col min="5904" max="5904" width="8" style="1" customWidth="1"/>
    <col min="5905" max="5905" width="16.28515625" style="1" customWidth="1"/>
    <col min="5906" max="5906" width="10.5703125" style="1" customWidth="1"/>
    <col min="5907" max="5907" width="14.140625" style="1" customWidth="1"/>
    <col min="5908" max="5908" width="10.140625" style="1" customWidth="1"/>
    <col min="5909" max="5909" width="15.140625" style="1" customWidth="1"/>
    <col min="5910" max="5910" width="8.5703125" style="1" customWidth="1"/>
    <col min="5911" max="5911" width="14.28515625" style="1" customWidth="1"/>
    <col min="5912" max="5912" width="18.28515625" style="1" customWidth="1"/>
    <col min="5913" max="5913" width="13" style="1" bestFit="1" customWidth="1"/>
    <col min="5914" max="5914" width="11.7109375" style="1" bestFit="1" customWidth="1"/>
    <col min="5915" max="5921" width="9.140625" style="1"/>
    <col min="5922" max="5922" width="11.28515625" style="1" bestFit="1" customWidth="1"/>
    <col min="5923" max="5923" width="10.7109375" style="1" bestFit="1" customWidth="1"/>
    <col min="5924" max="6145" width="9.140625" style="1"/>
    <col min="6146" max="6146" width="6.42578125" style="1" customWidth="1"/>
    <col min="6147" max="6147" width="20.7109375" style="1" customWidth="1"/>
    <col min="6148" max="6148" width="24.7109375" style="1" customWidth="1"/>
    <col min="6149" max="6149" width="11.140625" style="1" customWidth="1"/>
    <col min="6150" max="6150" width="12.28515625" style="1" customWidth="1"/>
    <col min="6151" max="6151" width="11.140625" style="1" customWidth="1"/>
    <col min="6152" max="6152" width="10.42578125" style="1" customWidth="1"/>
    <col min="6153" max="6153" width="4.7109375" style="1" customWidth="1"/>
    <col min="6154" max="6154" width="8.5703125" style="1" customWidth="1"/>
    <col min="6155" max="6155" width="5.5703125" style="1" customWidth="1"/>
    <col min="6156" max="6157" width="11.5703125" style="1" customWidth="1"/>
    <col min="6158" max="6158" width="10.85546875" style="1" customWidth="1"/>
    <col min="6159" max="6159" width="7.7109375" style="1" customWidth="1"/>
    <col min="6160" max="6160" width="8" style="1" customWidth="1"/>
    <col min="6161" max="6161" width="16.28515625" style="1" customWidth="1"/>
    <col min="6162" max="6162" width="10.5703125" style="1" customWidth="1"/>
    <col min="6163" max="6163" width="14.140625" style="1" customWidth="1"/>
    <col min="6164" max="6164" width="10.140625" style="1" customWidth="1"/>
    <col min="6165" max="6165" width="15.140625" style="1" customWidth="1"/>
    <col min="6166" max="6166" width="8.5703125" style="1" customWidth="1"/>
    <col min="6167" max="6167" width="14.28515625" style="1" customWidth="1"/>
    <col min="6168" max="6168" width="18.28515625" style="1" customWidth="1"/>
    <col min="6169" max="6169" width="13" style="1" bestFit="1" customWidth="1"/>
    <col min="6170" max="6170" width="11.7109375" style="1" bestFit="1" customWidth="1"/>
    <col min="6171" max="6177" width="9.140625" style="1"/>
    <col min="6178" max="6178" width="11.28515625" style="1" bestFit="1" customWidth="1"/>
    <col min="6179" max="6179" width="10.7109375" style="1" bestFit="1" customWidth="1"/>
    <col min="6180" max="6401" width="9.140625" style="1"/>
    <col min="6402" max="6402" width="6.42578125" style="1" customWidth="1"/>
    <col min="6403" max="6403" width="20.7109375" style="1" customWidth="1"/>
    <col min="6404" max="6404" width="24.7109375" style="1" customWidth="1"/>
    <col min="6405" max="6405" width="11.140625" style="1" customWidth="1"/>
    <col min="6406" max="6406" width="12.28515625" style="1" customWidth="1"/>
    <col min="6407" max="6407" width="11.140625" style="1" customWidth="1"/>
    <col min="6408" max="6408" width="10.42578125" style="1" customWidth="1"/>
    <col min="6409" max="6409" width="4.7109375" style="1" customWidth="1"/>
    <col min="6410" max="6410" width="8.5703125" style="1" customWidth="1"/>
    <col min="6411" max="6411" width="5.5703125" style="1" customWidth="1"/>
    <col min="6412" max="6413" width="11.5703125" style="1" customWidth="1"/>
    <col min="6414" max="6414" width="10.85546875" style="1" customWidth="1"/>
    <col min="6415" max="6415" width="7.7109375" style="1" customWidth="1"/>
    <col min="6416" max="6416" width="8" style="1" customWidth="1"/>
    <col min="6417" max="6417" width="16.28515625" style="1" customWidth="1"/>
    <col min="6418" max="6418" width="10.5703125" style="1" customWidth="1"/>
    <col min="6419" max="6419" width="14.140625" style="1" customWidth="1"/>
    <col min="6420" max="6420" width="10.140625" style="1" customWidth="1"/>
    <col min="6421" max="6421" width="15.140625" style="1" customWidth="1"/>
    <col min="6422" max="6422" width="8.5703125" style="1" customWidth="1"/>
    <col min="6423" max="6423" width="14.28515625" style="1" customWidth="1"/>
    <col min="6424" max="6424" width="18.28515625" style="1" customWidth="1"/>
    <col min="6425" max="6425" width="13" style="1" bestFit="1" customWidth="1"/>
    <col min="6426" max="6426" width="11.7109375" style="1" bestFit="1" customWidth="1"/>
    <col min="6427" max="6433" width="9.140625" style="1"/>
    <col min="6434" max="6434" width="11.28515625" style="1" bestFit="1" customWidth="1"/>
    <col min="6435" max="6435" width="10.7109375" style="1" bestFit="1" customWidth="1"/>
    <col min="6436" max="6657" width="9.140625" style="1"/>
    <col min="6658" max="6658" width="6.42578125" style="1" customWidth="1"/>
    <col min="6659" max="6659" width="20.7109375" style="1" customWidth="1"/>
    <col min="6660" max="6660" width="24.7109375" style="1" customWidth="1"/>
    <col min="6661" max="6661" width="11.140625" style="1" customWidth="1"/>
    <col min="6662" max="6662" width="12.28515625" style="1" customWidth="1"/>
    <col min="6663" max="6663" width="11.140625" style="1" customWidth="1"/>
    <col min="6664" max="6664" width="10.42578125" style="1" customWidth="1"/>
    <col min="6665" max="6665" width="4.7109375" style="1" customWidth="1"/>
    <col min="6666" max="6666" width="8.5703125" style="1" customWidth="1"/>
    <col min="6667" max="6667" width="5.5703125" style="1" customWidth="1"/>
    <col min="6668" max="6669" width="11.5703125" style="1" customWidth="1"/>
    <col min="6670" max="6670" width="10.85546875" style="1" customWidth="1"/>
    <col min="6671" max="6671" width="7.7109375" style="1" customWidth="1"/>
    <col min="6672" max="6672" width="8" style="1" customWidth="1"/>
    <col min="6673" max="6673" width="16.28515625" style="1" customWidth="1"/>
    <col min="6674" max="6674" width="10.5703125" style="1" customWidth="1"/>
    <col min="6675" max="6675" width="14.140625" style="1" customWidth="1"/>
    <col min="6676" max="6676" width="10.140625" style="1" customWidth="1"/>
    <col min="6677" max="6677" width="15.140625" style="1" customWidth="1"/>
    <col min="6678" max="6678" width="8.5703125" style="1" customWidth="1"/>
    <col min="6679" max="6679" width="14.28515625" style="1" customWidth="1"/>
    <col min="6680" max="6680" width="18.28515625" style="1" customWidth="1"/>
    <col min="6681" max="6681" width="13" style="1" bestFit="1" customWidth="1"/>
    <col min="6682" max="6682" width="11.7109375" style="1" bestFit="1" customWidth="1"/>
    <col min="6683" max="6689" width="9.140625" style="1"/>
    <col min="6690" max="6690" width="11.28515625" style="1" bestFit="1" customWidth="1"/>
    <col min="6691" max="6691" width="10.7109375" style="1" bestFit="1" customWidth="1"/>
    <col min="6692" max="6913" width="9.140625" style="1"/>
    <col min="6914" max="6914" width="6.42578125" style="1" customWidth="1"/>
    <col min="6915" max="6915" width="20.7109375" style="1" customWidth="1"/>
    <col min="6916" max="6916" width="24.7109375" style="1" customWidth="1"/>
    <col min="6917" max="6917" width="11.140625" style="1" customWidth="1"/>
    <col min="6918" max="6918" width="12.28515625" style="1" customWidth="1"/>
    <col min="6919" max="6919" width="11.140625" style="1" customWidth="1"/>
    <col min="6920" max="6920" width="10.42578125" style="1" customWidth="1"/>
    <col min="6921" max="6921" width="4.7109375" style="1" customWidth="1"/>
    <col min="6922" max="6922" width="8.5703125" style="1" customWidth="1"/>
    <col min="6923" max="6923" width="5.5703125" style="1" customWidth="1"/>
    <col min="6924" max="6925" width="11.5703125" style="1" customWidth="1"/>
    <col min="6926" max="6926" width="10.85546875" style="1" customWidth="1"/>
    <col min="6927" max="6927" width="7.7109375" style="1" customWidth="1"/>
    <col min="6928" max="6928" width="8" style="1" customWidth="1"/>
    <col min="6929" max="6929" width="16.28515625" style="1" customWidth="1"/>
    <col min="6930" max="6930" width="10.5703125" style="1" customWidth="1"/>
    <col min="6931" max="6931" width="14.140625" style="1" customWidth="1"/>
    <col min="6932" max="6932" width="10.140625" style="1" customWidth="1"/>
    <col min="6933" max="6933" width="15.140625" style="1" customWidth="1"/>
    <col min="6934" max="6934" width="8.5703125" style="1" customWidth="1"/>
    <col min="6935" max="6935" width="14.28515625" style="1" customWidth="1"/>
    <col min="6936" max="6936" width="18.28515625" style="1" customWidth="1"/>
    <col min="6937" max="6937" width="13" style="1" bestFit="1" customWidth="1"/>
    <col min="6938" max="6938" width="11.7109375" style="1" bestFit="1" customWidth="1"/>
    <col min="6939" max="6945" width="9.140625" style="1"/>
    <col min="6946" max="6946" width="11.28515625" style="1" bestFit="1" customWidth="1"/>
    <col min="6947" max="6947" width="10.7109375" style="1" bestFit="1" customWidth="1"/>
    <col min="6948" max="7169" width="9.140625" style="1"/>
    <col min="7170" max="7170" width="6.42578125" style="1" customWidth="1"/>
    <col min="7171" max="7171" width="20.7109375" style="1" customWidth="1"/>
    <col min="7172" max="7172" width="24.7109375" style="1" customWidth="1"/>
    <col min="7173" max="7173" width="11.140625" style="1" customWidth="1"/>
    <col min="7174" max="7174" width="12.28515625" style="1" customWidth="1"/>
    <col min="7175" max="7175" width="11.140625" style="1" customWidth="1"/>
    <col min="7176" max="7176" width="10.42578125" style="1" customWidth="1"/>
    <col min="7177" max="7177" width="4.7109375" style="1" customWidth="1"/>
    <col min="7178" max="7178" width="8.5703125" style="1" customWidth="1"/>
    <col min="7179" max="7179" width="5.5703125" style="1" customWidth="1"/>
    <col min="7180" max="7181" width="11.5703125" style="1" customWidth="1"/>
    <col min="7182" max="7182" width="10.85546875" style="1" customWidth="1"/>
    <col min="7183" max="7183" width="7.7109375" style="1" customWidth="1"/>
    <col min="7184" max="7184" width="8" style="1" customWidth="1"/>
    <col min="7185" max="7185" width="16.28515625" style="1" customWidth="1"/>
    <col min="7186" max="7186" width="10.5703125" style="1" customWidth="1"/>
    <col min="7187" max="7187" width="14.140625" style="1" customWidth="1"/>
    <col min="7188" max="7188" width="10.140625" style="1" customWidth="1"/>
    <col min="7189" max="7189" width="15.140625" style="1" customWidth="1"/>
    <col min="7190" max="7190" width="8.5703125" style="1" customWidth="1"/>
    <col min="7191" max="7191" width="14.28515625" style="1" customWidth="1"/>
    <col min="7192" max="7192" width="18.28515625" style="1" customWidth="1"/>
    <col min="7193" max="7193" width="13" style="1" bestFit="1" customWidth="1"/>
    <col min="7194" max="7194" width="11.7109375" style="1" bestFit="1" customWidth="1"/>
    <col min="7195" max="7201" width="9.140625" style="1"/>
    <col min="7202" max="7202" width="11.28515625" style="1" bestFit="1" customWidth="1"/>
    <col min="7203" max="7203" width="10.7109375" style="1" bestFit="1" customWidth="1"/>
    <col min="7204" max="7425" width="9.140625" style="1"/>
    <col min="7426" max="7426" width="6.42578125" style="1" customWidth="1"/>
    <col min="7427" max="7427" width="20.7109375" style="1" customWidth="1"/>
    <col min="7428" max="7428" width="24.7109375" style="1" customWidth="1"/>
    <col min="7429" max="7429" width="11.140625" style="1" customWidth="1"/>
    <col min="7430" max="7430" width="12.28515625" style="1" customWidth="1"/>
    <col min="7431" max="7431" width="11.140625" style="1" customWidth="1"/>
    <col min="7432" max="7432" width="10.42578125" style="1" customWidth="1"/>
    <col min="7433" max="7433" width="4.7109375" style="1" customWidth="1"/>
    <col min="7434" max="7434" width="8.5703125" style="1" customWidth="1"/>
    <col min="7435" max="7435" width="5.5703125" style="1" customWidth="1"/>
    <col min="7436" max="7437" width="11.5703125" style="1" customWidth="1"/>
    <col min="7438" max="7438" width="10.85546875" style="1" customWidth="1"/>
    <col min="7439" max="7439" width="7.7109375" style="1" customWidth="1"/>
    <col min="7440" max="7440" width="8" style="1" customWidth="1"/>
    <col min="7441" max="7441" width="16.28515625" style="1" customWidth="1"/>
    <col min="7442" max="7442" width="10.5703125" style="1" customWidth="1"/>
    <col min="7443" max="7443" width="14.140625" style="1" customWidth="1"/>
    <col min="7444" max="7444" width="10.140625" style="1" customWidth="1"/>
    <col min="7445" max="7445" width="15.140625" style="1" customWidth="1"/>
    <col min="7446" max="7446" width="8.5703125" style="1" customWidth="1"/>
    <col min="7447" max="7447" width="14.28515625" style="1" customWidth="1"/>
    <col min="7448" max="7448" width="18.28515625" style="1" customWidth="1"/>
    <col min="7449" max="7449" width="13" style="1" bestFit="1" customWidth="1"/>
    <col min="7450" max="7450" width="11.7109375" style="1" bestFit="1" customWidth="1"/>
    <col min="7451" max="7457" width="9.140625" style="1"/>
    <col min="7458" max="7458" width="11.28515625" style="1" bestFit="1" customWidth="1"/>
    <col min="7459" max="7459" width="10.7109375" style="1" bestFit="1" customWidth="1"/>
    <col min="7460" max="7681" width="9.140625" style="1"/>
    <col min="7682" max="7682" width="6.42578125" style="1" customWidth="1"/>
    <col min="7683" max="7683" width="20.7109375" style="1" customWidth="1"/>
    <col min="7684" max="7684" width="24.7109375" style="1" customWidth="1"/>
    <col min="7685" max="7685" width="11.140625" style="1" customWidth="1"/>
    <col min="7686" max="7686" width="12.28515625" style="1" customWidth="1"/>
    <col min="7687" max="7687" width="11.140625" style="1" customWidth="1"/>
    <col min="7688" max="7688" width="10.42578125" style="1" customWidth="1"/>
    <col min="7689" max="7689" width="4.7109375" style="1" customWidth="1"/>
    <col min="7690" max="7690" width="8.5703125" style="1" customWidth="1"/>
    <col min="7691" max="7691" width="5.5703125" style="1" customWidth="1"/>
    <col min="7692" max="7693" width="11.5703125" style="1" customWidth="1"/>
    <col min="7694" max="7694" width="10.85546875" style="1" customWidth="1"/>
    <col min="7695" max="7695" width="7.7109375" style="1" customWidth="1"/>
    <col min="7696" max="7696" width="8" style="1" customWidth="1"/>
    <col min="7697" max="7697" width="16.28515625" style="1" customWidth="1"/>
    <col min="7698" max="7698" width="10.5703125" style="1" customWidth="1"/>
    <col min="7699" max="7699" width="14.140625" style="1" customWidth="1"/>
    <col min="7700" max="7700" width="10.140625" style="1" customWidth="1"/>
    <col min="7701" max="7701" width="15.140625" style="1" customWidth="1"/>
    <col min="7702" max="7702" width="8.5703125" style="1" customWidth="1"/>
    <col min="7703" max="7703" width="14.28515625" style="1" customWidth="1"/>
    <col min="7704" max="7704" width="18.28515625" style="1" customWidth="1"/>
    <col min="7705" max="7705" width="13" style="1" bestFit="1" customWidth="1"/>
    <col min="7706" max="7706" width="11.7109375" style="1" bestFit="1" customWidth="1"/>
    <col min="7707" max="7713" width="9.140625" style="1"/>
    <col min="7714" max="7714" width="11.28515625" style="1" bestFit="1" customWidth="1"/>
    <col min="7715" max="7715" width="10.7109375" style="1" bestFit="1" customWidth="1"/>
    <col min="7716" max="7937" width="9.140625" style="1"/>
    <col min="7938" max="7938" width="6.42578125" style="1" customWidth="1"/>
    <col min="7939" max="7939" width="20.7109375" style="1" customWidth="1"/>
    <col min="7940" max="7940" width="24.7109375" style="1" customWidth="1"/>
    <col min="7941" max="7941" width="11.140625" style="1" customWidth="1"/>
    <col min="7942" max="7942" width="12.28515625" style="1" customWidth="1"/>
    <col min="7943" max="7943" width="11.140625" style="1" customWidth="1"/>
    <col min="7944" max="7944" width="10.42578125" style="1" customWidth="1"/>
    <col min="7945" max="7945" width="4.7109375" style="1" customWidth="1"/>
    <col min="7946" max="7946" width="8.5703125" style="1" customWidth="1"/>
    <col min="7947" max="7947" width="5.5703125" style="1" customWidth="1"/>
    <col min="7948" max="7949" width="11.5703125" style="1" customWidth="1"/>
    <col min="7950" max="7950" width="10.85546875" style="1" customWidth="1"/>
    <col min="7951" max="7951" width="7.7109375" style="1" customWidth="1"/>
    <col min="7952" max="7952" width="8" style="1" customWidth="1"/>
    <col min="7953" max="7953" width="16.28515625" style="1" customWidth="1"/>
    <col min="7954" max="7954" width="10.5703125" style="1" customWidth="1"/>
    <col min="7955" max="7955" width="14.140625" style="1" customWidth="1"/>
    <col min="7956" max="7956" width="10.140625" style="1" customWidth="1"/>
    <col min="7957" max="7957" width="15.140625" style="1" customWidth="1"/>
    <col min="7958" max="7958" width="8.5703125" style="1" customWidth="1"/>
    <col min="7959" max="7959" width="14.28515625" style="1" customWidth="1"/>
    <col min="7960" max="7960" width="18.28515625" style="1" customWidth="1"/>
    <col min="7961" max="7961" width="13" style="1" bestFit="1" customWidth="1"/>
    <col min="7962" max="7962" width="11.7109375" style="1" bestFit="1" customWidth="1"/>
    <col min="7963" max="7969" width="9.140625" style="1"/>
    <col min="7970" max="7970" width="11.28515625" style="1" bestFit="1" customWidth="1"/>
    <col min="7971" max="7971" width="10.7109375" style="1" bestFit="1" customWidth="1"/>
    <col min="7972" max="8193" width="9.140625" style="1"/>
    <col min="8194" max="8194" width="6.42578125" style="1" customWidth="1"/>
    <col min="8195" max="8195" width="20.7109375" style="1" customWidth="1"/>
    <col min="8196" max="8196" width="24.7109375" style="1" customWidth="1"/>
    <col min="8197" max="8197" width="11.140625" style="1" customWidth="1"/>
    <col min="8198" max="8198" width="12.28515625" style="1" customWidth="1"/>
    <col min="8199" max="8199" width="11.140625" style="1" customWidth="1"/>
    <col min="8200" max="8200" width="10.42578125" style="1" customWidth="1"/>
    <col min="8201" max="8201" width="4.7109375" style="1" customWidth="1"/>
    <col min="8202" max="8202" width="8.5703125" style="1" customWidth="1"/>
    <col min="8203" max="8203" width="5.5703125" style="1" customWidth="1"/>
    <col min="8204" max="8205" width="11.5703125" style="1" customWidth="1"/>
    <col min="8206" max="8206" width="10.85546875" style="1" customWidth="1"/>
    <col min="8207" max="8207" width="7.7109375" style="1" customWidth="1"/>
    <col min="8208" max="8208" width="8" style="1" customWidth="1"/>
    <col min="8209" max="8209" width="16.28515625" style="1" customWidth="1"/>
    <col min="8210" max="8210" width="10.5703125" style="1" customWidth="1"/>
    <col min="8211" max="8211" width="14.140625" style="1" customWidth="1"/>
    <col min="8212" max="8212" width="10.140625" style="1" customWidth="1"/>
    <col min="8213" max="8213" width="15.140625" style="1" customWidth="1"/>
    <col min="8214" max="8214" width="8.5703125" style="1" customWidth="1"/>
    <col min="8215" max="8215" width="14.28515625" style="1" customWidth="1"/>
    <col min="8216" max="8216" width="18.28515625" style="1" customWidth="1"/>
    <col min="8217" max="8217" width="13" style="1" bestFit="1" customWidth="1"/>
    <col min="8218" max="8218" width="11.7109375" style="1" bestFit="1" customWidth="1"/>
    <col min="8219" max="8225" width="9.140625" style="1"/>
    <col min="8226" max="8226" width="11.28515625" style="1" bestFit="1" customWidth="1"/>
    <col min="8227" max="8227" width="10.7109375" style="1" bestFit="1" customWidth="1"/>
    <col min="8228" max="8449" width="9.140625" style="1"/>
    <col min="8450" max="8450" width="6.42578125" style="1" customWidth="1"/>
    <col min="8451" max="8451" width="20.7109375" style="1" customWidth="1"/>
    <col min="8452" max="8452" width="24.7109375" style="1" customWidth="1"/>
    <col min="8453" max="8453" width="11.140625" style="1" customWidth="1"/>
    <col min="8454" max="8454" width="12.28515625" style="1" customWidth="1"/>
    <col min="8455" max="8455" width="11.140625" style="1" customWidth="1"/>
    <col min="8456" max="8456" width="10.42578125" style="1" customWidth="1"/>
    <col min="8457" max="8457" width="4.7109375" style="1" customWidth="1"/>
    <col min="8458" max="8458" width="8.5703125" style="1" customWidth="1"/>
    <col min="8459" max="8459" width="5.5703125" style="1" customWidth="1"/>
    <col min="8460" max="8461" width="11.5703125" style="1" customWidth="1"/>
    <col min="8462" max="8462" width="10.85546875" style="1" customWidth="1"/>
    <col min="8463" max="8463" width="7.7109375" style="1" customWidth="1"/>
    <col min="8464" max="8464" width="8" style="1" customWidth="1"/>
    <col min="8465" max="8465" width="16.28515625" style="1" customWidth="1"/>
    <col min="8466" max="8466" width="10.5703125" style="1" customWidth="1"/>
    <col min="8467" max="8467" width="14.140625" style="1" customWidth="1"/>
    <col min="8468" max="8468" width="10.140625" style="1" customWidth="1"/>
    <col min="8469" max="8469" width="15.140625" style="1" customWidth="1"/>
    <col min="8470" max="8470" width="8.5703125" style="1" customWidth="1"/>
    <col min="8471" max="8471" width="14.28515625" style="1" customWidth="1"/>
    <col min="8472" max="8472" width="18.28515625" style="1" customWidth="1"/>
    <col min="8473" max="8473" width="13" style="1" bestFit="1" customWidth="1"/>
    <col min="8474" max="8474" width="11.7109375" style="1" bestFit="1" customWidth="1"/>
    <col min="8475" max="8481" width="9.140625" style="1"/>
    <col min="8482" max="8482" width="11.28515625" style="1" bestFit="1" customWidth="1"/>
    <col min="8483" max="8483" width="10.7109375" style="1" bestFit="1" customWidth="1"/>
    <col min="8484" max="8705" width="9.140625" style="1"/>
    <col min="8706" max="8706" width="6.42578125" style="1" customWidth="1"/>
    <col min="8707" max="8707" width="20.7109375" style="1" customWidth="1"/>
    <col min="8708" max="8708" width="24.7109375" style="1" customWidth="1"/>
    <col min="8709" max="8709" width="11.140625" style="1" customWidth="1"/>
    <col min="8710" max="8710" width="12.28515625" style="1" customWidth="1"/>
    <col min="8711" max="8711" width="11.140625" style="1" customWidth="1"/>
    <col min="8712" max="8712" width="10.42578125" style="1" customWidth="1"/>
    <col min="8713" max="8713" width="4.7109375" style="1" customWidth="1"/>
    <col min="8714" max="8714" width="8.5703125" style="1" customWidth="1"/>
    <col min="8715" max="8715" width="5.5703125" style="1" customWidth="1"/>
    <col min="8716" max="8717" width="11.5703125" style="1" customWidth="1"/>
    <col min="8718" max="8718" width="10.85546875" style="1" customWidth="1"/>
    <col min="8719" max="8719" width="7.7109375" style="1" customWidth="1"/>
    <col min="8720" max="8720" width="8" style="1" customWidth="1"/>
    <col min="8721" max="8721" width="16.28515625" style="1" customWidth="1"/>
    <col min="8722" max="8722" width="10.5703125" style="1" customWidth="1"/>
    <col min="8723" max="8723" width="14.140625" style="1" customWidth="1"/>
    <col min="8724" max="8724" width="10.140625" style="1" customWidth="1"/>
    <col min="8725" max="8725" width="15.140625" style="1" customWidth="1"/>
    <col min="8726" max="8726" width="8.5703125" style="1" customWidth="1"/>
    <col min="8727" max="8727" width="14.28515625" style="1" customWidth="1"/>
    <col min="8728" max="8728" width="18.28515625" style="1" customWidth="1"/>
    <col min="8729" max="8729" width="13" style="1" bestFit="1" customWidth="1"/>
    <col min="8730" max="8730" width="11.7109375" style="1" bestFit="1" customWidth="1"/>
    <col min="8731" max="8737" width="9.140625" style="1"/>
    <col min="8738" max="8738" width="11.28515625" style="1" bestFit="1" customWidth="1"/>
    <col min="8739" max="8739" width="10.7109375" style="1" bestFit="1" customWidth="1"/>
    <col min="8740" max="8961" width="9.140625" style="1"/>
    <col min="8962" max="8962" width="6.42578125" style="1" customWidth="1"/>
    <col min="8963" max="8963" width="20.7109375" style="1" customWidth="1"/>
    <col min="8964" max="8964" width="24.7109375" style="1" customWidth="1"/>
    <col min="8965" max="8965" width="11.140625" style="1" customWidth="1"/>
    <col min="8966" max="8966" width="12.28515625" style="1" customWidth="1"/>
    <col min="8967" max="8967" width="11.140625" style="1" customWidth="1"/>
    <col min="8968" max="8968" width="10.42578125" style="1" customWidth="1"/>
    <col min="8969" max="8969" width="4.7109375" style="1" customWidth="1"/>
    <col min="8970" max="8970" width="8.5703125" style="1" customWidth="1"/>
    <col min="8971" max="8971" width="5.5703125" style="1" customWidth="1"/>
    <col min="8972" max="8973" width="11.5703125" style="1" customWidth="1"/>
    <col min="8974" max="8974" width="10.85546875" style="1" customWidth="1"/>
    <col min="8975" max="8975" width="7.7109375" style="1" customWidth="1"/>
    <col min="8976" max="8976" width="8" style="1" customWidth="1"/>
    <col min="8977" max="8977" width="16.28515625" style="1" customWidth="1"/>
    <col min="8978" max="8978" width="10.5703125" style="1" customWidth="1"/>
    <col min="8979" max="8979" width="14.140625" style="1" customWidth="1"/>
    <col min="8980" max="8980" width="10.140625" style="1" customWidth="1"/>
    <col min="8981" max="8981" width="15.140625" style="1" customWidth="1"/>
    <col min="8982" max="8982" width="8.5703125" style="1" customWidth="1"/>
    <col min="8983" max="8983" width="14.28515625" style="1" customWidth="1"/>
    <col min="8984" max="8984" width="18.28515625" style="1" customWidth="1"/>
    <col min="8985" max="8985" width="13" style="1" bestFit="1" customWidth="1"/>
    <col min="8986" max="8986" width="11.7109375" style="1" bestFit="1" customWidth="1"/>
    <col min="8987" max="8993" width="9.140625" style="1"/>
    <col min="8994" max="8994" width="11.28515625" style="1" bestFit="1" customWidth="1"/>
    <col min="8995" max="8995" width="10.7109375" style="1" bestFit="1" customWidth="1"/>
    <col min="8996" max="9217" width="9.140625" style="1"/>
    <col min="9218" max="9218" width="6.42578125" style="1" customWidth="1"/>
    <col min="9219" max="9219" width="20.7109375" style="1" customWidth="1"/>
    <col min="9220" max="9220" width="24.7109375" style="1" customWidth="1"/>
    <col min="9221" max="9221" width="11.140625" style="1" customWidth="1"/>
    <col min="9222" max="9222" width="12.28515625" style="1" customWidth="1"/>
    <col min="9223" max="9223" width="11.140625" style="1" customWidth="1"/>
    <col min="9224" max="9224" width="10.42578125" style="1" customWidth="1"/>
    <col min="9225" max="9225" width="4.7109375" style="1" customWidth="1"/>
    <col min="9226" max="9226" width="8.5703125" style="1" customWidth="1"/>
    <col min="9227" max="9227" width="5.5703125" style="1" customWidth="1"/>
    <col min="9228" max="9229" width="11.5703125" style="1" customWidth="1"/>
    <col min="9230" max="9230" width="10.85546875" style="1" customWidth="1"/>
    <col min="9231" max="9231" width="7.7109375" style="1" customWidth="1"/>
    <col min="9232" max="9232" width="8" style="1" customWidth="1"/>
    <col min="9233" max="9233" width="16.28515625" style="1" customWidth="1"/>
    <col min="9234" max="9234" width="10.5703125" style="1" customWidth="1"/>
    <col min="9235" max="9235" width="14.140625" style="1" customWidth="1"/>
    <col min="9236" max="9236" width="10.140625" style="1" customWidth="1"/>
    <col min="9237" max="9237" width="15.140625" style="1" customWidth="1"/>
    <col min="9238" max="9238" width="8.5703125" style="1" customWidth="1"/>
    <col min="9239" max="9239" width="14.28515625" style="1" customWidth="1"/>
    <col min="9240" max="9240" width="18.28515625" style="1" customWidth="1"/>
    <col min="9241" max="9241" width="13" style="1" bestFit="1" customWidth="1"/>
    <col min="9242" max="9242" width="11.7109375" style="1" bestFit="1" customWidth="1"/>
    <col min="9243" max="9249" width="9.140625" style="1"/>
    <col min="9250" max="9250" width="11.28515625" style="1" bestFit="1" customWidth="1"/>
    <col min="9251" max="9251" width="10.7109375" style="1" bestFit="1" customWidth="1"/>
    <col min="9252" max="9473" width="9.140625" style="1"/>
    <col min="9474" max="9474" width="6.42578125" style="1" customWidth="1"/>
    <col min="9475" max="9475" width="20.7109375" style="1" customWidth="1"/>
    <col min="9476" max="9476" width="24.7109375" style="1" customWidth="1"/>
    <col min="9477" max="9477" width="11.140625" style="1" customWidth="1"/>
    <col min="9478" max="9478" width="12.28515625" style="1" customWidth="1"/>
    <col min="9479" max="9479" width="11.140625" style="1" customWidth="1"/>
    <col min="9480" max="9480" width="10.42578125" style="1" customWidth="1"/>
    <col min="9481" max="9481" width="4.7109375" style="1" customWidth="1"/>
    <col min="9482" max="9482" width="8.5703125" style="1" customWidth="1"/>
    <col min="9483" max="9483" width="5.5703125" style="1" customWidth="1"/>
    <col min="9484" max="9485" width="11.5703125" style="1" customWidth="1"/>
    <col min="9486" max="9486" width="10.85546875" style="1" customWidth="1"/>
    <col min="9487" max="9487" width="7.7109375" style="1" customWidth="1"/>
    <col min="9488" max="9488" width="8" style="1" customWidth="1"/>
    <col min="9489" max="9489" width="16.28515625" style="1" customWidth="1"/>
    <col min="9490" max="9490" width="10.5703125" style="1" customWidth="1"/>
    <col min="9491" max="9491" width="14.140625" style="1" customWidth="1"/>
    <col min="9492" max="9492" width="10.140625" style="1" customWidth="1"/>
    <col min="9493" max="9493" width="15.140625" style="1" customWidth="1"/>
    <col min="9494" max="9494" width="8.5703125" style="1" customWidth="1"/>
    <col min="9495" max="9495" width="14.28515625" style="1" customWidth="1"/>
    <col min="9496" max="9496" width="18.28515625" style="1" customWidth="1"/>
    <col min="9497" max="9497" width="13" style="1" bestFit="1" customWidth="1"/>
    <col min="9498" max="9498" width="11.7109375" style="1" bestFit="1" customWidth="1"/>
    <col min="9499" max="9505" width="9.140625" style="1"/>
    <col min="9506" max="9506" width="11.28515625" style="1" bestFit="1" customWidth="1"/>
    <col min="9507" max="9507" width="10.7109375" style="1" bestFit="1" customWidth="1"/>
    <col min="9508" max="9729" width="9.140625" style="1"/>
    <col min="9730" max="9730" width="6.42578125" style="1" customWidth="1"/>
    <col min="9731" max="9731" width="20.7109375" style="1" customWidth="1"/>
    <col min="9732" max="9732" width="24.7109375" style="1" customWidth="1"/>
    <col min="9733" max="9733" width="11.140625" style="1" customWidth="1"/>
    <col min="9734" max="9734" width="12.28515625" style="1" customWidth="1"/>
    <col min="9735" max="9735" width="11.140625" style="1" customWidth="1"/>
    <col min="9736" max="9736" width="10.42578125" style="1" customWidth="1"/>
    <col min="9737" max="9737" width="4.7109375" style="1" customWidth="1"/>
    <col min="9738" max="9738" width="8.5703125" style="1" customWidth="1"/>
    <col min="9739" max="9739" width="5.5703125" style="1" customWidth="1"/>
    <col min="9740" max="9741" width="11.5703125" style="1" customWidth="1"/>
    <col min="9742" max="9742" width="10.85546875" style="1" customWidth="1"/>
    <col min="9743" max="9743" width="7.7109375" style="1" customWidth="1"/>
    <col min="9744" max="9744" width="8" style="1" customWidth="1"/>
    <col min="9745" max="9745" width="16.28515625" style="1" customWidth="1"/>
    <col min="9746" max="9746" width="10.5703125" style="1" customWidth="1"/>
    <col min="9747" max="9747" width="14.140625" style="1" customWidth="1"/>
    <col min="9748" max="9748" width="10.140625" style="1" customWidth="1"/>
    <col min="9749" max="9749" width="15.140625" style="1" customWidth="1"/>
    <col min="9750" max="9750" width="8.5703125" style="1" customWidth="1"/>
    <col min="9751" max="9751" width="14.28515625" style="1" customWidth="1"/>
    <col min="9752" max="9752" width="18.28515625" style="1" customWidth="1"/>
    <col min="9753" max="9753" width="13" style="1" bestFit="1" customWidth="1"/>
    <col min="9754" max="9754" width="11.7109375" style="1" bestFit="1" customWidth="1"/>
    <col min="9755" max="9761" width="9.140625" style="1"/>
    <col min="9762" max="9762" width="11.28515625" style="1" bestFit="1" customWidth="1"/>
    <col min="9763" max="9763" width="10.7109375" style="1" bestFit="1" customWidth="1"/>
    <col min="9764" max="9985" width="9.140625" style="1"/>
    <col min="9986" max="9986" width="6.42578125" style="1" customWidth="1"/>
    <col min="9987" max="9987" width="20.7109375" style="1" customWidth="1"/>
    <col min="9988" max="9988" width="24.7109375" style="1" customWidth="1"/>
    <col min="9989" max="9989" width="11.140625" style="1" customWidth="1"/>
    <col min="9990" max="9990" width="12.28515625" style="1" customWidth="1"/>
    <col min="9991" max="9991" width="11.140625" style="1" customWidth="1"/>
    <col min="9992" max="9992" width="10.42578125" style="1" customWidth="1"/>
    <col min="9993" max="9993" width="4.7109375" style="1" customWidth="1"/>
    <col min="9994" max="9994" width="8.5703125" style="1" customWidth="1"/>
    <col min="9995" max="9995" width="5.5703125" style="1" customWidth="1"/>
    <col min="9996" max="9997" width="11.5703125" style="1" customWidth="1"/>
    <col min="9998" max="9998" width="10.85546875" style="1" customWidth="1"/>
    <col min="9999" max="9999" width="7.7109375" style="1" customWidth="1"/>
    <col min="10000" max="10000" width="8" style="1" customWidth="1"/>
    <col min="10001" max="10001" width="16.28515625" style="1" customWidth="1"/>
    <col min="10002" max="10002" width="10.5703125" style="1" customWidth="1"/>
    <col min="10003" max="10003" width="14.140625" style="1" customWidth="1"/>
    <col min="10004" max="10004" width="10.140625" style="1" customWidth="1"/>
    <col min="10005" max="10005" width="15.140625" style="1" customWidth="1"/>
    <col min="10006" max="10006" width="8.5703125" style="1" customWidth="1"/>
    <col min="10007" max="10007" width="14.28515625" style="1" customWidth="1"/>
    <col min="10008" max="10008" width="18.28515625" style="1" customWidth="1"/>
    <col min="10009" max="10009" width="13" style="1" bestFit="1" customWidth="1"/>
    <col min="10010" max="10010" width="11.7109375" style="1" bestFit="1" customWidth="1"/>
    <col min="10011" max="10017" width="9.140625" style="1"/>
    <col min="10018" max="10018" width="11.28515625" style="1" bestFit="1" customWidth="1"/>
    <col min="10019" max="10019" width="10.7109375" style="1" bestFit="1" customWidth="1"/>
    <col min="10020" max="10241" width="9.140625" style="1"/>
    <col min="10242" max="10242" width="6.42578125" style="1" customWidth="1"/>
    <col min="10243" max="10243" width="20.7109375" style="1" customWidth="1"/>
    <col min="10244" max="10244" width="24.7109375" style="1" customWidth="1"/>
    <col min="10245" max="10245" width="11.140625" style="1" customWidth="1"/>
    <col min="10246" max="10246" width="12.28515625" style="1" customWidth="1"/>
    <col min="10247" max="10247" width="11.140625" style="1" customWidth="1"/>
    <col min="10248" max="10248" width="10.42578125" style="1" customWidth="1"/>
    <col min="10249" max="10249" width="4.7109375" style="1" customWidth="1"/>
    <col min="10250" max="10250" width="8.5703125" style="1" customWidth="1"/>
    <col min="10251" max="10251" width="5.5703125" style="1" customWidth="1"/>
    <col min="10252" max="10253" width="11.5703125" style="1" customWidth="1"/>
    <col min="10254" max="10254" width="10.85546875" style="1" customWidth="1"/>
    <col min="10255" max="10255" width="7.7109375" style="1" customWidth="1"/>
    <col min="10256" max="10256" width="8" style="1" customWidth="1"/>
    <col min="10257" max="10257" width="16.28515625" style="1" customWidth="1"/>
    <col min="10258" max="10258" width="10.5703125" style="1" customWidth="1"/>
    <col min="10259" max="10259" width="14.140625" style="1" customWidth="1"/>
    <col min="10260" max="10260" width="10.140625" style="1" customWidth="1"/>
    <col min="10261" max="10261" width="15.140625" style="1" customWidth="1"/>
    <col min="10262" max="10262" width="8.5703125" style="1" customWidth="1"/>
    <col min="10263" max="10263" width="14.28515625" style="1" customWidth="1"/>
    <col min="10264" max="10264" width="18.28515625" style="1" customWidth="1"/>
    <col min="10265" max="10265" width="13" style="1" bestFit="1" customWidth="1"/>
    <col min="10266" max="10266" width="11.7109375" style="1" bestFit="1" customWidth="1"/>
    <col min="10267" max="10273" width="9.140625" style="1"/>
    <col min="10274" max="10274" width="11.28515625" style="1" bestFit="1" customWidth="1"/>
    <col min="10275" max="10275" width="10.7109375" style="1" bestFit="1" customWidth="1"/>
    <col min="10276" max="10497" width="9.140625" style="1"/>
    <col min="10498" max="10498" width="6.42578125" style="1" customWidth="1"/>
    <col min="10499" max="10499" width="20.7109375" style="1" customWidth="1"/>
    <col min="10500" max="10500" width="24.7109375" style="1" customWidth="1"/>
    <col min="10501" max="10501" width="11.140625" style="1" customWidth="1"/>
    <col min="10502" max="10502" width="12.28515625" style="1" customWidth="1"/>
    <col min="10503" max="10503" width="11.140625" style="1" customWidth="1"/>
    <col min="10504" max="10504" width="10.42578125" style="1" customWidth="1"/>
    <col min="10505" max="10505" width="4.7109375" style="1" customWidth="1"/>
    <col min="10506" max="10506" width="8.5703125" style="1" customWidth="1"/>
    <col min="10507" max="10507" width="5.5703125" style="1" customWidth="1"/>
    <col min="10508" max="10509" width="11.5703125" style="1" customWidth="1"/>
    <col min="10510" max="10510" width="10.85546875" style="1" customWidth="1"/>
    <col min="10511" max="10511" width="7.7109375" style="1" customWidth="1"/>
    <col min="10512" max="10512" width="8" style="1" customWidth="1"/>
    <col min="10513" max="10513" width="16.28515625" style="1" customWidth="1"/>
    <col min="10514" max="10514" width="10.5703125" style="1" customWidth="1"/>
    <col min="10515" max="10515" width="14.140625" style="1" customWidth="1"/>
    <col min="10516" max="10516" width="10.140625" style="1" customWidth="1"/>
    <col min="10517" max="10517" width="15.140625" style="1" customWidth="1"/>
    <col min="10518" max="10518" width="8.5703125" style="1" customWidth="1"/>
    <col min="10519" max="10519" width="14.28515625" style="1" customWidth="1"/>
    <col min="10520" max="10520" width="18.28515625" style="1" customWidth="1"/>
    <col min="10521" max="10521" width="13" style="1" bestFit="1" customWidth="1"/>
    <col min="10522" max="10522" width="11.7109375" style="1" bestFit="1" customWidth="1"/>
    <col min="10523" max="10529" width="9.140625" style="1"/>
    <col min="10530" max="10530" width="11.28515625" style="1" bestFit="1" customWidth="1"/>
    <col min="10531" max="10531" width="10.7109375" style="1" bestFit="1" customWidth="1"/>
    <col min="10532" max="10753" width="9.140625" style="1"/>
    <col min="10754" max="10754" width="6.42578125" style="1" customWidth="1"/>
    <col min="10755" max="10755" width="20.7109375" style="1" customWidth="1"/>
    <col min="10756" max="10756" width="24.7109375" style="1" customWidth="1"/>
    <col min="10757" max="10757" width="11.140625" style="1" customWidth="1"/>
    <col min="10758" max="10758" width="12.28515625" style="1" customWidth="1"/>
    <col min="10759" max="10759" width="11.140625" style="1" customWidth="1"/>
    <col min="10760" max="10760" width="10.42578125" style="1" customWidth="1"/>
    <col min="10761" max="10761" width="4.7109375" style="1" customWidth="1"/>
    <col min="10762" max="10762" width="8.5703125" style="1" customWidth="1"/>
    <col min="10763" max="10763" width="5.5703125" style="1" customWidth="1"/>
    <col min="10764" max="10765" width="11.5703125" style="1" customWidth="1"/>
    <col min="10766" max="10766" width="10.85546875" style="1" customWidth="1"/>
    <col min="10767" max="10767" width="7.7109375" style="1" customWidth="1"/>
    <col min="10768" max="10768" width="8" style="1" customWidth="1"/>
    <col min="10769" max="10769" width="16.28515625" style="1" customWidth="1"/>
    <col min="10770" max="10770" width="10.5703125" style="1" customWidth="1"/>
    <col min="10771" max="10771" width="14.140625" style="1" customWidth="1"/>
    <col min="10772" max="10772" width="10.140625" style="1" customWidth="1"/>
    <col min="10773" max="10773" width="15.140625" style="1" customWidth="1"/>
    <col min="10774" max="10774" width="8.5703125" style="1" customWidth="1"/>
    <col min="10775" max="10775" width="14.28515625" style="1" customWidth="1"/>
    <col min="10776" max="10776" width="18.28515625" style="1" customWidth="1"/>
    <col min="10777" max="10777" width="13" style="1" bestFit="1" customWidth="1"/>
    <col min="10778" max="10778" width="11.7109375" style="1" bestFit="1" customWidth="1"/>
    <col min="10779" max="10785" width="9.140625" style="1"/>
    <col min="10786" max="10786" width="11.28515625" style="1" bestFit="1" customWidth="1"/>
    <col min="10787" max="10787" width="10.7109375" style="1" bestFit="1" customWidth="1"/>
    <col min="10788" max="11009" width="9.140625" style="1"/>
    <col min="11010" max="11010" width="6.42578125" style="1" customWidth="1"/>
    <col min="11011" max="11011" width="20.7109375" style="1" customWidth="1"/>
    <col min="11012" max="11012" width="24.7109375" style="1" customWidth="1"/>
    <col min="11013" max="11013" width="11.140625" style="1" customWidth="1"/>
    <col min="11014" max="11014" width="12.28515625" style="1" customWidth="1"/>
    <col min="11015" max="11015" width="11.140625" style="1" customWidth="1"/>
    <col min="11016" max="11016" width="10.42578125" style="1" customWidth="1"/>
    <col min="11017" max="11017" width="4.7109375" style="1" customWidth="1"/>
    <col min="11018" max="11018" width="8.5703125" style="1" customWidth="1"/>
    <col min="11019" max="11019" width="5.5703125" style="1" customWidth="1"/>
    <col min="11020" max="11021" width="11.5703125" style="1" customWidth="1"/>
    <col min="11022" max="11022" width="10.85546875" style="1" customWidth="1"/>
    <col min="11023" max="11023" width="7.7109375" style="1" customWidth="1"/>
    <col min="11024" max="11024" width="8" style="1" customWidth="1"/>
    <col min="11025" max="11025" width="16.28515625" style="1" customWidth="1"/>
    <col min="11026" max="11026" width="10.5703125" style="1" customWidth="1"/>
    <col min="11027" max="11027" width="14.140625" style="1" customWidth="1"/>
    <col min="11028" max="11028" width="10.140625" style="1" customWidth="1"/>
    <col min="11029" max="11029" width="15.140625" style="1" customWidth="1"/>
    <col min="11030" max="11030" width="8.5703125" style="1" customWidth="1"/>
    <col min="11031" max="11031" width="14.28515625" style="1" customWidth="1"/>
    <col min="11032" max="11032" width="18.28515625" style="1" customWidth="1"/>
    <col min="11033" max="11033" width="13" style="1" bestFit="1" customWidth="1"/>
    <col min="11034" max="11034" width="11.7109375" style="1" bestFit="1" customWidth="1"/>
    <col min="11035" max="11041" width="9.140625" style="1"/>
    <col min="11042" max="11042" width="11.28515625" style="1" bestFit="1" customWidth="1"/>
    <col min="11043" max="11043" width="10.7109375" style="1" bestFit="1" customWidth="1"/>
    <col min="11044" max="11265" width="9.140625" style="1"/>
    <col min="11266" max="11266" width="6.42578125" style="1" customWidth="1"/>
    <col min="11267" max="11267" width="20.7109375" style="1" customWidth="1"/>
    <col min="11268" max="11268" width="24.7109375" style="1" customWidth="1"/>
    <col min="11269" max="11269" width="11.140625" style="1" customWidth="1"/>
    <col min="11270" max="11270" width="12.28515625" style="1" customWidth="1"/>
    <col min="11271" max="11271" width="11.140625" style="1" customWidth="1"/>
    <col min="11272" max="11272" width="10.42578125" style="1" customWidth="1"/>
    <col min="11273" max="11273" width="4.7109375" style="1" customWidth="1"/>
    <col min="11274" max="11274" width="8.5703125" style="1" customWidth="1"/>
    <col min="11275" max="11275" width="5.5703125" style="1" customWidth="1"/>
    <col min="11276" max="11277" width="11.5703125" style="1" customWidth="1"/>
    <col min="11278" max="11278" width="10.85546875" style="1" customWidth="1"/>
    <col min="11279" max="11279" width="7.7109375" style="1" customWidth="1"/>
    <col min="11280" max="11280" width="8" style="1" customWidth="1"/>
    <col min="11281" max="11281" width="16.28515625" style="1" customWidth="1"/>
    <col min="11282" max="11282" width="10.5703125" style="1" customWidth="1"/>
    <col min="11283" max="11283" width="14.140625" style="1" customWidth="1"/>
    <col min="11284" max="11284" width="10.140625" style="1" customWidth="1"/>
    <col min="11285" max="11285" width="15.140625" style="1" customWidth="1"/>
    <col min="11286" max="11286" width="8.5703125" style="1" customWidth="1"/>
    <col min="11287" max="11287" width="14.28515625" style="1" customWidth="1"/>
    <col min="11288" max="11288" width="18.28515625" style="1" customWidth="1"/>
    <col min="11289" max="11289" width="13" style="1" bestFit="1" customWidth="1"/>
    <col min="11290" max="11290" width="11.7109375" style="1" bestFit="1" customWidth="1"/>
    <col min="11291" max="11297" width="9.140625" style="1"/>
    <col min="11298" max="11298" width="11.28515625" style="1" bestFit="1" customWidth="1"/>
    <col min="11299" max="11299" width="10.7109375" style="1" bestFit="1" customWidth="1"/>
    <col min="11300" max="11521" width="9.140625" style="1"/>
    <col min="11522" max="11522" width="6.42578125" style="1" customWidth="1"/>
    <col min="11523" max="11523" width="20.7109375" style="1" customWidth="1"/>
    <col min="11524" max="11524" width="24.7109375" style="1" customWidth="1"/>
    <col min="11525" max="11525" width="11.140625" style="1" customWidth="1"/>
    <col min="11526" max="11526" width="12.28515625" style="1" customWidth="1"/>
    <col min="11527" max="11527" width="11.140625" style="1" customWidth="1"/>
    <col min="11528" max="11528" width="10.42578125" style="1" customWidth="1"/>
    <col min="11529" max="11529" width="4.7109375" style="1" customWidth="1"/>
    <col min="11530" max="11530" width="8.5703125" style="1" customWidth="1"/>
    <col min="11531" max="11531" width="5.5703125" style="1" customWidth="1"/>
    <col min="11532" max="11533" width="11.5703125" style="1" customWidth="1"/>
    <col min="11534" max="11534" width="10.85546875" style="1" customWidth="1"/>
    <col min="11535" max="11535" width="7.7109375" style="1" customWidth="1"/>
    <col min="11536" max="11536" width="8" style="1" customWidth="1"/>
    <col min="11537" max="11537" width="16.28515625" style="1" customWidth="1"/>
    <col min="11538" max="11538" width="10.5703125" style="1" customWidth="1"/>
    <col min="11539" max="11539" width="14.140625" style="1" customWidth="1"/>
    <col min="11540" max="11540" width="10.140625" style="1" customWidth="1"/>
    <col min="11541" max="11541" width="15.140625" style="1" customWidth="1"/>
    <col min="11542" max="11542" width="8.5703125" style="1" customWidth="1"/>
    <col min="11543" max="11543" width="14.28515625" style="1" customWidth="1"/>
    <col min="11544" max="11544" width="18.28515625" style="1" customWidth="1"/>
    <col min="11545" max="11545" width="13" style="1" bestFit="1" customWidth="1"/>
    <col min="11546" max="11546" width="11.7109375" style="1" bestFit="1" customWidth="1"/>
    <col min="11547" max="11553" width="9.140625" style="1"/>
    <col min="11554" max="11554" width="11.28515625" style="1" bestFit="1" customWidth="1"/>
    <col min="11555" max="11555" width="10.7109375" style="1" bestFit="1" customWidth="1"/>
    <col min="11556" max="11777" width="9.140625" style="1"/>
    <col min="11778" max="11778" width="6.42578125" style="1" customWidth="1"/>
    <col min="11779" max="11779" width="20.7109375" style="1" customWidth="1"/>
    <col min="11780" max="11780" width="24.7109375" style="1" customWidth="1"/>
    <col min="11781" max="11781" width="11.140625" style="1" customWidth="1"/>
    <col min="11782" max="11782" width="12.28515625" style="1" customWidth="1"/>
    <col min="11783" max="11783" width="11.140625" style="1" customWidth="1"/>
    <col min="11784" max="11784" width="10.42578125" style="1" customWidth="1"/>
    <col min="11785" max="11785" width="4.7109375" style="1" customWidth="1"/>
    <col min="11786" max="11786" width="8.5703125" style="1" customWidth="1"/>
    <col min="11787" max="11787" width="5.5703125" style="1" customWidth="1"/>
    <col min="11788" max="11789" width="11.5703125" style="1" customWidth="1"/>
    <col min="11790" max="11790" width="10.85546875" style="1" customWidth="1"/>
    <col min="11791" max="11791" width="7.7109375" style="1" customWidth="1"/>
    <col min="11792" max="11792" width="8" style="1" customWidth="1"/>
    <col min="11793" max="11793" width="16.28515625" style="1" customWidth="1"/>
    <col min="11794" max="11794" width="10.5703125" style="1" customWidth="1"/>
    <col min="11795" max="11795" width="14.140625" style="1" customWidth="1"/>
    <col min="11796" max="11796" width="10.140625" style="1" customWidth="1"/>
    <col min="11797" max="11797" width="15.140625" style="1" customWidth="1"/>
    <col min="11798" max="11798" width="8.5703125" style="1" customWidth="1"/>
    <col min="11799" max="11799" width="14.28515625" style="1" customWidth="1"/>
    <col min="11800" max="11800" width="18.28515625" style="1" customWidth="1"/>
    <col min="11801" max="11801" width="13" style="1" bestFit="1" customWidth="1"/>
    <col min="11802" max="11802" width="11.7109375" style="1" bestFit="1" customWidth="1"/>
    <col min="11803" max="11809" width="9.140625" style="1"/>
    <col min="11810" max="11810" width="11.28515625" style="1" bestFit="1" customWidth="1"/>
    <col min="11811" max="11811" width="10.7109375" style="1" bestFit="1" customWidth="1"/>
    <col min="11812" max="12033" width="9.140625" style="1"/>
    <col min="12034" max="12034" width="6.42578125" style="1" customWidth="1"/>
    <col min="12035" max="12035" width="20.7109375" style="1" customWidth="1"/>
    <col min="12036" max="12036" width="24.7109375" style="1" customWidth="1"/>
    <col min="12037" max="12037" width="11.140625" style="1" customWidth="1"/>
    <col min="12038" max="12038" width="12.28515625" style="1" customWidth="1"/>
    <col min="12039" max="12039" width="11.140625" style="1" customWidth="1"/>
    <col min="12040" max="12040" width="10.42578125" style="1" customWidth="1"/>
    <col min="12041" max="12041" width="4.7109375" style="1" customWidth="1"/>
    <col min="12042" max="12042" width="8.5703125" style="1" customWidth="1"/>
    <col min="12043" max="12043" width="5.5703125" style="1" customWidth="1"/>
    <col min="12044" max="12045" width="11.5703125" style="1" customWidth="1"/>
    <col min="12046" max="12046" width="10.85546875" style="1" customWidth="1"/>
    <col min="12047" max="12047" width="7.7109375" style="1" customWidth="1"/>
    <col min="12048" max="12048" width="8" style="1" customWidth="1"/>
    <col min="12049" max="12049" width="16.28515625" style="1" customWidth="1"/>
    <col min="12050" max="12050" width="10.5703125" style="1" customWidth="1"/>
    <col min="12051" max="12051" width="14.140625" style="1" customWidth="1"/>
    <col min="12052" max="12052" width="10.140625" style="1" customWidth="1"/>
    <col min="12053" max="12053" width="15.140625" style="1" customWidth="1"/>
    <col min="12054" max="12054" width="8.5703125" style="1" customWidth="1"/>
    <col min="12055" max="12055" width="14.28515625" style="1" customWidth="1"/>
    <col min="12056" max="12056" width="18.28515625" style="1" customWidth="1"/>
    <col min="12057" max="12057" width="13" style="1" bestFit="1" customWidth="1"/>
    <col min="12058" max="12058" width="11.7109375" style="1" bestFit="1" customWidth="1"/>
    <col min="12059" max="12065" width="9.140625" style="1"/>
    <col min="12066" max="12066" width="11.28515625" style="1" bestFit="1" customWidth="1"/>
    <col min="12067" max="12067" width="10.7109375" style="1" bestFit="1" customWidth="1"/>
    <col min="12068" max="12289" width="9.140625" style="1"/>
    <col min="12290" max="12290" width="6.42578125" style="1" customWidth="1"/>
    <col min="12291" max="12291" width="20.7109375" style="1" customWidth="1"/>
    <col min="12292" max="12292" width="24.7109375" style="1" customWidth="1"/>
    <col min="12293" max="12293" width="11.140625" style="1" customWidth="1"/>
    <col min="12294" max="12294" width="12.28515625" style="1" customWidth="1"/>
    <col min="12295" max="12295" width="11.140625" style="1" customWidth="1"/>
    <col min="12296" max="12296" width="10.42578125" style="1" customWidth="1"/>
    <col min="12297" max="12297" width="4.7109375" style="1" customWidth="1"/>
    <col min="12298" max="12298" width="8.5703125" style="1" customWidth="1"/>
    <col min="12299" max="12299" width="5.5703125" style="1" customWidth="1"/>
    <col min="12300" max="12301" width="11.5703125" style="1" customWidth="1"/>
    <col min="12302" max="12302" width="10.85546875" style="1" customWidth="1"/>
    <col min="12303" max="12303" width="7.7109375" style="1" customWidth="1"/>
    <col min="12304" max="12304" width="8" style="1" customWidth="1"/>
    <col min="12305" max="12305" width="16.28515625" style="1" customWidth="1"/>
    <col min="12306" max="12306" width="10.5703125" style="1" customWidth="1"/>
    <col min="12307" max="12307" width="14.140625" style="1" customWidth="1"/>
    <col min="12308" max="12308" width="10.140625" style="1" customWidth="1"/>
    <col min="12309" max="12309" width="15.140625" style="1" customWidth="1"/>
    <col min="12310" max="12310" width="8.5703125" style="1" customWidth="1"/>
    <col min="12311" max="12311" width="14.28515625" style="1" customWidth="1"/>
    <col min="12312" max="12312" width="18.28515625" style="1" customWidth="1"/>
    <col min="12313" max="12313" width="13" style="1" bestFit="1" customWidth="1"/>
    <col min="12314" max="12314" width="11.7109375" style="1" bestFit="1" customWidth="1"/>
    <col min="12315" max="12321" width="9.140625" style="1"/>
    <col min="12322" max="12322" width="11.28515625" style="1" bestFit="1" customWidth="1"/>
    <col min="12323" max="12323" width="10.7109375" style="1" bestFit="1" customWidth="1"/>
    <col min="12324" max="12545" width="9.140625" style="1"/>
    <col min="12546" max="12546" width="6.42578125" style="1" customWidth="1"/>
    <col min="12547" max="12547" width="20.7109375" style="1" customWidth="1"/>
    <col min="12548" max="12548" width="24.7109375" style="1" customWidth="1"/>
    <col min="12549" max="12549" width="11.140625" style="1" customWidth="1"/>
    <col min="12550" max="12550" width="12.28515625" style="1" customWidth="1"/>
    <col min="12551" max="12551" width="11.140625" style="1" customWidth="1"/>
    <col min="12552" max="12552" width="10.42578125" style="1" customWidth="1"/>
    <col min="12553" max="12553" width="4.7109375" style="1" customWidth="1"/>
    <col min="12554" max="12554" width="8.5703125" style="1" customWidth="1"/>
    <col min="12555" max="12555" width="5.5703125" style="1" customWidth="1"/>
    <col min="12556" max="12557" width="11.5703125" style="1" customWidth="1"/>
    <col min="12558" max="12558" width="10.85546875" style="1" customWidth="1"/>
    <col min="12559" max="12559" width="7.7109375" style="1" customWidth="1"/>
    <col min="12560" max="12560" width="8" style="1" customWidth="1"/>
    <col min="12561" max="12561" width="16.28515625" style="1" customWidth="1"/>
    <col min="12562" max="12562" width="10.5703125" style="1" customWidth="1"/>
    <col min="12563" max="12563" width="14.140625" style="1" customWidth="1"/>
    <col min="12564" max="12564" width="10.140625" style="1" customWidth="1"/>
    <col min="12565" max="12565" width="15.140625" style="1" customWidth="1"/>
    <col min="12566" max="12566" width="8.5703125" style="1" customWidth="1"/>
    <col min="12567" max="12567" width="14.28515625" style="1" customWidth="1"/>
    <col min="12568" max="12568" width="18.28515625" style="1" customWidth="1"/>
    <col min="12569" max="12569" width="13" style="1" bestFit="1" customWidth="1"/>
    <col min="12570" max="12570" width="11.7109375" style="1" bestFit="1" customWidth="1"/>
    <col min="12571" max="12577" width="9.140625" style="1"/>
    <col min="12578" max="12578" width="11.28515625" style="1" bestFit="1" customWidth="1"/>
    <col min="12579" max="12579" width="10.7109375" style="1" bestFit="1" customWidth="1"/>
    <col min="12580" max="12801" width="9.140625" style="1"/>
    <col min="12802" max="12802" width="6.42578125" style="1" customWidth="1"/>
    <col min="12803" max="12803" width="20.7109375" style="1" customWidth="1"/>
    <col min="12804" max="12804" width="24.7109375" style="1" customWidth="1"/>
    <col min="12805" max="12805" width="11.140625" style="1" customWidth="1"/>
    <col min="12806" max="12806" width="12.28515625" style="1" customWidth="1"/>
    <col min="12807" max="12807" width="11.140625" style="1" customWidth="1"/>
    <col min="12808" max="12808" width="10.42578125" style="1" customWidth="1"/>
    <col min="12809" max="12809" width="4.7109375" style="1" customWidth="1"/>
    <col min="12810" max="12810" width="8.5703125" style="1" customWidth="1"/>
    <col min="12811" max="12811" width="5.5703125" style="1" customWidth="1"/>
    <col min="12812" max="12813" width="11.5703125" style="1" customWidth="1"/>
    <col min="12814" max="12814" width="10.85546875" style="1" customWidth="1"/>
    <col min="12815" max="12815" width="7.7109375" style="1" customWidth="1"/>
    <col min="12816" max="12816" width="8" style="1" customWidth="1"/>
    <col min="12817" max="12817" width="16.28515625" style="1" customWidth="1"/>
    <col min="12818" max="12818" width="10.5703125" style="1" customWidth="1"/>
    <col min="12819" max="12819" width="14.140625" style="1" customWidth="1"/>
    <col min="12820" max="12820" width="10.140625" style="1" customWidth="1"/>
    <col min="12821" max="12821" width="15.140625" style="1" customWidth="1"/>
    <col min="12822" max="12822" width="8.5703125" style="1" customWidth="1"/>
    <col min="12823" max="12823" width="14.28515625" style="1" customWidth="1"/>
    <col min="12824" max="12824" width="18.28515625" style="1" customWidth="1"/>
    <col min="12825" max="12825" width="13" style="1" bestFit="1" customWidth="1"/>
    <col min="12826" max="12826" width="11.7109375" style="1" bestFit="1" customWidth="1"/>
    <col min="12827" max="12833" width="9.140625" style="1"/>
    <col min="12834" max="12834" width="11.28515625" style="1" bestFit="1" customWidth="1"/>
    <col min="12835" max="12835" width="10.7109375" style="1" bestFit="1" customWidth="1"/>
    <col min="12836" max="13057" width="9.140625" style="1"/>
    <col min="13058" max="13058" width="6.42578125" style="1" customWidth="1"/>
    <col min="13059" max="13059" width="20.7109375" style="1" customWidth="1"/>
    <col min="13060" max="13060" width="24.7109375" style="1" customWidth="1"/>
    <col min="13061" max="13061" width="11.140625" style="1" customWidth="1"/>
    <col min="13062" max="13062" width="12.28515625" style="1" customWidth="1"/>
    <col min="13063" max="13063" width="11.140625" style="1" customWidth="1"/>
    <col min="13064" max="13064" width="10.42578125" style="1" customWidth="1"/>
    <col min="13065" max="13065" width="4.7109375" style="1" customWidth="1"/>
    <col min="13066" max="13066" width="8.5703125" style="1" customWidth="1"/>
    <col min="13067" max="13067" width="5.5703125" style="1" customWidth="1"/>
    <col min="13068" max="13069" width="11.5703125" style="1" customWidth="1"/>
    <col min="13070" max="13070" width="10.85546875" style="1" customWidth="1"/>
    <col min="13071" max="13071" width="7.7109375" style="1" customWidth="1"/>
    <col min="13072" max="13072" width="8" style="1" customWidth="1"/>
    <col min="13073" max="13073" width="16.28515625" style="1" customWidth="1"/>
    <col min="13074" max="13074" width="10.5703125" style="1" customWidth="1"/>
    <col min="13075" max="13075" width="14.140625" style="1" customWidth="1"/>
    <col min="13076" max="13076" width="10.140625" style="1" customWidth="1"/>
    <col min="13077" max="13077" width="15.140625" style="1" customWidth="1"/>
    <col min="13078" max="13078" width="8.5703125" style="1" customWidth="1"/>
    <col min="13079" max="13079" width="14.28515625" style="1" customWidth="1"/>
    <col min="13080" max="13080" width="18.28515625" style="1" customWidth="1"/>
    <col min="13081" max="13081" width="13" style="1" bestFit="1" customWidth="1"/>
    <col min="13082" max="13082" width="11.7109375" style="1" bestFit="1" customWidth="1"/>
    <col min="13083" max="13089" width="9.140625" style="1"/>
    <col min="13090" max="13090" width="11.28515625" style="1" bestFit="1" customWidth="1"/>
    <col min="13091" max="13091" width="10.7109375" style="1" bestFit="1" customWidth="1"/>
    <col min="13092" max="13313" width="9.140625" style="1"/>
    <col min="13314" max="13314" width="6.42578125" style="1" customWidth="1"/>
    <col min="13315" max="13315" width="20.7109375" style="1" customWidth="1"/>
    <col min="13316" max="13316" width="24.7109375" style="1" customWidth="1"/>
    <col min="13317" max="13317" width="11.140625" style="1" customWidth="1"/>
    <col min="13318" max="13318" width="12.28515625" style="1" customWidth="1"/>
    <col min="13319" max="13319" width="11.140625" style="1" customWidth="1"/>
    <col min="13320" max="13320" width="10.42578125" style="1" customWidth="1"/>
    <col min="13321" max="13321" width="4.7109375" style="1" customWidth="1"/>
    <col min="13322" max="13322" width="8.5703125" style="1" customWidth="1"/>
    <col min="13323" max="13323" width="5.5703125" style="1" customWidth="1"/>
    <col min="13324" max="13325" width="11.5703125" style="1" customWidth="1"/>
    <col min="13326" max="13326" width="10.85546875" style="1" customWidth="1"/>
    <col min="13327" max="13327" width="7.7109375" style="1" customWidth="1"/>
    <col min="13328" max="13328" width="8" style="1" customWidth="1"/>
    <col min="13329" max="13329" width="16.28515625" style="1" customWidth="1"/>
    <col min="13330" max="13330" width="10.5703125" style="1" customWidth="1"/>
    <col min="13331" max="13331" width="14.140625" style="1" customWidth="1"/>
    <col min="13332" max="13332" width="10.140625" style="1" customWidth="1"/>
    <col min="13333" max="13333" width="15.140625" style="1" customWidth="1"/>
    <col min="13334" max="13334" width="8.5703125" style="1" customWidth="1"/>
    <col min="13335" max="13335" width="14.28515625" style="1" customWidth="1"/>
    <col min="13336" max="13336" width="18.28515625" style="1" customWidth="1"/>
    <col min="13337" max="13337" width="13" style="1" bestFit="1" customWidth="1"/>
    <col min="13338" max="13338" width="11.7109375" style="1" bestFit="1" customWidth="1"/>
    <col min="13339" max="13345" width="9.140625" style="1"/>
    <col min="13346" max="13346" width="11.28515625" style="1" bestFit="1" customWidth="1"/>
    <col min="13347" max="13347" width="10.7109375" style="1" bestFit="1" customWidth="1"/>
    <col min="13348" max="13569" width="9.140625" style="1"/>
    <col min="13570" max="13570" width="6.42578125" style="1" customWidth="1"/>
    <col min="13571" max="13571" width="20.7109375" style="1" customWidth="1"/>
    <col min="13572" max="13572" width="24.7109375" style="1" customWidth="1"/>
    <col min="13573" max="13573" width="11.140625" style="1" customWidth="1"/>
    <col min="13574" max="13574" width="12.28515625" style="1" customWidth="1"/>
    <col min="13575" max="13575" width="11.140625" style="1" customWidth="1"/>
    <col min="13576" max="13576" width="10.42578125" style="1" customWidth="1"/>
    <col min="13577" max="13577" width="4.7109375" style="1" customWidth="1"/>
    <col min="13578" max="13578" width="8.5703125" style="1" customWidth="1"/>
    <col min="13579" max="13579" width="5.5703125" style="1" customWidth="1"/>
    <col min="13580" max="13581" width="11.5703125" style="1" customWidth="1"/>
    <col min="13582" max="13582" width="10.85546875" style="1" customWidth="1"/>
    <col min="13583" max="13583" width="7.7109375" style="1" customWidth="1"/>
    <col min="13584" max="13584" width="8" style="1" customWidth="1"/>
    <col min="13585" max="13585" width="16.28515625" style="1" customWidth="1"/>
    <col min="13586" max="13586" width="10.5703125" style="1" customWidth="1"/>
    <col min="13587" max="13587" width="14.140625" style="1" customWidth="1"/>
    <col min="13588" max="13588" width="10.140625" style="1" customWidth="1"/>
    <col min="13589" max="13589" width="15.140625" style="1" customWidth="1"/>
    <col min="13590" max="13590" width="8.5703125" style="1" customWidth="1"/>
    <col min="13591" max="13591" width="14.28515625" style="1" customWidth="1"/>
    <col min="13592" max="13592" width="18.28515625" style="1" customWidth="1"/>
    <col min="13593" max="13593" width="13" style="1" bestFit="1" customWidth="1"/>
    <col min="13594" max="13594" width="11.7109375" style="1" bestFit="1" customWidth="1"/>
    <col min="13595" max="13601" width="9.140625" style="1"/>
    <col min="13602" max="13602" width="11.28515625" style="1" bestFit="1" customWidth="1"/>
    <col min="13603" max="13603" width="10.7109375" style="1" bestFit="1" customWidth="1"/>
    <col min="13604" max="13825" width="9.140625" style="1"/>
    <col min="13826" max="13826" width="6.42578125" style="1" customWidth="1"/>
    <col min="13827" max="13827" width="20.7109375" style="1" customWidth="1"/>
    <col min="13828" max="13828" width="24.7109375" style="1" customWidth="1"/>
    <col min="13829" max="13829" width="11.140625" style="1" customWidth="1"/>
    <col min="13830" max="13830" width="12.28515625" style="1" customWidth="1"/>
    <col min="13831" max="13831" width="11.140625" style="1" customWidth="1"/>
    <col min="13832" max="13832" width="10.42578125" style="1" customWidth="1"/>
    <col min="13833" max="13833" width="4.7109375" style="1" customWidth="1"/>
    <col min="13834" max="13834" width="8.5703125" style="1" customWidth="1"/>
    <col min="13835" max="13835" width="5.5703125" style="1" customWidth="1"/>
    <col min="13836" max="13837" width="11.5703125" style="1" customWidth="1"/>
    <col min="13838" max="13838" width="10.85546875" style="1" customWidth="1"/>
    <col min="13839" max="13839" width="7.7109375" style="1" customWidth="1"/>
    <col min="13840" max="13840" width="8" style="1" customWidth="1"/>
    <col min="13841" max="13841" width="16.28515625" style="1" customWidth="1"/>
    <col min="13842" max="13842" width="10.5703125" style="1" customWidth="1"/>
    <col min="13843" max="13843" width="14.140625" style="1" customWidth="1"/>
    <col min="13844" max="13844" width="10.140625" style="1" customWidth="1"/>
    <col min="13845" max="13845" width="15.140625" style="1" customWidth="1"/>
    <col min="13846" max="13846" width="8.5703125" style="1" customWidth="1"/>
    <col min="13847" max="13847" width="14.28515625" style="1" customWidth="1"/>
    <col min="13848" max="13848" width="18.28515625" style="1" customWidth="1"/>
    <col min="13849" max="13849" width="13" style="1" bestFit="1" customWidth="1"/>
    <col min="13850" max="13850" width="11.7109375" style="1" bestFit="1" customWidth="1"/>
    <col min="13851" max="13857" width="9.140625" style="1"/>
    <col min="13858" max="13858" width="11.28515625" style="1" bestFit="1" customWidth="1"/>
    <col min="13859" max="13859" width="10.7109375" style="1" bestFit="1" customWidth="1"/>
    <col min="13860" max="14081" width="9.140625" style="1"/>
    <col min="14082" max="14082" width="6.42578125" style="1" customWidth="1"/>
    <col min="14083" max="14083" width="20.7109375" style="1" customWidth="1"/>
    <col min="14084" max="14084" width="24.7109375" style="1" customWidth="1"/>
    <col min="14085" max="14085" width="11.140625" style="1" customWidth="1"/>
    <col min="14086" max="14086" width="12.28515625" style="1" customWidth="1"/>
    <col min="14087" max="14087" width="11.140625" style="1" customWidth="1"/>
    <col min="14088" max="14088" width="10.42578125" style="1" customWidth="1"/>
    <col min="14089" max="14089" width="4.7109375" style="1" customWidth="1"/>
    <col min="14090" max="14090" width="8.5703125" style="1" customWidth="1"/>
    <col min="14091" max="14091" width="5.5703125" style="1" customWidth="1"/>
    <col min="14092" max="14093" width="11.5703125" style="1" customWidth="1"/>
    <col min="14094" max="14094" width="10.85546875" style="1" customWidth="1"/>
    <col min="14095" max="14095" width="7.7109375" style="1" customWidth="1"/>
    <col min="14096" max="14096" width="8" style="1" customWidth="1"/>
    <col min="14097" max="14097" width="16.28515625" style="1" customWidth="1"/>
    <col min="14098" max="14098" width="10.5703125" style="1" customWidth="1"/>
    <col min="14099" max="14099" width="14.140625" style="1" customWidth="1"/>
    <col min="14100" max="14100" width="10.140625" style="1" customWidth="1"/>
    <col min="14101" max="14101" width="15.140625" style="1" customWidth="1"/>
    <col min="14102" max="14102" width="8.5703125" style="1" customWidth="1"/>
    <col min="14103" max="14103" width="14.28515625" style="1" customWidth="1"/>
    <col min="14104" max="14104" width="18.28515625" style="1" customWidth="1"/>
    <col min="14105" max="14105" width="13" style="1" bestFit="1" customWidth="1"/>
    <col min="14106" max="14106" width="11.7109375" style="1" bestFit="1" customWidth="1"/>
    <col min="14107" max="14113" width="9.140625" style="1"/>
    <col min="14114" max="14114" width="11.28515625" style="1" bestFit="1" customWidth="1"/>
    <col min="14115" max="14115" width="10.7109375" style="1" bestFit="1" customWidth="1"/>
    <col min="14116" max="14337" width="9.140625" style="1"/>
    <col min="14338" max="14338" width="6.42578125" style="1" customWidth="1"/>
    <col min="14339" max="14339" width="20.7109375" style="1" customWidth="1"/>
    <col min="14340" max="14340" width="24.7109375" style="1" customWidth="1"/>
    <col min="14341" max="14341" width="11.140625" style="1" customWidth="1"/>
    <col min="14342" max="14342" width="12.28515625" style="1" customWidth="1"/>
    <col min="14343" max="14343" width="11.140625" style="1" customWidth="1"/>
    <col min="14344" max="14344" width="10.42578125" style="1" customWidth="1"/>
    <col min="14345" max="14345" width="4.7109375" style="1" customWidth="1"/>
    <col min="14346" max="14346" width="8.5703125" style="1" customWidth="1"/>
    <col min="14347" max="14347" width="5.5703125" style="1" customWidth="1"/>
    <col min="14348" max="14349" width="11.5703125" style="1" customWidth="1"/>
    <col min="14350" max="14350" width="10.85546875" style="1" customWidth="1"/>
    <col min="14351" max="14351" width="7.7109375" style="1" customWidth="1"/>
    <col min="14352" max="14352" width="8" style="1" customWidth="1"/>
    <col min="14353" max="14353" width="16.28515625" style="1" customWidth="1"/>
    <col min="14354" max="14354" width="10.5703125" style="1" customWidth="1"/>
    <col min="14355" max="14355" width="14.140625" style="1" customWidth="1"/>
    <col min="14356" max="14356" width="10.140625" style="1" customWidth="1"/>
    <col min="14357" max="14357" width="15.140625" style="1" customWidth="1"/>
    <col min="14358" max="14358" width="8.5703125" style="1" customWidth="1"/>
    <col min="14359" max="14359" width="14.28515625" style="1" customWidth="1"/>
    <col min="14360" max="14360" width="18.28515625" style="1" customWidth="1"/>
    <col min="14361" max="14361" width="13" style="1" bestFit="1" customWidth="1"/>
    <col min="14362" max="14362" width="11.7109375" style="1" bestFit="1" customWidth="1"/>
    <col min="14363" max="14369" width="9.140625" style="1"/>
    <col min="14370" max="14370" width="11.28515625" style="1" bestFit="1" customWidth="1"/>
    <col min="14371" max="14371" width="10.7109375" style="1" bestFit="1" customWidth="1"/>
    <col min="14372" max="14593" width="9.140625" style="1"/>
    <col min="14594" max="14594" width="6.42578125" style="1" customWidth="1"/>
    <col min="14595" max="14595" width="20.7109375" style="1" customWidth="1"/>
    <col min="14596" max="14596" width="24.7109375" style="1" customWidth="1"/>
    <col min="14597" max="14597" width="11.140625" style="1" customWidth="1"/>
    <col min="14598" max="14598" width="12.28515625" style="1" customWidth="1"/>
    <col min="14599" max="14599" width="11.140625" style="1" customWidth="1"/>
    <col min="14600" max="14600" width="10.42578125" style="1" customWidth="1"/>
    <col min="14601" max="14601" width="4.7109375" style="1" customWidth="1"/>
    <col min="14602" max="14602" width="8.5703125" style="1" customWidth="1"/>
    <col min="14603" max="14603" width="5.5703125" style="1" customWidth="1"/>
    <col min="14604" max="14605" width="11.5703125" style="1" customWidth="1"/>
    <col min="14606" max="14606" width="10.85546875" style="1" customWidth="1"/>
    <col min="14607" max="14607" width="7.7109375" style="1" customWidth="1"/>
    <col min="14608" max="14608" width="8" style="1" customWidth="1"/>
    <col min="14609" max="14609" width="16.28515625" style="1" customWidth="1"/>
    <col min="14610" max="14610" width="10.5703125" style="1" customWidth="1"/>
    <col min="14611" max="14611" width="14.140625" style="1" customWidth="1"/>
    <col min="14612" max="14612" width="10.140625" style="1" customWidth="1"/>
    <col min="14613" max="14613" width="15.140625" style="1" customWidth="1"/>
    <col min="14614" max="14614" width="8.5703125" style="1" customWidth="1"/>
    <col min="14615" max="14615" width="14.28515625" style="1" customWidth="1"/>
    <col min="14616" max="14616" width="18.28515625" style="1" customWidth="1"/>
    <col min="14617" max="14617" width="13" style="1" bestFit="1" customWidth="1"/>
    <col min="14618" max="14618" width="11.7109375" style="1" bestFit="1" customWidth="1"/>
    <col min="14619" max="14625" width="9.140625" style="1"/>
    <col min="14626" max="14626" width="11.28515625" style="1" bestFit="1" customWidth="1"/>
    <col min="14627" max="14627" width="10.7109375" style="1" bestFit="1" customWidth="1"/>
    <col min="14628" max="14849" width="9.140625" style="1"/>
    <col min="14850" max="14850" width="6.42578125" style="1" customWidth="1"/>
    <col min="14851" max="14851" width="20.7109375" style="1" customWidth="1"/>
    <col min="14852" max="14852" width="24.7109375" style="1" customWidth="1"/>
    <col min="14853" max="14853" width="11.140625" style="1" customWidth="1"/>
    <col min="14854" max="14854" width="12.28515625" style="1" customWidth="1"/>
    <col min="14855" max="14855" width="11.140625" style="1" customWidth="1"/>
    <col min="14856" max="14856" width="10.42578125" style="1" customWidth="1"/>
    <col min="14857" max="14857" width="4.7109375" style="1" customWidth="1"/>
    <col min="14858" max="14858" width="8.5703125" style="1" customWidth="1"/>
    <col min="14859" max="14859" width="5.5703125" style="1" customWidth="1"/>
    <col min="14860" max="14861" width="11.5703125" style="1" customWidth="1"/>
    <col min="14862" max="14862" width="10.85546875" style="1" customWidth="1"/>
    <col min="14863" max="14863" width="7.7109375" style="1" customWidth="1"/>
    <col min="14864" max="14864" width="8" style="1" customWidth="1"/>
    <col min="14865" max="14865" width="16.28515625" style="1" customWidth="1"/>
    <col min="14866" max="14866" width="10.5703125" style="1" customWidth="1"/>
    <col min="14867" max="14867" width="14.140625" style="1" customWidth="1"/>
    <col min="14868" max="14868" width="10.140625" style="1" customWidth="1"/>
    <col min="14869" max="14869" width="15.140625" style="1" customWidth="1"/>
    <col min="14870" max="14870" width="8.5703125" style="1" customWidth="1"/>
    <col min="14871" max="14871" width="14.28515625" style="1" customWidth="1"/>
    <col min="14872" max="14872" width="18.28515625" style="1" customWidth="1"/>
    <col min="14873" max="14873" width="13" style="1" bestFit="1" customWidth="1"/>
    <col min="14874" max="14874" width="11.7109375" style="1" bestFit="1" customWidth="1"/>
    <col min="14875" max="14881" width="9.140625" style="1"/>
    <col min="14882" max="14882" width="11.28515625" style="1" bestFit="1" customWidth="1"/>
    <col min="14883" max="14883" width="10.7109375" style="1" bestFit="1" customWidth="1"/>
    <col min="14884" max="15105" width="9.140625" style="1"/>
    <col min="15106" max="15106" width="6.42578125" style="1" customWidth="1"/>
    <col min="15107" max="15107" width="20.7109375" style="1" customWidth="1"/>
    <col min="15108" max="15108" width="24.7109375" style="1" customWidth="1"/>
    <col min="15109" max="15109" width="11.140625" style="1" customWidth="1"/>
    <col min="15110" max="15110" width="12.28515625" style="1" customWidth="1"/>
    <col min="15111" max="15111" width="11.140625" style="1" customWidth="1"/>
    <col min="15112" max="15112" width="10.42578125" style="1" customWidth="1"/>
    <col min="15113" max="15113" width="4.7109375" style="1" customWidth="1"/>
    <col min="15114" max="15114" width="8.5703125" style="1" customWidth="1"/>
    <col min="15115" max="15115" width="5.5703125" style="1" customWidth="1"/>
    <col min="15116" max="15117" width="11.5703125" style="1" customWidth="1"/>
    <col min="15118" max="15118" width="10.85546875" style="1" customWidth="1"/>
    <col min="15119" max="15119" width="7.7109375" style="1" customWidth="1"/>
    <col min="15120" max="15120" width="8" style="1" customWidth="1"/>
    <col min="15121" max="15121" width="16.28515625" style="1" customWidth="1"/>
    <col min="15122" max="15122" width="10.5703125" style="1" customWidth="1"/>
    <col min="15123" max="15123" width="14.140625" style="1" customWidth="1"/>
    <col min="15124" max="15124" width="10.140625" style="1" customWidth="1"/>
    <col min="15125" max="15125" width="15.140625" style="1" customWidth="1"/>
    <col min="15126" max="15126" width="8.5703125" style="1" customWidth="1"/>
    <col min="15127" max="15127" width="14.28515625" style="1" customWidth="1"/>
    <col min="15128" max="15128" width="18.28515625" style="1" customWidth="1"/>
    <col min="15129" max="15129" width="13" style="1" bestFit="1" customWidth="1"/>
    <col min="15130" max="15130" width="11.7109375" style="1" bestFit="1" customWidth="1"/>
    <col min="15131" max="15137" width="9.140625" style="1"/>
    <col min="15138" max="15138" width="11.28515625" style="1" bestFit="1" customWidth="1"/>
    <col min="15139" max="15139" width="10.7109375" style="1" bestFit="1" customWidth="1"/>
    <col min="15140" max="15361" width="9.140625" style="1"/>
    <col min="15362" max="15362" width="6.42578125" style="1" customWidth="1"/>
    <col min="15363" max="15363" width="20.7109375" style="1" customWidth="1"/>
    <col min="15364" max="15364" width="24.7109375" style="1" customWidth="1"/>
    <col min="15365" max="15365" width="11.140625" style="1" customWidth="1"/>
    <col min="15366" max="15366" width="12.28515625" style="1" customWidth="1"/>
    <col min="15367" max="15367" width="11.140625" style="1" customWidth="1"/>
    <col min="15368" max="15368" width="10.42578125" style="1" customWidth="1"/>
    <col min="15369" max="15369" width="4.7109375" style="1" customWidth="1"/>
    <col min="15370" max="15370" width="8.5703125" style="1" customWidth="1"/>
    <col min="15371" max="15371" width="5.5703125" style="1" customWidth="1"/>
    <col min="15372" max="15373" width="11.5703125" style="1" customWidth="1"/>
    <col min="15374" max="15374" width="10.85546875" style="1" customWidth="1"/>
    <col min="15375" max="15375" width="7.7109375" style="1" customWidth="1"/>
    <col min="15376" max="15376" width="8" style="1" customWidth="1"/>
    <col min="15377" max="15377" width="16.28515625" style="1" customWidth="1"/>
    <col min="15378" max="15378" width="10.5703125" style="1" customWidth="1"/>
    <col min="15379" max="15379" width="14.140625" style="1" customWidth="1"/>
    <col min="15380" max="15380" width="10.140625" style="1" customWidth="1"/>
    <col min="15381" max="15381" width="15.140625" style="1" customWidth="1"/>
    <col min="15382" max="15382" width="8.5703125" style="1" customWidth="1"/>
    <col min="15383" max="15383" width="14.28515625" style="1" customWidth="1"/>
    <col min="15384" max="15384" width="18.28515625" style="1" customWidth="1"/>
    <col min="15385" max="15385" width="13" style="1" bestFit="1" customWidth="1"/>
    <col min="15386" max="15386" width="11.7109375" style="1" bestFit="1" customWidth="1"/>
    <col min="15387" max="15393" width="9.140625" style="1"/>
    <col min="15394" max="15394" width="11.28515625" style="1" bestFit="1" customWidth="1"/>
    <col min="15395" max="15395" width="10.7109375" style="1" bestFit="1" customWidth="1"/>
    <col min="15396" max="15617" width="9.140625" style="1"/>
    <col min="15618" max="15618" width="6.42578125" style="1" customWidth="1"/>
    <col min="15619" max="15619" width="20.7109375" style="1" customWidth="1"/>
    <col min="15620" max="15620" width="24.7109375" style="1" customWidth="1"/>
    <col min="15621" max="15621" width="11.140625" style="1" customWidth="1"/>
    <col min="15622" max="15622" width="12.28515625" style="1" customWidth="1"/>
    <col min="15623" max="15623" width="11.140625" style="1" customWidth="1"/>
    <col min="15624" max="15624" width="10.42578125" style="1" customWidth="1"/>
    <col min="15625" max="15625" width="4.7109375" style="1" customWidth="1"/>
    <col min="15626" max="15626" width="8.5703125" style="1" customWidth="1"/>
    <col min="15627" max="15627" width="5.5703125" style="1" customWidth="1"/>
    <col min="15628" max="15629" width="11.5703125" style="1" customWidth="1"/>
    <col min="15630" max="15630" width="10.85546875" style="1" customWidth="1"/>
    <col min="15631" max="15631" width="7.7109375" style="1" customWidth="1"/>
    <col min="15632" max="15632" width="8" style="1" customWidth="1"/>
    <col min="15633" max="15633" width="16.28515625" style="1" customWidth="1"/>
    <col min="15634" max="15634" width="10.5703125" style="1" customWidth="1"/>
    <col min="15635" max="15635" width="14.140625" style="1" customWidth="1"/>
    <col min="15636" max="15636" width="10.140625" style="1" customWidth="1"/>
    <col min="15637" max="15637" width="15.140625" style="1" customWidth="1"/>
    <col min="15638" max="15638" width="8.5703125" style="1" customWidth="1"/>
    <col min="15639" max="15639" width="14.28515625" style="1" customWidth="1"/>
    <col min="15640" max="15640" width="18.28515625" style="1" customWidth="1"/>
    <col min="15641" max="15641" width="13" style="1" bestFit="1" customWidth="1"/>
    <col min="15642" max="15642" width="11.7109375" style="1" bestFit="1" customWidth="1"/>
    <col min="15643" max="15649" width="9.140625" style="1"/>
    <col min="15650" max="15650" width="11.28515625" style="1" bestFit="1" customWidth="1"/>
    <col min="15651" max="15651" width="10.7109375" style="1" bestFit="1" customWidth="1"/>
    <col min="15652" max="15873" width="9.140625" style="1"/>
    <col min="15874" max="15874" width="6.42578125" style="1" customWidth="1"/>
    <col min="15875" max="15875" width="20.7109375" style="1" customWidth="1"/>
    <col min="15876" max="15876" width="24.7109375" style="1" customWidth="1"/>
    <col min="15877" max="15877" width="11.140625" style="1" customWidth="1"/>
    <col min="15878" max="15878" width="12.28515625" style="1" customWidth="1"/>
    <col min="15879" max="15879" width="11.140625" style="1" customWidth="1"/>
    <col min="15880" max="15880" width="10.42578125" style="1" customWidth="1"/>
    <col min="15881" max="15881" width="4.7109375" style="1" customWidth="1"/>
    <col min="15882" max="15882" width="8.5703125" style="1" customWidth="1"/>
    <col min="15883" max="15883" width="5.5703125" style="1" customWidth="1"/>
    <col min="15884" max="15885" width="11.5703125" style="1" customWidth="1"/>
    <col min="15886" max="15886" width="10.85546875" style="1" customWidth="1"/>
    <col min="15887" max="15887" width="7.7109375" style="1" customWidth="1"/>
    <col min="15888" max="15888" width="8" style="1" customWidth="1"/>
    <col min="15889" max="15889" width="16.28515625" style="1" customWidth="1"/>
    <col min="15890" max="15890" width="10.5703125" style="1" customWidth="1"/>
    <col min="15891" max="15891" width="14.140625" style="1" customWidth="1"/>
    <col min="15892" max="15892" width="10.140625" style="1" customWidth="1"/>
    <col min="15893" max="15893" width="15.140625" style="1" customWidth="1"/>
    <col min="15894" max="15894" width="8.5703125" style="1" customWidth="1"/>
    <col min="15895" max="15895" width="14.28515625" style="1" customWidth="1"/>
    <col min="15896" max="15896" width="18.28515625" style="1" customWidth="1"/>
    <col min="15897" max="15897" width="13" style="1" bestFit="1" customWidth="1"/>
    <col min="15898" max="15898" width="11.7109375" style="1" bestFit="1" customWidth="1"/>
    <col min="15899" max="15905" width="9.140625" style="1"/>
    <col min="15906" max="15906" width="11.28515625" style="1" bestFit="1" customWidth="1"/>
    <col min="15907" max="15907" width="10.7109375" style="1" bestFit="1" customWidth="1"/>
    <col min="15908" max="16129" width="9.140625" style="1"/>
    <col min="16130" max="16130" width="6.42578125" style="1" customWidth="1"/>
    <col min="16131" max="16131" width="20.7109375" style="1" customWidth="1"/>
    <col min="16132" max="16132" width="24.7109375" style="1" customWidth="1"/>
    <col min="16133" max="16133" width="11.140625" style="1" customWidth="1"/>
    <col min="16134" max="16134" width="12.28515625" style="1" customWidth="1"/>
    <col min="16135" max="16135" width="11.140625" style="1" customWidth="1"/>
    <col min="16136" max="16136" width="10.42578125" style="1" customWidth="1"/>
    <col min="16137" max="16137" width="4.7109375" style="1" customWidth="1"/>
    <col min="16138" max="16138" width="8.5703125" style="1" customWidth="1"/>
    <col min="16139" max="16139" width="5.5703125" style="1" customWidth="1"/>
    <col min="16140" max="16141" width="11.5703125" style="1" customWidth="1"/>
    <col min="16142" max="16142" width="10.85546875" style="1" customWidth="1"/>
    <col min="16143" max="16143" width="7.7109375" style="1" customWidth="1"/>
    <col min="16144" max="16144" width="8" style="1" customWidth="1"/>
    <col min="16145" max="16145" width="16.28515625" style="1" customWidth="1"/>
    <col min="16146" max="16146" width="10.5703125" style="1" customWidth="1"/>
    <col min="16147" max="16147" width="14.140625" style="1" customWidth="1"/>
    <col min="16148" max="16148" width="10.140625" style="1" customWidth="1"/>
    <col min="16149" max="16149" width="15.140625" style="1" customWidth="1"/>
    <col min="16150" max="16150" width="8.5703125" style="1" customWidth="1"/>
    <col min="16151" max="16151" width="14.28515625" style="1" customWidth="1"/>
    <col min="16152" max="16152" width="18.28515625" style="1" customWidth="1"/>
    <col min="16153" max="16153" width="13" style="1" bestFit="1" customWidth="1"/>
    <col min="16154" max="16154" width="11.7109375" style="1" bestFit="1" customWidth="1"/>
    <col min="16155" max="16161" width="9.140625" style="1"/>
    <col min="16162" max="16162" width="11.28515625" style="1" bestFit="1" customWidth="1"/>
    <col min="16163" max="16163" width="10.7109375" style="1" bestFit="1" customWidth="1"/>
    <col min="16164" max="16384" width="9.140625" style="1"/>
  </cols>
  <sheetData>
    <row r="1" spans="1:44" ht="9.75" customHeight="1">
      <c r="V1" s="3"/>
    </row>
    <row r="2" spans="1:44" ht="16.5" customHeight="1">
      <c r="A2" s="2328" t="s">
        <v>417</v>
      </c>
      <c r="B2" s="2328"/>
      <c r="C2" s="2328"/>
      <c r="D2" s="2328"/>
      <c r="E2" s="2328"/>
      <c r="F2" s="2328"/>
      <c r="G2" s="2328"/>
      <c r="H2" s="2328"/>
      <c r="I2" s="2328"/>
      <c r="J2" s="2328"/>
      <c r="K2" s="2328"/>
      <c r="L2" s="2328"/>
      <c r="M2" s="2328"/>
      <c r="N2" s="2328"/>
      <c r="O2" s="2328"/>
      <c r="P2" s="2328"/>
      <c r="Q2" s="2328"/>
      <c r="R2" s="2328"/>
      <c r="S2" s="2328"/>
      <c r="T2" s="2328"/>
      <c r="U2" s="2328"/>
      <c r="V2" s="2328"/>
      <c r="W2" s="2328"/>
      <c r="X2" s="2328"/>
      <c r="Y2" s="24"/>
      <c r="Z2" s="24"/>
    </row>
    <row r="3" spans="1:44" ht="13.5" customHeight="1">
      <c r="A3" s="2309" t="s">
        <v>0</v>
      </c>
      <c r="B3" s="2309"/>
      <c r="C3" s="2309"/>
      <c r="D3" s="2309"/>
      <c r="E3" s="2309"/>
      <c r="F3" s="2309"/>
      <c r="G3" s="2309"/>
      <c r="H3" s="2309"/>
      <c r="I3" s="2309"/>
      <c r="J3" s="2309"/>
      <c r="K3" s="2309"/>
      <c r="L3" s="2309"/>
      <c r="M3" s="2309"/>
      <c r="N3" s="2309"/>
      <c r="O3" s="2309"/>
      <c r="P3" s="2309"/>
      <c r="Q3" s="2309"/>
      <c r="R3" s="2309"/>
      <c r="S3" s="2309"/>
      <c r="T3" s="2309"/>
      <c r="U3" s="2309"/>
      <c r="V3" s="2309"/>
      <c r="W3" s="2309"/>
      <c r="X3" s="2309"/>
      <c r="Y3" s="24"/>
      <c r="Z3" s="24"/>
    </row>
    <row r="4" spans="1:44" s="686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528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304" t="s">
        <v>395</v>
      </c>
      <c r="P4" s="2256" t="s">
        <v>396</v>
      </c>
      <c r="Q4" s="2256" t="s">
        <v>16</v>
      </c>
      <c r="R4" s="2256" t="s">
        <v>17</v>
      </c>
      <c r="S4" s="2256"/>
      <c r="T4" s="2256" t="s">
        <v>18</v>
      </c>
      <c r="U4" s="2256"/>
      <c r="V4" s="2256" t="s">
        <v>19</v>
      </c>
      <c r="W4" s="2256"/>
      <c r="X4" s="2306" t="s">
        <v>401</v>
      </c>
      <c r="Y4" s="2260" t="s">
        <v>401</v>
      </c>
      <c r="Z4" s="2305" t="s">
        <v>394</v>
      </c>
      <c r="AA4" s="24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</row>
    <row r="5" spans="1:44" s="686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304"/>
      <c r="P5" s="2256"/>
      <c r="Q5" s="2256"/>
      <c r="R5" s="685" t="s">
        <v>21</v>
      </c>
      <c r="S5" s="685" t="s">
        <v>22</v>
      </c>
      <c r="T5" s="685" t="s">
        <v>21</v>
      </c>
      <c r="U5" s="685" t="s">
        <v>22</v>
      </c>
      <c r="V5" s="685" t="s">
        <v>21</v>
      </c>
      <c r="W5" s="685" t="s">
        <v>22</v>
      </c>
      <c r="X5" s="2306"/>
      <c r="Y5" s="2260"/>
      <c r="Z5" s="2305"/>
      <c r="AA5" s="24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</row>
    <row r="6" spans="1:44" s="377" customFormat="1" ht="15" customHeight="1">
      <c r="A6" s="5">
        <v>1</v>
      </c>
      <c r="B6" s="730" t="s">
        <v>23</v>
      </c>
      <c r="C6" s="6" t="s">
        <v>24</v>
      </c>
      <c r="D6" s="5" t="s">
        <v>25</v>
      </c>
      <c r="E6" s="5" t="s">
        <v>26</v>
      </c>
      <c r="F6" s="5" t="s">
        <v>27</v>
      </c>
      <c r="G6" s="5">
        <v>1</v>
      </c>
      <c r="H6" s="5" t="s">
        <v>28</v>
      </c>
      <c r="I6" s="5" t="s">
        <v>29</v>
      </c>
      <c r="J6" s="731" t="s">
        <v>30</v>
      </c>
      <c r="K6" s="7">
        <v>17697</v>
      </c>
      <c r="L6" s="7"/>
      <c r="M6" s="7">
        <v>1</v>
      </c>
      <c r="N6" s="7"/>
      <c r="O6" s="7">
        <v>6.22</v>
      </c>
      <c r="P6" s="7"/>
      <c r="Q6" s="5">
        <f>O6*K6</f>
        <v>110075.34</v>
      </c>
      <c r="R6" s="7"/>
      <c r="S6" s="8"/>
      <c r="T6" s="7">
        <v>0.1</v>
      </c>
      <c r="U6" s="732">
        <f>T6*Q6</f>
        <v>11007.534</v>
      </c>
      <c r="V6" s="7"/>
      <c r="W6" s="9"/>
      <c r="X6" s="10">
        <f>Q6+S6+U6</f>
        <v>121082.874</v>
      </c>
      <c r="Y6" s="406">
        <f>R6+T6+V6</f>
        <v>0.1</v>
      </c>
      <c r="Z6" s="406">
        <f>S6+U6+W6</f>
        <v>11007.534</v>
      </c>
      <c r="AA6" s="375"/>
      <c r="AB6" s="407"/>
      <c r="AC6" s="374"/>
      <c r="AD6" s="375"/>
      <c r="AE6" s="375"/>
      <c r="AF6" s="375"/>
      <c r="AG6" s="375"/>
      <c r="AH6" s="375"/>
      <c r="AI6" s="375"/>
      <c r="AJ6" s="375"/>
      <c r="AK6" s="375"/>
      <c r="AL6" s="375"/>
      <c r="AM6" s="375"/>
      <c r="AN6" s="375"/>
    </row>
    <row r="7" spans="1:44" s="377" customFormat="1" ht="15" customHeight="1">
      <c r="A7" s="5">
        <v>2</v>
      </c>
      <c r="B7" s="730" t="s">
        <v>31</v>
      </c>
      <c r="C7" s="6" t="s">
        <v>32</v>
      </c>
      <c r="D7" s="5" t="s">
        <v>25</v>
      </c>
      <c r="E7" s="11" t="s">
        <v>33</v>
      </c>
      <c r="F7" s="12" t="s">
        <v>34</v>
      </c>
      <c r="G7" s="5">
        <v>1</v>
      </c>
      <c r="H7" s="5" t="s">
        <v>28</v>
      </c>
      <c r="I7" s="5" t="s">
        <v>35</v>
      </c>
      <c r="J7" s="733" t="s">
        <v>30</v>
      </c>
      <c r="K7" s="7">
        <v>17697</v>
      </c>
      <c r="L7" s="7"/>
      <c r="M7" s="7">
        <v>1</v>
      </c>
      <c r="N7" s="7"/>
      <c r="O7" s="5">
        <v>5.77</v>
      </c>
      <c r="P7" s="5"/>
      <c r="Q7" s="7">
        <f>O7*K7</f>
        <v>102111.68999999999</v>
      </c>
      <c r="R7" s="8"/>
      <c r="S7" s="7"/>
      <c r="T7" s="7">
        <v>0.1</v>
      </c>
      <c r="U7" s="7">
        <f>ROUND(Q7*T7*M7,2)</f>
        <v>10211.17</v>
      </c>
      <c r="V7" s="9"/>
      <c r="W7" s="7"/>
      <c r="X7" s="10">
        <f t="shared" ref="X7:Z25" si="0">Q7+S7+U7</f>
        <v>112322.85999999999</v>
      </c>
      <c r="Y7" s="406">
        <f t="shared" si="0"/>
        <v>0.1</v>
      </c>
      <c r="Z7" s="406">
        <f t="shared" si="0"/>
        <v>10211.17</v>
      </c>
      <c r="AH7" s="411"/>
      <c r="AI7" s="412"/>
    </row>
    <row r="8" spans="1:44" s="364" customFormat="1" ht="15" customHeight="1">
      <c r="A8" s="5">
        <v>3</v>
      </c>
      <c r="B8" s="13" t="s">
        <v>36</v>
      </c>
      <c r="C8" s="6" t="s">
        <v>32</v>
      </c>
      <c r="D8" s="14" t="s">
        <v>25</v>
      </c>
      <c r="E8" s="14" t="s">
        <v>37</v>
      </c>
      <c r="F8" s="12" t="s">
        <v>34</v>
      </c>
      <c r="G8" s="14">
        <v>1</v>
      </c>
      <c r="H8" s="5" t="s">
        <v>28</v>
      </c>
      <c r="I8" s="5" t="s">
        <v>35</v>
      </c>
      <c r="J8" s="14">
        <v>3</v>
      </c>
      <c r="K8" s="15">
        <v>17697</v>
      </c>
      <c r="L8" s="15"/>
      <c r="M8" s="15">
        <v>1</v>
      </c>
      <c r="N8" s="7"/>
      <c r="O8" s="16">
        <v>5.77</v>
      </c>
      <c r="P8" s="16"/>
      <c r="Q8" s="7">
        <f>O8*K8</f>
        <v>102111.68999999999</v>
      </c>
      <c r="R8" s="8"/>
      <c r="S8" s="7"/>
      <c r="T8" s="7">
        <v>0.1</v>
      </c>
      <c r="U8" s="7">
        <f>ROUND(Q8*T8*M8,2)</f>
        <v>10211.17</v>
      </c>
      <c r="V8" s="9"/>
      <c r="W8" s="7"/>
      <c r="X8" s="10">
        <f t="shared" si="0"/>
        <v>112322.85999999999</v>
      </c>
      <c r="Y8" s="406">
        <f t="shared" si="0"/>
        <v>0.1</v>
      </c>
      <c r="Z8" s="406">
        <f t="shared" si="0"/>
        <v>10211.17</v>
      </c>
      <c r="AH8" s="421"/>
      <c r="AI8" s="422"/>
    </row>
    <row r="9" spans="1:44" s="418" customFormat="1" ht="15">
      <c r="A9" s="5">
        <v>4</v>
      </c>
      <c r="B9" s="17" t="s">
        <v>38</v>
      </c>
      <c r="C9" s="6" t="s">
        <v>32</v>
      </c>
      <c r="D9" s="16" t="s">
        <v>25</v>
      </c>
      <c r="E9" s="16" t="s">
        <v>39</v>
      </c>
      <c r="F9" s="734" t="s">
        <v>40</v>
      </c>
      <c r="G9" s="16">
        <v>1</v>
      </c>
      <c r="H9" s="5" t="s">
        <v>28</v>
      </c>
      <c r="I9" s="5" t="s">
        <v>35</v>
      </c>
      <c r="J9" s="735">
        <v>3</v>
      </c>
      <c r="K9" s="18">
        <v>17697</v>
      </c>
      <c r="L9" s="18"/>
      <c r="M9" s="18">
        <v>1</v>
      </c>
      <c r="N9" s="18"/>
      <c r="O9" s="16">
        <v>5.77</v>
      </c>
      <c r="P9" s="16"/>
      <c r="Q9" s="18">
        <f t="shared" ref="Q9:Q22" si="1">O9*K9*M9</f>
        <v>102111.68999999999</v>
      </c>
      <c r="R9" s="19">
        <v>0.25</v>
      </c>
      <c r="S9" s="18">
        <f>R9*Q9</f>
        <v>25527.922499999997</v>
      </c>
      <c r="T9" s="7">
        <v>0.1</v>
      </c>
      <c r="U9" s="18">
        <f>ROUND(Q9*T9,2)</f>
        <v>10211.17</v>
      </c>
      <c r="V9" s="736"/>
      <c r="W9" s="18"/>
      <c r="X9" s="10">
        <f t="shared" si="0"/>
        <v>137850.7825</v>
      </c>
      <c r="Y9" s="406">
        <f t="shared" si="0"/>
        <v>0.35</v>
      </c>
      <c r="Z9" s="406">
        <f t="shared" si="0"/>
        <v>35739.092499999999</v>
      </c>
      <c r="AA9" s="374"/>
      <c r="AB9" s="374"/>
      <c r="AC9" s="375"/>
      <c r="AD9" s="375"/>
      <c r="AE9" s="374"/>
      <c r="AF9" s="374"/>
      <c r="AG9" s="375"/>
      <c r="AP9" s="419"/>
      <c r="AQ9" s="420">
        <f>Q9+U9+S9+W9</f>
        <v>137850.78249999997</v>
      </c>
    </row>
    <row r="10" spans="1:44" s="377" customFormat="1" ht="15" customHeight="1">
      <c r="A10" s="5">
        <v>5</v>
      </c>
      <c r="B10" s="730" t="s">
        <v>41</v>
      </c>
      <c r="C10" s="6" t="s">
        <v>42</v>
      </c>
      <c r="D10" s="5" t="s">
        <v>25</v>
      </c>
      <c r="E10" s="5" t="s">
        <v>43</v>
      </c>
      <c r="F10" s="5" t="s">
        <v>27</v>
      </c>
      <c r="G10" s="5">
        <v>1</v>
      </c>
      <c r="H10" s="20" t="s">
        <v>28</v>
      </c>
      <c r="I10" s="20" t="s">
        <v>29</v>
      </c>
      <c r="J10" s="731" t="s">
        <v>44</v>
      </c>
      <c r="K10" s="7">
        <v>17697</v>
      </c>
      <c r="L10" s="7"/>
      <c r="M10" s="7">
        <v>1</v>
      </c>
      <c r="N10" s="7"/>
      <c r="O10" s="21" t="s">
        <v>369</v>
      </c>
      <c r="P10" s="21"/>
      <c r="Q10" s="18">
        <f t="shared" si="1"/>
        <v>104589.27</v>
      </c>
      <c r="R10" s="7"/>
      <c r="S10" s="8"/>
      <c r="T10" s="7">
        <v>0.1</v>
      </c>
      <c r="U10" s="18">
        <f t="shared" ref="U10:U25" si="2">ROUND(Q10*T10,2)</f>
        <v>10458.93</v>
      </c>
      <c r="V10" s="7"/>
      <c r="W10" s="9"/>
      <c r="X10" s="10">
        <f t="shared" si="0"/>
        <v>115048.20000000001</v>
      </c>
      <c r="Y10" s="406">
        <f t="shared" si="0"/>
        <v>0.1</v>
      </c>
      <c r="Z10" s="406">
        <f t="shared" si="0"/>
        <v>10458.93</v>
      </c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5"/>
      <c r="AN10" s="375"/>
    </row>
    <row r="11" spans="1:44" s="377" customFormat="1" ht="15" customHeight="1">
      <c r="A11" s="5">
        <v>6</v>
      </c>
      <c r="B11" s="730" t="s">
        <v>45</v>
      </c>
      <c r="C11" s="6" t="s">
        <v>46</v>
      </c>
      <c r="D11" s="560" t="s">
        <v>25</v>
      </c>
      <c r="E11" s="582" t="s">
        <v>47</v>
      </c>
      <c r="F11" s="582" t="s">
        <v>34</v>
      </c>
      <c r="G11" s="560">
        <v>1</v>
      </c>
      <c r="H11" s="5" t="s">
        <v>28</v>
      </c>
      <c r="I11" s="5" t="s">
        <v>29</v>
      </c>
      <c r="J11" s="731" t="s">
        <v>44</v>
      </c>
      <c r="K11" s="7">
        <v>17697</v>
      </c>
      <c r="L11" s="7"/>
      <c r="M11" s="7">
        <v>1</v>
      </c>
      <c r="N11" s="7"/>
      <c r="O11" s="7">
        <v>5.91</v>
      </c>
      <c r="P11" s="7"/>
      <c r="Q11" s="18">
        <f t="shared" si="1"/>
        <v>104589.27</v>
      </c>
      <c r="R11" s="19"/>
      <c r="S11" s="7"/>
      <c r="T11" s="7">
        <v>0.1</v>
      </c>
      <c r="U11" s="18">
        <f t="shared" si="2"/>
        <v>10458.93</v>
      </c>
      <c r="V11" s="9"/>
      <c r="W11" s="7"/>
      <c r="X11" s="10">
        <f t="shared" si="0"/>
        <v>115048.20000000001</v>
      </c>
      <c r="Y11" s="406">
        <f t="shared" si="0"/>
        <v>0.1</v>
      </c>
      <c r="Z11" s="406">
        <f t="shared" si="0"/>
        <v>10458.93</v>
      </c>
    </row>
    <row r="12" spans="1:44" s="377" customFormat="1" ht="15" customHeight="1">
      <c r="A12" s="5">
        <v>7</v>
      </c>
      <c r="B12" s="730" t="s">
        <v>48</v>
      </c>
      <c r="C12" s="6" t="s">
        <v>49</v>
      </c>
      <c r="D12" s="5" t="s">
        <v>25</v>
      </c>
      <c r="E12" s="5" t="s">
        <v>50</v>
      </c>
      <c r="F12" s="5" t="s">
        <v>51</v>
      </c>
      <c r="G12" s="5">
        <v>1</v>
      </c>
      <c r="H12" s="20" t="s">
        <v>28</v>
      </c>
      <c r="I12" s="20" t="s">
        <v>35</v>
      </c>
      <c r="J12" s="731" t="s">
        <v>30</v>
      </c>
      <c r="K12" s="7">
        <v>17697</v>
      </c>
      <c r="L12" s="7"/>
      <c r="M12" s="7">
        <v>1</v>
      </c>
      <c r="N12" s="7"/>
      <c r="O12" s="21" t="s">
        <v>370</v>
      </c>
      <c r="P12" s="21"/>
      <c r="Q12" s="18">
        <f t="shared" si="1"/>
        <v>99280.170000000013</v>
      </c>
      <c r="R12" s="7"/>
      <c r="S12" s="8"/>
      <c r="T12" s="7">
        <v>0.1</v>
      </c>
      <c r="U12" s="18">
        <f t="shared" si="2"/>
        <v>9928.02</v>
      </c>
      <c r="V12" s="7"/>
      <c r="W12" s="9"/>
      <c r="X12" s="10">
        <f t="shared" si="0"/>
        <v>109208.19000000002</v>
      </c>
      <c r="Y12" s="406">
        <f t="shared" si="0"/>
        <v>0.1</v>
      </c>
      <c r="Z12" s="406">
        <f t="shared" si="0"/>
        <v>9928.02</v>
      </c>
      <c r="AA12" s="375"/>
      <c r="AB12" s="375"/>
      <c r="AC12" s="375"/>
      <c r="AD12" s="375"/>
      <c r="AE12" s="375"/>
      <c r="AF12" s="375"/>
      <c r="AG12" s="375"/>
      <c r="AH12" s="375"/>
      <c r="AI12" s="375"/>
      <c r="AJ12" s="375"/>
      <c r="AK12" s="375"/>
      <c r="AL12" s="375"/>
      <c r="AM12" s="375"/>
      <c r="AN12" s="375"/>
    </row>
    <row r="13" spans="1:44" s="377" customFormat="1" ht="15" customHeight="1">
      <c r="A13" s="5">
        <v>8</v>
      </c>
      <c r="B13" s="26" t="s">
        <v>52</v>
      </c>
      <c r="C13" s="6" t="s">
        <v>53</v>
      </c>
      <c r="D13" s="5" t="s">
        <v>25</v>
      </c>
      <c r="E13" s="5" t="s">
        <v>54</v>
      </c>
      <c r="F13" s="5" t="s">
        <v>55</v>
      </c>
      <c r="G13" s="5">
        <v>1</v>
      </c>
      <c r="H13" s="20" t="s">
        <v>56</v>
      </c>
      <c r="I13" s="20" t="s">
        <v>56</v>
      </c>
      <c r="J13" s="731" t="s">
        <v>57</v>
      </c>
      <c r="K13" s="7">
        <v>17697</v>
      </c>
      <c r="L13" s="7"/>
      <c r="M13" s="7">
        <v>1</v>
      </c>
      <c r="N13" s="7"/>
      <c r="O13" s="21" t="s">
        <v>371</v>
      </c>
      <c r="P13" s="21"/>
      <c r="Q13" s="18">
        <f t="shared" si="1"/>
        <v>75566.189999999988</v>
      </c>
      <c r="R13" s="7"/>
      <c r="S13" s="8"/>
      <c r="T13" s="7">
        <v>0.1</v>
      </c>
      <c r="U13" s="18">
        <f t="shared" si="2"/>
        <v>7556.62</v>
      </c>
      <c r="V13" s="7"/>
      <c r="W13" s="9"/>
      <c r="X13" s="10">
        <f t="shared" si="0"/>
        <v>83122.809999999983</v>
      </c>
      <c r="Y13" s="406">
        <f t="shared" si="0"/>
        <v>0.1</v>
      </c>
      <c r="Z13" s="406">
        <f t="shared" si="0"/>
        <v>7556.62</v>
      </c>
      <c r="AA13" s="375"/>
      <c r="AB13" s="375"/>
      <c r="AC13" s="375"/>
      <c r="AD13" s="375"/>
      <c r="AE13" s="375"/>
      <c r="AF13" s="375"/>
      <c r="AG13" s="375"/>
      <c r="AH13" s="375"/>
      <c r="AI13" s="375"/>
      <c r="AJ13" s="375"/>
      <c r="AK13" s="375"/>
      <c r="AL13" s="375"/>
      <c r="AM13" s="375"/>
      <c r="AN13" s="375"/>
    </row>
    <row r="14" spans="1:44" s="377" customFormat="1" ht="18" customHeight="1">
      <c r="A14" s="5">
        <v>9</v>
      </c>
      <c r="B14" s="26" t="s">
        <v>399</v>
      </c>
      <c r="C14" s="6" t="s">
        <v>59</v>
      </c>
      <c r="D14" s="5" t="s">
        <v>25</v>
      </c>
      <c r="E14" s="34" t="s">
        <v>418</v>
      </c>
      <c r="F14" s="5" t="s">
        <v>77</v>
      </c>
      <c r="G14" s="40">
        <v>1</v>
      </c>
      <c r="H14" s="5" t="s">
        <v>61</v>
      </c>
      <c r="I14" s="5" t="s">
        <v>61</v>
      </c>
      <c r="J14" s="27">
        <v>1</v>
      </c>
      <c r="K14" s="7">
        <v>17697</v>
      </c>
      <c r="L14" s="7"/>
      <c r="M14" s="7">
        <v>1</v>
      </c>
      <c r="N14" s="732"/>
      <c r="O14" s="21" t="s">
        <v>402</v>
      </c>
      <c r="P14" s="21"/>
      <c r="Q14" s="18">
        <f t="shared" si="1"/>
        <v>53798.879999999997</v>
      </c>
      <c r="R14" s="7"/>
      <c r="S14" s="8"/>
      <c r="T14" s="7">
        <v>0.1</v>
      </c>
      <c r="U14" s="18">
        <f>ROUND(Q14*T14,2)</f>
        <v>5379.89</v>
      </c>
      <c r="V14" s="7"/>
      <c r="W14" s="9"/>
      <c r="X14" s="10">
        <f>Q14+S14+U14</f>
        <v>59178.77</v>
      </c>
      <c r="Y14" s="406">
        <f t="shared" si="0"/>
        <v>0.1</v>
      </c>
      <c r="Z14" s="406">
        <f t="shared" si="0"/>
        <v>5379.89</v>
      </c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5"/>
      <c r="AN14" s="375"/>
    </row>
    <row r="15" spans="1:44" s="377" customFormat="1" ht="15" customHeight="1">
      <c r="A15" s="5">
        <v>10</v>
      </c>
      <c r="B15" s="26" t="s">
        <v>62</v>
      </c>
      <c r="C15" s="13" t="s">
        <v>63</v>
      </c>
      <c r="D15" s="5" t="s">
        <v>64</v>
      </c>
      <c r="E15" s="5" t="s">
        <v>412</v>
      </c>
      <c r="F15" s="5" t="s">
        <v>66</v>
      </c>
      <c r="G15" s="5">
        <v>1</v>
      </c>
      <c r="H15" s="20" t="s">
        <v>56</v>
      </c>
      <c r="I15" s="20" t="s">
        <v>56</v>
      </c>
      <c r="J15" s="27">
        <v>3</v>
      </c>
      <c r="K15" s="7">
        <v>17697</v>
      </c>
      <c r="L15" s="7"/>
      <c r="M15" s="7">
        <v>1</v>
      </c>
      <c r="N15" s="7"/>
      <c r="O15" s="7">
        <v>3.57</v>
      </c>
      <c r="P15" s="7"/>
      <c r="Q15" s="18">
        <f t="shared" si="1"/>
        <v>63178.289999999994</v>
      </c>
      <c r="R15" s="7"/>
      <c r="S15" s="8"/>
      <c r="T15" s="7">
        <v>0.1</v>
      </c>
      <c r="U15" s="18">
        <f t="shared" si="2"/>
        <v>6317.83</v>
      </c>
      <c r="V15" s="7"/>
      <c r="W15" s="9"/>
      <c r="X15" s="10">
        <f t="shared" si="0"/>
        <v>69496.12</v>
      </c>
      <c r="Y15" s="406">
        <f t="shared" si="0"/>
        <v>0.1</v>
      </c>
      <c r="Z15" s="406">
        <f t="shared" si="0"/>
        <v>6317.83</v>
      </c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  <c r="AN15" s="375"/>
    </row>
    <row r="16" spans="1:44" s="377" customFormat="1" ht="15" customHeight="1">
      <c r="A16" s="5">
        <v>11</v>
      </c>
      <c r="B16" s="26" t="s">
        <v>400</v>
      </c>
      <c r="C16" s="13" t="s">
        <v>63</v>
      </c>
      <c r="D16" s="5" t="s">
        <v>64</v>
      </c>
      <c r="E16" s="732">
        <v>0</v>
      </c>
      <c r="F16" s="5" t="s">
        <v>159</v>
      </c>
      <c r="G16" s="5">
        <v>1.5</v>
      </c>
      <c r="H16" s="20" t="s">
        <v>69</v>
      </c>
      <c r="I16" s="20" t="s">
        <v>69</v>
      </c>
      <c r="J16" s="737" t="s">
        <v>30</v>
      </c>
      <c r="K16" s="7">
        <v>17697</v>
      </c>
      <c r="L16" s="7"/>
      <c r="M16" s="7">
        <v>1.5</v>
      </c>
      <c r="N16" s="7"/>
      <c r="O16" s="5">
        <v>3.31</v>
      </c>
      <c r="P16" s="5"/>
      <c r="Q16" s="18">
        <f>O16*K16*M16</f>
        <v>87865.604999999996</v>
      </c>
      <c r="R16" s="8"/>
      <c r="S16" s="7"/>
      <c r="T16" s="7">
        <v>0.1</v>
      </c>
      <c r="U16" s="18">
        <f t="shared" si="2"/>
        <v>8786.56</v>
      </c>
      <c r="V16" s="9"/>
      <c r="W16" s="7"/>
      <c r="X16" s="10">
        <f>Q16+S16+U16</f>
        <v>96652.164999999994</v>
      </c>
      <c r="Y16" s="406">
        <f t="shared" si="0"/>
        <v>0.1</v>
      </c>
      <c r="Z16" s="406">
        <f t="shared" si="0"/>
        <v>8786.56</v>
      </c>
    </row>
    <row r="17" spans="1:40" s="364" customFormat="1" ht="15.75" customHeight="1">
      <c r="A17" s="5">
        <v>12</v>
      </c>
      <c r="B17" s="13" t="s">
        <v>378</v>
      </c>
      <c r="C17" s="13" t="s">
        <v>63</v>
      </c>
      <c r="D17" s="5" t="s">
        <v>64</v>
      </c>
      <c r="E17" s="14">
        <v>0</v>
      </c>
      <c r="F17" s="5" t="s">
        <v>159</v>
      </c>
      <c r="G17" s="5">
        <v>0.5</v>
      </c>
      <c r="H17" s="15" t="s">
        <v>56</v>
      </c>
      <c r="I17" s="15" t="s">
        <v>56</v>
      </c>
      <c r="J17" s="14">
        <v>3</v>
      </c>
      <c r="K17" s="15">
        <v>17697</v>
      </c>
      <c r="L17" s="15"/>
      <c r="M17" s="7">
        <v>0.5</v>
      </c>
      <c r="N17" s="21"/>
      <c r="O17" s="7">
        <v>3.31</v>
      </c>
      <c r="P17" s="7"/>
      <c r="Q17" s="18">
        <f t="shared" si="1"/>
        <v>29288.535</v>
      </c>
      <c r="R17" s="8"/>
      <c r="S17" s="7"/>
      <c r="T17" s="7">
        <v>0.1</v>
      </c>
      <c r="U17" s="18">
        <f t="shared" si="2"/>
        <v>2928.85</v>
      </c>
      <c r="V17" s="9"/>
      <c r="W17" s="7"/>
      <c r="X17" s="10">
        <f t="shared" si="0"/>
        <v>32217.384999999998</v>
      </c>
      <c r="Y17" s="406">
        <f t="shared" si="0"/>
        <v>0.1</v>
      </c>
      <c r="Z17" s="406">
        <f t="shared" si="0"/>
        <v>2928.85</v>
      </c>
    </row>
    <row r="18" spans="1:40" s="364" customFormat="1" ht="15.75" customHeight="1">
      <c r="A18" s="5">
        <v>13</v>
      </c>
      <c r="B18" s="13" t="s">
        <v>70</v>
      </c>
      <c r="C18" s="13" t="s">
        <v>71</v>
      </c>
      <c r="D18" s="5" t="s">
        <v>25</v>
      </c>
      <c r="E18" s="14" t="s">
        <v>72</v>
      </c>
      <c r="F18" s="5" t="s">
        <v>73</v>
      </c>
      <c r="G18" s="5">
        <v>1</v>
      </c>
      <c r="H18" s="738" t="s">
        <v>56</v>
      </c>
      <c r="I18" s="738" t="s">
        <v>56</v>
      </c>
      <c r="J18" s="738">
        <v>2</v>
      </c>
      <c r="K18" s="15">
        <v>17697</v>
      </c>
      <c r="L18" s="15"/>
      <c r="M18" s="10">
        <v>0.5</v>
      </c>
      <c r="N18" s="21"/>
      <c r="O18" s="7">
        <v>4.43</v>
      </c>
      <c r="P18" s="7"/>
      <c r="Q18" s="18">
        <f>O18*K18*M18</f>
        <v>39198.854999999996</v>
      </c>
      <c r="R18" s="8"/>
      <c r="S18" s="7"/>
      <c r="T18" s="7">
        <v>0.1</v>
      </c>
      <c r="U18" s="18">
        <f>ROUND(Q18*T18,2)</f>
        <v>3919.89</v>
      </c>
      <c r="V18" s="9">
        <v>0.2</v>
      </c>
      <c r="W18" s="7">
        <f>V18*K18*50%</f>
        <v>1769.7</v>
      </c>
      <c r="X18" s="10">
        <f t="shared" ref="X18:Z19" si="3">Q18+S18+U18+W18</f>
        <v>44888.444999999992</v>
      </c>
      <c r="Y18" s="406">
        <f t="shared" si="3"/>
        <v>44888.744999999995</v>
      </c>
      <c r="Z18" s="406">
        <f t="shared" si="3"/>
        <v>50578.334999999992</v>
      </c>
    </row>
    <row r="19" spans="1:40" s="364" customFormat="1" ht="15.75" customHeight="1">
      <c r="A19" s="5">
        <v>14</v>
      </c>
      <c r="B19" s="13" t="s">
        <v>378</v>
      </c>
      <c r="C19" s="13" t="s">
        <v>71</v>
      </c>
      <c r="D19" s="5" t="s">
        <v>75</v>
      </c>
      <c r="E19" s="14">
        <v>0</v>
      </c>
      <c r="F19" s="5" t="s">
        <v>159</v>
      </c>
      <c r="G19" s="5">
        <v>0.5</v>
      </c>
      <c r="H19" s="15" t="s">
        <v>56</v>
      </c>
      <c r="I19" s="15" t="s">
        <v>56</v>
      </c>
      <c r="J19" s="14">
        <v>3</v>
      </c>
      <c r="K19" s="15">
        <v>17697</v>
      </c>
      <c r="L19" s="15"/>
      <c r="M19" s="10">
        <v>0.5</v>
      </c>
      <c r="N19" s="21"/>
      <c r="O19" s="7">
        <v>3.31</v>
      </c>
      <c r="P19" s="7"/>
      <c r="Q19" s="18">
        <f>O19*K19*M19</f>
        <v>29288.535</v>
      </c>
      <c r="R19" s="8"/>
      <c r="S19" s="7"/>
      <c r="T19" s="7">
        <v>0.1</v>
      </c>
      <c r="U19" s="18">
        <f t="shared" si="2"/>
        <v>2928.85</v>
      </c>
      <c r="V19" s="9">
        <v>0.2</v>
      </c>
      <c r="W19" s="7">
        <f>V19*K19*50%</f>
        <v>1769.7</v>
      </c>
      <c r="X19" s="10">
        <f>Q19+S19+U19+W19</f>
        <v>33987.084999999999</v>
      </c>
      <c r="Y19" s="406">
        <f t="shared" si="3"/>
        <v>33987.385000000002</v>
      </c>
      <c r="Z19" s="406">
        <f t="shared" si="3"/>
        <v>38685.935000000005</v>
      </c>
    </row>
    <row r="20" spans="1:40" s="377" customFormat="1" ht="15" customHeight="1">
      <c r="A20" s="5">
        <v>15</v>
      </c>
      <c r="B20" s="26" t="s">
        <v>78</v>
      </c>
      <c r="C20" s="6" t="s">
        <v>79</v>
      </c>
      <c r="D20" s="5" t="s">
        <v>25</v>
      </c>
      <c r="E20" s="5" t="s">
        <v>413</v>
      </c>
      <c r="F20" s="5" t="s">
        <v>73</v>
      </c>
      <c r="G20" s="5">
        <v>1</v>
      </c>
      <c r="H20" s="5" t="s">
        <v>56</v>
      </c>
      <c r="I20" s="5" t="s">
        <v>56</v>
      </c>
      <c r="J20" s="27">
        <v>2</v>
      </c>
      <c r="K20" s="7">
        <v>17697</v>
      </c>
      <c r="L20" s="7"/>
      <c r="M20" s="7">
        <v>0.5</v>
      </c>
      <c r="N20" s="739"/>
      <c r="O20" s="7">
        <v>4.43</v>
      </c>
      <c r="P20" s="7"/>
      <c r="Q20" s="18">
        <f t="shared" si="1"/>
        <v>39198.854999999996</v>
      </c>
      <c r="R20" s="7"/>
      <c r="S20" s="8"/>
      <c r="T20" s="7">
        <v>0.1</v>
      </c>
      <c r="U20" s="18">
        <f t="shared" si="2"/>
        <v>3919.89</v>
      </c>
      <c r="V20" s="7"/>
      <c r="W20" s="9"/>
      <c r="X20" s="10">
        <f t="shared" si="0"/>
        <v>43118.744999999995</v>
      </c>
      <c r="Y20" s="406">
        <f t="shared" si="0"/>
        <v>0.1</v>
      </c>
      <c r="Z20" s="406">
        <f t="shared" si="0"/>
        <v>3919.89</v>
      </c>
      <c r="AA20" s="375"/>
      <c r="AB20" s="375"/>
      <c r="AC20" s="375"/>
      <c r="AD20" s="375"/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</row>
    <row r="21" spans="1:40" s="390" customFormat="1" ht="15.75" customHeight="1">
      <c r="A21" s="5">
        <v>16</v>
      </c>
      <c r="B21" s="29" t="s">
        <v>81</v>
      </c>
      <c r="C21" s="6" t="s">
        <v>82</v>
      </c>
      <c r="D21" s="30" t="s">
        <v>64</v>
      </c>
      <c r="E21" s="5" t="s">
        <v>413</v>
      </c>
      <c r="F21" s="30" t="s">
        <v>84</v>
      </c>
      <c r="G21" s="21">
        <v>1</v>
      </c>
      <c r="H21" s="20" t="s">
        <v>56</v>
      </c>
      <c r="I21" s="5" t="s">
        <v>56</v>
      </c>
      <c r="J21" s="20">
        <v>3</v>
      </c>
      <c r="K21" s="7">
        <v>17697</v>
      </c>
      <c r="L21" s="7"/>
      <c r="M21" s="7">
        <v>1</v>
      </c>
      <c r="N21" s="7"/>
      <c r="O21" s="7">
        <v>3.5</v>
      </c>
      <c r="P21" s="7"/>
      <c r="Q21" s="18">
        <f t="shared" si="1"/>
        <v>61939.5</v>
      </c>
      <c r="R21" s="7"/>
      <c r="S21" s="8"/>
      <c r="T21" s="7">
        <v>0.1</v>
      </c>
      <c r="U21" s="18">
        <f t="shared" si="2"/>
        <v>6193.95</v>
      </c>
      <c r="V21" s="7"/>
      <c r="W21" s="9"/>
      <c r="X21" s="10">
        <f t="shared" si="0"/>
        <v>68133.45</v>
      </c>
      <c r="Y21" s="406">
        <f t="shared" si="0"/>
        <v>0.1</v>
      </c>
      <c r="Z21" s="406">
        <f t="shared" si="0"/>
        <v>6193.95</v>
      </c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  <c r="AN21" s="389"/>
    </row>
    <row r="22" spans="1:40" s="377" customFormat="1" ht="18" customHeight="1">
      <c r="A22" s="5">
        <v>17</v>
      </c>
      <c r="B22" s="26" t="s">
        <v>85</v>
      </c>
      <c r="C22" s="6" t="s">
        <v>86</v>
      </c>
      <c r="D22" s="5" t="s">
        <v>25</v>
      </c>
      <c r="E22" s="7" t="s">
        <v>515</v>
      </c>
      <c r="F22" s="5" t="s">
        <v>249</v>
      </c>
      <c r="G22" s="5">
        <v>1</v>
      </c>
      <c r="H22" s="5" t="s">
        <v>56</v>
      </c>
      <c r="I22" s="5" t="s">
        <v>56</v>
      </c>
      <c r="J22" s="731" t="s">
        <v>57</v>
      </c>
      <c r="K22" s="7">
        <v>17697</v>
      </c>
      <c r="L22" s="7"/>
      <c r="M22" s="7">
        <v>1</v>
      </c>
      <c r="N22" s="7"/>
      <c r="O22" s="7">
        <v>4.43</v>
      </c>
      <c r="P22" s="7"/>
      <c r="Q22" s="18">
        <f t="shared" si="1"/>
        <v>78397.709999999992</v>
      </c>
      <c r="R22" s="8"/>
      <c r="S22" s="740"/>
      <c r="T22" s="7">
        <v>0.1</v>
      </c>
      <c r="U22" s="18">
        <f t="shared" si="2"/>
        <v>7839.77</v>
      </c>
      <c r="V22" s="741"/>
      <c r="W22" s="740"/>
      <c r="X22" s="10">
        <f t="shared" si="0"/>
        <v>86237.48</v>
      </c>
      <c r="Y22" s="406">
        <f t="shared" si="0"/>
        <v>0.1</v>
      </c>
      <c r="Z22" s="406">
        <f t="shared" si="0"/>
        <v>7839.77</v>
      </c>
    </row>
    <row r="23" spans="1:40" s="377" customFormat="1" ht="17.25" customHeight="1">
      <c r="A23" s="5">
        <v>18</v>
      </c>
      <c r="B23" s="690" t="s">
        <v>294</v>
      </c>
      <c r="C23" s="6" t="s">
        <v>86</v>
      </c>
      <c r="D23" s="20" t="s">
        <v>25</v>
      </c>
      <c r="E23" s="742">
        <v>0</v>
      </c>
      <c r="F23" s="742" t="s">
        <v>159</v>
      </c>
      <c r="G23" s="743">
        <v>1</v>
      </c>
      <c r="H23" s="5" t="s">
        <v>56</v>
      </c>
      <c r="I23" s="5" t="s">
        <v>56</v>
      </c>
      <c r="J23" s="731" t="s">
        <v>57</v>
      </c>
      <c r="K23" s="7">
        <v>17697</v>
      </c>
      <c r="L23" s="34"/>
      <c r="M23" s="35">
        <v>1</v>
      </c>
      <c r="N23" s="34"/>
      <c r="O23" s="34">
        <v>4.0999999999999996</v>
      </c>
      <c r="P23" s="34"/>
      <c r="Q23" s="36">
        <f>O23*K23*M23</f>
        <v>72557.7</v>
      </c>
      <c r="R23" s="37"/>
      <c r="S23" s="34"/>
      <c r="T23" s="34">
        <v>0.1</v>
      </c>
      <c r="U23" s="36">
        <f>ROUND(Q23*T23,2)</f>
        <v>7255.77</v>
      </c>
      <c r="V23" s="38"/>
      <c r="W23" s="34"/>
      <c r="X23" s="35">
        <f>Q23+S23+U23</f>
        <v>79813.47</v>
      </c>
      <c r="Y23" s="437">
        <f t="shared" si="0"/>
        <v>0.1</v>
      </c>
      <c r="Z23" s="437">
        <f t="shared" si="0"/>
        <v>7255.77</v>
      </c>
    </row>
    <row r="24" spans="1:40" s="377" customFormat="1" ht="17.25" customHeight="1">
      <c r="A24" s="5">
        <v>19</v>
      </c>
      <c r="B24" s="32" t="s">
        <v>373</v>
      </c>
      <c r="C24" s="39" t="s">
        <v>95</v>
      </c>
      <c r="D24" s="40" t="s">
        <v>25</v>
      </c>
      <c r="E24" s="34" t="s">
        <v>415</v>
      </c>
      <c r="F24" s="40" t="s">
        <v>376</v>
      </c>
      <c r="G24" s="40">
        <v>0.5</v>
      </c>
      <c r="H24" s="40" t="s">
        <v>56</v>
      </c>
      <c r="I24" s="40" t="s">
        <v>56</v>
      </c>
      <c r="J24" s="41" t="s">
        <v>57</v>
      </c>
      <c r="K24" s="34">
        <v>17697</v>
      </c>
      <c r="L24" s="34"/>
      <c r="M24" s="34">
        <v>0.5</v>
      </c>
      <c r="N24" s="34"/>
      <c r="O24" s="34">
        <v>4.1900000000000004</v>
      </c>
      <c r="P24" s="34"/>
      <c r="Q24" s="36">
        <f>O24*K24*M24</f>
        <v>37075.215000000004</v>
      </c>
      <c r="R24" s="37"/>
      <c r="S24" s="34"/>
      <c r="T24" s="34">
        <v>0.1</v>
      </c>
      <c r="U24" s="36">
        <f t="shared" si="2"/>
        <v>3707.52</v>
      </c>
      <c r="V24" s="38"/>
      <c r="W24" s="34"/>
      <c r="X24" s="35">
        <f t="shared" si="0"/>
        <v>40782.735000000001</v>
      </c>
      <c r="Y24" s="437">
        <f t="shared" si="0"/>
        <v>0.1</v>
      </c>
      <c r="Z24" s="437">
        <f t="shared" si="0"/>
        <v>3707.52</v>
      </c>
      <c r="AD24" s="412"/>
    </row>
    <row r="25" spans="1:40" s="377" customFormat="1" ht="17.25" customHeight="1">
      <c r="A25" s="5">
        <v>20</v>
      </c>
      <c r="B25" s="32" t="s">
        <v>399</v>
      </c>
      <c r="C25" s="39" t="s">
        <v>95</v>
      </c>
      <c r="D25" s="40" t="s">
        <v>25</v>
      </c>
      <c r="E25" s="34" t="s">
        <v>419</v>
      </c>
      <c r="F25" s="5" t="s">
        <v>403</v>
      </c>
      <c r="G25" s="40">
        <v>0.5</v>
      </c>
      <c r="H25" s="40" t="s">
        <v>56</v>
      </c>
      <c r="I25" s="40" t="s">
        <v>56</v>
      </c>
      <c r="J25" s="41" t="s">
        <v>57</v>
      </c>
      <c r="K25" s="34">
        <v>17697</v>
      </c>
      <c r="L25" s="34"/>
      <c r="M25" s="34">
        <v>0.5</v>
      </c>
      <c r="N25" s="34"/>
      <c r="O25" s="34">
        <v>4.43</v>
      </c>
      <c r="P25" s="34"/>
      <c r="Q25" s="36">
        <f>O25*K25*M25</f>
        <v>39198.854999999996</v>
      </c>
      <c r="R25" s="37"/>
      <c r="S25" s="34"/>
      <c r="T25" s="34">
        <v>0.1</v>
      </c>
      <c r="U25" s="36">
        <f t="shared" si="2"/>
        <v>3919.89</v>
      </c>
      <c r="V25" s="38"/>
      <c r="W25" s="34"/>
      <c r="X25" s="35">
        <f>Q25+S25+U25</f>
        <v>43118.744999999995</v>
      </c>
      <c r="Y25" s="437">
        <f t="shared" si="0"/>
        <v>0.1</v>
      </c>
      <c r="Z25" s="437">
        <f t="shared" si="0"/>
        <v>3919.89</v>
      </c>
    </row>
    <row r="26" spans="1:40" s="24" customFormat="1" ht="17.25" customHeight="1">
      <c r="A26" s="95"/>
      <c r="B26" s="105"/>
      <c r="C26" s="106"/>
      <c r="D26" s="95"/>
      <c r="E26" s="97"/>
      <c r="F26" s="95"/>
      <c r="G26" s="95"/>
      <c r="H26" s="95"/>
      <c r="I26" s="95"/>
      <c r="J26" s="123"/>
      <c r="K26" s="97"/>
      <c r="L26" s="97"/>
      <c r="M26" s="97">
        <f>SUM(M6:M25)</f>
        <v>17.5</v>
      </c>
      <c r="N26" s="97"/>
      <c r="O26" s="197"/>
      <c r="P26" s="97"/>
      <c r="Q26" s="101">
        <f>SUM(Q6:Q25)</f>
        <v>1431421.845</v>
      </c>
      <c r="R26" s="102"/>
      <c r="S26" s="97"/>
      <c r="T26" s="97"/>
      <c r="U26" s="101"/>
      <c r="V26" s="103"/>
      <c r="W26" s="97"/>
      <c r="X26" s="203"/>
      <c r="Y26" s="104"/>
      <c r="Z26" s="104"/>
      <c r="AC26" s="22">
        <f>SUM(X6:X25)</f>
        <v>1603631.3714999999</v>
      </c>
      <c r="AD26" s="683"/>
    </row>
    <row r="27" spans="1:40" s="377" customFormat="1" ht="17.25" customHeight="1">
      <c r="A27" s="547">
        <v>22</v>
      </c>
      <c r="B27" s="548" t="s">
        <v>98</v>
      </c>
      <c r="C27" s="549" t="s">
        <v>99</v>
      </c>
      <c r="D27" s="547" t="s">
        <v>25</v>
      </c>
      <c r="E27" s="550" t="s">
        <v>462</v>
      </c>
      <c r="F27" s="550" t="s">
        <v>463</v>
      </c>
      <c r="G27" s="547">
        <v>1</v>
      </c>
      <c r="H27" s="547" t="s">
        <v>102</v>
      </c>
      <c r="I27" s="547" t="s">
        <v>103</v>
      </c>
      <c r="J27" s="551">
        <v>1</v>
      </c>
      <c r="K27" s="552">
        <v>17697</v>
      </c>
      <c r="L27" s="553">
        <v>35</v>
      </c>
      <c r="M27" s="554">
        <f>L27/18</f>
        <v>1.9444444444444444</v>
      </c>
      <c r="N27" s="555" t="s">
        <v>104</v>
      </c>
      <c r="O27" s="550">
        <v>4.55</v>
      </c>
      <c r="P27" s="550">
        <v>4.1399999999999997</v>
      </c>
      <c r="Q27" s="556">
        <f t="shared" ref="Q27:Q77" si="4">O27*K27/18*L27</f>
        <v>156569.29166666666</v>
      </c>
      <c r="R27" s="557"/>
      <c r="S27" s="552"/>
      <c r="T27" s="552">
        <v>0.1</v>
      </c>
      <c r="U27" s="556">
        <f>T27*Q27</f>
        <v>15656.929166666667</v>
      </c>
      <c r="V27" s="558"/>
      <c r="W27" s="552"/>
      <c r="X27" s="559">
        <f>U27+Q27</f>
        <v>172226.22083333333</v>
      </c>
      <c r="Y27" s="363">
        <f>V27+R27</f>
        <v>0</v>
      </c>
      <c r="Z27" s="363">
        <f>W27+S27</f>
        <v>0</v>
      </c>
    </row>
    <row r="28" spans="1:40" s="377" customFormat="1" ht="17.25" customHeight="1">
      <c r="A28" s="560">
        <v>23</v>
      </c>
      <c r="B28" s="153" t="s">
        <v>41</v>
      </c>
      <c r="C28" s="561" t="s">
        <v>99</v>
      </c>
      <c r="D28" s="560" t="s">
        <v>25</v>
      </c>
      <c r="E28" s="562" t="s">
        <v>466</v>
      </c>
      <c r="F28" s="562" t="s">
        <v>34</v>
      </c>
      <c r="G28" s="560">
        <v>1</v>
      </c>
      <c r="H28" s="563" t="s">
        <v>102</v>
      </c>
      <c r="I28" s="563" t="s">
        <v>103</v>
      </c>
      <c r="J28" s="564">
        <v>2</v>
      </c>
      <c r="K28" s="554">
        <v>17697</v>
      </c>
      <c r="L28" s="565">
        <v>9</v>
      </c>
      <c r="M28" s="554">
        <f t="shared" ref="M28:M77" si="5">L28/18</f>
        <v>0.5</v>
      </c>
      <c r="N28" s="566" t="s">
        <v>104</v>
      </c>
      <c r="O28" s="566">
        <v>4.51</v>
      </c>
      <c r="P28" s="566">
        <v>3.92</v>
      </c>
      <c r="Q28" s="567">
        <f t="shared" si="4"/>
        <v>39906.735000000001</v>
      </c>
      <c r="R28" s="568"/>
      <c r="S28" s="554"/>
      <c r="T28" s="554">
        <v>0.1</v>
      </c>
      <c r="U28" s="567">
        <f>T28*Q28</f>
        <v>3990.6735000000003</v>
      </c>
      <c r="V28" s="569"/>
      <c r="W28" s="554"/>
      <c r="X28" s="570">
        <f t="shared" ref="X28:Z59" si="6">U28+Q28</f>
        <v>43897.408499999998</v>
      </c>
      <c r="Y28" s="406">
        <f t="shared" si="6"/>
        <v>0</v>
      </c>
      <c r="Z28" s="406">
        <f t="shared" si="6"/>
        <v>0</v>
      </c>
      <c r="AD28" s="412"/>
    </row>
    <row r="29" spans="1:40" s="377" customFormat="1" ht="15.75">
      <c r="A29" s="547">
        <v>24</v>
      </c>
      <c r="B29" s="153" t="s">
        <v>445</v>
      </c>
      <c r="C29" s="561" t="s">
        <v>99</v>
      </c>
      <c r="D29" s="563" t="s">
        <v>25</v>
      </c>
      <c r="E29" s="562" t="s">
        <v>464</v>
      </c>
      <c r="F29" s="562" t="s">
        <v>217</v>
      </c>
      <c r="G29" s="571">
        <v>1</v>
      </c>
      <c r="H29" s="560" t="s">
        <v>102</v>
      </c>
      <c r="I29" s="560" t="s">
        <v>103</v>
      </c>
      <c r="J29" s="572">
        <v>1</v>
      </c>
      <c r="K29" s="554">
        <v>17697</v>
      </c>
      <c r="L29" s="573">
        <v>10</v>
      </c>
      <c r="M29" s="554">
        <f t="shared" si="5"/>
        <v>0.55555555555555558</v>
      </c>
      <c r="N29" s="574" t="s">
        <v>152</v>
      </c>
      <c r="O29" s="575">
        <v>4.6900000000000004</v>
      </c>
      <c r="P29" s="575"/>
      <c r="Q29" s="567">
        <f t="shared" si="4"/>
        <v>46110.51666666667</v>
      </c>
      <c r="R29" s="568"/>
      <c r="S29" s="554"/>
      <c r="T29" s="554">
        <v>0.1</v>
      </c>
      <c r="U29" s="567">
        <f>Q29*T29</f>
        <v>4611.0516666666672</v>
      </c>
      <c r="V29" s="569"/>
      <c r="W29" s="554"/>
      <c r="X29" s="570">
        <f t="shared" si="6"/>
        <v>50721.568333333336</v>
      </c>
      <c r="Y29" s="406">
        <f t="shared" si="6"/>
        <v>0</v>
      </c>
      <c r="Z29" s="406">
        <f t="shared" si="6"/>
        <v>0</v>
      </c>
    </row>
    <row r="30" spans="1:40" s="377" customFormat="1" ht="15.75">
      <c r="A30" s="560">
        <v>25</v>
      </c>
      <c r="B30" s="576" t="s">
        <v>110</v>
      </c>
      <c r="C30" s="561" t="s">
        <v>99</v>
      </c>
      <c r="D30" s="560" t="s">
        <v>25</v>
      </c>
      <c r="E30" s="562" t="s">
        <v>467</v>
      </c>
      <c r="F30" s="562" t="s">
        <v>468</v>
      </c>
      <c r="G30" s="560">
        <v>1</v>
      </c>
      <c r="H30" s="577" t="s">
        <v>102</v>
      </c>
      <c r="I30" s="577" t="s">
        <v>103</v>
      </c>
      <c r="J30" s="578">
        <v>4</v>
      </c>
      <c r="K30" s="554">
        <v>17697</v>
      </c>
      <c r="L30" s="565">
        <v>31</v>
      </c>
      <c r="M30" s="554">
        <f t="shared" si="5"/>
        <v>1.7222222222222223</v>
      </c>
      <c r="N30" s="574" t="s">
        <v>112</v>
      </c>
      <c r="O30" s="579">
        <v>3.71</v>
      </c>
      <c r="P30" s="579">
        <v>2.92</v>
      </c>
      <c r="Q30" s="567">
        <f t="shared" si="4"/>
        <v>113073.99833333332</v>
      </c>
      <c r="R30" s="568"/>
      <c r="S30" s="554"/>
      <c r="T30" s="554">
        <v>0.1</v>
      </c>
      <c r="U30" s="567">
        <f>T30*Q30</f>
        <v>11307.399833333333</v>
      </c>
      <c r="V30" s="569"/>
      <c r="W30" s="554"/>
      <c r="X30" s="570">
        <f t="shared" si="6"/>
        <v>124381.39816666665</v>
      </c>
      <c r="Y30" s="406"/>
      <c r="Z30" s="406"/>
    </row>
    <row r="31" spans="1:40" s="377" customFormat="1" ht="17.25" customHeight="1">
      <c r="A31" s="547">
        <v>26</v>
      </c>
      <c r="B31" s="153" t="s">
        <v>106</v>
      </c>
      <c r="C31" s="561" t="s">
        <v>99</v>
      </c>
      <c r="D31" s="560" t="s">
        <v>25</v>
      </c>
      <c r="E31" s="562" t="s">
        <v>107</v>
      </c>
      <c r="F31" s="562" t="s">
        <v>108</v>
      </c>
      <c r="G31" s="560">
        <v>1</v>
      </c>
      <c r="H31" s="563" t="s">
        <v>102</v>
      </c>
      <c r="I31" s="563" t="s">
        <v>103</v>
      </c>
      <c r="J31" s="564">
        <v>3</v>
      </c>
      <c r="K31" s="554">
        <v>17697</v>
      </c>
      <c r="L31" s="565">
        <v>15</v>
      </c>
      <c r="M31" s="554">
        <f t="shared" si="5"/>
        <v>0.83333333333333337</v>
      </c>
      <c r="N31" s="566" t="s">
        <v>109</v>
      </c>
      <c r="O31" s="579">
        <v>4</v>
      </c>
      <c r="P31" s="579">
        <v>3.33</v>
      </c>
      <c r="Q31" s="567">
        <f t="shared" si="4"/>
        <v>58990</v>
      </c>
      <c r="R31" s="568"/>
      <c r="S31" s="554"/>
      <c r="T31" s="554">
        <v>0.1</v>
      </c>
      <c r="U31" s="567">
        <f>T31*Q31</f>
        <v>5899</v>
      </c>
      <c r="V31" s="569"/>
      <c r="W31" s="554"/>
      <c r="X31" s="570">
        <f t="shared" si="6"/>
        <v>64889</v>
      </c>
      <c r="Y31" s="406">
        <f t="shared" si="6"/>
        <v>0</v>
      </c>
      <c r="Z31" s="406">
        <f t="shared" si="6"/>
        <v>0</v>
      </c>
    </row>
    <row r="32" spans="1:40" s="377" customFormat="1" ht="15.75">
      <c r="A32" s="560">
        <v>27</v>
      </c>
      <c r="B32" s="153" t="s">
        <v>215</v>
      </c>
      <c r="C32" s="561" t="s">
        <v>99</v>
      </c>
      <c r="D32" s="563" t="s">
        <v>25</v>
      </c>
      <c r="E32" s="562" t="s">
        <v>441</v>
      </c>
      <c r="F32" s="562" t="s">
        <v>217</v>
      </c>
      <c r="G32" s="571">
        <v>1</v>
      </c>
      <c r="H32" s="580" t="s">
        <v>102</v>
      </c>
      <c r="I32" s="580" t="s">
        <v>103</v>
      </c>
      <c r="J32" s="574">
        <v>1</v>
      </c>
      <c r="K32" s="554">
        <v>17697</v>
      </c>
      <c r="L32" s="573">
        <v>6</v>
      </c>
      <c r="M32" s="554">
        <f t="shared" si="5"/>
        <v>0.33333333333333331</v>
      </c>
      <c r="N32" s="574" t="s">
        <v>152</v>
      </c>
      <c r="O32" s="575">
        <v>4.6900000000000004</v>
      </c>
      <c r="P32" s="575"/>
      <c r="Q32" s="567">
        <f t="shared" si="4"/>
        <v>27666.310000000005</v>
      </c>
      <c r="R32" s="568"/>
      <c r="S32" s="554"/>
      <c r="T32" s="554">
        <v>0.1</v>
      </c>
      <c r="U32" s="567">
        <f>Q32*T32</f>
        <v>2766.6310000000008</v>
      </c>
      <c r="V32" s="569"/>
      <c r="W32" s="554"/>
      <c r="X32" s="570">
        <f t="shared" si="6"/>
        <v>30432.941000000006</v>
      </c>
      <c r="Y32" s="406">
        <f t="shared" si="6"/>
        <v>0</v>
      </c>
      <c r="Z32" s="406">
        <f t="shared" si="6"/>
        <v>0</v>
      </c>
    </row>
    <row r="33" spans="1:26" s="377" customFormat="1" ht="17.25" customHeight="1">
      <c r="A33" s="547">
        <v>28</v>
      </c>
      <c r="B33" s="153" t="s">
        <v>23</v>
      </c>
      <c r="C33" s="561" t="s">
        <v>99</v>
      </c>
      <c r="D33" s="560" t="s">
        <v>25</v>
      </c>
      <c r="E33" s="562" t="s">
        <v>469</v>
      </c>
      <c r="F33" s="562" t="s">
        <v>114</v>
      </c>
      <c r="G33" s="560">
        <v>1</v>
      </c>
      <c r="H33" s="563" t="s">
        <v>102</v>
      </c>
      <c r="I33" s="563" t="s">
        <v>103</v>
      </c>
      <c r="J33" s="581">
        <v>1</v>
      </c>
      <c r="K33" s="554">
        <v>17697</v>
      </c>
      <c r="L33" s="565">
        <v>9</v>
      </c>
      <c r="M33" s="554">
        <f t="shared" si="5"/>
        <v>0.5</v>
      </c>
      <c r="N33" s="574" t="s">
        <v>152</v>
      </c>
      <c r="O33" s="555">
        <v>4.75</v>
      </c>
      <c r="P33" s="555">
        <v>4.32</v>
      </c>
      <c r="Q33" s="567">
        <f t="shared" si="4"/>
        <v>42030.375</v>
      </c>
      <c r="R33" s="568"/>
      <c r="S33" s="554"/>
      <c r="T33" s="554">
        <v>0.1</v>
      </c>
      <c r="U33" s="567">
        <f t="shared" ref="U33:U77" si="7">T33*Q33</f>
        <v>4203.0375000000004</v>
      </c>
      <c r="V33" s="569"/>
      <c r="W33" s="554"/>
      <c r="X33" s="570">
        <f t="shared" si="6"/>
        <v>46233.412499999999</v>
      </c>
      <c r="Y33" s="406">
        <f t="shared" si="6"/>
        <v>0</v>
      </c>
      <c r="Z33" s="406">
        <f t="shared" si="6"/>
        <v>0</v>
      </c>
    </row>
    <row r="34" spans="1:26" s="377" customFormat="1" ht="17.25" customHeight="1">
      <c r="A34" s="560">
        <v>29</v>
      </c>
      <c r="B34" s="153" t="s">
        <v>124</v>
      </c>
      <c r="C34" s="561" t="s">
        <v>125</v>
      </c>
      <c r="D34" s="560" t="s">
        <v>75</v>
      </c>
      <c r="E34" s="582" t="s">
        <v>126</v>
      </c>
      <c r="F34" s="562" t="s">
        <v>108</v>
      </c>
      <c r="G34" s="560">
        <v>1</v>
      </c>
      <c r="H34" s="563" t="s">
        <v>102</v>
      </c>
      <c r="I34" s="563" t="s">
        <v>118</v>
      </c>
      <c r="J34" s="581">
        <v>3</v>
      </c>
      <c r="K34" s="554">
        <v>17697</v>
      </c>
      <c r="L34" s="565">
        <v>22.5</v>
      </c>
      <c r="M34" s="554">
        <f t="shared" si="5"/>
        <v>1.25</v>
      </c>
      <c r="N34" s="566" t="s">
        <v>109</v>
      </c>
      <c r="O34" s="566">
        <v>3.85</v>
      </c>
      <c r="P34" s="566">
        <v>2.85</v>
      </c>
      <c r="Q34" s="567">
        <f t="shared" si="4"/>
        <v>85166.8125</v>
      </c>
      <c r="R34" s="568"/>
      <c r="S34" s="554"/>
      <c r="T34" s="554">
        <v>0.1</v>
      </c>
      <c r="U34" s="567">
        <f t="shared" si="7"/>
        <v>8516.6812499999996</v>
      </c>
      <c r="V34" s="569"/>
      <c r="W34" s="554"/>
      <c r="X34" s="570">
        <f t="shared" si="6"/>
        <v>93683.493749999994</v>
      </c>
      <c r="Y34" s="406">
        <f t="shared" si="6"/>
        <v>0</v>
      </c>
      <c r="Z34" s="406">
        <f t="shared" si="6"/>
        <v>0</v>
      </c>
    </row>
    <row r="35" spans="1:26" s="377" customFormat="1" ht="17.25" customHeight="1">
      <c r="A35" s="547">
        <v>30</v>
      </c>
      <c r="B35" s="153" t="s">
        <v>116</v>
      </c>
      <c r="C35" s="561" t="s">
        <v>99</v>
      </c>
      <c r="D35" s="560" t="s">
        <v>64</v>
      </c>
      <c r="E35" s="583" t="s">
        <v>470</v>
      </c>
      <c r="F35" s="562" t="s">
        <v>114</v>
      </c>
      <c r="G35" s="560">
        <v>1</v>
      </c>
      <c r="H35" s="563" t="s">
        <v>102</v>
      </c>
      <c r="I35" s="563" t="s">
        <v>118</v>
      </c>
      <c r="J35" s="564">
        <v>1</v>
      </c>
      <c r="K35" s="554">
        <v>17697</v>
      </c>
      <c r="L35" s="565">
        <v>19</v>
      </c>
      <c r="M35" s="554">
        <f t="shared" si="5"/>
        <v>1.0555555555555556</v>
      </c>
      <c r="N35" s="574" t="s">
        <v>152</v>
      </c>
      <c r="O35" s="566">
        <v>4.5199999999999996</v>
      </c>
      <c r="P35" s="566">
        <v>3.89</v>
      </c>
      <c r="Q35" s="567">
        <f t="shared" si="4"/>
        <v>84434.353333333333</v>
      </c>
      <c r="R35" s="568"/>
      <c r="S35" s="554"/>
      <c r="T35" s="554">
        <v>0.1</v>
      </c>
      <c r="U35" s="567">
        <f t="shared" si="7"/>
        <v>8443.4353333333329</v>
      </c>
      <c r="V35" s="569"/>
      <c r="W35" s="554"/>
      <c r="X35" s="570">
        <f t="shared" si="6"/>
        <v>92877.78866666666</v>
      </c>
      <c r="Y35" s="406">
        <f t="shared" si="6"/>
        <v>0</v>
      </c>
      <c r="Z35" s="406">
        <f t="shared" si="6"/>
        <v>0</v>
      </c>
    </row>
    <row r="36" spans="1:26" s="377" customFormat="1" ht="17.25" customHeight="1">
      <c r="A36" s="560">
        <v>31</v>
      </c>
      <c r="B36" s="153" t="s">
        <v>127</v>
      </c>
      <c r="C36" s="561" t="s">
        <v>99</v>
      </c>
      <c r="D36" s="560" t="s">
        <v>25</v>
      </c>
      <c r="E36" s="562" t="s">
        <v>471</v>
      </c>
      <c r="F36" s="562" t="s">
        <v>34</v>
      </c>
      <c r="G36" s="560">
        <v>1</v>
      </c>
      <c r="H36" s="563" t="s">
        <v>102</v>
      </c>
      <c r="I36" s="563" t="s">
        <v>103</v>
      </c>
      <c r="J36" s="564">
        <v>1</v>
      </c>
      <c r="K36" s="554">
        <v>17697</v>
      </c>
      <c r="L36" s="565">
        <v>26</v>
      </c>
      <c r="M36" s="554">
        <f t="shared" si="5"/>
        <v>1.4444444444444444</v>
      </c>
      <c r="N36" s="574" t="s">
        <v>152</v>
      </c>
      <c r="O36" s="566">
        <v>4.75</v>
      </c>
      <c r="P36" s="566">
        <v>4.32</v>
      </c>
      <c r="Q36" s="567">
        <f t="shared" si="4"/>
        <v>121421.08333333334</v>
      </c>
      <c r="R36" s="568"/>
      <c r="S36" s="554"/>
      <c r="T36" s="554">
        <v>0.1</v>
      </c>
      <c r="U36" s="567">
        <f t="shared" si="7"/>
        <v>12142.108333333335</v>
      </c>
      <c r="V36" s="569"/>
      <c r="W36" s="554"/>
      <c r="X36" s="570">
        <f t="shared" si="6"/>
        <v>133563.19166666668</v>
      </c>
      <c r="Y36" s="406">
        <f t="shared" si="6"/>
        <v>0</v>
      </c>
      <c r="Z36" s="406">
        <f t="shared" si="6"/>
        <v>0</v>
      </c>
    </row>
    <row r="37" spans="1:26" s="377" customFormat="1" ht="17.25" customHeight="1">
      <c r="A37" s="547">
        <v>32</v>
      </c>
      <c r="B37" s="52" t="s">
        <v>386</v>
      </c>
      <c r="C37" s="52" t="s">
        <v>99</v>
      </c>
      <c r="D37" s="210" t="s">
        <v>25</v>
      </c>
      <c r="E37" s="584" t="s">
        <v>472</v>
      </c>
      <c r="F37" s="584" t="s">
        <v>34</v>
      </c>
      <c r="G37" s="562" t="s">
        <v>156</v>
      </c>
      <c r="H37" s="563" t="s">
        <v>102</v>
      </c>
      <c r="I37" s="563" t="s">
        <v>103</v>
      </c>
      <c r="J37" s="581">
        <v>1</v>
      </c>
      <c r="K37" s="554">
        <v>17697</v>
      </c>
      <c r="L37" s="565">
        <v>18</v>
      </c>
      <c r="M37" s="554">
        <f t="shared" si="5"/>
        <v>1</v>
      </c>
      <c r="N37" s="574" t="s">
        <v>152</v>
      </c>
      <c r="O37" s="566">
        <v>4.75</v>
      </c>
      <c r="P37" s="566"/>
      <c r="Q37" s="567">
        <f t="shared" si="4"/>
        <v>84060.75</v>
      </c>
      <c r="R37" s="568"/>
      <c r="S37" s="554"/>
      <c r="T37" s="554">
        <v>0.1</v>
      </c>
      <c r="U37" s="567">
        <f t="shared" si="7"/>
        <v>8406.0750000000007</v>
      </c>
      <c r="V37" s="569"/>
      <c r="W37" s="554"/>
      <c r="X37" s="570">
        <f t="shared" si="6"/>
        <v>92466.824999999997</v>
      </c>
      <c r="Y37" s="406">
        <f t="shared" si="6"/>
        <v>0</v>
      </c>
      <c r="Z37" s="406">
        <f t="shared" si="6"/>
        <v>0</v>
      </c>
    </row>
    <row r="38" spans="1:26" s="377" customFormat="1" ht="17.25" customHeight="1">
      <c r="A38" s="560">
        <v>33</v>
      </c>
      <c r="B38" s="153" t="s">
        <v>458</v>
      </c>
      <c r="C38" s="561" t="s">
        <v>99</v>
      </c>
      <c r="D38" s="560" t="s">
        <v>25</v>
      </c>
      <c r="E38" s="582" t="s">
        <v>501</v>
      </c>
      <c r="F38" s="582" t="s">
        <v>34</v>
      </c>
      <c r="G38" s="560">
        <v>1</v>
      </c>
      <c r="H38" s="563" t="s">
        <v>102</v>
      </c>
      <c r="I38" s="563" t="s">
        <v>103</v>
      </c>
      <c r="J38" s="581">
        <v>1</v>
      </c>
      <c r="K38" s="554">
        <v>17697</v>
      </c>
      <c r="L38" s="565">
        <v>23</v>
      </c>
      <c r="M38" s="554">
        <f t="shared" si="5"/>
        <v>1.2777777777777777</v>
      </c>
      <c r="N38" s="574" t="s">
        <v>152</v>
      </c>
      <c r="O38" s="566">
        <v>4.75</v>
      </c>
      <c r="P38" s="566"/>
      <c r="Q38" s="567">
        <f t="shared" si="4"/>
        <v>107410.95833333334</v>
      </c>
      <c r="R38" s="568"/>
      <c r="S38" s="554"/>
      <c r="T38" s="554">
        <v>0.1</v>
      </c>
      <c r="U38" s="567">
        <f t="shared" si="7"/>
        <v>10741.095833333335</v>
      </c>
      <c r="V38" s="569"/>
      <c r="W38" s="554"/>
      <c r="X38" s="570">
        <f t="shared" si="6"/>
        <v>118152.05416666668</v>
      </c>
      <c r="Y38" s="406"/>
      <c r="Z38" s="406"/>
    </row>
    <row r="39" spans="1:26" s="377" customFormat="1" ht="17.25" customHeight="1">
      <c r="A39" s="547">
        <v>34</v>
      </c>
      <c r="B39" s="153" t="s">
        <v>130</v>
      </c>
      <c r="C39" s="561" t="s">
        <v>99</v>
      </c>
      <c r="D39" s="560" t="s">
        <v>25</v>
      </c>
      <c r="E39" s="582" t="s">
        <v>473</v>
      </c>
      <c r="F39" s="582" t="s">
        <v>34</v>
      </c>
      <c r="G39" s="560">
        <v>1</v>
      </c>
      <c r="H39" s="563" t="s">
        <v>102</v>
      </c>
      <c r="I39" s="563" t="s">
        <v>103</v>
      </c>
      <c r="J39" s="581">
        <v>1</v>
      </c>
      <c r="K39" s="554">
        <v>17697</v>
      </c>
      <c r="L39" s="565">
        <v>9</v>
      </c>
      <c r="M39" s="554">
        <f t="shared" si="5"/>
        <v>0.5</v>
      </c>
      <c r="N39" s="574" t="s">
        <v>152</v>
      </c>
      <c r="O39" s="566">
        <v>4.75</v>
      </c>
      <c r="P39" s="566">
        <v>4.32</v>
      </c>
      <c r="Q39" s="567">
        <f t="shared" si="4"/>
        <v>42030.375</v>
      </c>
      <c r="R39" s="568"/>
      <c r="S39" s="554"/>
      <c r="T39" s="554">
        <v>0.1</v>
      </c>
      <c r="U39" s="567">
        <f t="shared" si="7"/>
        <v>4203.0375000000004</v>
      </c>
      <c r="V39" s="569"/>
      <c r="W39" s="554"/>
      <c r="X39" s="570">
        <f t="shared" si="6"/>
        <v>46233.412499999999</v>
      </c>
      <c r="Y39" s="406">
        <f t="shared" si="6"/>
        <v>0</v>
      </c>
      <c r="Z39" s="406">
        <f t="shared" si="6"/>
        <v>0</v>
      </c>
    </row>
    <row r="40" spans="1:26" s="377" customFormat="1" ht="17.25" customHeight="1">
      <c r="A40" s="560">
        <v>35</v>
      </c>
      <c r="B40" s="153" t="s">
        <v>455</v>
      </c>
      <c r="C40" s="561" t="s">
        <v>99</v>
      </c>
      <c r="D40" s="563" t="s">
        <v>25</v>
      </c>
      <c r="E40" s="210" t="s">
        <v>502</v>
      </c>
      <c r="F40" s="562" t="s">
        <v>34</v>
      </c>
      <c r="G40" s="560">
        <v>1</v>
      </c>
      <c r="H40" s="563" t="s">
        <v>102</v>
      </c>
      <c r="I40" s="563" t="s">
        <v>103</v>
      </c>
      <c r="J40" s="581">
        <v>1</v>
      </c>
      <c r="K40" s="554">
        <v>17697</v>
      </c>
      <c r="L40" s="565">
        <v>8</v>
      </c>
      <c r="M40" s="554">
        <f t="shared" si="5"/>
        <v>0.44444444444444442</v>
      </c>
      <c r="N40" s="574" t="s">
        <v>152</v>
      </c>
      <c r="O40" s="566">
        <v>4.75</v>
      </c>
      <c r="P40" s="566"/>
      <c r="Q40" s="567">
        <f t="shared" si="4"/>
        <v>37360.333333333336</v>
      </c>
      <c r="R40" s="568"/>
      <c r="S40" s="554"/>
      <c r="T40" s="554">
        <v>0.1</v>
      </c>
      <c r="U40" s="567">
        <f t="shared" si="7"/>
        <v>3736.0333333333338</v>
      </c>
      <c r="V40" s="569"/>
      <c r="W40" s="554"/>
      <c r="X40" s="570">
        <f t="shared" si="6"/>
        <v>41096.366666666669</v>
      </c>
      <c r="Y40" s="406">
        <f t="shared" si="6"/>
        <v>0</v>
      </c>
      <c r="Z40" s="406">
        <f t="shared" si="6"/>
        <v>0</v>
      </c>
    </row>
    <row r="41" spans="1:26" s="377" customFormat="1" ht="17.25" customHeight="1">
      <c r="A41" s="547">
        <v>36</v>
      </c>
      <c r="B41" s="153" t="s">
        <v>204</v>
      </c>
      <c r="C41" s="561" t="s">
        <v>99</v>
      </c>
      <c r="D41" s="563" t="s">
        <v>25</v>
      </c>
      <c r="E41" s="562" t="s">
        <v>503</v>
      </c>
      <c r="F41" s="562" t="s">
        <v>206</v>
      </c>
      <c r="G41" s="560">
        <v>1</v>
      </c>
      <c r="H41" s="563" t="s">
        <v>102</v>
      </c>
      <c r="I41" s="563" t="s">
        <v>103</v>
      </c>
      <c r="J41" s="581">
        <v>3</v>
      </c>
      <c r="K41" s="554">
        <v>17697</v>
      </c>
      <c r="L41" s="565">
        <v>6</v>
      </c>
      <c r="M41" s="554">
        <f t="shared" si="5"/>
        <v>0.33333333333333331</v>
      </c>
      <c r="N41" s="566" t="s">
        <v>109</v>
      </c>
      <c r="O41" s="566">
        <v>4</v>
      </c>
      <c r="P41" s="566"/>
      <c r="Q41" s="567">
        <f t="shared" si="4"/>
        <v>23596</v>
      </c>
      <c r="R41" s="568"/>
      <c r="S41" s="554"/>
      <c r="T41" s="554">
        <v>0.1</v>
      </c>
      <c r="U41" s="567">
        <f t="shared" si="7"/>
        <v>2359.6</v>
      </c>
      <c r="V41" s="569"/>
      <c r="W41" s="554"/>
      <c r="X41" s="570">
        <f t="shared" si="6"/>
        <v>25955.599999999999</v>
      </c>
      <c r="Y41" s="406">
        <f t="shared" si="6"/>
        <v>0</v>
      </c>
      <c r="Z41" s="406">
        <f t="shared" si="6"/>
        <v>0</v>
      </c>
    </row>
    <row r="42" spans="1:26" s="377" customFormat="1" ht="17.25" customHeight="1">
      <c r="A42" s="560">
        <v>37</v>
      </c>
      <c r="B42" s="153" t="s">
        <v>133</v>
      </c>
      <c r="C42" s="561" t="s">
        <v>99</v>
      </c>
      <c r="D42" s="563" t="s">
        <v>25</v>
      </c>
      <c r="E42" s="562" t="s">
        <v>474</v>
      </c>
      <c r="F42" s="562" t="s">
        <v>34</v>
      </c>
      <c r="G42" s="560">
        <v>1</v>
      </c>
      <c r="H42" s="563" t="s">
        <v>102</v>
      </c>
      <c r="I42" s="563" t="s">
        <v>103</v>
      </c>
      <c r="J42" s="581">
        <v>1</v>
      </c>
      <c r="K42" s="554">
        <v>17697</v>
      </c>
      <c r="L42" s="565">
        <v>11</v>
      </c>
      <c r="M42" s="554">
        <f t="shared" si="5"/>
        <v>0.61111111111111116</v>
      </c>
      <c r="N42" s="574" t="s">
        <v>152</v>
      </c>
      <c r="O42" s="566">
        <v>4.75</v>
      </c>
      <c r="P42" s="566"/>
      <c r="Q42" s="567">
        <f t="shared" si="4"/>
        <v>51370.458333333336</v>
      </c>
      <c r="R42" s="568"/>
      <c r="S42" s="554"/>
      <c r="T42" s="554">
        <v>0.1</v>
      </c>
      <c r="U42" s="567">
        <f t="shared" si="7"/>
        <v>5137.0458333333336</v>
      </c>
      <c r="V42" s="569"/>
      <c r="W42" s="554"/>
      <c r="X42" s="570">
        <f t="shared" si="6"/>
        <v>56507.504166666666</v>
      </c>
      <c r="Y42" s="406">
        <f t="shared" si="6"/>
        <v>0</v>
      </c>
      <c r="Z42" s="406">
        <f t="shared" si="6"/>
        <v>0</v>
      </c>
    </row>
    <row r="43" spans="1:26" s="377" customFormat="1" ht="17.25" customHeight="1">
      <c r="A43" s="547">
        <v>38</v>
      </c>
      <c r="B43" s="153" t="s">
        <v>135</v>
      </c>
      <c r="C43" s="561" t="s">
        <v>99</v>
      </c>
      <c r="D43" s="563" t="s">
        <v>25</v>
      </c>
      <c r="E43" s="562" t="s">
        <v>465</v>
      </c>
      <c r="F43" s="562" t="s">
        <v>34</v>
      </c>
      <c r="G43" s="560">
        <v>1</v>
      </c>
      <c r="H43" s="563" t="s">
        <v>102</v>
      </c>
      <c r="I43" s="563" t="s">
        <v>103</v>
      </c>
      <c r="J43" s="581">
        <v>1</v>
      </c>
      <c r="K43" s="554">
        <v>17697</v>
      </c>
      <c r="L43" s="565">
        <v>21</v>
      </c>
      <c r="M43" s="554">
        <f t="shared" si="5"/>
        <v>1.1666666666666667</v>
      </c>
      <c r="N43" s="574" t="s">
        <v>152</v>
      </c>
      <c r="O43" s="566">
        <v>4.75</v>
      </c>
      <c r="P43" s="566"/>
      <c r="Q43" s="567">
        <f t="shared" si="4"/>
        <v>98070.875</v>
      </c>
      <c r="R43" s="568"/>
      <c r="S43" s="554"/>
      <c r="T43" s="554">
        <v>0.1</v>
      </c>
      <c r="U43" s="567">
        <f t="shared" si="7"/>
        <v>9807.0874999999996</v>
      </c>
      <c r="V43" s="569"/>
      <c r="W43" s="554"/>
      <c r="X43" s="570">
        <f t="shared" si="6"/>
        <v>107877.96249999999</v>
      </c>
      <c r="Y43" s="406">
        <f t="shared" si="6"/>
        <v>0</v>
      </c>
      <c r="Z43" s="406">
        <f t="shared" si="6"/>
        <v>0</v>
      </c>
    </row>
    <row r="44" spans="1:26" s="377" customFormat="1" ht="17.25" customHeight="1">
      <c r="A44" s="560">
        <v>39</v>
      </c>
      <c r="B44" s="153" t="s">
        <v>138</v>
      </c>
      <c r="C44" s="561" t="s">
        <v>99</v>
      </c>
      <c r="D44" s="563" t="s">
        <v>25</v>
      </c>
      <c r="E44" s="562" t="s">
        <v>475</v>
      </c>
      <c r="F44" s="562" t="s">
        <v>476</v>
      </c>
      <c r="G44" s="560">
        <v>1</v>
      </c>
      <c r="H44" s="563" t="s">
        <v>102</v>
      </c>
      <c r="I44" s="563" t="s">
        <v>103</v>
      </c>
      <c r="J44" s="572">
        <v>4</v>
      </c>
      <c r="K44" s="554">
        <v>17697</v>
      </c>
      <c r="L44" s="565">
        <v>23</v>
      </c>
      <c r="M44" s="554">
        <f t="shared" si="5"/>
        <v>1.2777777777777777</v>
      </c>
      <c r="N44" s="574" t="s">
        <v>112</v>
      </c>
      <c r="O44" s="566">
        <v>3.78</v>
      </c>
      <c r="P44" s="566"/>
      <c r="Q44" s="567">
        <f t="shared" si="4"/>
        <v>85476.510000000009</v>
      </c>
      <c r="R44" s="568"/>
      <c r="S44" s="554"/>
      <c r="T44" s="554">
        <v>0.1</v>
      </c>
      <c r="U44" s="567">
        <f t="shared" si="7"/>
        <v>8547.6510000000017</v>
      </c>
      <c r="V44" s="569"/>
      <c r="W44" s="554"/>
      <c r="X44" s="570">
        <f t="shared" si="6"/>
        <v>94024.161000000007</v>
      </c>
      <c r="Y44" s="406"/>
      <c r="Z44" s="406"/>
    </row>
    <row r="45" spans="1:26" s="377" customFormat="1" ht="17.25" customHeight="1">
      <c r="A45" s="547">
        <v>40</v>
      </c>
      <c r="B45" s="153" t="s">
        <v>58</v>
      </c>
      <c r="C45" s="561" t="s">
        <v>99</v>
      </c>
      <c r="D45" s="563" t="s">
        <v>25</v>
      </c>
      <c r="E45" s="562" t="s">
        <v>477</v>
      </c>
      <c r="F45" s="562" t="s">
        <v>366</v>
      </c>
      <c r="G45" s="560">
        <v>1</v>
      </c>
      <c r="H45" s="563" t="s">
        <v>102</v>
      </c>
      <c r="I45" s="563" t="s">
        <v>103</v>
      </c>
      <c r="J45" s="581">
        <v>3</v>
      </c>
      <c r="K45" s="554">
        <v>17697</v>
      </c>
      <c r="L45" s="565">
        <v>18</v>
      </c>
      <c r="M45" s="554">
        <f t="shared" si="5"/>
        <v>1</v>
      </c>
      <c r="N45" s="566" t="s">
        <v>109</v>
      </c>
      <c r="O45" s="566">
        <v>4.43</v>
      </c>
      <c r="P45" s="566"/>
      <c r="Q45" s="567">
        <f t="shared" si="4"/>
        <v>78397.709999999992</v>
      </c>
      <c r="R45" s="568"/>
      <c r="S45" s="554"/>
      <c r="T45" s="554">
        <v>0.1</v>
      </c>
      <c r="U45" s="567">
        <f t="shared" si="7"/>
        <v>7839.7709999999997</v>
      </c>
      <c r="V45" s="569"/>
      <c r="W45" s="554"/>
      <c r="X45" s="570">
        <f t="shared" si="6"/>
        <v>86237.480999999985</v>
      </c>
      <c r="Y45" s="406">
        <f t="shared" si="6"/>
        <v>0</v>
      </c>
      <c r="Z45" s="406">
        <f t="shared" si="6"/>
        <v>0</v>
      </c>
    </row>
    <row r="46" spans="1:26" s="377" customFormat="1" ht="17.25" customHeight="1">
      <c r="A46" s="560">
        <v>41</v>
      </c>
      <c r="B46" s="153" t="s">
        <v>145</v>
      </c>
      <c r="C46" s="561" t="s">
        <v>99</v>
      </c>
      <c r="D46" s="563" t="s">
        <v>25</v>
      </c>
      <c r="E46" s="562" t="s">
        <v>478</v>
      </c>
      <c r="F46" s="562" t="s">
        <v>140</v>
      </c>
      <c r="G46" s="560">
        <v>1</v>
      </c>
      <c r="H46" s="563" t="s">
        <v>102</v>
      </c>
      <c r="I46" s="563" t="s">
        <v>103</v>
      </c>
      <c r="J46" s="581">
        <v>4</v>
      </c>
      <c r="K46" s="554">
        <v>17697</v>
      </c>
      <c r="L46" s="565">
        <v>18</v>
      </c>
      <c r="M46" s="554">
        <f t="shared" si="5"/>
        <v>1</v>
      </c>
      <c r="N46" s="574" t="s">
        <v>112</v>
      </c>
      <c r="O46" s="566">
        <v>3.78</v>
      </c>
      <c r="P46" s="566"/>
      <c r="Q46" s="567">
        <f t="shared" si="4"/>
        <v>66894.66</v>
      </c>
      <c r="R46" s="568"/>
      <c r="S46" s="554"/>
      <c r="T46" s="554">
        <v>0.1</v>
      </c>
      <c r="U46" s="567">
        <f t="shared" si="7"/>
        <v>6689.4660000000003</v>
      </c>
      <c r="V46" s="569"/>
      <c r="W46" s="554"/>
      <c r="X46" s="570">
        <f t="shared" si="6"/>
        <v>73584.126000000004</v>
      </c>
      <c r="Y46" s="406">
        <f t="shared" si="6"/>
        <v>0</v>
      </c>
      <c r="Z46" s="406">
        <f t="shared" si="6"/>
        <v>0</v>
      </c>
    </row>
    <row r="47" spans="1:26" s="377" customFormat="1" ht="17.25" customHeight="1">
      <c r="A47" s="547">
        <v>42</v>
      </c>
      <c r="B47" s="153" t="s">
        <v>143</v>
      </c>
      <c r="C47" s="561" t="s">
        <v>99</v>
      </c>
      <c r="D47" s="563" t="s">
        <v>25</v>
      </c>
      <c r="E47" s="562" t="s">
        <v>479</v>
      </c>
      <c r="F47" s="562" t="s">
        <v>73</v>
      </c>
      <c r="G47" s="560">
        <v>1</v>
      </c>
      <c r="H47" s="563" t="s">
        <v>102</v>
      </c>
      <c r="I47" s="563" t="s">
        <v>103</v>
      </c>
      <c r="J47" s="581">
        <v>1</v>
      </c>
      <c r="K47" s="554">
        <v>17697</v>
      </c>
      <c r="L47" s="565">
        <v>34</v>
      </c>
      <c r="M47" s="554">
        <f t="shared" si="5"/>
        <v>1.8888888888888888</v>
      </c>
      <c r="N47" s="574" t="s">
        <v>152</v>
      </c>
      <c r="O47" s="566">
        <v>4.42</v>
      </c>
      <c r="P47" s="566"/>
      <c r="Q47" s="567">
        <f t="shared" si="4"/>
        <v>147750.28666666668</v>
      </c>
      <c r="R47" s="568"/>
      <c r="S47" s="554"/>
      <c r="T47" s="554">
        <v>0.1</v>
      </c>
      <c r="U47" s="567">
        <f t="shared" si="7"/>
        <v>14775.028666666669</v>
      </c>
      <c r="V47" s="569"/>
      <c r="W47" s="554"/>
      <c r="X47" s="570">
        <f t="shared" si="6"/>
        <v>162525.31533333336</v>
      </c>
      <c r="Y47" s="406">
        <f t="shared" si="6"/>
        <v>0</v>
      </c>
      <c r="Z47" s="406">
        <f t="shared" si="6"/>
        <v>0</v>
      </c>
    </row>
    <row r="48" spans="1:26" s="377" customFormat="1" ht="17.25" customHeight="1">
      <c r="A48" s="560">
        <v>43</v>
      </c>
      <c r="B48" s="153" t="s">
        <v>447</v>
      </c>
      <c r="C48" s="561" t="s">
        <v>99</v>
      </c>
      <c r="D48" s="563" t="s">
        <v>75</v>
      </c>
      <c r="E48" s="585" t="s">
        <v>440</v>
      </c>
      <c r="F48" s="585" t="s">
        <v>159</v>
      </c>
      <c r="G48" s="560">
        <v>1</v>
      </c>
      <c r="H48" s="563" t="s">
        <v>102</v>
      </c>
      <c r="I48" s="563" t="s">
        <v>118</v>
      </c>
      <c r="J48" s="581">
        <v>4</v>
      </c>
      <c r="K48" s="554">
        <v>17697</v>
      </c>
      <c r="L48" s="565">
        <v>4</v>
      </c>
      <c r="M48" s="554">
        <f t="shared" si="5"/>
        <v>0.22222222222222221</v>
      </c>
      <c r="N48" s="574" t="s">
        <v>112</v>
      </c>
      <c r="O48" s="566">
        <v>3.32</v>
      </c>
      <c r="P48" s="566"/>
      <c r="Q48" s="567">
        <f t="shared" si="4"/>
        <v>13056.453333333331</v>
      </c>
      <c r="R48" s="568"/>
      <c r="S48" s="554"/>
      <c r="T48" s="554">
        <v>0.1</v>
      </c>
      <c r="U48" s="567">
        <f t="shared" si="7"/>
        <v>1305.6453333333332</v>
      </c>
      <c r="V48" s="569"/>
      <c r="W48" s="554"/>
      <c r="X48" s="570">
        <f t="shared" si="6"/>
        <v>14362.098666666665</v>
      </c>
      <c r="Y48" s="406">
        <f t="shared" si="6"/>
        <v>0</v>
      </c>
      <c r="Z48" s="406">
        <f t="shared" si="6"/>
        <v>0</v>
      </c>
    </row>
    <row r="49" spans="1:26" s="377" customFormat="1" ht="17.25" customHeight="1">
      <c r="A49" s="547">
        <v>44</v>
      </c>
      <c r="B49" s="153" t="s">
        <v>147</v>
      </c>
      <c r="C49" s="561" t="s">
        <v>148</v>
      </c>
      <c r="D49" s="563" t="s">
        <v>25</v>
      </c>
      <c r="E49" s="562" t="s">
        <v>480</v>
      </c>
      <c r="F49" s="562" t="s">
        <v>51</v>
      </c>
      <c r="G49" s="560">
        <v>1</v>
      </c>
      <c r="H49" s="563" t="s">
        <v>102</v>
      </c>
      <c r="I49" s="563" t="s">
        <v>103</v>
      </c>
      <c r="J49" s="564">
        <v>3</v>
      </c>
      <c r="K49" s="554">
        <v>17697</v>
      </c>
      <c r="L49" s="565">
        <v>36</v>
      </c>
      <c r="M49" s="554">
        <f t="shared" si="5"/>
        <v>2</v>
      </c>
      <c r="N49" s="566" t="s">
        <v>109</v>
      </c>
      <c r="O49" s="566">
        <v>4.43</v>
      </c>
      <c r="P49" s="566"/>
      <c r="Q49" s="567">
        <f t="shared" si="4"/>
        <v>156795.41999999998</v>
      </c>
      <c r="R49" s="568"/>
      <c r="S49" s="554"/>
      <c r="T49" s="554">
        <v>0.1</v>
      </c>
      <c r="U49" s="567">
        <f t="shared" si="7"/>
        <v>15679.541999999999</v>
      </c>
      <c r="V49" s="569"/>
      <c r="W49" s="554"/>
      <c r="X49" s="570">
        <f t="shared" si="6"/>
        <v>172474.96199999997</v>
      </c>
      <c r="Y49" s="406">
        <f t="shared" si="6"/>
        <v>0</v>
      </c>
      <c r="Z49" s="406">
        <f t="shared" si="6"/>
        <v>0</v>
      </c>
    </row>
    <row r="50" spans="1:26" s="377" customFormat="1" ht="17.25" customHeight="1">
      <c r="A50" s="560">
        <v>45</v>
      </c>
      <c r="B50" s="153" t="s">
        <v>91</v>
      </c>
      <c r="C50" s="561" t="s">
        <v>99</v>
      </c>
      <c r="D50" s="563" t="s">
        <v>25</v>
      </c>
      <c r="E50" s="562" t="s">
        <v>481</v>
      </c>
      <c r="F50" s="562" t="s">
        <v>93</v>
      </c>
      <c r="G50" s="560">
        <v>1</v>
      </c>
      <c r="H50" s="563" t="s">
        <v>102</v>
      </c>
      <c r="I50" s="563" t="s">
        <v>103</v>
      </c>
      <c r="J50" s="581">
        <v>1</v>
      </c>
      <c r="K50" s="554">
        <v>17697</v>
      </c>
      <c r="L50" s="565">
        <v>36</v>
      </c>
      <c r="M50" s="554">
        <f t="shared" si="5"/>
        <v>2</v>
      </c>
      <c r="N50" s="574" t="s">
        <v>152</v>
      </c>
      <c r="O50" s="566">
        <v>4.62</v>
      </c>
      <c r="P50" s="566"/>
      <c r="Q50" s="567">
        <f t="shared" si="4"/>
        <v>163520.27999999997</v>
      </c>
      <c r="R50" s="568"/>
      <c r="S50" s="554"/>
      <c r="T50" s="554">
        <v>0.1</v>
      </c>
      <c r="U50" s="567">
        <f t="shared" si="7"/>
        <v>16352.027999999998</v>
      </c>
      <c r="V50" s="569"/>
      <c r="W50" s="554"/>
      <c r="X50" s="570">
        <f t="shared" si="6"/>
        <v>179872.30799999996</v>
      </c>
      <c r="Y50" s="406">
        <f t="shared" si="6"/>
        <v>0</v>
      </c>
      <c r="Z50" s="406">
        <f t="shared" si="6"/>
        <v>0</v>
      </c>
    </row>
    <row r="51" spans="1:26" s="377" customFormat="1" ht="17.25" customHeight="1">
      <c r="A51" s="547">
        <v>46</v>
      </c>
      <c r="B51" s="153" t="s">
        <v>150</v>
      </c>
      <c r="C51" s="561" t="s">
        <v>99</v>
      </c>
      <c r="D51" s="563" t="s">
        <v>25</v>
      </c>
      <c r="E51" s="562" t="s">
        <v>482</v>
      </c>
      <c r="F51" s="562" t="s">
        <v>34</v>
      </c>
      <c r="G51" s="560">
        <v>1</v>
      </c>
      <c r="H51" s="563" t="s">
        <v>102</v>
      </c>
      <c r="I51" s="563" t="s">
        <v>103</v>
      </c>
      <c r="J51" s="581">
        <v>1</v>
      </c>
      <c r="K51" s="554">
        <v>17697</v>
      </c>
      <c r="L51" s="565">
        <v>35</v>
      </c>
      <c r="M51" s="554">
        <f t="shared" si="5"/>
        <v>1.9444444444444444</v>
      </c>
      <c r="N51" s="574" t="s">
        <v>152</v>
      </c>
      <c r="O51" s="566">
        <v>4.75</v>
      </c>
      <c r="P51" s="566"/>
      <c r="Q51" s="567">
        <f t="shared" si="4"/>
        <v>163451.45833333334</v>
      </c>
      <c r="R51" s="568"/>
      <c r="S51" s="554"/>
      <c r="T51" s="554">
        <v>0.1</v>
      </c>
      <c r="U51" s="567">
        <f t="shared" si="7"/>
        <v>16345.145833333336</v>
      </c>
      <c r="V51" s="569"/>
      <c r="W51" s="554"/>
      <c r="X51" s="570">
        <f t="shared" si="6"/>
        <v>179796.60416666669</v>
      </c>
      <c r="Y51" s="406">
        <f t="shared" si="6"/>
        <v>0</v>
      </c>
      <c r="Z51" s="406">
        <f t="shared" si="6"/>
        <v>0</v>
      </c>
    </row>
    <row r="52" spans="1:26" s="377" customFormat="1" ht="17.25" customHeight="1">
      <c r="A52" s="560">
        <v>47</v>
      </c>
      <c r="B52" s="153" t="s">
        <v>456</v>
      </c>
      <c r="C52" s="561" t="s">
        <v>99</v>
      </c>
      <c r="D52" s="563" t="s">
        <v>25</v>
      </c>
      <c r="E52" s="562" t="s">
        <v>461</v>
      </c>
      <c r="F52" s="562" t="s">
        <v>34</v>
      </c>
      <c r="G52" s="560">
        <v>1</v>
      </c>
      <c r="H52" s="563" t="s">
        <v>102</v>
      </c>
      <c r="I52" s="563" t="s">
        <v>103</v>
      </c>
      <c r="J52" s="581">
        <v>2</v>
      </c>
      <c r="K52" s="554">
        <v>17697</v>
      </c>
      <c r="L52" s="565">
        <v>10</v>
      </c>
      <c r="M52" s="554">
        <f t="shared" si="5"/>
        <v>0.55555555555555558</v>
      </c>
      <c r="N52" s="566" t="s">
        <v>104</v>
      </c>
      <c r="O52" s="566">
        <v>4.51</v>
      </c>
      <c r="P52" s="566"/>
      <c r="Q52" s="567">
        <f t="shared" si="4"/>
        <v>44340.816666666666</v>
      </c>
      <c r="R52" s="568"/>
      <c r="S52" s="554"/>
      <c r="T52" s="554">
        <v>0.1</v>
      </c>
      <c r="U52" s="567">
        <f t="shared" si="7"/>
        <v>4434.0816666666669</v>
      </c>
      <c r="V52" s="569"/>
      <c r="W52" s="554"/>
      <c r="X52" s="570">
        <f t="shared" si="6"/>
        <v>48774.898333333331</v>
      </c>
      <c r="Y52" s="406">
        <f t="shared" si="6"/>
        <v>0</v>
      </c>
      <c r="Z52" s="406">
        <f t="shared" si="6"/>
        <v>0</v>
      </c>
    </row>
    <row r="53" spans="1:26" s="377" customFormat="1" ht="17.25" customHeight="1">
      <c r="A53" s="547">
        <v>48</v>
      </c>
      <c r="B53" s="153" t="s">
        <v>157</v>
      </c>
      <c r="C53" s="561" t="s">
        <v>99</v>
      </c>
      <c r="D53" s="563" t="s">
        <v>25</v>
      </c>
      <c r="E53" s="562" t="s">
        <v>483</v>
      </c>
      <c r="F53" s="562" t="s">
        <v>159</v>
      </c>
      <c r="G53" s="560">
        <v>1</v>
      </c>
      <c r="H53" s="563" t="s">
        <v>102</v>
      </c>
      <c r="I53" s="563" t="s">
        <v>118</v>
      </c>
      <c r="J53" s="581">
        <v>4</v>
      </c>
      <c r="K53" s="554">
        <v>17697</v>
      </c>
      <c r="L53" s="565">
        <v>18</v>
      </c>
      <c r="M53" s="554">
        <f t="shared" si="5"/>
        <v>1</v>
      </c>
      <c r="N53" s="574" t="s">
        <v>112</v>
      </c>
      <c r="O53" s="566">
        <v>3.36</v>
      </c>
      <c r="P53" s="566"/>
      <c r="Q53" s="567">
        <f t="shared" si="4"/>
        <v>59461.919999999998</v>
      </c>
      <c r="R53" s="568"/>
      <c r="S53" s="554"/>
      <c r="T53" s="554">
        <v>0.1</v>
      </c>
      <c r="U53" s="567">
        <f t="shared" si="7"/>
        <v>5946.192</v>
      </c>
      <c r="V53" s="569"/>
      <c r="W53" s="554"/>
      <c r="X53" s="570">
        <f t="shared" si="6"/>
        <v>65408.112000000001</v>
      </c>
      <c r="Y53" s="406">
        <f t="shared" si="6"/>
        <v>0</v>
      </c>
      <c r="Z53" s="406">
        <f t="shared" si="6"/>
        <v>0</v>
      </c>
    </row>
    <row r="54" spans="1:26" s="377" customFormat="1" ht="17.25" customHeight="1">
      <c r="A54" s="560">
        <v>49</v>
      </c>
      <c r="B54" s="153" t="s">
        <v>160</v>
      </c>
      <c r="C54" s="561" t="s">
        <v>148</v>
      </c>
      <c r="D54" s="563" t="s">
        <v>25</v>
      </c>
      <c r="E54" s="562" t="s">
        <v>484</v>
      </c>
      <c r="F54" s="562" t="s">
        <v>34</v>
      </c>
      <c r="G54" s="560">
        <v>1</v>
      </c>
      <c r="H54" s="563" t="s">
        <v>102</v>
      </c>
      <c r="I54" s="563" t="s">
        <v>103</v>
      </c>
      <c r="J54" s="564">
        <v>2</v>
      </c>
      <c r="K54" s="554">
        <v>17697</v>
      </c>
      <c r="L54" s="565">
        <v>23</v>
      </c>
      <c r="M54" s="554">
        <f t="shared" si="5"/>
        <v>1.2777777777777777</v>
      </c>
      <c r="N54" s="566" t="s">
        <v>104</v>
      </c>
      <c r="O54" s="566">
        <v>4.51</v>
      </c>
      <c r="P54" s="566"/>
      <c r="Q54" s="567">
        <f t="shared" si="4"/>
        <v>101983.87833333334</v>
      </c>
      <c r="R54" s="568"/>
      <c r="S54" s="554"/>
      <c r="T54" s="554">
        <v>0.1</v>
      </c>
      <c r="U54" s="567">
        <f t="shared" si="7"/>
        <v>10198.387833333334</v>
      </c>
      <c r="V54" s="569"/>
      <c r="W54" s="554"/>
      <c r="X54" s="570">
        <f t="shared" si="6"/>
        <v>112182.26616666667</v>
      </c>
      <c r="Y54" s="406">
        <f>V54+R54</f>
        <v>0</v>
      </c>
      <c r="Z54" s="406">
        <f>W54+S54</f>
        <v>0</v>
      </c>
    </row>
    <row r="55" spans="1:26" s="377" customFormat="1" ht="17.25" customHeight="1">
      <c r="A55" s="547">
        <v>50</v>
      </c>
      <c r="B55" s="153" t="s">
        <v>162</v>
      </c>
      <c r="C55" s="561" t="s">
        <v>99</v>
      </c>
      <c r="D55" s="563" t="s">
        <v>64</v>
      </c>
      <c r="E55" s="562" t="s">
        <v>485</v>
      </c>
      <c r="F55" s="562" t="s">
        <v>77</v>
      </c>
      <c r="G55" s="560">
        <v>1</v>
      </c>
      <c r="H55" s="563" t="s">
        <v>102</v>
      </c>
      <c r="I55" s="563" t="s">
        <v>103</v>
      </c>
      <c r="J55" s="581">
        <v>4</v>
      </c>
      <c r="K55" s="554">
        <v>17697</v>
      </c>
      <c r="L55" s="565">
        <v>10</v>
      </c>
      <c r="M55" s="554">
        <f t="shared" si="5"/>
        <v>0.55555555555555558</v>
      </c>
      <c r="N55" s="574" t="s">
        <v>112</v>
      </c>
      <c r="O55" s="566">
        <v>3.71</v>
      </c>
      <c r="P55" s="566"/>
      <c r="Q55" s="567">
        <f t="shared" si="4"/>
        <v>36475.48333333333</v>
      </c>
      <c r="R55" s="568"/>
      <c r="S55" s="554"/>
      <c r="T55" s="554">
        <v>0.1</v>
      </c>
      <c r="U55" s="567">
        <f t="shared" si="7"/>
        <v>3647.5483333333332</v>
      </c>
      <c r="V55" s="569"/>
      <c r="W55" s="554"/>
      <c r="X55" s="570">
        <f t="shared" si="6"/>
        <v>40123.031666666662</v>
      </c>
      <c r="Y55" s="406">
        <f t="shared" si="6"/>
        <v>0</v>
      </c>
      <c r="Z55" s="406">
        <f t="shared" si="6"/>
        <v>0</v>
      </c>
    </row>
    <row r="56" spans="1:26" s="377" customFormat="1" ht="17.25" customHeight="1">
      <c r="A56" s="560">
        <v>51</v>
      </c>
      <c r="B56" s="153" t="s">
        <v>166</v>
      </c>
      <c r="C56" s="561" t="s">
        <v>99</v>
      </c>
      <c r="D56" s="563" t="s">
        <v>25</v>
      </c>
      <c r="E56" s="562" t="s">
        <v>486</v>
      </c>
      <c r="F56" s="562" t="s">
        <v>73</v>
      </c>
      <c r="G56" s="560">
        <v>1</v>
      </c>
      <c r="H56" s="563" t="s">
        <v>102</v>
      </c>
      <c r="I56" s="563" t="s">
        <v>103</v>
      </c>
      <c r="J56" s="581">
        <v>1</v>
      </c>
      <c r="K56" s="554">
        <v>17697</v>
      </c>
      <c r="L56" s="565">
        <v>33</v>
      </c>
      <c r="M56" s="554">
        <f t="shared" si="5"/>
        <v>1.8333333333333333</v>
      </c>
      <c r="N56" s="574" t="s">
        <v>152</v>
      </c>
      <c r="O56" s="555">
        <v>4.42</v>
      </c>
      <c r="P56" s="555"/>
      <c r="Q56" s="567">
        <f t="shared" si="4"/>
        <v>143404.69000000003</v>
      </c>
      <c r="R56" s="568"/>
      <c r="S56" s="554"/>
      <c r="T56" s="554">
        <v>0.1</v>
      </c>
      <c r="U56" s="567">
        <f t="shared" si="7"/>
        <v>14340.469000000005</v>
      </c>
      <c r="V56" s="569"/>
      <c r="W56" s="554"/>
      <c r="X56" s="570">
        <f t="shared" si="6"/>
        <v>157745.15900000004</v>
      </c>
      <c r="Y56" s="406">
        <f t="shared" si="6"/>
        <v>0</v>
      </c>
      <c r="Z56" s="406">
        <f t="shared" si="6"/>
        <v>0</v>
      </c>
    </row>
    <row r="57" spans="1:26" s="377" customFormat="1" ht="17.25" customHeight="1">
      <c r="A57" s="547">
        <v>52</v>
      </c>
      <c r="B57" s="153" t="s">
        <v>168</v>
      </c>
      <c r="C57" s="561" t="s">
        <v>99</v>
      </c>
      <c r="D57" s="563" t="s">
        <v>25</v>
      </c>
      <c r="E57" s="562" t="s">
        <v>487</v>
      </c>
      <c r="F57" s="562" t="s">
        <v>73</v>
      </c>
      <c r="G57" s="560">
        <v>1</v>
      </c>
      <c r="H57" s="563" t="s">
        <v>102</v>
      </c>
      <c r="I57" s="563" t="s">
        <v>103</v>
      </c>
      <c r="J57" s="581">
        <v>3</v>
      </c>
      <c r="K57" s="554">
        <v>17697</v>
      </c>
      <c r="L57" s="565">
        <v>29</v>
      </c>
      <c r="M57" s="554">
        <f t="shared" si="5"/>
        <v>1.6111111111111112</v>
      </c>
      <c r="N57" s="566" t="s">
        <v>109</v>
      </c>
      <c r="O57" s="566">
        <v>4.1399999999999997</v>
      </c>
      <c r="P57" s="566"/>
      <c r="Q57" s="567">
        <f t="shared" si="4"/>
        <v>118038.98999999999</v>
      </c>
      <c r="R57" s="568"/>
      <c r="S57" s="554"/>
      <c r="T57" s="554">
        <v>0.1</v>
      </c>
      <c r="U57" s="567">
        <f t="shared" si="7"/>
        <v>11803.898999999999</v>
      </c>
      <c r="V57" s="569"/>
      <c r="W57" s="554"/>
      <c r="X57" s="570">
        <f t="shared" si="6"/>
        <v>129842.889</v>
      </c>
      <c r="Y57" s="406">
        <f t="shared" si="6"/>
        <v>0</v>
      </c>
      <c r="Z57" s="406">
        <f t="shared" si="6"/>
        <v>0</v>
      </c>
    </row>
    <row r="58" spans="1:26" s="377" customFormat="1" ht="17.25" customHeight="1">
      <c r="A58" s="560">
        <v>53</v>
      </c>
      <c r="B58" s="153" t="s">
        <v>89</v>
      </c>
      <c r="C58" s="561" t="s">
        <v>170</v>
      </c>
      <c r="D58" s="563" t="s">
        <v>25</v>
      </c>
      <c r="E58" s="562" t="s">
        <v>488</v>
      </c>
      <c r="F58" s="562" t="s">
        <v>73</v>
      </c>
      <c r="G58" s="560">
        <v>1</v>
      </c>
      <c r="H58" s="563" t="s">
        <v>102</v>
      </c>
      <c r="I58" s="563" t="s">
        <v>103</v>
      </c>
      <c r="J58" s="581">
        <v>3</v>
      </c>
      <c r="K58" s="554">
        <v>17697</v>
      </c>
      <c r="L58" s="565">
        <v>22</v>
      </c>
      <c r="M58" s="554">
        <f t="shared" si="5"/>
        <v>1.2222222222222223</v>
      </c>
      <c r="N58" s="566" t="s">
        <v>109</v>
      </c>
      <c r="O58" s="566">
        <v>4.1399999999999997</v>
      </c>
      <c r="P58" s="566"/>
      <c r="Q58" s="567">
        <f t="shared" si="4"/>
        <v>89546.819999999992</v>
      </c>
      <c r="R58" s="568"/>
      <c r="S58" s="554"/>
      <c r="T58" s="554">
        <v>0.1</v>
      </c>
      <c r="U58" s="567">
        <f t="shared" si="7"/>
        <v>8954.6819999999989</v>
      </c>
      <c r="V58" s="569"/>
      <c r="W58" s="554"/>
      <c r="X58" s="570">
        <f t="shared" si="6"/>
        <v>98501.501999999993</v>
      </c>
      <c r="Y58" s="406">
        <f t="shared" si="6"/>
        <v>0</v>
      </c>
      <c r="Z58" s="406">
        <f t="shared" si="6"/>
        <v>0</v>
      </c>
    </row>
    <row r="59" spans="1:26" s="377" customFormat="1" ht="17.25" customHeight="1">
      <c r="A59" s="547">
        <v>54</v>
      </c>
      <c r="B59" s="153" t="s">
        <v>171</v>
      </c>
      <c r="C59" s="561" t="s">
        <v>99</v>
      </c>
      <c r="D59" s="563" t="s">
        <v>25</v>
      </c>
      <c r="E59" s="562" t="s">
        <v>489</v>
      </c>
      <c r="F59" s="562" t="s">
        <v>34</v>
      </c>
      <c r="G59" s="560">
        <v>1</v>
      </c>
      <c r="H59" s="563" t="s">
        <v>102</v>
      </c>
      <c r="I59" s="563" t="s">
        <v>103</v>
      </c>
      <c r="J59" s="581">
        <v>1</v>
      </c>
      <c r="K59" s="554">
        <v>17697</v>
      </c>
      <c r="L59" s="565">
        <v>36</v>
      </c>
      <c r="M59" s="554">
        <f t="shared" si="5"/>
        <v>2</v>
      </c>
      <c r="N59" s="574" t="s">
        <v>152</v>
      </c>
      <c r="O59" s="566">
        <v>4.75</v>
      </c>
      <c r="P59" s="566"/>
      <c r="Q59" s="567">
        <f t="shared" si="4"/>
        <v>168121.5</v>
      </c>
      <c r="R59" s="568"/>
      <c r="S59" s="554"/>
      <c r="T59" s="554">
        <v>0.1</v>
      </c>
      <c r="U59" s="567">
        <f t="shared" si="7"/>
        <v>16812.150000000001</v>
      </c>
      <c r="V59" s="569"/>
      <c r="W59" s="554"/>
      <c r="X59" s="570">
        <f t="shared" si="6"/>
        <v>184933.65</v>
      </c>
      <c r="Y59" s="406"/>
      <c r="Z59" s="406"/>
    </row>
    <row r="60" spans="1:26" s="377" customFormat="1" ht="16.5" customHeight="1">
      <c r="A60" s="560">
        <v>55</v>
      </c>
      <c r="B60" s="153" t="s">
        <v>207</v>
      </c>
      <c r="C60" s="561" t="s">
        <v>99</v>
      </c>
      <c r="D60" s="563" t="s">
        <v>25</v>
      </c>
      <c r="E60" s="562" t="s">
        <v>208</v>
      </c>
      <c r="F60" s="562" t="s">
        <v>209</v>
      </c>
      <c r="G60" s="560">
        <v>1</v>
      </c>
      <c r="H60" s="563" t="s">
        <v>102</v>
      </c>
      <c r="I60" s="563" t="s">
        <v>103</v>
      </c>
      <c r="J60" s="581">
        <v>2</v>
      </c>
      <c r="K60" s="554">
        <v>17697</v>
      </c>
      <c r="L60" s="565">
        <v>4</v>
      </c>
      <c r="M60" s="554">
        <f t="shared" si="5"/>
        <v>0.22222222222222221</v>
      </c>
      <c r="N60" s="566" t="s">
        <v>104</v>
      </c>
      <c r="O60" s="566">
        <v>4.2300000000000004</v>
      </c>
      <c r="P60" s="566"/>
      <c r="Q60" s="567">
        <f t="shared" si="4"/>
        <v>16635.180000000004</v>
      </c>
      <c r="R60" s="568"/>
      <c r="S60" s="554"/>
      <c r="T60" s="554">
        <v>0.1</v>
      </c>
      <c r="U60" s="567">
        <f t="shared" si="7"/>
        <v>1663.5180000000005</v>
      </c>
      <c r="V60" s="569"/>
      <c r="W60" s="554"/>
      <c r="X60" s="570">
        <f t="shared" ref="X60:Z77" si="8">U60+Q60</f>
        <v>18298.698000000004</v>
      </c>
      <c r="Y60" s="406">
        <f t="shared" si="8"/>
        <v>0</v>
      </c>
      <c r="Z60" s="406">
        <f t="shared" si="8"/>
        <v>0</v>
      </c>
    </row>
    <row r="61" spans="1:26" s="377" customFormat="1" ht="17.25" customHeight="1">
      <c r="A61" s="547">
        <v>56</v>
      </c>
      <c r="B61" s="153" t="s">
        <v>173</v>
      </c>
      <c r="C61" s="561" t="s">
        <v>99</v>
      </c>
      <c r="D61" s="563" t="s">
        <v>25</v>
      </c>
      <c r="E61" s="562" t="s">
        <v>490</v>
      </c>
      <c r="F61" s="562" t="s">
        <v>101</v>
      </c>
      <c r="G61" s="560">
        <v>1</v>
      </c>
      <c r="H61" s="563" t="s">
        <v>102</v>
      </c>
      <c r="I61" s="563" t="s">
        <v>103</v>
      </c>
      <c r="J61" s="581">
        <v>1</v>
      </c>
      <c r="K61" s="554">
        <v>17697</v>
      </c>
      <c r="L61" s="565">
        <v>34.5</v>
      </c>
      <c r="M61" s="554">
        <f t="shared" si="5"/>
        <v>1.9166666666666667</v>
      </c>
      <c r="N61" s="574" t="s">
        <v>152</v>
      </c>
      <c r="O61" s="582">
        <v>4.55</v>
      </c>
      <c r="P61" s="582"/>
      <c r="Q61" s="567">
        <f t="shared" si="4"/>
        <v>154332.58749999999</v>
      </c>
      <c r="R61" s="568"/>
      <c r="S61" s="554"/>
      <c r="T61" s="554">
        <v>0.1</v>
      </c>
      <c r="U61" s="567">
        <f t="shared" si="7"/>
        <v>15433.258750000001</v>
      </c>
      <c r="V61" s="569"/>
      <c r="W61" s="554"/>
      <c r="X61" s="570">
        <f t="shared" si="8"/>
        <v>169765.84625</v>
      </c>
      <c r="Y61" s="406">
        <f t="shared" si="8"/>
        <v>0</v>
      </c>
      <c r="Z61" s="406">
        <f t="shared" si="8"/>
        <v>0</v>
      </c>
    </row>
    <row r="62" spans="1:26" s="377" customFormat="1" ht="17.25" customHeight="1">
      <c r="A62" s="560">
        <v>57</v>
      </c>
      <c r="B62" s="153" t="s">
        <v>175</v>
      </c>
      <c r="C62" s="561" t="s">
        <v>99</v>
      </c>
      <c r="D62" s="563" t="s">
        <v>25</v>
      </c>
      <c r="E62" s="562" t="s">
        <v>491</v>
      </c>
      <c r="F62" s="562" t="s">
        <v>114</v>
      </c>
      <c r="G62" s="560">
        <v>1</v>
      </c>
      <c r="H62" s="563" t="s">
        <v>102</v>
      </c>
      <c r="I62" s="563" t="s">
        <v>103</v>
      </c>
      <c r="J62" s="581">
        <v>1</v>
      </c>
      <c r="K62" s="554">
        <v>17697</v>
      </c>
      <c r="L62" s="565">
        <v>9</v>
      </c>
      <c r="M62" s="554">
        <f t="shared" si="5"/>
        <v>0.5</v>
      </c>
      <c r="N62" s="574" t="s">
        <v>152</v>
      </c>
      <c r="O62" s="566">
        <v>4.75</v>
      </c>
      <c r="P62" s="566"/>
      <c r="Q62" s="567">
        <f t="shared" si="4"/>
        <v>42030.375</v>
      </c>
      <c r="R62" s="568"/>
      <c r="S62" s="554"/>
      <c r="T62" s="554">
        <v>0.1</v>
      </c>
      <c r="U62" s="567">
        <f t="shared" si="7"/>
        <v>4203.0375000000004</v>
      </c>
      <c r="V62" s="569"/>
      <c r="W62" s="554"/>
      <c r="X62" s="570">
        <f t="shared" si="8"/>
        <v>46233.412499999999</v>
      </c>
      <c r="Y62" s="406">
        <f t="shared" si="8"/>
        <v>0</v>
      </c>
      <c r="Z62" s="406">
        <f t="shared" si="8"/>
        <v>0</v>
      </c>
    </row>
    <row r="63" spans="1:26" s="503" customFormat="1" ht="17.25" customHeight="1">
      <c r="A63" s="547">
        <v>58</v>
      </c>
      <c r="B63" s="153" t="s">
        <v>177</v>
      </c>
      <c r="C63" s="561" t="s">
        <v>99</v>
      </c>
      <c r="D63" s="563" t="s">
        <v>178</v>
      </c>
      <c r="E63" s="562" t="s">
        <v>492</v>
      </c>
      <c r="F63" s="562" t="s">
        <v>93</v>
      </c>
      <c r="G63" s="560">
        <v>1</v>
      </c>
      <c r="H63" s="563" t="s">
        <v>102</v>
      </c>
      <c r="I63" s="563" t="s">
        <v>103</v>
      </c>
      <c r="J63" s="581">
        <v>2</v>
      </c>
      <c r="K63" s="554">
        <v>17697</v>
      </c>
      <c r="L63" s="565">
        <v>26</v>
      </c>
      <c r="M63" s="554">
        <f t="shared" si="5"/>
        <v>1.4444444444444444</v>
      </c>
      <c r="N63" s="566" t="s">
        <v>104</v>
      </c>
      <c r="O63" s="566">
        <v>4.4400000000000004</v>
      </c>
      <c r="P63" s="566"/>
      <c r="Q63" s="567">
        <f t="shared" si="4"/>
        <v>113496.76000000001</v>
      </c>
      <c r="R63" s="568"/>
      <c r="S63" s="554"/>
      <c r="T63" s="554">
        <v>0.1</v>
      </c>
      <c r="U63" s="567">
        <f t="shared" si="7"/>
        <v>11349.676000000001</v>
      </c>
      <c r="V63" s="569"/>
      <c r="W63" s="554"/>
      <c r="X63" s="570">
        <f t="shared" si="8"/>
        <v>124846.43600000002</v>
      </c>
      <c r="Y63" s="502">
        <f t="shared" si="8"/>
        <v>0</v>
      </c>
      <c r="Z63" s="502">
        <f t="shared" si="8"/>
        <v>0</v>
      </c>
    </row>
    <row r="64" spans="1:26" s="503" customFormat="1" ht="17.25" customHeight="1">
      <c r="A64" s="560">
        <v>59</v>
      </c>
      <c r="B64" s="491" t="s">
        <v>448</v>
      </c>
      <c r="C64" s="561" t="s">
        <v>99</v>
      </c>
      <c r="D64" s="563" t="s">
        <v>75</v>
      </c>
      <c r="E64" s="562" t="s">
        <v>449</v>
      </c>
      <c r="F64" s="562" t="s">
        <v>159</v>
      </c>
      <c r="G64" s="560">
        <v>1</v>
      </c>
      <c r="H64" s="563" t="s">
        <v>102</v>
      </c>
      <c r="I64" s="563" t="s">
        <v>118</v>
      </c>
      <c r="J64" s="581">
        <v>4</v>
      </c>
      <c r="K64" s="554">
        <v>17697</v>
      </c>
      <c r="L64" s="565">
        <v>14</v>
      </c>
      <c r="M64" s="554">
        <f t="shared" si="5"/>
        <v>0.77777777777777779</v>
      </c>
      <c r="N64" s="574" t="s">
        <v>112</v>
      </c>
      <c r="O64" s="566">
        <v>3.32</v>
      </c>
      <c r="P64" s="566"/>
      <c r="Q64" s="567">
        <f t="shared" si="4"/>
        <v>45697.586666666655</v>
      </c>
      <c r="R64" s="568"/>
      <c r="S64" s="554"/>
      <c r="T64" s="554">
        <v>0.1</v>
      </c>
      <c r="U64" s="567">
        <f t="shared" si="7"/>
        <v>4569.7586666666657</v>
      </c>
      <c r="V64" s="569"/>
      <c r="W64" s="554"/>
      <c r="X64" s="570">
        <f t="shared" si="8"/>
        <v>50267.345333333324</v>
      </c>
      <c r="Y64" s="502"/>
      <c r="Z64" s="502"/>
    </row>
    <row r="65" spans="1:44" s="503" customFormat="1" ht="17.25" customHeight="1">
      <c r="A65" s="547">
        <v>60</v>
      </c>
      <c r="B65" s="153" t="s">
        <v>182</v>
      </c>
      <c r="C65" s="561" t="s">
        <v>99</v>
      </c>
      <c r="D65" s="563" t="s">
        <v>25</v>
      </c>
      <c r="E65" s="562" t="s">
        <v>494</v>
      </c>
      <c r="F65" s="562" t="s">
        <v>93</v>
      </c>
      <c r="G65" s="560">
        <v>1</v>
      </c>
      <c r="H65" s="563" t="s">
        <v>102</v>
      </c>
      <c r="I65" s="563" t="s">
        <v>103</v>
      </c>
      <c r="J65" s="581">
        <v>1</v>
      </c>
      <c r="K65" s="554">
        <v>17697</v>
      </c>
      <c r="L65" s="565">
        <v>35</v>
      </c>
      <c r="M65" s="554">
        <f t="shared" si="5"/>
        <v>1.9444444444444444</v>
      </c>
      <c r="N65" s="574" t="s">
        <v>152</v>
      </c>
      <c r="O65" s="566">
        <v>4.6900000000000004</v>
      </c>
      <c r="P65" s="566"/>
      <c r="Q65" s="567">
        <f t="shared" si="4"/>
        <v>161386.80833333335</v>
      </c>
      <c r="R65" s="568"/>
      <c r="S65" s="554"/>
      <c r="T65" s="554">
        <v>0.1</v>
      </c>
      <c r="U65" s="567">
        <f t="shared" si="7"/>
        <v>16138.680833333336</v>
      </c>
      <c r="V65" s="569"/>
      <c r="W65" s="554"/>
      <c r="X65" s="570">
        <f t="shared" si="8"/>
        <v>177525.4891666667</v>
      </c>
      <c r="Y65" s="502"/>
      <c r="Z65" s="502"/>
    </row>
    <row r="66" spans="1:44" s="377" customFormat="1" ht="17.25" customHeight="1">
      <c r="A66" s="560">
        <v>61</v>
      </c>
      <c r="B66" s="153" t="s">
        <v>184</v>
      </c>
      <c r="C66" s="561" t="s">
        <v>99</v>
      </c>
      <c r="D66" s="563" t="s">
        <v>25</v>
      </c>
      <c r="E66" s="586" t="s">
        <v>495</v>
      </c>
      <c r="F66" s="562" t="s">
        <v>27</v>
      </c>
      <c r="G66" s="560">
        <v>1</v>
      </c>
      <c r="H66" s="563" t="s">
        <v>102</v>
      </c>
      <c r="I66" s="563" t="s">
        <v>103</v>
      </c>
      <c r="J66" s="581">
        <v>1</v>
      </c>
      <c r="K66" s="554">
        <v>17697</v>
      </c>
      <c r="L66" s="565">
        <v>31</v>
      </c>
      <c r="M66" s="554">
        <f t="shared" si="5"/>
        <v>1.7222222222222223</v>
      </c>
      <c r="N66" s="574" t="s">
        <v>152</v>
      </c>
      <c r="O66" s="566">
        <v>4.75</v>
      </c>
      <c r="P66" s="566"/>
      <c r="Q66" s="567">
        <f t="shared" si="4"/>
        <v>144771.29166666669</v>
      </c>
      <c r="R66" s="568"/>
      <c r="S66" s="554"/>
      <c r="T66" s="554">
        <v>0.1</v>
      </c>
      <c r="U66" s="567">
        <f t="shared" si="7"/>
        <v>14477.129166666669</v>
      </c>
      <c r="V66" s="569"/>
      <c r="W66" s="554"/>
      <c r="X66" s="570">
        <f t="shared" si="8"/>
        <v>159248.42083333337</v>
      </c>
      <c r="Y66" s="406">
        <f t="shared" si="8"/>
        <v>0</v>
      </c>
      <c r="Z66" s="406">
        <f t="shared" si="8"/>
        <v>0</v>
      </c>
    </row>
    <row r="67" spans="1:44" s="377" customFormat="1" ht="17.25" customHeight="1">
      <c r="A67" s="547">
        <v>62</v>
      </c>
      <c r="B67" s="153" t="s">
        <v>186</v>
      </c>
      <c r="C67" s="561" t="s">
        <v>99</v>
      </c>
      <c r="D67" s="563" t="s">
        <v>25</v>
      </c>
      <c r="E67" s="562" t="s">
        <v>496</v>
      </c>
      <c r="F67" s="562" t="s">
        <v>27</v>
      </c>
      <c r="G67" s="560">
        <v>1</v>
      </c>
      <c r="H67" s="563" t="s">
        <v>102</v>
      </c>
      <c r="I67" s="563" t="s">
        <v>103</v>
      </c>
      <c r="J67" s="581">
        <v>1</v>
      </c>
      <c r="K67" s="554">
        <v>17697</v>
      </c>
      <c r="L67" s="565">
        <v>23</v>
      </c>
      <c r="M67" s="554">
        <f t="shared" si="5"/>
        <v>1.2777777777777777</v>
      </c>
      <c r="N67" s="574" t="s">
        <v>152</v>
      </c>
      <c r="O67" s="566">
        <v>4.75</v>
      </c>
      <c r="P67" s="566"/>
      <c r="Q67" s="567">
        <f t="shared" si="4"/>
        <v>107410.95833333334</v>
      </c>
      <c r="R67" s="568"/>
      <c r="S67" s="554"/>
      <c r="T67" s="554">
        <v>0.1</v>
      </c>
      <c r="U67" s="567">
        <f t="shared" si="7"/>
        <v>10741.095833333335</v>
      </c>
      <c r="V67" s="569"/>
      <c r="W67" s="554"/>
      <c r="X67" s="570">
        <f t="shared" si="8"/>
        <v>118152.05416666668</v>
      </c>
      <c r="Y67" s="406">
        <f t="shared" si="8"/>
        <v>0</v>
      </c>
      <c r="Z67" s="406">
        <f t="shared" si="8"/>
        <v>0</v>
      </c>
    </row>
    <row r="68" spans="1:44" s="377" customFormat="1" ht="17.25" customHeight="1">
      <c r="A68" s="560">
        <v>63</v>
      </c>
      <c r="B68" s="587" t="s">
        <v>188</v>
      </c>
      <c r="C68" s="588" t="s">
        <v>99</v>
      </c>
      <c r="D68" s="589" t="s">
        <v>25</v>
      </c>
      <c r="E68" s="590" t="s">
        <v>497</v>
      </c>
      <c r="F68" s="591" t="s">
        <v>51</v>
      </c>
      <c r="G68" s="592">
        <v>1</v>
      </c>
      <c r="H68" s="589" t="s">
        <v>102</v>
      </c>
      <c r="I68" s="589" t="s">
        <v>103</v>
      </c>
      <c r="J68" s="581">
        <v>1</v>
      </c>
      <c r="K68" s="593">
        <v>17697</v>
      </c>
      <c r="L68" s="594">
        <v>36</v>
      </c>
      <c r="M68" s="554">
        <f t="shared" si="5"/>
        <v>2</v>
      </c>
      <c r="N68" s="574" t="s">
        <v>152</v>
      </c>
      <c r="O68" s="595">
        <v>4.6900000000000004</v>
      </c>
      <c r="P68" s="595"/>
      <c r="Q68" s="596">
        <f t="shared" si="4"/>
        <v>165997.86000000002</v>
      </c>
      <c r="R68" s="597"/>
      <c r="S68" s="593"/>
      <c r="T68" s="593">
        <v>0.1</v>
      </c>
      <c r="U68" s="596">
        <f t="shared" si="7"/>
        <v>16599.786000000004</v>
      </c>
      <c r="V68" s="598"/>
      <c r="W68" s="593"/>
      <c r="X68" s="599">
        <f t="shared" si="8"/>
        <v>182597.64600000001</v>
      </c>
      <c r="Y68" s="406">
        <f t="shared" si="8"/>
        <v>0</v>
      </c>
      <c r="Z68" s="406">
        <f t="shared" si="8"/>
        <v>0</v>
      </c>
    </row>
    <row r="69" spans="1:44" s="377" customFormat="1" ht="17.25" customHeight="1">
      <c r="A69" s="547">
        <v>64</v>
      </c>
      <c r="B69" s="587" t="s">
        <v>450</v>
      </c>
      <c r="C69" s="588" t="s">
        <v>99</v>
      </c>
      <c r="D69" s="589" t="s">
        <v>25</v>
      </c>
      <c r="E69" s="590" t="s">
        <v>451</v>
      </c>
      <c r="F69" s="591" t="s">
        <v>34</v>
      </c>
      <c r="G69" s="592">
        <v>1</v>
      </c>
      <c r="H69" s="589" t="s">
        <v>102</v>
      </c>
      <c r="I69" s="589" t="s">
        <v>103</v>
      </c>
      <c r="J69" s="581">
        <v>1</v>
      </c>
      <c r="K69" s="593">
        <v>17697</v>
      </c>
      <c r="L69" s="594">
        <v>21</v>
      </c>
      <c r="M69" s="554">
        <f t="shared" si="5"/>
        <v>1.1666666666666667</v>
      </c>
      <c r="N69" s="574" t="s">
        <v>152</v>
      </c>
      <c r="O69" s="595">
        <v>4.75</v>
      </c>
      <c r="P69" s="595"/>
      <c r="Q69" s="596">
        <f t="shared" si="4"/>
        <v>98070.875</v>
      </c>
      <c r="R69" s="597"/>
      <c r="S69" s="593"/>
      <c r="T69" s="593">
        <v>0.1</v>
      </c>
      <c r="U69" s="596">
        <f t="shared" si="7"/>
        <v>9807.0874999999996</v>
      </c>
      <c r="V69" s="598"/>
      <c r="W69" s="593"/>
      <c r="X69" s="599">
        <f t="shared" si="8"/>
        <v>107877.96249999999</v>
      </c>
      <c r="Y69" s="406">
        <f t="shared" si="8"/>
        <v>0</v>
      </c>
      <c r="Z69" s="406">
        <f t="shared" si="8"/>
        <v>0</v>
      </c>
    </row>
    <row r="70" spans="1:44" s="377" customFormat="1" ht="17.25" customHeight="1">
      <c r="A70" s="560">
        <v>65</v>
      </c>
      <c r="B70" s="587" t="s">
        <v>454</v>
      </c>
      <c r="C70" s="588" t="s">
        <v>99</v>
      </c>
      <c r="D70" s="589" t="s">
        <v>189</v>
      </c>
      <c r="E70" s="590" t="s">
        <v>460</v>
      </c>
      <c r="F70" s="591" t="s">
        <v>77</v>
      </c>
      <c r="G70" s="592">
        <v>1</v>
      </c>
      <c r="H70" s="589" t="s">
        <v>102</v>
      </c>
      <c r="I70" s="589" t="s">
        <v>103</v>
      </c>
      <c r="J70" s="581">
        <v>4</v>
      </c>
      <c r="K70" s="593">
        <v>17697</v>
      </c>
      <c r="L70" s="594">
        <v>34</v>
      </c>
      <c r="M70" s="554">
        <f t="shared" si="5"/>
        <v>1.8888888888888888</v>
      </c>
      <c r="N70" s="574" t="s">
        <v>112</v>
      </c>
      <c r="O70" s="595">
        <v>3.71</v>
      </c>
      <c r="P70" s="595"/>
      <c r="Q70" s="596">
        <f t="shared" si="4"/>
        <v>124016.64333333333</v>
      </c>
      <c r="R70" s="597"/>
      <c r="S70" s="593"/>
      <c r="T70" s="593">
        <v>0.1</v>
      </c>
      <c r="U70" s="596">
        <f t="shared" si="7"/>
        <v>12401.664333333334</v>
      </c>
      <c r="V70" s="598"/>
      <c r="W70" s="593"/>
      <c r="X70" s="599">
        <f t="shared" si="8"/>
        <v>136418.30766666666</v>
      </c>
      <c r="Y70" s="406">
        <f t="shared" si="8"/>
        <v>0</v>
      </c>
      <c r="Z70" s="406">
        <f t="shared" si="8"/>
        <v>0</v>
      </c>
    </row>
    <row r="71" spans="1:44" s="377" customFormat="1" ht="17.25" customHeight="1">
      <c r="A71" s="547">
        <v>66</v>
      </c>
      <c r="B71" s="159" t="s">
        <v>191</v>
      </c>
      <c r="C71" s="600" t="s">
        <v>99</v>
      </c>
      <c r="D71" s="601" t="s">
        <v>25</v>
      </c>
      <c r="E71" s="602" t="s">
        <v>498</v>
      </c>
      <c r="F71" s="585" t="s">
        <v>73</v>
      </c>
      <c r="G71" s="603">
        <v>1</v>
      </c>
      <c r="H71" s="601" t="s">
        <v>102</v>
      </c>
      <c r="I71" s="601" t="s">
        <v>103</v>
      </c>
      <c r="J71" s="604">
        <v>2</v>
      </c>
      <c r="K71" s="605">
        <v>17697</v>
      </c>
      <c r="L71" s="606">
        <v>20</v>
      </c>
      <c r="M71" s="554">
        <f t="shared" si="5"/>
        <v>1.1111111111111112</v>
      </c>
      <c r="N71" s="566" t="s">
        <v>104</v>
      </c>
      <c r="O71" s="579">
        <v>4.16</v>
      </c>
      <c r="P71" s="579"/>
      <c r="Q71" s="607">
        <f t="shared" si="4"/>
        <v>81799.466666666674</v>
      </c>
      <c r="R71" s="608"/>
      <c r="S71" s="605"/>
      <c r="T71" s="605">
        <v>0.1</v>
      </c>
      <c r="U71" s="607">
        <f t="shared" si="7"/>
        <v>8179.9466666666676</v>
      </c>
      <c r="V71" s="609"/>
      <c r="W71" s="605"/>
      <c r="X71" s="610">
        <f t="shared" si="8"/>
        <v>89979.413333333345</v>
      </c>
      <c r="Y71" s="437">
        <f t="shared" si="8"/>
        <v>0</v>
      </c>
      <c r="Z71" s="437">
        <f t="shared" si="8"/>
        <v>0</v>
      </c>
    </row>
    <row r="72" spans="1:44" s="377" customFormat="1" ht="17.25" customHeight="1">
      <c r="A72" s="560">
        <v>67</v>
      </c>
      <c r="B72" s="159" t="s">
        <v>193</v>
      </c>
      <c r="C72" s="600" t="s">
        <v>99</v>
      </c>
      <c r="D72" s="601" t="s">
        <v>64</v>
      </c>
      <c r="E72" s="602" t="s">
        <v>459</v>
      </c>
      <c r="F72" s="562" t="s">
        <v>252</v>
      </c>
      <c r="G72" s="603">
        <v>1</v>
      </c>
      <c r="H72" s="563" t="s">
        <v>102</v>
      </c>
      <c r="I72" s="563" t="s">
        <v>118</v>
      </c>
      <c r="J72" s="581">
        <v>3</v>
      </c>
      <c r="K72" s="554">
        <v>17697</v>
      </c>
      <c r="L72" s="606">
        <v>31</v>
      </c>
      <c r="M72" s="554">
        <f t="shared" si="5"/>
        <v>1.7222222222222223</v>
      </c>
      <c r="N72" s="566" t="s">
        <v>109</v>
      </c>
      <c r="O72" s="579">
        <v>3.97</v>
      </c>
      <c r="P72" s="579"/>
      <c r="Q72" s="607">
        <f t="shared" si="4"/>
        <v>120998.32166666667</v>
      </c>
      <c r="R72" s="608"/>
      <c r="S72" s="605"/>
      <c r="T72" s="605">
        <v>0.1</v>
      </c>
      <c r="U72" s="607">
        <f t="shared" si="7"/>
        <v>12099.832166666667</v>
      </c>
      <c r="V72" s="609"/>
      <c r="W72" s="605"/>
      <c r="X72" s="611">
        <f t="shared" si="8"/>
        <v>133098.15383333334</v>
      </c>
      <c r="Y72" s="437"/>
      <c r="Z72" s="437"/>
    </row>
    <row r="73" spans="1:44" s="377" customFormat="1" ht="17.25" customHeight="1">
      <c r="A73" s="547">
        <v>68</v>
      </c>
      <c r="B73" s="159" t="s">
        <v>197</v>
      </c>
      <c r="C73" s="600" t="s">
        <v>99</v>
      </c>
      <c r="D73" s="563" t="s">
        <v>25</v>
      </c>
      <c r="E73" s="210" t="s">
        <v>499</v>
      </c>
      <c r="F73" s="562" t="s">
        <v>34</v>
      </c>
      <c r="G73" s="603">
        <v>1</v>
      </c>
      <c r="H73" s="601" t="s">
        <v>102</v>
      </c>
      <c r="I73" s="601" t="s">
        <v>103</v>
      </c>
      <c r="J73" s="604">
        <v>1</v>
      </c>
      <c r="K73" s="605">
        <v>17697</v>
      </c>
      <c r="L73" s="606">
        <v>28</v>
      </c>
      <c r="M73" s="554">
        <f t="shared" si="5"/>
        <v>1.5555555555555556</v>
      </c>
      <c r="N73" s="574" t="s">
        <v>152</v>
      </c>
      <c r="O73" s="579">
        <v>4.75</v>
      </c>
      <c r="P73" s="579"/>
      <c r="Q73" s="607">
        <f t="shared" si="4"/>
        <v>130761.16666666667</v>
      </c>
      <c r="R73" s="608"/>
      <c r="S73" s="605"/>
      <c r="T73" s="605">
        <v>0.1</v>
      </c>
      <c r="U73" s="607">
        <f t="shared" si="7"/>
        <v>13076.116666666669</v>
      </c>
      <c r="V73" s="609"/>
      <c r="W73" s="605"/>
      <c r="X73" s="611">
        <f t="shared" si="8"/>
        <v>143837.28333333333</v>
      </c>
      <c r="Y73" s="437">
        <f t="shared" si="8"/>
        <v>0</v>
      </c>
      <c r="Z73" s="437">
        <f t="shared" si="8"/>
        <v>0</v>
      </c>
    </row>
    <row r="74" spans="1:44" s="377" customFormat="1" ht="17.25" customHeight="1">
      <c r="A74" s="560">
        <v>69</v>
      </c>
      <c r="B74" s="159" t="s">
        <v>199</v>
      </c>
      <c r="C74" s="600" t="s">
        <v>99</v>
      </c>
      <c r="D74" s="563" t="s">
        <v>25</v>
      </c>
      <c r="E74" s="210" t="s">
        <v>457</v>
      </c>
      <c r="F74" s="562" t="s">
        <v>122</v>
      </c>
      <c r="G74" s="603">
        <v>1</v>
      </c>
      <c r="H74" s="563" t="s">
        <v>102</v>
      </c>
      <c r="I74" s="563" t="s">
        <v>118</v>
      </c>
      <c r="J74" s="581">
        <v>4</v>
      </c>
      <c r="K74" s="605">
        <v>17697</v>
      </c>
      <c r="L74" s="606">
        <v>14</v>
      </c>
      <c r="M74" s="554">
        <f t="shared" si="5"/>
        <v>0.77777777777777779</v>
      </c>
      <c r="N74" s="574" t="s">
        <v>112</v>
      </c>
      <c r="O74" s="579">
        <v>3.36</v>
      </c>
      <c r="P74" s="579"/>
      <c r="Q74" s="607">
        <f t="shared" si="4"/>
        <v>46248.160000000003</v>
      </c>
      <c r="R74" s="608"/>
      <c r="S74" s="605"/>
      <c r="T74" s="605">
        <v>0.1</v>
      </c>
      <c r="U74" s="607">
        <f t="shared" si="7"/>
        <v>4624.8160000000007</v>
      </c>
      <c r="V74" s="609"/>
      <c r="W74" s="605"/>
      <c r="X74" s="611">
        <f t="shared" si="8"/>
        <v>50872.976000000002</v>
      </c>
      <c r="Y74" s="437">
        <f t="shared" si="8"/>
        <v>0</v>
      </c>
      <c r="Z74" s="437">
        <f t="shared" si="8"/>
        <v>0</v>
      </c>
    </row>
    <row r="75" spans="1:44" s="377" customFormat="1" ht="17.25" customHeight="1">
      <c r="A75" s="547">
        <v>70</v>
      </c>
      <c r="B75" s="159" t="s">
        <v>439</v>
      </c>
      <c r="C75" s="600" t="s">
        <v>99</v>
      </c>
      <c r="D75" s="563" t="s">
        <v>75</v>
      </c>
      <c r="E75" s="562" t="s">
        <v>504</v>
      </c>
      <c r="F75" s="562" t="s">
        <v>159</v>
      </c>
      <c r="G75" s="612">
        <v>1</v>
      </c>
      <c r="H75" s="580" t="s">
        <v>102</v>
      </c>
      <c r="I75" s="580" t="s">
        <v>118</v>
      </c>
      <c r="J75" s="574">
        <v>4</v>
      </c>
      <c r="K75" s="554">
        <v>17697</v>
      </c>
      <c r="L75" s="606">
        <v>25</v>
      </c>
      <c r="M75" s="554">
        <f t="shared" si="5"/>
        <v>1.3888888888888888</v>
      </c>
      <c r="N75" s="574" t="s">
        <v>112</v>
      </c>
      <c r="O75" s="579">
        <v>3.32</v>
      </c>
      <c r="P75" s="579"/>
      <c r="Q75" s="607">
        <f t="shared" si="4"/>
        <v>81602.833333333314</v>
      </c>
      <c r="R75" s="608"/>
      <c r="S75" s="605"/>
      <c r="T75" s="605">
        <v>0.1</v>
      </c>
      <c r="U75" s="607">
        <f t="shared" si="7"/>
        <v>8160.2833333333319</v>
      </c>
      <c r="V75" s="609"/>
      <c r="W75" s="605"/>
      <c r="X75" s="611">
        <f t="shared" si="8"/>
        <v>89763.11666666664</v>
      </c>
      <c r="Y75" s="437"/>
      <c r="Z75" s="437"/>
    </row>
    <row r="76" spans="1:44" s="377" customFormat="1" ht="17.25" customHeight="1">
      <c r="A76" s="560">
        <v>71</v>
      </c>
      <c r="B76" s="159" t="s">
        <v>200</v>
      </c>
      <c r="C76" s="600" t="s">
        <v>99</v>
      </c>
      <c r="D76" s="563" t="s">
        <v>25</v>
      </c>
      <c r="E76" s="210" t="s">
        <v>500</v>
      </c>
      <c r="F76" s="562" t="s">
        <v>34</v>
      </c>
      <c r="G76" s="603">
        <v>1</v>
      </c>
      <c r="H76" s="563" t="s">
        <v>102</v>
      </c>
      <c r="I76" s="563" t="s">
        <v>103</v>
      </c>
      <c r="J76" s="581">
        <v>2</v>
      </c>
      <c r="K76" s="554">
        <v>17697</v>
      </c>
      <c r="L76" s="565">
        <v>18</v>
      </c>
      <c r="M76" s="554">
        <f t="shared" si="5"/>
        <v>1</v>
      </c>
      <c r="N76" s="566" t="s">
        <v>104</v>
      </c>
      <c r="O76" s="566">
        <v>4.51</v>
      </c>
      <c r="P76" s="579"/>
      <c r="Q76" s="607">
        <f t="shared" si="4"/>
        <v>79813.47</v>
      </c>
      <c r="R76" s="608"/>
      <c r="S76" s="605"/>
      <c r="T76" s="605">
        <v>0.1</v>
      </c>
      <c r="U76" s="607">
        <f t="shared" si="7"/>
        <v>7981.3470000000007</v>
      </c>
      <c r="V76" s="609"/>
      <c r="W76" s="605"/>
      <c r="X76" s="611">
        <f t="shared" si="8"/>
        <v>87794.816999999995</v>
      </c>
      <c r="Y76" s="437"/>
      <c r="Z76" s="437"/>
    </row>
    <row r="77" spans="1:44" s="377" customFormat="1" ht="17.25" customHeight="1">
      <c r="A77" s="547">
        <v>72</v>
      </c>
      <c r="B77" s="153" t="s">
        <v>202</v>
      </c>
      <c r="C77" s="561" t="s">
        <v>99</v>
      </c>
      <c r="D77" s="563" t="s">
        <v>75</v>
      </c>
      <c r="E77" s="210" t="s">
        <v>203</v>
      </c>
      <c r="F77" s="562" t="s">
        <v>66</v>
      </c>
      <c r="G77" s="560">
        <v>1</v>
      </c>
      <c r="H77" s="563" t="s">
        <v>102</v>
      </c>
      <c r="I77" s="563" t="s">
        <v>103</v>
      </c>
      <c r="J77" s="581">
        <v>3</v>
      </c>
      <c r="K77" s="554">
        <v>17697</v>
      </c>
      <c r="L77" s="606">
        <v>32</v>
      </c>
      <c r="M77" s="554">
        <f t="shared" si="5"/>
        <v>1.7777777777777777</v>
      </c>
      <c r="N77" s="566" t="s">
        <v>109</v>
      </c>
      <c r="O77" s="579">
        <v>4.28</v>
      </c>
      <c r="P77" s="579"/>
      <c r="Q77" s="607">
        <f t="shared" si="4"/>
        <v>134654.50666666668</v>
      </c>
      <c r="R77" s="608"/>
      <c r="S77" s="605"/>
      <c r="T77" s="605">
        <v>0.1</v>
      </c>
      <c r="U77" s="607">
        <f t="shared" si="7"/>
        <v>13465.450666666669</v>
      </c>
      <c r="V77" s="609"/>
      <c r="W77" s="605"/>
      <c r="X77" s="611">
        <f t="shared" si="8"/>
        <v>148119.95733333335</v>
      </c>
      <c r="Y77" s="437"/>
      <c r="Z77" s="437"/>
    </row>
    <row r="78" spans="1:44" s="112" customFormat="1" ht="17.25" customHeight="1">
      <c r="A78" s="613"/>
      <c r="B78" s="250"/>
      <c r="C78" s="614"/>
      <c r="D78" s="615"/>
      <c r="E78" s="616"/>
      <c r="F78" s="616"/>
      <c r="G78" s="617"/>
      <c r="H78" s="615"/>
      <c r="I78" s="615"/>
      <c r="J78" s="618"/>
      <c r="K78" s="619"/>
      <c r="L78" s="620">
        <f>SUM(L27:L77)</f>
        <v>1099</v>
      </c>
      <c r="M78" s="619"/>
      <c r="N78" s="621"/>
      <c r="O78" s="622"/>
      <c r="P78" s="621"/>
      <c r="Q78" s="623">
        <f>SUM(Q27:Q77)</f>
        <v>4705710.9533333331</v>
      </c>
      <c r="R78" s="623">
        <f>SUM(R27:R77)</f>
        <v>0</v>
      </c>
      <c r="S78" s="623">
        <f>SUM(S27:S77)</f>
        <v>0</v>
      </c>
      <c r="T78" s="623">
        <f>SUM(T27:T77)</f>
        <v>5.0999999999999979</v>
      </c>
      <c r="U78" s="623">
        <f>SUM(U27:U77)</f>
        <v>470571.09533333336</v>
      </c>
      <c r="V78" s="625"/>
      <c r="W78" s="619"/>
      <c r="X78" s="626">
        <f>SUM(X27:X77)</f>
        <v>5176282.0486666663</v>
      </c>
      <c r="Y78" s="104"/>
      <c r="Z78" s="10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</row>
    <row r="79" spans="1:44" s="377" customFormat="1" ht="15.75">
      <c r="A79" s="560">
        <v>73</v>
      </c>
      <c r="B79" s="153" t="s">
        <v>215</v>
      </c>
      <c r="C79" s="561" t="s">
        <v>99</v>
      </c>
      <c r="D79" s="563" t="s">
        <v>25</v>
      </c>
      <c r="E79" s="562" t="s">
        <v>441</v>
      </c>
      <c r="F79" s="562" t="s">
        <v>217</v>
      </c>
      <c r="G79" s="571">
        <v>1</v>
      </c>
      <c r="H79" s="580" t="s">
        <v>102</v>
      </c>
      <c r="I79" s="580" t="s">
        <v>103</v>
      </c>
      <c r="J79" s="574">
        <v>1</v>
      </c>
      <c r="K79" s="554">
        <v>17697</v>
      </c>
      <c r="L79" s="573">
        <v>20</v>
      </c>
      <c r="M79" s="554">
        <f>L79/18</f>
        <v>1.1111111111111112</v>
      </c>
      <c r="N79" s="574" t="s">
        <v>112</v>
      </c>
      <c r="O79" s="575">
        <v>4.6900000000000004</v>
      </c>
      <c r="P79" s="575"/>
      <c r="Q79" s="567">
        <f>O79*K79/18*L79</f>
        <v>92221.03333333334</v>
      </c>
      <c r="R79" s="568"/>
      <c r="S79" s="554"/>
      <c r="T79" s="554">
        <v>0.1</v>
      </c>
      <c r="U79" s="567">
        <f>Q79*T79</f>
        <v>9222.1033333333344</v>
      </c>
      <c r="V79" s="569"/>
      <c r="W79" s="554"/>
      <c r="X79" s="570">
        <f t="shared" ref="X79:Z101" si="9">U79+Q79</f>
        <v>101443.13666666667</v>
      </c>
      <c r="Y79" s="406">
        <f t="shared" si="9"/>
        <v>0</v>
      </c>
      <c r="Z79" s="406">
        <f t="shared" si="9"/>
        <v>0</v>
      </c>
    </row>
    <row r="80" spans="1:44" s="377" customFormat="1" ht="17.25" customHeight="1">
      <c r="A80" s="560">
        <v>74</v>
      </c>
      <c r="B80" s="153" t="s">
        <v>222</v>
      </c>
      <c r="C80" s="561" t="s">
        <v>148</v>
      </c>
      <c r="D80" s="563" t="s">
        <v>25</v>
      </c>
      <c r="E80" s="562" t="s">
        <v>223</v>
      </c>
      <c r="F80" s="562" t="s">
        <v>224</v>
      </c>
      <c r="G80" s="571">
        <v>1</v>
      </c>
      <c r="H80" s="580" t="s">
        <v>102</v>
      </c>
      <c r="I80" s="580" t="s">
        <v>103</v>
      </c>
      <c r="J80" s="574">
        <v>3</v>
      </c>
      <c r="K80" s="554">
        <v>17697</v>
      </c>
      <c r="L80" s="573">
        <v>34</v>
      </c>
      <c r="M80" s="554">
        <f t="shared" ref="M80:M101" si="10">L80/18</f>
        <v>1.8888888888888888</v>
      </c>
      <c r="N80" s="566" t="s">
        <v>109</v>
      </c>
      <c r="O80" s="575">
        <v>4.16</v>
      </c>
      <c r="P80" s="575"/>
      <c r="Q80" s="567">
        <f t="shared" ref="Q80:Q101" si="11">O80*K80/18*L80</f>
        <v>139059.09333333332</v>
      </c>
      <c r="R80" s="568"/>
      <c r="S80" s="554"/>
      <c r="T80" s="554">
        <v>0.1</v>
      </c>
      <c r="U80" s="567">
        <f t="shared" ref="U80:U101" si="12">Q80*T80</f>
        <v>13905.909333333333</v>
      </c>
      <c r="V80" s="569"/>
      <c r="W80" s="554"/>
      <c r="X80" s="570">
        <f t="shared" si="9"/>
        <v>152965.00266666667</v>
      </c>
      <c r="Y80" s="406">
        <f t="shared" si="9"/>
        <v>0</v>
      </c>
      <c r="Z80" s="406">
        <f t="shared" si="9"/>
        <v>0</v>
      </c>
    </row>
    <row r="81" spans="1:26" s="377" customFormat="1" ht="17.25" customHeight="1">
      <c r="A81" s="560">
        <v>75</v>
      </c>
      <c r="B81" s="153" t="s">
        <v>124</v>
      </c>
      <c r="C81" s="561" t="s">
        <v>125</v>
      </c>
      <c r="D81" s="560" t="s">
        <v>75</v>
      </c>
      <c r="E81" s="582" t="s">
        <v>205</v>
      </c>
      <c r="F81" s="562" t="s">
        <v>108</v>
      </c>
      <c r="G81" s="560">
        <v>1</v>
      </c>
      <c r="H81" s="563" t="s">
        <v>102</v>
      </c>
      <c r="I81" s="563" t="s">
        <v>118</v>
      </c>
      <c r="J81" s="581">
        <v>3</v>
      </c>
      <c r="K81" s="554">
        <v>17697</v>
      </c>
      <c r="L81" s="565">
        <v>13</v>
      </c>
      <c r="M81" s="554">
        <f t="shared" si="10"/>
        <v>0.72222222222222221</v>
      </c>
      <c r="N81" s="574" t="s">
        <v>109</v>
      </c>
      <c r="O81" s="566">
        <v>3.85</v>
      </c>
      <c r="P81" s="566">
        <v>2.85</v>
      </c>
      <c r="Q81" s="567">
        <f t="shared" si="11"/>
        <v>49207.491666666669</v>
      </c>
      <c r="R81" s="568"/>
      <c r="S81" s="554"/>
      <c r="T81" s="554">
        <v>0.1</v>
      </c>
      <c r="U81" s="567">
        <f t="shared" si="12"/>
        <v>4920.7491666666674</v>
      </c>
      <c r="V81" s="569"/>
      <c r="W81" s="554"/>
      <c r="X81" s="570">
        <f t="shared" si="9"/>
        <v>54128.240833333337</v>
      </c>
      <c r="Y81" s="406">
        <f t="shared" si="9"/>
        <v>0</v>
      </c>
      <c r="Z81" s="406">
        <f t="shared" si="9"/>
        <v>0</v>
      </c>
    </row>
    <row r="82" spans="1:26" s="377" customFormat="1" ht="17.25" customHeight="1">
      <c r="A82" s="560">
        <v>76</v>
      </c>
      <c r="B82" s="153" t="s">
        <v>116</v>
      </c>
      <c r="C82" s="561" t="s">
        <v>99</v>
      </c>
      <c r="D82" s="560" t="s">
        <v>64</v>
      </c>
      <c r="E82" s="583" t="s">
        <v>117</v>
      </c>
      <c r="F82" s="562" t="s">
        <v>114</v>
      </c>
      <c r="G82" s="560">
        <v>1</v>
      </c>
      <c r="H82" s="563" t="s">
        <v>102</v>
      </c>
      <c r="I82" s="563" t="s">
        <v>118</v>
      </c>
      <c r="J82" s="564">
        <v>1</v>
      </c>
      <c r="K82" s="554">
        <v>17697</v>
      </c>
      <c r="L82" s="565">
        <v>5</v>
      </c>
      <c r="M82" s="554">
        <f t="shared" si="10"/>
        <v>0.27777777777777779</v>
      </c>
      <c r="N82" s="574" t="s">
        <v>152</v>
      </c>
      <c r="O82" s="566">
        <v>4.5199999999999996</v>
      </c>
      <c r="P82" s="566">
        <v>3.89</v>
      </c>
      <c r="Q82" s="567">
        <f t="shared" si="11"/>
        <v>22219.566666666666</v>
      </c>
      <c r="R82" s="568"/>
      <c r="S82" s="554"/>
      <c r="T82" s="554">
        <v>0.1</v>
      </c>
      <c r="U82" s="567">
        <f t="shared" si="12"/>
        <v>2221.9566666666665</v>
      </c>
      <c r="V82" s="569"/>
      <c r="W82" s="554"/>
      <c r="X82" s="570">
        <f t="shared" si="9"/>
        <v>24441.523333333331</v>
      </c>
      <c r="Y82" s="406">
        <f t="shared" si="9"/>
        <v>0</v>
      </c>
      <c r="Z82" s="406">
        <f t="shared" si="9"/>
        <v>0</v>
      </c>
    </row>
    <row r="83" spans="1:26" s="377" customFormat="1" ht="17.25" customHeight="1">
      <c r="A83" s="560">
        <v>77</v>
      </c>
      <c r="B83" s="153" t="s">
        <v>127</v>
      </c>
      <c r="C83" s="561" t="s">
        <v>99</v>
      </c>
      <c r="D83" s="560" t="s">
        <v>25</v>
      </c>
      <c r="E83" s="562" t="s">
        <v>128</v>
      </c>
      <c r="F83" s="562" t="s">
        <v>34</v>
      </c>
      <c r="G83" s="560">
        <v>1</v>
      </c>
      <c r="H83" s="563" t="s">
        <v>102</v>
      </c>
      <c r="I83" s="563" t="s">
        <v>103</v>
      </c>
      <c r="J83" s="564">
        <v>1</v>
      </c>
      <c r="K83" s="554">
        <v>17697</v>
      </c>
      <c r="L83" s="565">
        <v>6</v>
      </c>
      <c r="M83" s="554">
        <f t="shared" si="10"/>
        <v>0.33333333333333331</v>
      </c>
      <c r="N83" s="574" t="s">
        <v>152</v>
      </c>
      <c r="O83" s="566">
        <v>4.75</v>
      </c>
      <c r="P83" s="566"/>
      <c r="Q83" s="567">
        <f t="shared" si="11"/>
        <v>28020.25</v>
      </c>
      <c r="R83" s="568"/>
      <c r="S83" s="554"/>
      <c r="T83" s="554">
        <v>0.1</v>
      </c>
      <c r="U83" s="567">
        <f t="shared" si="12"/>
        <v>2802.0250000000001</v>
      </c>
      <c r="V83" s="569"/>
      <c r="W83" s="554"/>
      <c r="X83" s="570">
        <f t="shared" si="9"/>
        <v>30822.275000000001</v>
      </c>
      <c r="Y83" s="406">
        <f t="shared" si="9"/>
        <v>0</v>
      </c>
      <c r="Z83" s="406">
        <f t="shared" si="9"/>
        <v>0</v>
      </c>
    </row>
    <row r="84" spans="1:26" s="377" customFormat="1" ht="17.25" customHeight="1">
      <c r="A84" s="560">
        <v>78</v>
      </c>
      <c r="B84" s="153" t="s">
        <v>227</v>
      </c>
      <c r="C84" s="561" t="s">
        <v>99</v>
      </c>
      <c r="D84" s="560" t="s">
        <v>25</v>
      </c>
      <c r="E84" s="562" t="s">
        <v>228</v>
      </c>
      <c r="F84" s="562" t="s">
        <v>229</v>
      </c>
      <c r="G84" s="571">
        <v>1</v>
      </c>
      <c r="H84" s="580" t="s">
        <v>102</v>
      </c>
      <c r="I84" s="580" t="s">
        <v>103</v>
      </c>
      <c r="J84" s="574">
        <v>3</v>
      </c>
      <c r="K84" s="554">
        <v>17697</v>
      </c>
      <c r="L84" s="573">
        <v>28</v>
      </c>
      <c r="M84" s="554">
        <f t="shared" si="10"/>
        <v>1.5555555555555556</v>
      </c>
      <c r="N84" s="566" t="s">
        <v>109</v>
      </c>
      <c r="O84" s="575">
        <v>4</v>
      </c>
      <c r="P84" s="575"/>
      <c r="Q84" s="567">
        <f t="shared" si="11"/>
        <v>110114.66666666666</v>
      </c>
      <c r="R84" s="568"/>
      <c r="S84" s="554"/>
      <c r="T84" s="554">
        <v>0.1</v>
      </c>
      <c r="U84" s="567">
        <f t="shared" si="12"/>
        <v>11011.466666666667</v>
      </c>
      <c r="V84" s="569"/>
      <c r="W84" s="554"/>
      <c r="X84" s="570">
        <f t="shared" si="9"/>
        <v>121126.13333333333</v>
      </c>
      <c r="Y84" s="406">
        <f t="shared" si="9"/>
        <v>0</v>
      </c>
      <c r="Z84" s="406">
        <f t="shared" si="9"/>
        <v>0</v>
      </c>
    </row>
    <row r="85" spans="1:26" s="377" customFormat="1" ht="17.25" customHeight="1">
      <c r="A85" s="560">
        <v>79</v>
      </c>
      <c r="B85" s="153" t="s">
        <v>230</v>
      </c>
      <c r="C85" s="561" t="s">
        <v>99</v>
      </c>
      <c r="D85" s="560" t="s">
        <v>25</v>
      </c>
      <c r="E85" s="582" t="s">
        <v>231</v>
      </c>
      <c r="F85" s="582" t="s">
        <v>40</v>
      </c>
      <c r="G85" s="627">
        <v>1</v>
      </c>
      <c r="H85" s="580" t="s">
        <v>232</v>
      </c>
      <c r="I85" s="580" t="s">
        <v>233</v>
      </c>
      <c r="J85" s="574">
        <v>1</v>
      </c>
      <c r="K85" s="554">
        <v>17697</v>
      </c>
      <c r="L85" s="573">
        <v>36</v>
      </c>
      <c r="M85" s="554">
        <f t="shared" si="10"/>
        <v>2</v>
      </c>
      <c r="N85" s="574" t="s">
        <v>152</v>
      </c>
      <c r="O85" s="566">
        <v>4.75</v>
      </c>
      <c r="P85" s="566"/>
      <c r="Q85" s="567">
        <f t="shared" si="11"/>
        <v>168121.5</v>
      </c>
      <c r="R85" s="568"/>
      <c r="S85" s="554"/>
      <c r="T85" s="554">
        <v>0.1</v>
      </c>
      <c r="U85" s="567">
        <f t="shared" si="12"/>
        <v>16812.150000000001</v>
      </c>
      <c r="V85" s="569"/>
      <c r="W85" s="554"/>
      <c r="X85" s="570">
        <f t="shared" si="9"/>
        <v>184933.65</v>
      </c>
      <c r="Y85" s="406">
        <f t="shared" si="9"/>
        <v>0</v>
      </c>
      <c r="Z85" s="406">
        <f t="shared" si="9"/>
        <v>0</v>
      </c>
    </row>
    <row r="86" spans="1:26" s="377" customFormat="1" ht="17.25" customHeight="1">
      <c r="A86" s="560">
        <v>80</v>
      </c>
      <c r="B86" s="153" t="s">
        <v>133</v>
      </c>
      <c r="C86" s="561" t="s">
        <v>99</v>
      </c>
      <c r="D86" s="563" t="s">
        <v>25</v>
      </c>
      <c r="E86" s="562" t="s">
        <v>474</v>
      </c>
      <c r="F86" s="562" t="s">
        <v>34</v>
      </c>
      <c r="G86" s="560">
        <v>1</v>
      </c>
      <c r="H86" s="563" t="s">
        <v>102</v>
      </c>
      <c r="I86" s="563" t="s">
        <v>103</v>
      </c>
      <c r="J86" s="581">
        <v>1</v>
      </c>
      <c r="K86" s="554">
        <v>17697</v>
      </c>
      <c r="L86" s="565">
        <v>17</v>
      </c>
      <c r="M86" s="554">
        <f t="shared" si="10"/>
        <v>0.94444444444444442</v>
      </c>
      <c r="N86" s="574" t="s">
        <v>152</v>
      </c>
      <c r="O86" s="566">
        <v>4.75</v>
      </c>
      <c r="P86" s="566"/>
      <c r="Q86" s="567">
        <f t="shared" si="11"/>
        <v>79390.708333333343</v>
      </c>
      <c r="R86" s="568"/>
      <c r="S86" s="554"/>
      <c r="T86" s="554">
        <v>0.1</v>
      </c>
      <c r="U86" s="567">
        <f t="shared" si="12"/>
        <v>7939.070833333335</v>
      </c>
      <c r="V86" s="569"/>
      <c r="W86" s="554"/>
      <c r="X86" s="570">
        <f t="shared" si="9"/>
        <v>87329.779166666674</v>
      </c>
      <c r="Y86" s="406">
        <f t="shared" si="9"/>
        <v>0</v>
      </c>
      <c r="Z86" s="406">
        <f t="shared" si="9"/>
        <v>0</v>
      </c>
    </row>
    <row r="87" spans="1:26" s="377" customFormat="1" ht="17.25" customHeight="1">
      <c r="A87" s="560">
        <v>81</v>
      </c>
      <c r="B87" s="153" t="s">
        <v>160</v>
      </c>
      <c r="C87" s="561" t="s">
        <v>148</v>
      </c>
      <c r="D87" s="563" t="s">
        <v>25</v>
      </c>
      <c r="E87" s="562" t="s">
        <v>484</v>
      </c>
      <c r="F87" s="562" t="s">
        <v>34</v>
      </c>
      <c r="G87" s="560">
        <v>1</v>
      </c>
      <c r="H87" s="563" t="s">
        <v>102</v>
      </c>
      <c r="I87" s="563" t="s">
        <v>103</v>
      </c>
      <c r="J87" s="564">
        <v>2</v>
      </c>
      <c r="K87" s="554">
        <v>17697</v>
      </c>
      <c r="L87" s="565">
        <v>11</v>
      </c>
      <c r="M87" s="554">
        <f t="shared" si="10"/>
        <v>0.61111111111111116</v>
      </c>
      <c r="N87" s="566" t="s">
        <v>104</v>
      </c>
      <c r="O87" s="566">
        <v>4.51</v>
      </c>
      <c r="P87" s="566"/>
      <c r="Q87" s="567">
        <f t="shared" si="11"/>
        <v>48774.898333333338</v>
      </c>
      <c r="R87" s="568"/>
      <c r="S87" s="554"/>
      <c r="T87" s="554">
        <v>0.1</v>
      </c>
      <c r="U87" s="567">
        <f t="shared" si="12"/>
        <v>4877.489833333334</v>
      </c>
      <c r="V87" s="569"/>
      <c r="W87" s="554"/>
      <c r="X87" s="570">
        <f t="shared" si="9"/>
        <v>53652.388166666671</v>
      </c>
      <c r="Y87" s="406">
        <f t="shared" si="9"/>
        <v>0</v>
      </c>
      <c r="Z87" s="406">
        <f t="shared" si="9"/>
        <v>0</v>
      </c>
    </row>
    <row r="88" spans="1:26" s="377" customFormat="1" ht="17.25" customHeight="1">
      <c r="A88" s="560">
        <v>82</v>
      </c>
      <c r="B88" s="153" t="s">
        <v>360</v>
      </c>
      <c r="C88" s="561" t="s">
        <v>99</v>
      </c>
      <c r="D88" s="563" t="s">
        <v>25</v>
      </c>
      <c r="E88" s="562" t="s">
        <v>361</v>
      </c>
      <c r="F88" s="562" t="s">
        <v>362</v>
      </c>
      <c r="G88" s="571">
        <v>1</v>
      </c>
      <c r="H88" s="580" t="s">
        <v>102</v>
      </c>
      <c r="I88" s="580" t="s">
        <v>103</v>
      </c>
      <c r="J88" s="574">
        <v>1</v>
      </c>
      <c r="K88" s="554">
        <v>17697</v>
      </c>
      <c r="L88" s="573">
        <v>24</v>
      </c>
      <c r="M88" s="554">
        <f t="shared" si="10"/>
        <v>1.3333333333333333</v>
      </c>
      <c r="N88" s="566" t="s">
        <v>152</v>
      </c>
      <c r="O88" s="575">
        <v>4.55</v>
      </c>
      <c r="P88" s="575"/>
      <c r="Q88" s="567">
        <f t="shared" si="11"/>
        <v>107361.79999999999</v>
      </c>
      <c r="R88" s="568"/>
      <c r="S88" s="554"/>
      <c r="T88" s="554">
        <v>0.1</v>
      </c>
      <c r="U88" s="567">
        <f t="shared" si="12"/>
        <v>10736.18</v>
      </c>
      <c r="V88" s="569"/>
      <c r="W88" s="554"/>
      <c r="X88" s="570">
        <f t="shared" si="9"/>
        <v>118097.97999999998</v>
      </c>
      <c r="Y88" s="406"/>
      <c r="Z88" s="406"/>
    </row>
    <row r="89" spans="1:26" s="377" customFormat="1" ht="17.25" customHeight="1">
      <c r="A89" s="560">
        <v>83</v>
      </c>
      <c r="B89" s="153" t="s">
        <v>162</v>
      </c>
      <c r="C89" s="561" t="s">
        <v>99</v>
      </c>
      <c r="D89" s="563" t="s">
        <v>25</v>
      </c>
      <c r="E89" s="562" t="s">
        <v>485</v>
      </c>
      <c r="F89" s="562" t="s">
        <v>77</v>
      </c>
      <c r="G89" s="560">
        <v>1</v>
      </c>
      <c r="H89" s="563" t="s">
        <v>102</v>
      </c>
      <c r="I89" s="580" t="s">
        <v>103</v>
      </c>
      <c r="J89" s="581">
        <v>4</v>
      </c>
      <c r="K89" s="554">
        <v>17697</v>
      </c>
      <c r="L89" s="565">
        <v>22</v>
      </c>
      <c r="M89" s="554">
        <f t="shared" si="10"/>
        <v>1.2222222222222223</v>
      </c>
      <c r="N89" s="574" t="s">
        <v>112</v>
      </c>
      <c r="O89" s="566">
        <v>3.71</v>
      </c>
      <c r="P89" s="566"/>
      <c r="Q89" s="567">
        <f t="shared" si="11"/>
        <v>80246.063333333324</v>
      </c>
      <c r="R89" s="568"/>
      <c r="S89" s="554"/>
      <c r="T89" s="554">
        <v>0.1</v>
      </c>
      <c r="U89" s="567">
        <f t="shared" si="12"/>
        <v>8024.6063333333332</v>
      </c>
      <c r="V89" s="569"/>
      <c r="W89" s="554"/>
      <c r="X89" s="570">
        <f t="shared" si="9"/>
        <v>88270.669666666654</v>
      </c>
      <c r="Y89" s="406">
        <f t="shared" si="9"/>
        <v>0</v>
      </c>
      <c r="Z89" s="406">
        <f t="shared" si="9"/>
        <v>0</v>
      </c>
    </row>
    <row r="90" spans="1:26" s="377" customFormat="1" ht="17.25" customHeight="1">
      <c r="A90" s="560">
        <v>84</v>
      </c>
      <c r="B90" s="153" t="s">
        <v>237</v>
      </c>
      <c r="C90" s="561" t="s">
        <v>99</v>
      </c>
      <c r="D90" s="563" t="s">
        <v>25</v>
      </c>
      <c r="E90" s="562" t="s">
        <v>238</v>
      </c>
      <c r="F90" s="562" t="s">
        <v>239</v>
      </c>
      <c r="G90" s="571">
        <v>1</v>
      </c>
      <c r="H90" s="580" t="s">
        <v>102</v>
      </c>
      <c r="I90" s="580" t="s">
        <v>103</v>
      </c>
      <c r="J90" s="574">
        <v>2</v>
      </c>
      <c r="K90" s="554">
        <v>17697</v>
      </c>
      <c r="L90" s="573">
        <v>25</v>
      </c>
      <c r="M90" s="554">
        <f t="shared" si="10"/>
        <v>1.3888888888888888</v>
      </c>
      <c r="N90" s="566" t="s">
        <v>104</v>
      </c>
      <c r="O90" s="575">
        <v>4.2300000000000004</v>
      </c>
      <c r="P90" s="575"/>
      <c r="Q90" s="567">
        <f t="shared" si="11"/>
        <v>103969.87500000003</v>
      </c>
      <c r="R90" s="568"/>
      <c r="S90" s="554"/>
      <c r="T90" s="554">
        <v>0.1</v>
      </c>
      <c r="U90" s="567">
        <f t="shared" si="12"/>
        <v>10396.987500000003</v>
      </c>
      <c r="V90" s="569"/>
      <c r="W90" s="554"/>
      <c r="X90" s="570">
        <f t="shared" si="9"/>
        <v>114366.86250000003</v>
      </c>
      <c r="Y90" s="406">
        <f t="shared" si="9"/>
        <v>0</v>
      </c>
      <c r="Z90" s="406">
        <f t="shared" si="9"/>
        <v>0</v>
      </c>
    </row>
    <row r="91" spans="1:26" s="377" customFormat="1" ht="17.25" customHeight="1">
      <c r="A91" s="560">
        <v>85</v>
      </c>
      <c r="B91" s="153" t="s">
        <v>281</v>
      </c>
      <c r="C91" s="561" t="s">
        <v>99</v>
      </c>
      <c r="D91" s="628" t="s">
        <v>25</v>
      </c>
      <c r="E91" s="586" t="s">
        <v>430</v>
      </c>
      <c r="F91" s="562" t="s">
        <v>40</v>
      </c>
      <c r="G91" s="560">
        <v>1</v>
      </c>
      <c r="H91" s="563" t="s">
        <v>102</v>
      </c>
      <c r="I91" s="563" t="s">
        <v>103</v>
      </c>
      <c r="J91" s="629">
        <v>1</v>
      </c>
      <c r="K91" s="554">
        <v>17697</v>
      </c>
      <c r="L91" s="573">
        <v>12</v>
      </c>
      <c r="M91" s="554">
        <f t="shared" si="10"/>
        <v>0.66666666666666663</v>
      </c>
      <c r="N91" s="574" t="s">
        <v>152</v>
      </c>
      <c r="O91" s="575">
        <v>4.75</v>
      </c>
      <c r="P91" s="575"/>
      <c r="Q91" s="567">
        <f t="shared" si="11"/>
        <v>56040.5</v>
      </c>
      <c r="R91" s="568"/>
      <c r="S91" s="554"/>
      <c r="T91" s="554">
        <v>0.1</v>
      </c>
      <c r="U91" s="567">
        <f t="shared" si="12"/>
        <v>5604.05</v>
      </c>
      <c r="V91" s="569"/>
      <c r="W91" s="554"/>
      <c r="X91" s="570">
        <f t="shared" si="9"/>
        <v>61644.55</v>
      </c>
      <c r="Y91" s="406">
        <f t="shared" si="9"/>
        <v>0</v>
      </c>
      <c r="Z91" s="406">
        <f t="shared" si="9"/>
        <v>0</v>
      </c>
    </row>
    <row r="92" spans="1:26" s="377" customFormat="1" ht="17.25" customHeight="1">
      <c r="A92" s="560">
        <v>86</v>
      </c>
      <c r="B92" s="477" t="s">
        <v>436</v>
      </c>
      <c r="C92" s="561" t="s">
        <v>99</v>
      </c>
      <c r="D92" s="563" t="s">
        <v>75</v>
      </c>
      <c r="E92" s="562" t="s">
        <v>437</v>
      </c>
      <c r="F92" s="562" t="s">
        <v>438</v>
      </c>
      <c r="G92" s="560"/>
      <c r="H92" s="563" t="s">
        <v>102</v>
      </c>
      <c r="I92" s="563" t="s">
        <v>118</v>
      </c>
      <c r="J92" s="581">
        <v>4</v>
      </c>
      <c r="K92" s="554">
        <v>17697</v>
      </c>
      <c r="L92" s="565">
        <v>6</v>
      </c>
      <c r="M92" s="554">
        <f t="shared" si="10"/>
        <v>0.33333333333333331</v>
      </c>
      <c r="N92" s="574" t="s">
        <v>112</v>
      </c>
      <c r="O92" s="566">
        <v>3.32</v>
      </c>
      <c r="P92" s="566"/>
      <c r="Q92" s="567">
        <f t="shared" si="11"/>
        <v>19584.679999999997</v>
      </c>
      <c r="R92" s="568"/>
      <c r="S92" s="554"/>
      <c r="T92" s="554">
        <v>0.1</v>
      </c>
      <c r="U92" s="567">
        <f t="shared" si="12"/>
        <v>1958.4679999999998</v>
      </c>
      <c r="V92" s="569"/>
      <c r="W92" s="554"/>
      <c r="X92" s="570">
        <f t="shared" si="9"/>
        <v>21543.147999999997</v>
      </c>
      <c r="Y92" s="406">
        <f>V92+R92</f>
        <v>0</v>
      </c>
      <c r="Z92" s="406">
        <f>W92+S92</f>
        <v>0</v>
      </c>
    </row>
    <row r="93" spans="1:26" s="377" customFormat="1" ht="17.25" customHeight="1">
      <c r="A93" s="560">
        <v>87</v>
      </c>
      <c r="B93" s="153" t="s">
        <v>243</v>
      </c>
      <c r="C93" s="561" t="s">
        <v>99</v>
      </c>
      <c r="D93" s="563" t="s">
        <v>25</v>
      </c>
      <c r="E93" s="562" t="s">
        <v>244</v>
      </c>
      <c r="F93" s="562" t="s">
        <v>239</v>
      </c>
      <c r="G93" s="571">
        <v>1</v>
      </c>
      <c r="H93" s="580" t="s">
        <v>102</v>
      </c>
      <c r="I93" s="580" t="s">
        <v>103</v>
      </c>
      <c r="J93" s="574">
        <v>3</v>
      </c>
      <c r="K93" s="554">
        <v>17697</v>
      </c>
      <c r="L93" s="573">
        <v>36</v>
      </c>
      <c r="M93" s="554">
        <f t="shared" si="10"/>
        <v>2</v>
      </c>
      <c r="N93" s="566" t="s">
        <v>109</v>
      </c>
      <c r="O93" s="575">
        <v>4.16</v>
      </c>
      <c r="P93" s="575"/>
      <c r="Q93" s="567">
        <f t="shared" si="11"/>
        <v>147239.04000000001</v>
      </c>
      <c r="R93" s="568"/>
      <c r="S93" s="554"/>
      <c r="T93" s="554">
        <v>0.1</v>
      </c>
      <c r="U93" s="567">
        <f t="shared" si="12"/>
        <v>14723.904000000002</v>
      </c>
      <c r="V93" s="569"/>
      <c r="W93" s="554"/>
      <c r="X93" s="570">
        <f t="shared" si="9"/>
        <v>161962.94400000002</v>
      </c>
      <c r="Y93" s="406"/>
      <c r="Z93" s="406"/>
    </row>
    <row r="94" spans="1:26" s="377" customFormat="1" ht="17.25" customHeight="1">
      <c r="A94" s="560">
        <v>88</v>
      </c>
      <c r="B94" s="153" t="s">
        <v>245</v>
      </c>
      <c r="C94" s="561" t="s">
        <v>99</v>
      </c>
      <c r="D94" s="563" t="s">
        <v>25</v>
      </c>
      <c r="E94" s="562" t="s">
        <v>246</v>
      </c>
      <c r="F94" s="562" t="s">
        <v>40</v>
      </c>
      <c r="G94" s="571">
        <v>1</v>
      </c>
      <c r="H94" s="580" t="s">
        <v>102</v>
      </c>
      <c r="I94" s="580" t="s">
        <v>103</v>
      </c>
      <c r="J94" s="574">
        <v>1</v>
      </c>
      <c r="K94" s="554">
        <v>17697</v>
      </c>
      <c r="L94" s="573">
        <v>33</v>
      </c>
      <c r="M94" s="554">
        <f t="shared" si="10"/>
        <v>1.8333333333333333</v>
      </c>
      <c r="N94" s="574" t="s">
        <v>152</v>
      </c>
      <c r="O94" s="575">
        <v>4.75</v>
      </c>
      <c r="P94" s="575"/>
      <c r="Q94" s="567">
        <f t="shared" si="11"/>
        <v>154111.375</v>
      </c>
      <c r="R94" s="568"/>
      <c r="S94" s="554"/>
      <c r="T94" s="554">
        <v>0.1</v>
      </c>
      <c r="U94" s="567">
        <f t="shared" si="12"/>
        <v>15411.137500000001</v>
      </c>
      <c r="V94" s="569"/>
      <c r="W94" s="554"/>
      <c r="X94" s="570">
        <f t="shared" si="9"/>
        <v>169522.51250000001</v>
      </c>
      <c r="Y94" s="406">
        <f t="shared" si="9"/>
        <v>0</v>
      </c>
      <c r="Z94" s="406">
        <f t="shared" si="9"/>
        <v>0</v>
      </c>
    </row>
    <row r="95" spans="1:26" s="377" customFormat="1" ht="17.25" customHeight="1">
      <c r="A95" s="560">
        <v>89</v>
      </c>
      <c r="B95" s="153" t="s">
        <v>250</v>
      </c>
      <c r="C95" s="561" t="s">
        <v>99</v>
      </c>
      <c r="D95" s="563" t="s">
        <v>64</v>
      </c>
      <c r="E95" s="562" t="s">
        <v>251</v>
      </c>
      <c r="F95" s="562" t="s">
        <v>252</v>
      </c>
      <c r="G95" s="571">
        <v>1</v>
      </c>
      <c r="H95" s="580" t="s">
        <v>102</v>
      </c>
      <c r="I95" s="580" t="s">
        <v>118</v>
      </c>
      <c r="J95" s="574">
        <v>3</v>
      </c>
      <c r="K95" s="554">
        <v>17697</v>
      </c>
      <c r="L95" s="573">
        <v>22</v>
      </c>
      <c r="M95" s="554">
        <f t="shared" si="10"/>
        <v>1.2222222222222223</v>
      </c>
      <c r="N95" s="566" t="s">
        <v>109</v>
      </c>
      <c r="O95" s="575">
        <v>3.97</v>
      </c>
      <c r="P95" s="575"/>
      <c r="Q95" s="567">
        <f t="shared" si="11"/>
        <v>85869.776666666672</v>
      </c>
      <c r="R95" s="568"/>
      <c r="S95" s="554"/>
      <c r="T95" s="554">
        <v>0.1</v>
      </c>
      <c r="U95" s="567">
        <f t="shared" si="12"/>
        <v>8586.9776666666676</v>
      </c>
      <c r="V95" s="569"/>
      <c r="W95" s="554"/>
      <c r="X95" s="570">
        <f t="shared" si="9"/>
        <v>94456.754333333345</v>
      </c>
      <c r="Y95" s="406">
        <f t="shared" si="9"/>
        <v>0</v>
      </c>
      <c r="Z95" s="406">
        <f t="shared" si="9"/>
        <v>0</v>
      </c>
    </row>
    <row r="96" spans="1:26" s="377" customFormat="1" ht="17.25" customHeight="1">
      <c r="A96" s="560">
        <v>90</v>
      </c>
      <c r="B96" s="153" t="s">
        <v>253</v>
      </c>
      <c r="C96" s="561" t="s">
        <v>148</v>
      </c>
      <c r="D96" s="563" t="s">
        <v>25</v>
      </c>
      <c r="E96" s="562" t="s">
        <v>254</v>
      </c>
      <c r="F96" s="562" t="s">
        <v>242</v>
      </c>
      <c r="G96" s="571">
        <v>1</v>
      </c>
      <c r="H96" s="580" t="s">
        <v>102</v>
      </c>
      <c r="I96" s="580" t="s">
        <v>103</v>
      </c>
      <c r="J96" s="574">
        <v>1</v>
      </c>
      <c r="K96" s="554">
        <v>17697</v>
      </c>
      <c r="L96" s="573">
        <v>35</v>
      </c>
      <c r="M96" s="554">
        <f t="shared" si="10"/>
        <v>1.9444444444444444</v>
      </c>
      <c r="N96" s="566" t="s">
        <v>104</v>
      </c>
      <c r="O96" s="575">
        <v>4.75</v>
      </c>
      <c r="P96" s="575"/>
      <c r="Q96" s="567">
        <f t="shared" si="11"/>
        <v>163451.45833333334</v>
      </c>
      <c r="R96" s="568"/>
      <c r="S96" s="554"/>
      <c r="T96" s="554">
        <v>0.1</v>
      </c>
      <c r="U96" s="567">
        <f t="shared" si="12"/>
        <v>16345.145833333336</v>
      </c>
      <c r="V96" s="569"/>
      <c r="W96" s="554"/>
      <c r="X96" s="570">
        <f t="shared" si="9"/>
        <v>179796.60416666669</v>
      </c>
      <c r="Y96" s="406">
        <f t="shared" si="9"/>
        <v>0</v>
      </c>
      <c r="Z96" s="406">
        <f t="shared" si="9"/>
        <v>0</v>
      </c>
    </row>
    <row r="97" spans="1:44" s="377" customFormat="1" ht="17.25" customHeight="1">
      <c r="A97" s="560">
        <v>91</v>
      </c>
      <c r="B97" s="153" t="s">
        <v>255</v>
      </c>
      <c r="C97" s="561" t="s">
        <v>99</v>
      </c>
      <c r="D97" s="563" t="s">
        <v>25</v>
      </c>
      <c r="E97" s="562" t="s">
        <v>256</v>
      </c>
      <c r="F97" s="562" t="s">
        <v>40</v>
      </c>
      <c r="G97" s="571">
        <v>1</v>
      </c>
      <c r="H97" s="580" t="s">
        <v>102</v>
      </c>
      <c r="I97" s="580" t="s">
        <v>103</v>
      </c>
      <c r="J97" s="574">
        <v>1</v>
      </c>
      <c r="K97" s="554">
        <v>17697</v>
      </c>
      <c r="L97" s="573">
        <v>35</v>
      </c>
      <c r="M97" s="554">
        <f t="shared" si="10"/>
        <v>1.9444444444444444</v>
      </c>
      <c r="N97" s="574" t="s">
        <v>152</v>
      </c>
      <c r="O97" s="566">
        <v>4.75</v>
      </c>
      <c r="P97" s="566"/>
      <c r="Q97" s="567">
        <f t="shared" si="11"/>
        <v>163451.45833333334</v>
      </c>
      <c r="R97" s="568"/>
      <c r="S97" s="554"/>
      <c r="T97" s="554">
        <v>0.1</v>
      </c>
      <c r="U97" s="567">
        <f t="shared" si="12"/>
        <v>16345.145833333336</v>
      </c>
      <c r="V97" s="569"/>
      <c r="W97" s="554"/>
      <c r="X97" s="570">
        <f t="shared" si="9"/>
        <v>179796.60416666669</v>
      </c>
      <c r="Y97" s="406">
        <f t="shared" si="9"/>
        <v>0</v>
      </c>
      <c r="Z97" s="406">
        <f t="shared" si="9"/>
        <v>0</v>
      </c>
    </row>
    <row r="98" spans="1:44" s="377" customFormat="1" ht="17.25" customHeight="1">
      <c r="A98" s="560">
        <v>92</v>
      </c>
      <c r="B98" s="159" t="s">
        <v>257</v>
      </c>
      <c r="C98" s="600" t="s">
        <v>99</v>
      </c>
      <c r="D98" s="601" t="s">
        <v>25</v>
      </c>
      <c r="E98" s="585" t="s">
        <v>258</v>
      </c>
      <c r="F98" s="585" t="s">
        <v>259</v>
      </c>
      <c r="G98" s="612">
        <v>1</v>
      </c>
      <c r="H98" s="630" t="s">
        <v>102</v>
      </c>
      <c r="I98" s="630" t="s">
        <v>103</v>
      </c>
      <c r="J98" s="631">
        <v>2</v>
      </c>
      <c r="K98" s="605">
        <v>17697</v>
      </c>
      <c r="L98" s="632">
        <v>30</v>
      </c>
      <c r="M98" s="554">
        <f t="shared" si="10"/>
        <v>1.6666666666666667</v>
      </c>
      <c r="N98" s="566" t="s">
        <v>104</v>
      </c>
      <c r="O98" s="633">
        <v>4.16</v>
      </c>
      <c r="P98" s="633"/>
      <c r="Q98" s="567">
        <f t="shared" si="11"/>
        <v>122699.2</v>
      </c>
      <c r="R98" s="608"/>
      <c r="S98" s="605"/>
      <c r="T98" s="605">
        <v>0.1</v>
      </c>
      <c r="U98" s="567">
        <f t="shared" si="12"/>
        <v>12269.92</v>
      </c>
      <c r="V98" s="609"/>
      <c r="W98" s="605"/>
      <c r="X98" s="611">
        <f t="shared" si="9"/>
        <v>134969.12</v>
      </c>
      <c r="Y98" s="437">
        <f t="shared" si="9"/>
        <v>0</v>
      </c>
      <c r="Z98" s="437">
        <f t="shared" si="9"/>
        <v>0</v>
      </c>
    </row>
    <row r="99" spans="1:44" s="486" customFormat="1" ht="17.25" customHeight="1">
      <c r="A99" s="560">
        <v>93</v>
      </c>
      <c r="B99" s="153" t="s">
        <v>388</v>
      </c>
      <c r="C99" s="561" t="s">
        <v>99</v>
      </c>
      <c r="D99" s="563" t="s">
        <v>189</v>
      </c>
      <c r="E99" s="562" t="s">
        <v>390</v>
      </c>
      <c r="F99" s="562" t="s">
        <v>34</v>
      </c>
      <c r="G99" s="571">
        <v>1</v>
      </c>
      <c r="H99" s="580" t="s">
        <v>102</v>
      </c>
      <c r="I99" s="580" t="s">
        <v>103</v>
      </c>
      <c r="J99" s="574">
        <v>1</v>
      </c>
      <c r="K99" s="554">
        <v>17697</v>
      </c>
      <c r="L99" s="573">
        <v>9</v>
      </c>
      <c r="M99" s="554">
        <f t="shared" si="10"/>
        <v>0.5</v>
      </c>
      <c r="N99" s="574" t="s">
        <v>152</v>
      </c>
      <c r="O99" s="575">
        <v>4.75</v>
      </c>
      <c r="P99" s="575"/>
      <c r="Q99" s="567">
        <f t="shared" si="11"/>
        <v>42030.375</v>
      </c>
      <c r="R99" s="568"/>
      <c r="S99" s="554"/>
      <c r="T99" s="554">
        <v>0.1</v>
      </c>
      <c r="U99" s="567">
        <f t="shared" si="12"/>
        <v>4203.0375000000004</v>
      </c>
      <c r="V99" s="569"/>
      <c r="W99" s="554"/>
      <c r="X99" s="570">
        <f t="shared" si="9"/>
        <v>46233.412499999999</v>
      </c>
      <c r="Y99" s="406">
        <f t="shared" si="9"/>
        <v>0</v>
      </c>
      <c r="Z99" s="406">
        <f t="shared" si="9"/>
        <v>0</v>
      </c>
    </row>
    <row r="100" spans="1:44" s="375" customFormat="1" ht="17.25" customHeight="1">
      <c r="A100" s="560">
        <v>94</v>
      </c>
      <c r="B100" s="153" t="s">
        <v>199</v>
      </c>
      <c r="C100" s="561" t="s">
        <v>99</v>
      </c>
      <c r="D100" s="563" t="s">
        <v>25</v>
      </c>
      <c r="E100" s="210" t="s">
        <v>158</v>
      </c>
      <c r="F100" s="562" t="s">
        <v>159</v>
      </c>
      <c r="G100" s="560">
        <v>1</v>
      </c>
      <c r="H100" s="563" t="s">
        <v>102</v>
      </c>
      <c r="I100" s="563" t="s">
        <v>118</v>
      </c>
      <c r="J100" s="581">
        <v>4</v>
      </c>
      <c r="K100" s="554">
        <v>17697</v>
      </c>
      <c r="L100" s="565">
        <v>12</v>
      </c>
      <c r="M100" s="554">
        <f t="shared" si="10"/>
        <v>0.66666666666666663</v>
      </c>
      <c r="N100" s="574" t="s">
        <v>112</v>
      </c>
      <c r="O100" s="566">
        <v>3.36</v>
      </c>
      <c r="P100" s="566"/>
      <c r="Q100" s="567">
        <f>O100*K100/18*L100</f>
        <v>39641.279999999999</v>
      </c>
      <c r="R100" s="568"/>
      <c r="S100" s="554"/>
      <c r="T100" s="554">
        <v>0.1</v>
      </c>
      <c r="U100" s="567">
        <f t="shared" si="12"/>
        <v>3964.1280000000002</v>
      </c>
      <c r="V100" s="569"/>
      <c r="W100" s="554"/>
      <c r="X100" s="570">
        <f t="shared" si="9"/>
        <v>43605.407999999996</v>
      </c>
      <c r="Y100" s="406"/>
      <c r="Z100" s="406"/>
    </row>
    <row r="101" spans="1:44" s="375" customFormat="1" ht="17.25" customHeight="1">
      <c r="A101" s="560">
        <v>95</v>
      </c>
      <c r="B101" s="153" t="s">
        <v>439</v>
      </c>
      <c r="C101" s="561" t="s">
        <v>99</v>
      </c>
      <c r="D101" s="563"/>
      <c r="E101" s="562" t="s">
        <v>440</v>
      </c>
      <c r="F101" s="562" t="s">
        <v>159</v>
      </c>
      <c r="G101" s="571">
        <v>1</v>
      </c>
      <c r="H101" s="580" t="s">
        <v>102</v>
      </c>
      <c r="I101" s="580" t="s">
        <v>118</v>
      </c>
      <c r="J101" s="574">
        <v>4</v>
      </c>
      <c r="K101" s="554">
        <v>17697</v>
      </c>
      <c r="L101" s="573">
        <v>6</v>
      </c>
      <c r="M101" s="554">
        <f t="shared" si="10"/>
        <v>0.33333333333333331</v>
      </c>
      <c r="N101" s="574" t="s">
        <v>112</v>
      </c>
      <c r="O101" s="575">
        <v>3.32</v>
      </c>
      <c r="P101" s="575"/>
      <c r="Q101" s="567">
        <f t="shared" si="11"/>
        <v>19584.679999999997</v>
      </c>
      <c r="R101" s="568"/>
      <c r="S101" s="554"/>
      <c r="T101" s="554">
        <v>0.1</v>
      </c>
      <c r="U101" s="567">
        <f t="shared" si="12"/>
        <v>1958.4679999999998</v>
      </c>
      <c r="V101" s="569"/>
      <c r="W101" s="554"/>
      <c r="X101" s="570">
        <f t="shared" si="9"/>
        <v>21543.147999999997</v>
      </c>
      <c r="Y101" s="406">
        <f t="shared" si="9"/>
        <v>0</v>
      </c>
      <c r="Z101" s="406">
        <f t="shared" si="9"/>
        <v>0</v>
      </c>
    </row>
    <row r="102" spans="1:44" s="205" customFormat="1" ht="17.25" customHeight="1">
      <c r="A102" s="617"/>
      <c r="B102" s="250"/>
      <c r="C102" s="614"/>
      <c r="D102" s="615"/>
      <c r="E102" s="616"/>
      <c r="F102" s="616"/>
      <c r="G102" s="634"/>
      <c r="H102" s="635"/>
      <c r="I102" s="635"/>
      <c r="J102" s="636"/>
      <c r="K102" s="619"/>
      <c r="L102" s="637">
        <f>SUM(L79:L101)</f>
        <v>477</v>
      </c>
      <c r="M102" s="619"/>
      <c r="N102" s="636"/>
      <c r="O102" s="638"/>
      <c r="P102" s="639"/>
      <c r="Q102" s="623">
        <f>SUM(Q79:Q101)</f>
        <v>2042410.7699999998</v>
      </c>
      <c r="R102" s="623">
        <f t="shared" ref="R102:W102" si="13">SUM(R79:R101)</f>
        <v>0</v>
      </c>
      <c r="S102" s="623">
        <f t="shared" si="13"/>
        <v>0</v>
      </c>
      <c r="T102" s="623">
        <f t="shared" si="13"/>
        <v>2.3000000000000007</v>
      </c>
      <c r="U102" s="623">
        <f t="shared" si="13"/>
        <v>204241.07700000008</v>
      </c>
      <c r="V102" s="623">
        <f t="shared" si="13"/>
        <v>0</v>
      </c>
      <c r="W102" s="623">
        <f t="shared" si="13"/>
        <v>0</v>
      </c>
      <c r="X102" s="626">
        <f>SUM(X79:X101)</f>
        <v>2246651.8470000001</v>
      </c>
      <c r="Y102" s="104"/>
      <c r="Z102" s="104"/>
      <c r="AA102" s="24"/>
      <c r="AB102" s="22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</row>
    <row r="103" spans="1:44" s="377" customFormat="1" ht="17.25" customHeight="1">
      <c r="A103" s="547">
        <v>96</v>
      </c>
      <c r="B103" s="640" t="s">
        <v>36</v>
      </c>
      <c r="C103" s="641" t="s">
        <v>99</v>
      </c>
      <c r="D103" s="642" t="s">
        <v>25</v>
      </c>
      <c r="E103" s="643" t="s">
        <v>424</v>
      </c>
      <c r="F103" s="583" t="s">
        <v>40</v>
      </c>
      <c r="G103" s="547">
        <v>1</v>
      </c>
      <c r="H103" s="577" t="s">
        <v>102</v>
      </c>
      <c r="I103" s="577" t="s">
        <v>103</v>
      </c>
      <c r="J103" s="644">
        <v>1</v>
      </c>
      <c r="K103" s="552">
        <v>17697</v>
      </c>
      <c r="L103" s="645">
        <v>9</v>
      </c>
      <c r="M103" s="552">
        <f>L103/18</f>
        <v>0.5</v>
      </c>
      <c r="N103" s="574" t="s">
        <v>152</v>
      </c>
      <c r="O103" s="642">
        <v>4.75</v>
      </c>
      <c r="P103" s="642"/>
      <c r="Q103" s="556">
        <f t="shared" ref="Q103:Q121" si="14">O103*K103/18*L103</f>
        <v>42030.375</v>
      </c>
      <c r="R103" s="557"/>
      <c r="S103" s="552"/>
      <c r="T103" s="552">
        <v>0.1</v>
      </c>
      <c r="U103" s="556">
        <f t="shared" ref="U103:U113" si="15">Q103*T103</f>
        <v>4203.0375000000004</v>
      </c>
      <c r="V103" s="558"/>
      <c r="W103" s="552"/>
      <c r="X103" s="559">
        <f t="shared" ref="X103:Z121" si="16">U103+Q103</f>
        <v>46233.412499999999</v>
      </c>
      <c r="Y103" s="363">
        <f t="shared" si="16"/>
        <v>0</v>
      </c>
      <c r="Z103" s="363">
        <f t="shared" si="16"/>
        <v>0</v>
      </c>
    </row>
    <row r="104" spans="1:44" s="377" customFormat="1" ht="17.25" customHeight="1">
      <c r="A104" s="547">
        <v>97</v>
      </c>
      <c r="B104" s="646" t="s">
        <v>261</v>
      </c>
      <c r="C104" s="647" t="s">
        <v>99</v>
      </c>
      <c r="D104" s="628" t="s">
        <v>25</v>
      </c>
      <c r="E104" s="586" t="s">
        <v>435</v>
      </c>
      <c r="F104" s="562" t="s">
        <v>425</v>
      </c>
      <c r="G104" s="560">
        <v>1</v>
      </c>
      <c r="H104" s="563" t="s">
        <v>102</v>
      </c>
      <c r="I104" s="563" t="s">
        <v>103</v>
      </c>
      <c r="J104" s="629">
        <v>2</v>
      </c>
      <c r="K104" s="554">
        <v>17697</v>
      </c>
      <c r="L104" s="648">
        <v>35</v>
      </c>
      <c r="M104" s="552">
        <f t="shared" ref="M104:M121" si="17">L104/18</f>
        <v>1.9444444444444444</v>
      </c>
      <c r="N104" s="566" t="s">
        <v>104</v>
      </c>
      <c r="O104" s="628">
        <v>4.49</v>
      </c>
      <c r="P104" s="628"/>
      <c r="Q104" s="567">
        <f t="shared" si="14"/>
        <v>154504.64166666666</v>
      </c>
      <c r="R104" s="568"/>
      <c r="S104" s="554"/>
      <c r="T104" s="554">
        <v>0.1</v>
      </c>
      <c r="U104" s="567">
        <f t="shared" si="15"/>
        <v>15450.464166666667</v>
      </c>
      <c r="V104" s="569"/>
      <c r="W104" s="554"/>
      <c r="X104" s="570">
        <f t="shared" si="16"/>
        <v>169955.10583333333</v>
      </c>
      <c r="Y104" s="406">
        <f t="shared" si="16"/>
        <v>0</v>
      </c>
      <c r="Z104" s="406">
        <f t="shared" si="16"/>
        <v>0</v>
      </c>
    </row>
    <row r="105" spans="1:44" s="377" customFormat="1" ht="16.5" customHeight="1">
      <c r="A105" s="547">
        <v>98</v>
      </c>
      <c r="B105" s="647" t="s">
        <v>264</v>
      </c>
      <c r="C105" s="647" t="s">
        <v>99</v>
      </c>
      <c r="D105" s="628" t="s">
        <v>25</v>
      </c>
      <c r="E105" s="586" t="s">
        <v>426</v>
      </c>
      <c r="F105" s="562" t="s">
        <v>40</v>
      </c>
      <c r="G105" s="560">
        <v>1</v>
      </c>
      <c r="H105" s="563" t="s">
        <v>102</v>
      </c>
      <c r="I105" s="563" t="s">
        <v>103</v>
      </c>
      <c r="J105" s="629">
        <v>1</v>
      </c>
      <c r="K105" s="554">
        <v>17697</v>
      </c>
      <c r="L105" s="648">
        <v>36</v>
      </c>
      <c r="M105" s="552">
        <f t="shared" si="17"/>
        <v>2</v>
      </c>
      <c r="N105" s="574" t="s">
        <v>152</v>
      </c>
      <c r="O105" s="628">
        <v>4.75</v>
      </c>
      <c r="P105" s="628"/>
      <c r="Q105" s="567">
        <f t="shared" si="14"/>
        <v>168121.5</v>
      </c>
      <c r="R105" s="568"/>
      <c r="S105" s="554"/>
      <c r="T105" s="554">
        <v>0.1</v>
      </c>
      <c r="U105" s="567">
        <f t="shared" si="15"/>
        <v>16812.150000000001</v>
      </c>
      <c r="V105" s="569"/>
      <c r="W105" s="554"/>
      <c r="X105" s="570">
        <f t="shared" si="16"/>
        <v>184933.65</v>
      </c>
      <c r="Y105" s="406">
        <f t="shared" si="16"/>
        <v>0</v>
      </c>
      <c r="Z105" s="406">
        <f t="shared" si="16"/>
        <v>0</v>
      </c>
    </row>
    <row r="106" spans="1:44" s="377" customFormat="1" ht="17.25" customHeight="1">
      <c r="A106" s="547">
        <v>99</v>
      </c>
      <c r="B106" s="647" t="s">
        <v>268</v>
      </c>
      <c r="C106" s="647" t="s">
        <v>99</v>
      </c>
      <c r="D106" s="628" t="s">
        <v>25</v>
      </c>
      <c r="E106" s="586" t="s">
        <v>427</v>
      </c>
      <c r="F106" s="562" t="s">
        <v>40</v>
      </c>
      <c r="G106" s="560">
        <v>1</v>
      </c>
      <c r="H106" s="563" t="s">
        <v>102</v>
      </c>
      <c r="I106" s="563" t="s">
        <v>103</v>
      </c>
      <c r="J106" s="629">
        <v>1</v>
      </c>
      <c r="K106" s="554">
        <v>17697</v>
      </c>
      <c r="L106" s="648">
        <v>36</v>
      </c>
      <c r="M106" s="552">
        <f t="shared" si="17"/>
        <v>2</v>
      </c>
      <c r="N106" s="574" t="s">
        <v>152</v>
      </c>
      <c r="O106" s="628">
        <v>4.75</v>
      </c>
      <c r="P106" s="628"/>
      <c r="Q106" s="567">
        <f t="shared" si="14"/>
        <v>168121.5</v>
      </c>
      <c r="R106" s="568"/>
      <c r="S106" s="554"/>
      <c r="T106" s="554">
        <v>0.1</v>
      </c>
      <c r="U106" s="567">
        <f t="shared" si="15"/>
        <v>16812.150000000001</v>
      </c>
      <c r="V106" s="569"/>
      <c r="W106" s="554"/>
      <c r="X106" s="570">
        <f t="shared" si="16"/>
        <v>184933.65</v>
      </c>
      <c r="Y106" s="406">
        <f t="shared" si="16"/>
        <v>0</v>
      </c>
      <c r="Z106" s="406">
        <f t="shared" si="16"/>
        <v>0</v>
      </c>
    </row>
    <row r="107" spans="1:44" s="377" customFormat="1" ht="17.25" customHeight="1">
      <c r="A107" s="547">
        <v>100</v>
      </c>
      <c r="B107" s="647" t="s">
        <v>269</v>
      </c>
      <c r="C107" s="647" t="s">
        <v>99</v>
      </c>
      <c r="D107" s="628" t="s">
        <v>25</v>
      </c>
      <c r="E107" s="586" t="s">
        <v>428</v>
      </c>
      <c r="F107" s="582" t="s">
        <v>271</v>
      </c>
      <c r="G107" s="560">
        <v>1</v>
      </c>
      <c r="H107" s="563" t="s">
        <v>102</v>
      </c>
      <c r="I107" s="563" t="s">
        <v>103</v>
      </c>
      <c r="J107" s="629">
        <v>1</v>
      </c>
      <c r="K107" s="554">
        <v>17697</v>
      </c>
      <c r="L107" s="648">
        <v>36</v>
      </c>
      <c r="M107" s="552">
        <f t="shared" si="17"/>
        <v>2</v>
      </c>
      <c r="N107" s="566" t="s">
        <v>104</v>
      </c>
      <c r="O107" s="628">
        <v>4.62</v>
      </c>
      <c r="P107" s="628"/>
      <c r="Q107" s="567">
        <f t="shared" si="14"/>
        <v>163520.27999999997</v>
      </c>
      <c r="R107" s="568"/>
      <c r="S107" s="554"/>
      <c r="T107" s="554">
        <v>0.1</v>
      </c>
      <c r="U107" s="567">
        <f t="shared" si="15"/>
        <v>16352.027999999998</v>
      </c>
      <c r="V107" s="569"/>
      <c r="W107" s="554"/>
      <c r="X107" s="570">
        <f t="shared" si="16"/>
        <v>179872.30799999996</v>
      </c>
      <c r="Y107" s="406">
        <f t="shared" si="16"/>
        <v>0</v>
      </c>
      <c r="Z107" s="406">
        <f t="shared" si="16"/>
        <v>0</v>
      </c>
    </row>
    <row r="108" spans="1:44" s="377" customFormat="1" ht="17.25" customHeight="1">
      <c r="A108" s="547">
        <v>101</v>
      </c>
      <c r="B108" s="647" t="s">
        <v>421</v>
      </c>
      <c r="C108" s="647" t="s">
        <v>99</v>
      </c>
      <c r="D108" s="628" t="s">
        <v>75</v>
      </c>
      <c r="E108" s="586" t="s">
        <v>422</v>
      </c>
      <c r="F108" s="562" t="s">
        <v>159</v>
      </c>
      <c r="G108" s="560">
        <v>1</v>
      </c>
      <c r="H108" s="563" t="s">
        <v>102</v>
      </c>
      <c r="I108" s="563" t="s">
        <v>118</v>
      </c>
      <c r="J108" s="629">
        <v>4</v>
      </c>
      <c r="K108" s="554">
        <v>17697</v>
      </c>
      <c r="L108" s="649">
        <v>10</v>
      </c>
      <c r="M108" s="552">
        <f t="shared" si="17"/>
        <v>0.55555555555555558</v>
      </c>
      <c r="N108" s="574" t="s">
        <v>112</v>
      </c>
      <c r="O108" s="628">
        <v>3.32</v>
      </c>
      <c r="P108" s="628"/>
      <c r="Q108" s="567">
        <f t="shared" si="14"/>
        <v>32641.133333333328</v>
      </c>
      <c r="R108" s="568"/>
      <c r="S108" s="554"/>
      <c r="T108" s="554">
        <v>0.1</v>
      </c>
      <c r="U108" s="567">
        <f t="shared" si="15"/>
        <v>3264.1133333333328</v>
      </c>
      <c r="V108" s="569"/>
      <c r="W108" s="554"/>
      <c r="X108" s="570">
        <f t="shared" si="16"/>
        <v>35905.246666666659</v>
      </c>
      <c r="Y108" s="406">
        <f t="shared" si="16"/>
        <v>0</v>
      </c>
      <c r="Z108" s="406">
        <f t="shared" si="16"/>
        <v>0</v>
      </c>
    </row>
    <row r="109" spans="1:44" s="377" customFormat="1" ht="17.25" customHeight="1">
      <c r="A109" s="547">
        <v>102</v>
      </c>
      <c r="B109" s="647" t="s">
        <v>391</v>
      </c>
      <c r="C109" s="647" t="s">
        <v>99</v>
      </c>
      <c r="D109" s="563" t="s">
        <v>75</v>
      </c>
      <c r="E109" s="586" t="s">
        <v>433</v>
      </c>
      <c r="F109" s="582" t="s">
        <v>77</v>
      </c>
      <c r="G109" s="560">
        <v>1</v>
      </c>
      <c r="H109" s="563" t="s">
        <v>102</v>
      </c>
      <c r="I109" s="563" t="s">
        <v>118</v>
      </c>
      <c r="J109" s="629">
        <v>4</v>
      </c>
      <c r="K109" s="554">
        <v>17697</v>
      </c>
      <c r="L109" s="648">
        <v>33</v>
      </c>
      <c r="M109" s="552">
        <f t="shared" si="17"/>
        <v>1.8333333333333333</v>
      </c>
      <c r="N109" s="574" t="s">
        <v>112</v>
      </c>
      <c r="O109" s="650">
        <v>3.41</v>
      </c>
      <c r="P109" s="650"/>
      <c r="Q109" s="567">
        <f t="shared" si="14"/>
        <v>110635.745</v>
      </c>
      <c r="R109" s="568"/>
      <c r="S109" s="554"/>
      <c r="T109" s="554">
        <v>0.1</v>
      </c>
      <c r="U109" s="567">
        <f t="shared" si="15"/>
        <v>11063.574500000001</v>
      </c>
      <c r="V109" s="569"/>
      <c r="W109" s="554"/>
      <c r="X109" s="570">
        <f t="shared" si="16"/>
        <v>121699.3195</v>
      </c>
      <c r="Y109" s="406">
        <f>V109+R109</f>
        <v>0</v>
      </c>
      <c r="Z109" s="406">
        <f>W109+S109</f>
        <v>0</v>
      </c>
    </row>
    <row r="110" spans="1:44" s="377" customFormat="1" ht="17.25" customHeight="1">
      <c r="A110" s="547">
        <v>103</v>
      </c>
      <c r="B110" s="647" t="s">
        <v>272</v>
      </c>
      <c r="C110" s="647" t="s">
        <v>99</v>
      </c>
      <c r="D110" s="628" t="s">
        <v>25</v>
      </c>
      <c r="E110" s="586" t="s">
        <v>429</v>
      </c>
      <c r="F110" s="582" t="s">
        <v>434</v>
      </c>
      <c r="G110" s="560">
        <v>1</v>
      </c>
      <c r="H110" s="563" t="s">
        <v>102</v>
      </c>
      <c r="I110" s="563" t="s">
        <v>103</v>
      </c>
      <c r="J110" s="629">
        <v>1</v>
      </c>
      <c r="K110" s="554">
        <v>17697</v>
      </c>
      <c r="L110" s="648">
        <v>36</v>
      </c>
      <c r="M110" s="552">
        <f t="shared" si="17"/>
        <v>2</v>
      </c>
      <c r="N110" s="574" t="s">
        <v>152</v>
      </c>
      <c r="O110" s="628">
        <v>4.6900000000000004</v>
      </c>
      <c r="P110" s="628"/>
      <c r="Q110" s="567">
        <f t="shared" si="14"/>
        <v>165997.86000000002</v>
      </c>
      <c r="R110" s="568"/>
      <c r="S110" s="554"/>
      <c r="T110" s="554">
        <v>0.1</v>
      </c>
      <c r="U110" s="567">
        <f t="shared" si="15"/>
        <v>16599.786000000004</v>
      </c>
      <c r="V110" s="569"/>
      <c r="W110" s="554"/>
      <c r="X110" s="570">
        <f t="shared" si="16"/>
        <v>182597.64600000001</v>
      </c>
      <c r="Y110" s="406"/>
      <c r="Z110" s="406"/>
    </row>
    <row r="111" spans="1:44" s="377" customFormat="1" ht="17.25" customHeight="1">
      <c r="A111" s="547">
        <v>104</v>
      </c>
      <c r="B111" s="646" t="s">
        <v>274</v>
      </c>
      <c r="C111" s="647" t="s">
        <v>99</v>
      </c>
      <c r="D111" s="628" t="s">
        <v>25</v>
      </c>
      <c r="E111" s="586" t="s">
        <v>442</v>
      </c>
      <c r="F111" s="582" t="s">
        <v>403</v>
      </c>
      <c r="G111" s="560">
        <v>1</v>
      </c>
      <c r="H111" s="563" t="s">
        <v>102</v>
      </c>
      <c r="I111" s="563" t="s">
        <v>103</v>
      </c>
      <c r="J111" s="629">
        <v>2</v>
      </c>
      <c r="K111" s="554">
        <v>17697</v>
      </c>
      <c r="L111" s="648">
        <v>27</v>
      </c>
      <c r="M111" s="552">
        <f t="shared" si="17"/>
        <v>1.5</v>
      </c>
      <c r="N111" s="566" t="s">
        <v>104</v>
      </c>
      <c r="O111" s="628">
        <v>4.16</v>
      </c>
      <c r="P111" s="628"/>
      <c r="Q111" s="567">
        <f t="shared" si="14"/>
        <v>110429.28</v>
      </c>
      <c r="R111" s="568"/>
      <c r="S111" s="554"/>
      <c r="T111" s="554">
        <v>0.1</v>
      </c>
      <c r="U111" s="567">
        <f t="shared" si="15"/>
        <v>11042.928</v>
      </c>
      <c r="V111" s="569"/>
      <c r="W111" s="554"/>
      <c r="X111" s="570">
        <f t="shared" si="16"/>
        <v>121472.208</v>
      </c>
      <c r="Y111" s="406">
        <f t="shared" si="16"/>
        <v>0</v>
      </c>
      <c r="Z111" s="406">
        <f t="shared" si="16"/>
        <v>0</v>
      </c>
    </row>
    <row r="112" spans="1:44" s="377" customFormat="1" ht="17.25" customHeight="1">
      <c r="A112" s="547">
        <v>105</v>
      </c>
      <c r="B112" s="646" t="s">
        <v>420</v>
      </c>
      <c r="C112" s="647" t="s">
        <v>99</v>
      </c>
      <c r="D112" s="628" t="s">
        <v>25</v>
      </c>
      <c r="E112" s="586" t="s">
        <v>443</v>
      </c>
      <c r="F112" s="582" t="s">
        <v>403</v>
      </c>
      <c r="G112" s="560">
        <v>1</v>
      </c>
      <c r="H112" s="563" t="s">
        <v>102</v>
      </c>
      <c r="I112" s="563" t="s">
        <v>103</v>
      </c>
      <c r="J112" s="629">
        <v>4</v>
      </c>
      <c r="K112" s="554">
        <v>17697</v>
      </c>
      <c r="L112" s="648">
        <v>18</v>
      </c>
      <c r="M112" s="552">
        <f t="shared" si="17"/>
        <v>1</v>
      </c>
      <c r="N112" s="574" t="s">
        <v>112</v>
      </c>
      <c r="O112" s="628">
        <v>3.85</v>
      </c>
      <c r="P112" s="628"/>
      <c r="Q112" s="567">
        <f t="shared" si="14"/>
        <v>68133.45</v>
      </c>
      <c r="R112" s="568"/>
      <c r="S112" s="554"/>
      <c r="T112" s="554">
        <v>0.1</v>
      </c>
      <c r="U112" s="567">
        <f t="shared" si="15"/>
        <v>6813.3450000000003</v>
      </c>
      <c r="V112" s="569"/>
      <c r="W112" s="554"/>
      <c r="X112" s="570">
        <f t="shared" si="16"/>
        <v>74946.794999999998</v>
      </c>
      <c r="Y112" s="406">
        <f t="shared" si="16"/>
        <v>0</v>
      </c>
      <c r="Z112" s="406">
        <f t="shared" si="16"/>
        <v>0</v>
      </c>
    </row>
    <row r="113" spans="1:26" s="377" customFormat="1" ht="17.25" customHeight="1">
      <c r="A113" s="547">
        <v>106</v>
      </c>
      <c r="B113" s="646" t="s">
        <v>277</v>
      </c>
      <c r="C113" s="647" t="s">
        <v>99</v>
      </c>
      <c r="D113" s="628" t="s">
        <v>25</v>
      </c>
      <c r="E113" s="586" t="s">
        <v>430</v>
      </c>
      <c r="F113" s="562" t="s">
        <v>40</v>
      </c>
      <c r="G113" s="560">
        <v>1</v>
      </c>
      <c r="H113" s="563" t="s">
        <v>102</v>
      </c>
      <c r="I113" s="563" t="s">
        <v>103</v>
      </c>
      <c r="J113" s="629">
        <v>1</v>
      </c>
      <c r="K113" s="554">
        <v>17697</v>
      </c>
      <c r="L113" s="648">
        <v>14</v>
      </c>
      <c r="M113" s="552">
        <f t="shared" si="17"/>
        <v>0.77777777777777779</v>
      </c>
      <c r="N113" s="574" t="s">
        <v>152</v>
      </c>
      <c r="O113" s="628">
        <v>4.75</v>
      </c>
      <c r="P113" s="628"/>
      <c r="Q113" s="567">
        <f t="shared" si="14"/>
        <v>65380.583333333336</v>
      </c>
      <c r="R113" s="568"/>
      <c r="S113" s="554"/>
      <c r="T113" s="554">
        <v>0.1</v>
      </c>
      <c r="U113" s="567">
        <f t="shared" si="15"/>
        <v>6538.0583333333343</v>
      </c>
      <c r="V113" s="569"/>
      <c r="W113" s="554"/>
      <c r="X113" s="570">
        <f t="shared" si="16"/>
        <v>71918.641666666663</v>
      </c>
      <c r="Y113" s="406">
        <f t="shared" si="16"/>
        <v>0</v>
      </c>
      <c r="Z113" s="406">
        <f t="shared" si="16"/>
        <v>0</v>
      </c>
    </row>
    <row r="114" spans="1:26" s="377" customFormat="1" ht="17.25" customHeight="1">
      <c r="A114" s="547">
        <v>107</v>
      </c>
      <c r="B114" s="153" t="s">
        <v>175</v>
      </c>
      <c r="C114" s="561" t="s">
        <v>99</v>
      </c>
      <c r="D114" s="563" t="s">
        <v>25</v>
      </c>
      <c r="E114" s="562" t="s">
        <v>491</v>
      </c>
      <c r="F114" s="562" t="s">
        <v>114</v>
      </c>
      <c r="G114" s="560">
        <v>1</v>
      </c>
      <c r="H114" s="563" t="s">
        <v>102</v>
      </c>
      <c r="I114" s="563" t="s">
        <v>103</v>
      </c>
      <c r="J114" s="581">
        <v>1</v>
      </c>
      <c r="K114" s="554">
        <v>17697</v>
      </c>
      <c r="L114" s="565">
        <v>14</v>
      </c>
      <c r="M114" s="552">
        <f t="shared" si="17"/>
        <v>0.77777777777777779</v>
      </c>
      <c r="N114" s="574" t="s">
        <v>152</v>
      </c>
      <c r="O114" s="566">
        <v>4.75</v>
      </c>
      <c r="P114" s="566"/>
      <c r="Q114" s="567">
        <f t="shared" si="14"/>
        <v>65380.583333333336</v>
      </c>
      <c r="R114" s="568"/>
      <c r="S114" s="554"/>
      <c r="T114" s="554">
        <v>0.1</v>
      </c>
      <c r="U114" s="567">
        <f>T114*Q114</f>
        <v>6538.0583333333343</v>
      </c>
      <c r="V114" s="569"/>
      <c r="W114" s="554"/>
      <c r="X114" s="570">
        <f t="shared" si="16"/>
        <v>71918.641666666663</v>
      </c>
      <c r="Y114" s="406">
        <f t="shared" si="16"/>
        <v>0</v>
      </c>
      <c r="Z114" s="406">
        <f t="shared" si="16"/>
        <v>0</v>
      </c>
    </row>
    <row r="115" spans="1:26" s="377" customFormat="1" ht="17.25" customHeight="1">
      <c r="A115" s="547">
        <v>108</v>
      </c>
      <c r="B115" s="647" t="s">
        <v>281</v>
      </c>
      <c r="C115" s="647" t="s">
        <v>99</v>
      </c>
      <c r="D115" s="628" t="s">
        <v>25</v>
      </c>
      <c r="E115" s="586" t="s">
        <v>430</v>
      </c>
      <c r="F115" s="562" t="s">
        <v>40</v>
      </c>
      <c r="G115" s="560">
        <v>1</v>
      </c>
      <c r="H115" s="563" t="s">
        <v>102</v>
      </c>
      <c r="I115" s="563" t="s">
        <v>103</v>
      </c>
      <c r="J115" s="629">
        <v>1</v>
      </c>
      <c r="K115" s="554">
        <v>17697</v>
      </c>
      <c r="L115" s="648">
        <v>24</v>
      </c>
      <c r="M115" s="552">
        <f t="shared" si="17"/>
        <v>1.3333333333333333</v>
      </c>
      <c r="N115" s="574" t="s">
        <v>152</v>
      </c>
      <c r="O115" s="628">
        <v>4.75</v>
      </c>
      <c r="P115" s="628"/>
      <c r="Q115" s="567">
        <f t="shared" si="14"/>
        <v>112081</v>
      </c>
      <c r="R115" s="568"/>
      <c r="S115" s="554"/>
      <c r="T115" s="554">
        <v>0.1</v>
      </c>
      <c r="U115" s="567">
        <f t="shared" ref="U115:U121" si="18">Q115*T115</f>
        <v>11208.1</v>
      </c>
      <c r="V115" s="569"/>
      <c r="W115" s="554"/>
      <c r="X115" s="570">
        <f t="shared" si="16"/>
        <v>123289.1</v>
      </c>
      <c r="Y115" s="406"/>
      <c r="Z115" s="406"/>
    </row>
    <row r="116" spans="1:26" s="80" customFormat="1" ht="17.25" customHeight="1">
      <c r="A116" s="547">
        <v>109</v>
      </c>
      <c r="B116" s="647" t="s">
        <v>180</v>
      </c>
      <c r="C116" s="647" t="s">
        <v>284</v>
      </c>
      <c r="D116" s="628" t="s">
        <v>25</v>
      </c>
      <c r="E116" s="586" t="s">
        <v>493</v>
      </c>
      <c r="F116" s="562" t="s">
        <v>40</v>
      </c>
      <c r="G116" s="560">
        <v>1</v>
      </c>
      <c r="H116" s="563" t="s">
        <v>102</v>
      </c>
      <c r="I116" s="563" t="s">
        <v>103</v>
      </c>
      <c r="J116" s="629">
        <v>3</v>
      </c>
      <c r="K116" s="554">
        <v>17697</v>
      </c>
      <c r="L116" s="649">
        <v>20</v>
      </c>
      <c r="M116" s="552">
        <f t="shared" si="17"/>
        <v>1.1111111111111112</v>
      </c>
      <c r="N116" s="566" t="s">
        <v>109</v>
      </c>
      <c r="O116" s="628">
        <v>4.5</v>
      </c>
      <c r="P116" s="628"/>
      <c r="Q116" s="567">
        <f t="shared" si="14"/>
        <v>88485</v>
      </c>
      <c r="R116" s="568"/>
      <c r="S116" s="554"/>
      <c r="T116" s="554">
        <v>0.1</v>
      </c>
      <c r="U116" s="567">
        <f t="shared" si="18"/>
        <v>8848.5</v>
      </c>
      <c r="V116" s="569"/>
      <c r="W116" s="554"/>
      <c r="X116" s="570">
        <f t="shared" si="16"/>
        <v>97333.5</v>
      </c>
      <c r="Y116" s="274"/>
      <c r="Z116" s="274"/>
    </row>
    <row r="117" spans="1:26" s="80" customFormat="1" ht="17.25" customHeight="1">
      <c r="A117" s="547">
        <v>110</v>
      </c>
      <c r="B117" s="647" t="s">
        <v>282</v>
      </c>
      <c r="C117" s="647" t="s">
        <v>99</v>
      </c>
      <c r="D117" s="628" t="s">
        <v>25</v>
      </c>
      <c r="E117" s="586" t="s">
        <v>431</v>
      </c>
      <c r="F117" s="562" t="s">
        <v>40</v>
      </c>
      <c r="G117" s="560">
        <v>1</v>
      </c>
      <c r="H117" s="563" t="s">
        <v>102</v>
      </c>
      <c r="I117" s="563" t="s">
        <v>103</v>
      </c>
      <c r="J117" s="629">
        <v>1</v>
      </c>
      <c r="K117" s="554">
        <v>17697</v>
      </c>
      <c r="L117" s="648">
        <v>36</v>
      </c>
      <c r="M117" s="552">
        <f t="shared" si="17"/>
        <v>2</v>
      </c>
      <c r="N117" s="574" t="s">
        <v>152</v>
      </c>
      <c r="O117" s="628">
        <v>4.75</v>
      </c>
      <c r="P117" s="628"/>
      <c r="Q117" s="567">
        <f t="shared" si="14"/>
        <v>168121.5</v>
      </c>
      <c r="R117" s="568"/>
      <c r="S117" s="554"/>
      <c r="T117" s="554">
        <v>0.1</v>
      </c>
      <c r="U117" s="567">
        <f t="shared" si="18"/>
        <v>16812.150000000001</v>
      </c>
      <c r="V117" s="569"/>
      <c r="W117" s="554"/>
      <c r="X117" s="570">
        <f t="shared" si="16"/>
        <v>184933.65</v>
      </c>
      <c r="Y117" s="274">
        <f t="shared" si="16"/>
        <v>0</v>
      </c>
      <c r="Z117" s="274">
        <f t="shared" si="16"/>
        <v>0</v>
      </c>
    </row>
    <row r="118" spans="1:26" s="377" customFormat="1" ht="17.25" customHeight="1">
      <c r="A118" s="547">
        <v>111</v>
      </c>
      <c r="B118" s="647" t="s">
        <v>392</v>
      </c>
      <c r="C118" s="647" t="s">
        <v>99</v>
      </c>
      <c r="D118" s="563" t="s">
        <v>189</v>
      </c>
      <c r="E118" s="586" t="s">
        <v>444</v>
      </c>
      <c r="F118" s="582" t="s">
        <v>434</v>
      </c>
      <c r="G118" s="560">
        <v>1</v>
      </c>
      <c r="H118" s="563" t="s">
        <v>102</v>
      </c>
      <c r="I118" s="563" t="s">
        <v>103</v>
      </c>
      <c r="J118" s="572">
        <v>2</v>
      </c>
      <c r="K118" s="554">
        <v>17697</v>
      </c>
      <c r="L118" s="648">
        <v>15</v>
      </c>
      <c r="M118" s="552">
        <f t="shared" si="17"/>
        <v>0.83333333333333337</v>
      </c>
      <c r="N118" s="566" t="s">
        <v>104</v>
      </c>
      <c r="O118" s="650">
        <v>4.4400000000000004</v>
      </c>
      <c r="P118" s="650"/>
      <c r="Q118" s="567">
        <f t="shared" si="14"/>
        <v>65478.9</v>
      </c>
      <c r="R118" s="568"/>
      <c r="S118" s="554"/>
      <c r="T118" s="554">
        <v>0.1</v>
      </c>
      <c r="U118" s="567">
        <f t="shared" si="18"/>
        <v>6547.89</v>
      </c>
      <c r="V118" s="569"/>
      <c r="W118" s="554"/>
      <c r="X118" s="570">
        <f t="shared" si="16"/>
        <v>72026.790000000008</v>
      </c>
      <c r="Y118" s="406">
        <f t="shared" si="16"/>
        <v>0</v>
      </c>
      <c r="Z118" s="406">
        <f t="shared" si="16"/>
        <v>0</v>
      </c>
    </row>
    <row r="119" spans="1:26" s="377" customFormat="1" ht="17.25" customHeight="1">
      <c r="A119" s="547">
        <v>112</v>
      </c>
      <c r="B119" s="647" t="s">
        <v>184</v>
      </c>
      <c r="C119" s="647" t="s">
        <v>99</v>
      </c>
      <c r="D119" s="628" t="s">
        <v>25</v>
      </c>
      <c r="E119" s="586" t="s">
        <v>427</v>
      </c>
      <c r="F119" s="562" t="s">
        <v>40</v>
      </c>
      <c r="G119" s="560">
        <v>1</v>
      </c>
      <c r="H119" s="563" t="s">
        <v>102</v>
      </c>
      <c r="I119" s="563" t="s">
        <v>103</v>
      </c>
      <c r="J119" s="629">
        <v>1</v>
      </c>
      <c r="K119" s="554">
        <v>17697</v>
      </c>
      <c r="L119" s="648">
        <v>4</v>
      </c>
      <c r="M119" s="552">
        <f t="shared" si="17"/>
        <v>0.22222222222222221</v>
      </c>
      <c r="N119" s="574" t="s">
        <v>152</v>
      </c>
      <c r="O119" s="628">
        <v>4.75</v>
      </c>
      <c r="P119" s="628"/>
      <c r="Q119" s="567">
        <f t="shared" si="14"/>
        <v>18680.166666666668</v>
      </c>
      <c r="R119" s="568"/>
      <c r="S119" s="554"/>
      <c r="T119" s="554">
        <v>0.1</v>
      </c>
      <c r="U119" s="567">
        <f t="shared" si="18"/>
        <v>1868.0166666666669</v>
      </c>
      <c r="V119" s="569"/>
      <c r="W119" s="554"/>
      <c r="X119" s="570">
        <f t="shared" si="16"/>
        <v>20548.183333333334</v>
      </c>
      <c r="Y119" s="406">
        <f>V119+R119</f>
        <v>0</v>
      </c>
      <c r="Z119" s="406">
        <f>W119+S119</f>
        <v>0</v>
      </c>
    </row>
    <row r="120" spans="1:26" s="377" customFormat="1" ht="17.25" customHeight="1">
      <c r="A120" s="547">
        <v>113</v>
      </c>
      <c r="B120" s="647" t="s">
        <v>287</v>
      </c>
      <c r="C120" s="647" t="s">
        <v>99</v>
      </c>
      <c r="D120" s="628" t="s">
        <v>25</v>
      </c>
      <c r="E120" s="586" t="s">
        <v>432</v>
      </c>
      <c r="F120" s="562" t="s">
        <v>40</v>
      </c>
      <c r="G120" s="560">
        <v>1</v>
      </c>
      <c r="H120" s="563" t="s">
        <v>102</v>
      </c>
      <c r="I120" s="563" t="s">
        <v>103</v>
      </c>
      <c r="J120" s="629">
        <v>1</v>
      </c>
      <c r="K120" s="554">
        <v>17697</v>
      </c>
      <c r="L120" s="648">
        <v>29</v>
      </c>
      <c r="M120" s="552">
        <f t="shared" si="17"/>
        <v>1.6111111111111112</v>
      </c>
      <c r="N120" s="574" t="s">
        <v>152</v>
      </c>
      <c r="O120" s="628">
        <v>4.75</v>
      </c>
      <c r="P120" s="628"/>
      <c r="Q120" s="567">
        <f t="shared" si="14"/>
        <v>135431.20833333334</v>
      </c>
      <c r="R120" s="568"/>
      <c r="S120" s="554"/>
      <c r="T120" s="554">
        <v>0.1</v>
      </c>
      <c r="U120" s="567">
        <f t="shared" si="18"/>
        <v>13543.120833333334</v>
      </c>
      <c r="V120" s="569"/>
      <c r="W120" s="554"/>
      <c r="X120" s="570">
        <f t="shared" si="16"/>
        <v>148974.32916666666</v>
      </c>
      <c r="Y120" s="406">
        <f t="shared" si="16"/>
        <v>0</v>
      </c>
      <c r="Z120" s="406">
        <f t="shared" si="16"/>
        <v>0</v>
      </c>
    </row>
    <row r="121" spans="1:26" s="377" customFormat="1" ht="17.25" customHeight="1">
      <c r="A121" s="547">
        <v>114</v>
      </c>
      <c r="B121" s="647" t="s">
        <v>289</v>
      </c>
      <c r="C121" s="647" t="s">
        <v>99</v>
      </c>
      <c r="D121" s="563" t="s">
        <v>64</v>
      </c>
      <c r="E121" s="586" t="s">
        <v>423</v>
      </c>
      <c r="F121" s="582" t="s">
        <v>108</v>
      </c>
      <c r="G121" s="560">
        <v>1</v>
      </c>
      <c r="H121" s="563" t="s">
        <v>102</v>
      </c>
      <c r="I121" s="563" t="s">
        <v>118</v>
      </c>
      <c r="J121" s="629">
        <v>4</v>
      </c>
      <c r="K121" s="554">
        <v>17697</v>
      </c>
      <c r="L121" s="648">
        <v>30</v>
      </c>
      <c r="M121" s="552">
        <f t="shared" si="17"/>
        <v>1.6666666666666667</v>
      </c>
      <c r="N121" s="574" t="s">
        <v>112</v>
      </c>
      <c r="O121" s="650">
        <v>3.41</v>
      </c>
      <c r="P121" s="650"/>
      <c r="Q121" s="567">
        <f t="shared" si="14"/>
        <v>100577.95</v>
      </c>
      <c r="R121" s="568"/>
      <c r="S121" s="554"/>
      <c r="T121" s="554">
        <v>0.1</v>
      </c>
      <c r="U121" s="567">
        <f t="shared" si="18"/>
        <v>10057.795</v>
      </c>
      <c r="V121" s="569"/>
      <c r="W121" s="554"/>
      <c r="X121" s="570">
        <f t="shared" si="16"/>
        <v>110635.745</v>
      </c>
      <c r="Y121" s="406">
        <f t="shared" si="16"/>
        <v>0</v>
      </c>
      <c r="Z121" s="406">
        <f t="shared" si="16"/>
        <v>0</v>
      </c>
    </row>
    <row r="122" spans="1:26" s="24" customFormat="1" ht="17.25" customHeight="1">
      <c r="A122" s="651"/>
      <c r="B122" s="652"/>
      <c r="C122" s="652"/>
      <c r="D122" s="653"/>
      <c r="E122" s="654"/>
      <c r="F122" s="655"/>
      <c r="G122" s="656"/>
      <c r="H122" s="653"/>
      <c r="I122" s="653"/>
      <c r="J122" s="657"/>
      <c r="K122" s="658"/>
      <c r="L122" s="659">
        <f>SUM(L103:L121)</f>
        <v>462</v>
      </c>
      <c r="M122" s="659"/>
      <c r="N122" s="659"/>
      <c r="O122" s="660"/>
      <c r="P122" s="659"/>
      <c r="Q122" s="659">
        <f t="shared" ref="Q122:V122" si="19">SUM(Q103:Q121)</f>
        <v>2003752.6566666663</v>
      </c>
      <c r="R122" s="659">
        <f t="shared" si="19"/>
        <v>0</v>
      </c>
      <c r="S122" s="659">
        <f t="shared" si="19"/>
        <v>0</v>
      </c>
      <c r="T122" s="659">
        <f t="shared" si="19"/>
        <v>1.9000000000000006</v>
      </c>
      <c r="U122" s="659">
        <f t="shared" si="19"/>
        <v>200375.2656666667</v>
      </c>
      <c r="V122" s="659">
        <f t="shared" si="19"/>
        <v>0</v>
      </c>
      <c r="W122" s="659"/>
      <c r="X122" s="660">
        <f>SUM(X103:X121)</f>
        <v>2204127.9223333332</v>
      </c>
      <c r="Y122" s="98"/>
      <c r="Z122" s="98"/>
    </row>
    <row r="123" spans="1:26" s="80" customFormat="1" ht="17.25" customHeight="1">
      <c r="A123" s="560">
        <v>115</v>
      </c>
      <c r="B123" s="661" t="s">
        <v>291</v>
      </c>
      <c r="C123" s="647" t="s">
        <v>99</v>
      </c>
      <c r="D123" s="663" t="s">
        <v>25</v>
      </c>
      <c r="E123" s="664" t="s">
        <v>293</v>
      </c>
      <c r="F123" s="664" t="s">
        <v>40</v>
      </c>
      <c r="G123" s="177">
        <v>1</v>
      </c>
      <c r="H123" s="177" t="s">
        <v>102</v>
      </c>
      <c r="I123" s="177" t="s">
        <v>103</v>
      </c>
      <c r="J123" s="178">
        <v>1</v>
      </c>
      <c r="K123" s="554">
        <v>17697</v>
      </c>
      <c r="L123" s="665">
        <v>31</v>
      </c>
      <c r="M123" s="567">
        <f>L123/18</f>
        <v>1.7222222222222223</v>
      </c>
      <c r="N123" s="574" t="s">
        <v>152</v>
      </c>
      <c r="O123" s="567">
        <v>4.75</v>
      </c>
      <c r="P123" s="567"/>
      <c r="Q123" s="567">
        <f t="shared" ref="Q123:Q137" si="20">K123*O123/18*L123</f>
        <v>144771.29166666669</v>
      </c>
      <c r="R123" s="666">
        <v>0.25</v>
      </c>
      <c r="S123" s="554">
        <f t="shared" ref="S123:S137" si="21">R123*Q123</f>
        <v>36192.822916666672</v>
      </c>
      <c r="T123" s="554">
        <v>0.1</v>
      </c>
      <c r="U123" s="567">
        <f t="shared" ref="U123:U137" si="22">(Q123+S123)*10%</f>
        <v>18096.411458333339</v>
      </c>
      <c r="V123" s="569"/>
      <c r="W123" s="554"/>
      <c r="X123" s="570">
        <f>U123+S123+Q123</f>
        <v>199060.52604166669</v>
      </c>
      <c r="Y123" s="274">
        <f>V123+T123+R123</f>
        <v>0.35</v>
      </c>
      <c r="Z123" s="274">
        <f>W123+U123+S123</f>
        <v>54289.234375000015</v>
      </c>
    </row>
    <row r="124" spans="1:26" s="80" customFormat="1" ht="17.25" customHeight="1">
      <c r="A124" s="560">
        <v>116</v>
      </c>
      <c r="B124" s="661" t="s">
        <v>516</v>
      </c>
      <c r="C124" s="647" t="s">
        <v>99</v>
      </c>
      <c r="D124" s="663" t="s">
        <v>25</v>
      </c>
      <c r="E124" s="664" t="s">
        <v>430</v>
      </c>
      <c r="F124" s="664" t="s">
        <v>40</v>
      </c>
      <c r="G124" s="177">
        <v>1</v>
      </c>
      <c r="H124" s="177" t="s">
        <v>102</v>
      </c>
      <c r="I124" s="177" t="s">
        <v>103</v>
      </c>
      <c r="J124" s="178">
        <v>1</v>
      </c>
      <c r="K124" s="554">
        <v>17697</v>
      </c>
      <c r="L124" s="665">
        <v>18</v>
      </c>
      <c r="M124" s="567">
        <f t="shared" ref="M124:M137" si="23">L124/18</f>
        <v>1</v>
      </c>
      <c r="N124" s="574" t="s">
        <v>152</v>
      </c>
      <c r="O124" s="567">
        <v>4.75</v>
      </c>
      <c r="P124" s="567"/>
      <c r="Q124" s="567">
        <f t="shared" si="20"/>
        <v>84060.75</v>
      </c>
      <c r="R124" s="666">
        <v>0.25</v>
      </c>
      <c r="S124" s="554">
        <f t="shared" si="21"/>
        <v>21015.1875</v>
      </c>
      <c r="T124" s="554">
        <v>0.1</v>
      </c>
      <c r="U124" s="567">
        <f t="shared" si="22"/>
        <v>10507.59375</v>
      </c>
      <c r="V124" s="569"/>
      <c r="W124" s="554"/>
      <c r="X124" s="570">
        <f>U124+S124+Q124</f>
        <v>115583.53125</v>
      </c>
      <c r="Y124" s="274"/>
      <c r="Z124" s="274"/>
    </row>
    <row r="125" spans="1:26" s="80" customFormat="1" ht="17.25" customHeight="1">
      <c r="A125" s="560">
        <v>117</v>
      </c>
      <c r="B125" s="690" t="s">
        <v>517</v>
      </c>
      <c r="C125" s="647" t="s">
        <v>99</v>
      </c>
      <c r="D125" s="663" t="s">
        <v>25</v>
      </c>
      <c r="E125" s="664" t="s">
        <v>527</v>
      </c>
      <c r="F125" s="664" t="s">
        <v>366</v>
      </c>
      <c r="G125" s="177">
        <v>1</v>
      </c>
      <c r="H125" s="177" t="s">
        <v>102</v>
      </c>
      <c r="I125" s="177" t="s">
        <v>103</v>
      </c>
      <c r="J125" s="178">
        <v>1</v>
      </c>
      <c r="K125" s="554">
        <v>17697</v>
      </c>
      <c r="L125" s="665">
        <v>4</v>
      </c>
      <c r="M125" s="567">
        <f t="shared" si="23"/>
        <v>0.22222222222222221</v>
      </c>
      <c r="N125" s="574" t="s">
        <v>152</v>
      </c>
      <c r="O125" s="567">
        <v>4.6900000000000004</v>
      </c>
      <c r="P125" s="567"/>
      <c r="Q125" s="567">
        <f t="shared" si="20"/>
        <v>18444.206666666669</v>
      </c>
      <c r="R125" s="666">
        <v>0.25</v>
      </c>
      <c r="S125" s="554">
        <f t="shared" si="21"/>
        <v>4611.0516666666672</v>
      </c>
      <c r="T125" s="554">
        <v>0.1</v>
      </c>
      <c r="U125" s="567">
        <f t="shared" si="22"/>
        <v>2305.5258333333336</v>
      </c>
      <c r="V125" s="569"/>
      <c r="W125" s="554"/>
      <c r="X125" s="570">
        <f>U125+S125+Q125</f>
        <v>25360.784166666672</v>
      </c>
      <c r="Y125" s="274"/>
      <c r="Z125" s="274"/>
    </row>
    <row r="126" spans="1:26" s="80" customFormat="1" ht="17.25" customHeight="1">
      <c r="A126" s="560">
        <v>118</v>
      </c>
      <c r="B126" s="691" t="s">
        <v>421</v>
      </c>
      <c r="C126" s="647" t="s">
        <v>99</v>
      </c>
      <c r="D126" s="663" t="s">
        <v>75</v>
      </c>
      <c r="E126" s="664" t="s">
        <v>520</v>
      </c>
      <c r="F126" s="664" t="s">
        <v>159</v>
      </c>
      <c r="G126" s="177">
        <v>1</v>
      </c>
      <c r="H126" s="177" t="s">
        <v>102</v>
      </c>
      <c r="I126" s="177" t="s">
        <v>118</v>
      </c>
      <c r="J126" s="178">
        <v>4</v>
      </c>
      <c r="K126" s="554">
        <v>17697</v>
      </c>
      <c r="L126" s="665">
        <v>10</v>
      </c>
      <c r="M126" s="567">
        <f t="shared" si="23"/>
        <v>0.55555555555555558</v>
      </c>
      <c r="N126" s="574" t="s">
        <v>385</v>
      </c>
      <c r="O126" s="567">
        <v>3.32</v>
      </c>
      <c r="P126" s="567"/>
      <c r="Q126" s="567">
        <f t="shared" si="20"/>
        <v>32641.133333333328</v>
      </c>
      <c r="R126" s="666">
        <v>0.25</v>
      </c>
      <c r="S126" s="554">
        <f t="shared" si="21"/>
        <v>8160.2833333333319</v>
      </c>
      <c r="T126" s="554">
        <v>0.1</v>
      </c>
      <c r="U126" s="567">
        <f t="shared" si="22"/>
        <v>4080.141666666666</v>
      </c>
      <c r="V126" s="569"/>
      <c r="W126" s="554"/>
      <c r="X126" s="570">
        <f>U126+S126+Q126</f>
        <v>44881.558333333327</v>
      </c>
      <c r="Y126" s="274"/>
      <c r="Z126" s="274"/>
    </row>
    <row r="127" spans="1:26" s="80" customFormat="1" ht="17.25" customHeight="1">
      <c r="A127" s="560">
        <v>119</v>
      </c>
      <c r="B127" s="691" t="s">
        <v>519</v>
      </c>
      <c r="C127" s="692" t="s">
        <v>99</v>
      </c>
      <c r="D127" s="693" t="s">
        <v>25</v>
      </c>
      <c r="E127" s="694" t="s">
        <v>521</v>
      </c>
      <c r="F127" s="664" t="s">
        <v>366</v>
      </c>
      <c r="G127" s="695">
        <v>1</v>
      </c>
      <c r="H127" s="177" t="s">
        <v>102</v>
      </c>
      <c r="I127" s="177" t="s">
        <v>103</v>
      </c>
      <c r="J127" s="178">
        <v>1</v>
      </c>
      <c r="K127" s="554">
        <v>17697</v>
      </c>
      <c r="L127" s="696">
        <v>18</v>
      </c>
      <c r="M127" s="567">
        <f t="shared" si="23"/>
        <v>1</v>
      </c>
      <c r="N127" s="698" t="s">
        <v>152</v>
      </c>
      <c r="O127" s="697">
        <v>4.75</v>
      </c>
      <c r="P127" s="697"/>
      <c r="Q127" s="567">
        <f t="shared" si="20"/>
        <v>84060.75</v>
      </c>
      <c r="R127" s="666">
        <v>0.25</v>
      </c>
      <c r="S127" s="554">
        <f t="shared" si="21"/>
        <v>21015.1875</v>
      </c>
      <c r="T127" s="554">
        <v>0.1</v>
      </c>
      <c r="U127" s="567">
        <f t="shared" si="22"/>
        <v>10507.59375</v>
      </c>
      <c r="V127" s="699"/>
      <c r="W127" s="700"/>
      <c r="X127" s="570">
        <f>U127+S127+Q127</f>
        <v>115583.53125</v>
      </c>
      <c r="Y127" s="688"/>
      <c r="Z127" s="688"/>
    </row>
    <row r="128" spans="1:26" s="80" customFormat="1" ht="16.5" customHeight="1">
      <c r="A128" s="560">
        <v>120</v>
      </c>
      <c r="B128" s="662" t="s">
        <v>298</v>
      </c>
      <c r="C128" s="647" t="s">
        <v>99</v>
      </c>
      <c r="D128" s="663" t="s">
        <v>300</v>
      </c>
      <c r="E128" s="664" t="s">
        <v>522</v>
      </c>
      <c r="F128" s="667" t="s">
        <v>40</v>
      </c>
      <c r="G128" s="177">
        <v>1</v>
      </c>
      <c r="H128" s="177" t="s">
        <v>102</v>
      </c>
      <c r="I128" s="177" t="s">
        <v>118</v>
      </c>
      <c r="J128" s="178">
        <v>2</v>
      </c>
      <c r="K128" s="554">
        <v>17697</v>
      </c>
      <c r="L128" s="665">
        <v>9</v>
      </c>
      <c r="M128" s="567">
        <f t="shared" si="23"/>
        <v>0.5</v>
      </c>
      <c r="N128" s="566" t="s">
        <v>104</v>
      </c>
      <c r="O128" s="663">
        <v>4.3899999999999997</v>
      </c>
      <c r="P128" s="663"/>
      <c r="Q128" s="567">
        <f t="shared" si="20"/>
        <v>38844.914999999994</v>
      </c>
      <c r="R128" s="666">
        <v>0.25</v>
      </c>
      <c r="S128" s="554">
        <f t="shared" si="21"/>
        <v>9711.2287499999984</v>
      </c>
      <c r="T128" s="554">
        <v>0.1</v>
      </c>
      <c r="U128" s="567">
        <f t="shared" si="22"/>
        <v>4855.6143749999992</v>
      </c>
      <c r="V128" s="569"/>
      <c r="W128" s="554"/>
      <c r="X128" s="570">
        <f t="shared" ref="X128:Z137" si="24">U128+S128+Q128</f>
        <v>53411.758124999993</v>
      </c>
      <c r="Y128" s="274">
        <f t="shared" si="24"/>
        <v>0.35</v>
      </c>
      <c r="Z128" s="274">
        <f t="shared" si="24"/>
        <v>14566.843124999998</v>
      </c>
    </row>
    <row r="129" spans="1:44" s="80" customFormat="1" ht="17.25" customHeight="1">
      <c r="A129" s="560">
        <v>121</v>
      </c>
      <c r="B129" s="153" t="s">
        <v>116</v>
      </c>
      <c r="C129" s="561" t="s">
        <v>99</v>
      </c>
      <c r="D129" s="560" t="s">
        <v>64</v>
      </c>
      <c r="E129" s="583" t="s">
        <v>470</v>
      </c>
      <c r="F129" s="562" t="s">
        <v>114</v>
      </c>
      <c r="G129" s="560">
        <v>1</v>
      </c>
      <c r="H129" s="563" t="s">
        <v>102</v>
      </c>
      <c r="I129" s="563" t="s">
        <v>118</v>
      </c>
      <c r="J129" s="564">
        <v>1</v>
      </c>
      <c r="K129" s="554">
        <v>17697</v>
      </c>
      <c r="L129" s="565">
        <v>12</v>
      </c>
      <c r="M129" s="567">
        <f t="shared" si="23"/>
        <v>0.66666666666666663</v>
      </c>
      <c r="N129" s="574" t="s">
        <v>152</v>
      </c>
      <c r="O129" s="566">
        <v>4.5199999999999996</v>
      </c>
      <c r="P129" s="566"/>
      <c r="Q129" s="567">
        <f>O129*K129/18*L129</f>
        <v>53326.959999999992</v>
      </c>
      <c r="R129" s="666">
        <v>0.25</v>
      </c>
      <c r="S129" s="554">
        <f t="shared" si="21"/>
        <v>13331.739999999998</v>
      </c>
      <c r="T129" s="554">
        <v>0.1</v>
      </c>
      <c r="U129" s="567">
        <f t="shared" si="22"/>
        <v>6665.869999999999</v>
      </c>
      <c r="V129" s="569"/>
      <c r="W129" s="554"/>
      <c r="X129" s="570">
        <f t="shared" si="24"/>
        <v>73324.569999999992</v>
      </c>
      <c r="Y129" s="274">
        <f>V129+R129</f>
        <v>0.25</v>
      </c>
      <c r="Z129" s="274">
        <f>W129+S129</f>
        <v>13331.739999999998</v>
      </c>
    </row>
    <row r="130" spans="1:44" s="80" customFormat="1" ht="17.25" customHeight="1">
      <c r="A130" s="560">
        <v>122</v>
      </c>
      <c r="B130" s="661" t="s">
        <v>38</v>
      </c>
      <c r="C130" s="647" t="s">
        <v>99</v>
      </c>
      <c r="D130" s="663" t="s">
        <v>25</v>
      </c>
      <c r="E130" s="664" t="s">
        <v>305</v>
      </c>
      <c r="F130" s="667" t="s">
        <v>40</v>
      </c>
      <c r="G130" s="177">
        <v>1</v>
      </c>
      <c r="H130" s="177" t="s">
        <v>102</v>
      </c>
      <c r="I130" s="177" t="s">
        <v>103</v>
      </c>
      <c r="J130" s="178">
        <v>1</v>
      </c>
      <c r="K130" s="554">
        <v>17697</v>
      </c>
      <c r="L130" s="665">
        <v>9</v>
      </c>
      <c r="M130" s="567">
        <f t="shared" si="23"/>
        <v>0.5</v>
      </c>
      <c r="N130" s="574" t="s">
        <v>152</v>
      </c>
      <c r="O130" s="567">
        <v>4.75</v>
      </c>
      <c r="P130" s="567"/>
      <c r="Q130" s="567">
        <f t="shared" si="20"/>
        <v>42030.375</v>
      </c>
      <c r="R130" s="666">
        <v>0.25</v>
      </c>
      <c r="S130" s="554">
        <f t="shared" si="21"/>
        <v>10507.59375</v>
      </c>
      <c r="T130" s="554">
        <v>0.1</v>
      </c>
      <c r="U130" s="567">
        <f t="shared" si="22"/>
        <v>5253.796875</v>
      </c>
      <c r="V130" s="569"/>
      <c r="W130" s="554"/>
      <c r="X130" s="570">
        <f t="shared" si="24"/>
        <v>57791.765625</v>
      </c>
      <c r="Y130" s="274">
        <f t="shared" si="24"/>
        <v>0.35</v>
      </c>
      <c r="Z130" s="274">
        <f t="shared" si="24"/>
        <v>15761.390625</v>
      </c>
    </row>
    <row r="131" spans="1:44" s="80" customFormat="1" ht="17.25" customHeight="1">
      <c r="A131" s="560">
        <v>123</v>
      </c>
      <c r="B131" s="669" t="s">
        <v>306</v>
      </c>
      <c r="C131" s="647" t="s">
        <v>99</v>
      </c>
      <c r="D131" s="663" t="s">
        <v>25</v>
      </c>
      <c r="E131" s="670" t="s">
        <v>307</v>
      </c>
      <c r="F131" s="671" t="s">
        <v>308</v>
      </c>
      <c r="G131" s="182">
        <v>1</v>
      </c>
      <c r="H131" s="177" t="s">
        <v>102</v>
      </c>
      <c r="I131" s="177" t="s">
        <v>103</v>
      </c>
      <c r="J131" s="182">
        <v>4</v>
      </c>
      <c r="K131" s="554">
        <v>17697</v>
      </c>
      <c r="L131" s="665">
        <v>20</v>
      </c>
      <c r="M131" s="567">
        <f t="shared" si="23"/>
        <v>1.1111111111111112</v>
      </c>
      <c r="N131" s="574" t="s">
        <v>112</v>
      </c>
      <c r="O131" s="663">
        <v>3.58</v>
      </c>
      <c r="P131" s="663"/>
      <c r="Q131" s="567">
        <f t="shared" si="20"/>
        <v>70394.733333333337</v>
      </c>
      <c r="R131" s="666">
        <v>0.25</v>
      </c>
      <c r="S131" s="554">
        <f t="shared" si="21"/>
        <v>17598.683333333334</v>
      </c>
      <c r="T131" s="554">
        <v>0.1</v>
      </c>
      <c r="U131" s="567">
        <f t="shared" si="22"/>
        <v>8799.3416666666672</v>
      </c>
      <c r="V131" s="569"/>
      <c r="W131" s="554"/>
      <c r="X131" s="570">
        <f>U131+S131+Q131</f>
        <v>96792.758333333331</v>
      </c>
      <c r="Y131" s="274">
        <f t="shared" si="24"/>
        <v>0.35</v>
      </c>
      <c r="Z131" s="274">
        <f t="shared" si="24"/>
        <v>26398.025000000001</v>
      </c>
    </row>
    <row r="132" spans="1:44" s="80" customFormat="1" ht="17.25" customHeight="1">
      <c r="A132" s="560">
        <v>124</v>
      </c>
      <c r="B132" s="661" t="s">
        <v>309</v>
      </c>
      <c r="C132" s="647" t="s">
        <v>99</v>
      </c>
      <c r="D132" s="663" t="s">
        <v>25</v>
      </c>
      <c r="E132" s="664" t="s">
        <v>311</v>
      </c>
      <c r="F132" s="667" t="s">
        <v>40</v>
      </c>
      <c r="G132" s="177">
        <v>1</v>
      </c>
      <c r="H132" s="177" t="s">
        <v>102</v>
      </c>
      <c r="I132" s="177" t="s">
        <v>103</v>
      </c>
      <c r="J132" s="178">
        <v>1</v>
      </c>
      <c r="K132" s="554">
        <v>17697</v>
      </c>
      <c r="L132" s="665">
        <v>26</v>
      </c>
      <c r="M132" s="567">
        <f t="shared" si="23"/>
        <v>1.4444444444444444</v>
      </c>
      <c r="N132" s="574" t="s">
        <v>152</v>
      </c>
      <c r="O132" s="567">
        <v>4.75</v>
      </c>
      <c r="P132" s="567"/>
      <c r="Q132" s="567">
        <f t="shared" si="20"/>
        <v>121421.08333333334</v>
      </c>
      <c r="R132" s="666">
        <v>0.25</v>
      </c>
      <c r="S132" s="554">
        <f t="shared" si="21"/>
        <v>30355.270833333336</v>
      </c>
      <c r="T132" s="554">
        <v>0.1</v>
      </c>
      <c r="U132" s="567">
        <f t="shared" si="22"/>
        <v>15177.63541666667</v>
      </c>
      <c r="V132" s="569"/>
      <c r="W132" s="554"/>
      <c r="X132" s="570">
        <f t="shared" si="24"/>
        <v>166953.98958333334</v>
      </c>
      <c r="Y132" s="274">
        <f t="shared" si="24"/>
        <v>0.35</v>
      </c>
      <c r="Z132" s="274">
        <f t="shared" si="24"/>
        <v>45532.906250000007</v>
      </c>
    </row>
    <row r="133" spans="1:44" s="80" customFormat="1" ht="17.25" customHeight="1">
      <c r="A133" s="560">
        <v>125</v>
      </c>
      <c r="B133" s="701" t="s">
        <v>447</v>
      </c>
      <c r="C133" s="692" t="s">
        <v>99</v>
      </c>
      <c r="D133" s="663" t="s">
        <v>300</v>
      </c>
      <c r="E133" s="664" t="s">
        <v>520</v>
      </c>
      <c r="F133" s="664" t="s">
        <v>159</v>
      </c>
      <c r="G133" s="695">
        <v>1</v>
      </c>
      <c r="H133" s="177" t="s">
        <v>102</v>
      </c>
      <c r="I133" s="177" t="s">
        <v>118</v>
      </c>
      <c r="J133" s="178">
        <v>4</v>
      </c>
      <c r="K133" s="554">
        <v>17697</v>
      </c>
      <c r="L133" s="696">
        <v>20</v>
      </c>
      <c r="M133" s="567">
        <f t="shared" si="23"/>
        <v>1.1111111111111112</v>
      </c>
      <c r="N133" s="698" t="s">
        <v>385</v>
      </c>
      <c r="O133" s="697">
        <v>3.32</v>
      </c>
      <c r="P133" s="697"/>
      <c r="Q133" s="567">
        <f t="shared" si="20"/>
        <v>65282.266666666656</v>
      </c>
      <c r="R133" s="666">
        <v>0.25</v>
      </c>
      <c r="S133" s="554">
        <f t="shared" si="21"/>
        <v>16320.566666666664</v>
      </c>
      <c r="T133" s="554">
        <v>0.1</v>
      </c>
      <c r="U133" s="567">
        <f t="shared" si="22"/>
        <v>8160.2833333333319</v>
      </c>
      <c r="V133" s="699"/>
      <c r="W133" s="700"/>
      <c r="X133" s="570">
        <f t="shared" si="24"/>
        <v>89763.116666666654</v>
      </c>
      <c r="Y133" s="688"/>
      <c r="Z133" s="688"/>
    </row>
    <row r="134" spans="1:44" s="80" customFormat="1" ht="17.25" customHeight="1">
      <c r="A134" s="560">
        <v>126</v>
      </c>
      <c r="B134" s="702" t="s">
        <v>274</v>
      </c>
      <c r="C134" s="692" t="s">
        <v>136</v>
      </c>
      <c r="D134" s="663" t="s">
        <v>25</v>
      </c>
      <c r="E134" s="694" t="s">
        <v>523</v>
      </c>
      <c r="F134" s="694" t="s">
        <v>403</v>
      </c>
      <c r="G134" s="695">
        <v>1</v>
      </c>
      <c r="H134" s="177" t="s">
        <v>102</v>
      </c>
      <c r="I134" s="177" t="s">
        <v>103</v>
      </c>
      <c r="J134" s="178">
        <v>1</v>
      </c>
      <c r="K134" s="554">
        <v>17697</v>
      </c>
      <c r="L134" s="696">
        <v>10</v>
      </c>
      <c r="M134" s="567">
        <f t="shared" si="23"/>
        <v>0.55555555555555558</v>
      </c>
      <c r="N134" s="698" t="s">
        <v>152</v>
      </c>
      <c r="O134" s="697">
        <v>4.16</v>
      </c>
      <c r="P134" s="697"/>
      <c r="Q134" s="567">
        <f t="shared" si="20"/>
        <v>40899.733333333337</v>
      </c>
      <c r="R134" s="666">
        <v>0.25</v>
      </c>
      <c r="S134" s="554">
        <f t="shared" si="21"/>
        <v>10224.933333333334</v>
      </c>
      <c r="T134" s="554">
        <v>0.1</v>
      </c>
      <c r="U134" s="567">
        <f t="shared" si="22"/>
        <v>5112.4666666666672</v>
      </c>
      <c r="V134" s="699"/>
      <c r="W134" s="700"/>
      <c r="X134" s="570">
        <f t="shared" si="24"/>
        <v>56237.133333333339</v>
      </c>
      <c r="Y134" s="688"/>
      <c r="Z134" s="688"/>
    </row>
    <row r="135" spans="1:44" s="80" customFormat="1" ht="17.25" customHeight="1">
      <c r="A135" s="560">
        <v>127</v>
      </c>
      <c r="B135" s="176" t="s">
        <v>524</v>
      </c>
      <c r="C135" s="692" t="s">
        <v>525</v>
      </c>
      <c r="D135" s="693" t="s">
        <v>25</v>
      </c>
      <c r="E135" s="694" t="s">
        <v>526</v>
      </c>
      <c r="F135" s="664" t="s">
        <v>366</v>
      </c>
      <c r="G135" s="695">
        <v>1</v>
      </c>
      <c r="H135" s="177" t="s">
        <v>102</v>
      </c>
      <c r="I135" s="177" t="s">
        <v>103</v>
      </c>
      <c r="J135" s="178">
        <v>1</v>
      </c>
      <c r="K135" s="554">
        <v>17697</v>
      </c>
      <c r="L135" s="696">
        <v>18</v>
      </c>
      <c r="M135" s="567">
        <f t="shared" si="23"/>
        <v>1</v>
      </c>
      <c r="N135" s="698" t="s">
        <v>152</v>
      </c>
      <c r="O135" s="697">
        <v>4.6900000000000004</v>
      </c>
      <c r="P135" s="697"/>
      <c r="Q135" s="567">
        <f t="shared" si="20"/>
        <v>82998.930000000008</v>
      </c>
      <c r="R135" s="666">
        <v>0.25</v>
      </c>
      <c r="S135" s="554">
        <f t="shared" si="21"/>
        <v>20749.732500000002</v>
      </c>
      <c r="T135" s="554">
        <v>0.1</v>
      </c>
      <c r="U135" s="567">
        <f t="shared" si="22"/>
        <v>10374.866250000001</v>
      </c>
      <c r="V135" s="699"/>
      <c r="W135" s="700"/>
      <c r="X135" s="570">
        <f t="shared" si="24"/>
        <v>114123.52875000001</v>
      </c>
      <c r="Y135" s="688"/>
      <c r="Z135" s="688"/>
    </row>
    <row r="136" spans="1:44" s="80" customFormat="1" ht="17.25" customHeight="1">
      <c r="A136" s="560">
        <v>128</v>
      </c>
      <c r="B136" s="662" t="s">
        <v>319</v>
      </c>
      <c r="C136" s="647" t="s">
        <v>99</v>
      </c>
      <c r="D136" s="663" t="s">
        <v>25</v>
      </c>
      <c r="E136" s="664" t="s">
        <v>320</v>
      </c>
      <c r="F136" s="667" t="s">
        <v>249</v>
      </c>
      <c r="G136" s="177">
        <v>1</v>
      </c>
      <c r="H136" s="177" t="s">
        <v>232</v>
      </c>
      <c r="I136" s="177" t="s">
        <v>233</v>
      </c>
      <c r="J136" s="178">
        <v>3</v>
      </c>
      <c r="K136" s="554">
        <v>17697</v>
      </c>
      <c r="L136" s="665">
        <v>27</v>
      </c>
      <c r="M136" s="567">
        <f t="shared" si="23"/>
        <v>1.5</v>
      </c>
      <c r="N136" s="566" t="s">
        <v>109</v>
      </c>
      <c r="O136" s="663">
        <v>4.1399999999999997</v>
      </c>
      <c r="P136" s="663"/>
      <c r="Q136" s="567">
        <f t="shared" si="20"/>
        <v>109898.36999999998</v>
      </c>
      <c r="R136" s="666">
        <v>0.25</v>
      </c>
      <c r="S136" s="554">
        <f t="shared" si="21"/>
        <v>27474.592499999995</v>
      </c>
      <c r="T136" s="554">
        <v>0.1</v>
      </c>
      <c r="U136" s="567">
        <f t="shared" si="22"/>
        <v>13737.296249999998</v>
      </c>
      <c r="V136" s="569"/>
      <c r="W136" s="554"/>
      <c r="X136" s="570">
        <f t="shared" si="24"/>
        <v>151110.25874999998</v>
      </c>
      <c r="Y136" s="10">
        <f t="shared" si="24"/>
        <v>0.35</v>
      </c>
      <c r="Z136" s="10">
        <f t="shared" si="24"/>
        <v>41211.888749999991</v>
      </c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</row>
    <row r="137" spans="1:44" s="80" customFormat="1" ht="17.25" customHeight="1">
      <c r="A137" s="560">
        <v>129</v>
      </c>
      <c r="B137" s="661" t="s">
        <v>324</v>
      </c>
      <c r="C137" s="647" t="s">
        <v>99</v>
      </c>
      <c r="D137" s="663" t="s">
        <v>25</v>
      </c>
      <c r="E137" s="664" t="s">
        <v>325</v>
      </c>
      <c r="F137" s="667" t="s">
        <v>40</v>
      </c>
      <c r="G137" s="177">
        <v>1</v>
      </c>
      <c r="H137" s="177" t="s">
        <v>102</v>
      </c>
      <c r="I137" s="177" t="s">
        <v>103</v>
      </c>
      <c r="J137" s="178">
        <v>1</v>
      </c>
      <c r="K137" s="554">
        <v>17697</v>
      </c>
      <c r="L137" s="665">
        <v>14</v>
      </c>
      <c r="M137" s="567">
        <f t="shared" si="23"/>
        <v>0.77777777777777779</v>
      </c>
      <c r="N137" s="574" t="s">
        <v>152</v>
      </c>
      <c r="O137" s="567">
        <v>4.75</v>
      </c>
      <c r="P137" s="567"/>
      <c r="Q137" s="567">
        <f t="shared" si="20"/>
        <v>65380.583333333336</v>
      </c>
      <c r="R137" s="666">
        <v>0.25</v>
      </c>
      <c r="S137" s="554">
        <f t="shared" si="21"/>
        <v>16345.145833333334</v>
      </c>
      <c r="T137" s="554">
        <v>0.1</v>
      </c>
      <c r="U137" s="567">
        <f t="shared" si="22"/>
        <v>8172.5729166666679</v>
      </c>
      <c r="V137" s="569"/>
      <c r="W137" s="554"/>
      <c r="X137" s="570">
        <f t="shared" si="24"/>
        <v>89898.302083333343</v>
      </c>
      <c r="Y137" s="274">
        <f t="shared" si="24"/>
        <v>0.35</v>
      </c>
      <c r="Z137" s="274">
        <f t="shared" si="24"/>
        <v>24517.71875</v>
      </c>
    </row>
    <row r="138" spans="1:44" s="24" customFormat="1" ht="17.25" customHeight="1">
      <c r="A138" s="617"/>
      <c r="B138" s="672"/>
      <c r="C138" s="672"/>
      <c r="D138" s="673"/>
      <c r="E138" s="673"/>
      <c r="F138" s="672"/>
      <c r="G138" s="119"/>
      <c r="H138" s="119"/>
      <c r="I138" s="119"/>
      <c r="J138" s="120"/>
      <c r="K138" s="619"/>
      <c r="L138" s="674">
        <f>SUM(L123:L137)</f>
        <v>246</v>
      </c>
      <c r="M138" s="623"/>
      <c r="N138" s="675"/>
      <c r="O138" s="668"/>
      <c r="P138" s="673"/>
      <c r="Q138" s="623">
        <f t="shared" ref="Q138:V138" si="25">SUM(Q123:Q137)</f>
        <v>1054456.0816666665</v>
      </c>
      <c r="R138" s="623">
        <f t="shared" si="25"/>
        <v>3.75</v>
      </c>
      <c r="S138" s="623">
        <f t="shared" si="25"/>
        <v>263614.02041666664</v>
      </c>
      <c r="T138" s="623">
        <f t="shared" si="25"/>
        <v>1.5000000000000002</v>
      </c>
      <c r="U138" s="623">
        <f t="shared" si="25"/>
        <v>131807.01020833332</v>
      </c>
      <c r="V138" s="623">
        <f t="shared" si="25"/>
        <v>0</v>
      </c>
      <c r="W138" s="619"/>
      <c r="X138" s="626">
        <f>SUM(X123:X137)</f>
        <v>1449877.1122916667</v>
      </c>
      <c r="Y138" s="104"/>
      <c r="Z138" s="104"/>
    </row>
    <row r="139" spans="1:44" s="390" customFormat="1" ht="18" customHeight="1">
      <c r="A139" s="703">
        <v>130</v>
      </c>
      <c r="B139" s="548" t="s">
        <v>368</v>
      </c>
      <c r="C139" s="647" t="s">
        <v>338</v>
      </c>
      <c r="D139" s="547" t="s">
        <v>64</v>
      </c>
      <c r="E139" s="704"/>
      <c r="F139" s="705"/>
      <c r="G139" s="706" t="s">
        <v>409</v>
      </c>
      <c r="H139" s="577"/>
      <c r="I139" s="707"/>
      <c r="J139" s="577">
        <v>2</v>
      </c>
      <c r="K139" s="552">
        <v>17697</v>
      </c>
      <c r="L139" s="552"/>
      <c r="M139" s="556">
        <v>1.5</v>
      </c>
      <c r="N139" s="552"/>
      <c r="O139" s="552">
        <v>2.81</v>
      </c>
      <c r="P139" s="552"/>
      <c r="Q139" s="567">
        <f>K139*O139*M139</f>
        <v>74592.854999999996</v>
      </c>
      <c r="R139" s="552">
        <f t="shared" ref="R139:R164" si="26">K139*Q140*N139</f>
        <v>0</v>
      </c>
      <c r="S139" s="557"/>
      <c r="T139" s="708">
        <v>0.1</v>
      </c>
      <c r="U139" s="552">
        <f t="shared" ref="U139:U165" si="27">T139*Q139</f>
        <v>7459.2855</v>
      </c>
      <c r="V139" s="552"/>
      <c r="W139" s="558"/>
      <c r="X139" s="559">
        <f t="shared" ref="X139:Z154" si="28">Q139+U139+W139</f>
        <v>82052.140499999994</v>
      </c>
      <c r="Y139" s="363">
        <f t="shared" si="28"/>
        <v>82052.140499999994</v>
      </c>
      <c r="Z139" s="363">
        <f t="shared" si="28"/>
        <v>82052.140499999994</v>
      </c>
      <c r="AA139" s="389"/>
      <c r="AB139" s="389"/>
      <c r="AC139" s="389"/>
      <c r="AD139" s="389"/>
      <c r="AE139" s="389"/>
      <c r="AF139" s="389"/>
      <c r="AG139" s="389"/>
      <c r="AH139" s="389"/>
      <c r="AI139" s="389"/>
      <c r="AJ139" s="389"/>
      <c r="AK139" s="389"/>
      <c r="AL139" s="389"/>
      <c r="AM139" s="389"/>
      <c r="AN139" s="389"/>
    </row>
    <row r="140" spans="1:44" s="390" customFormat="1" ht="15.75" customHeight="1">
      <c r="A140" s="709">
        <v>131</v>
      </c>
      <c r="B140" s="153" t="s">
        <v>332</v>
      </c>
      <c r="C140" s="647" t="s">
        <v>338</v>
      </c>
      <c r="D140" s="560" t="s">
        <v>64</v>
      </c>
      <c r="E140" s="710"/>
      <c r="F140" s="711"/>
      <c r="G140" s="712" t="s">
        <v>404</v>
      </c>
      <c r="H140" s="563"/>
      <c r="I140" s="689"/>
      <c r="J140" s="563">
        <v>2</v>
      </c>
      <c r="K140" s="554">
        <v>17697</v>
      </c>
      <c r="L140" s="554"/>
      <c r="M140" s="552">
        <v>0.5</v>
      </c>
      <c r="N140" s="554"/>
      <c r="O140" s="552">
        <v>2.81</v>
      </c>
      <c r="P140" s="552"/>
      <c r="Q140" s="567">
        <f t="shared" ref="Q140:Q165" si="29">K140*O140*M140</f>
        <v>24864.285</v>
      </c>
      <c r="R140" s="552">
        <f t="shared" si="26"/>
        <v>0</v>
      </c>
      <c r="S140" s="568"/>
      <c r="T140" s="708">
        <v>0.1</v>
      </c>
      <c r="U140" s="552">
        <f t="shared" si="27"/>
        <v>2486.4285</v>
      </c>
      <c r="V140" s="554"/>
      <c r="W140" s="554"/>
      <c r="X140" s="559">
        <f t="shared" si="28"/>
        <v>27350.713499999998</v>
      </c>
      <c r="Y140" s="363">
        <f t="shared" si="28"/>
        <v>27350.713499999998</v>
      </c>
      <c r="Z140" s="363">
        <f t="shared" si="28"/>
        <v>27350.713499999998</v>
      </c>
      <c r="AA140" s="389"/>
      <c r="AB140" s="389"/>
      <c r="AC140" s="389"/>
      <c r="AD140" s="389"/>
      <c r="AE140" s="389"/>
      <c r="AF140" s="389"/>
      <c r="AG140" s="389"/>
      <c r="AH140" s="389"/>
      <c r="AI140" s="389"/>
      <c r="AJ140" s="389"/>
      <c r="AK140" s="389"/>
      <c r="AL140" s="389"/>
      <c r="AM140" s="389"/>
      <c r="AN140" s="389"/>
    </row>
    <row r="141" spans="1:44" s="377" customFormat="1" ht="15.75">
      <c r="A141" s="703">
        <v>132</v>
      </c>
      <c r="B141" s="153" t="s">
        <v>350</v>
      </c>
      <c r="C141" s="647" t="s">
        <v>338</v>
      </c>
      <c r="D141" s="560" t="s">
        <v>64</v>
      </c>
      <c r="E141" s="710"/>
      <c r="F141" s="560"/>
      <c r="G141" s="712" t="s">
        <v>404</v>
      </c>
      <c r="H141" s="563"/>
      <c r="I141" s="689"/>
      <c r="J141" s="563">
        <v>2</v>
      </c>
      <c r="K141" s="554">
        <v>17697</v>
      </c>
      <c r="L141" s="554"/>
      <c r="M141" s="554">
        <v>0.5</v>
      </c>
      <c r="N141" s="554"/>
      <c r="O141" s="554">
        <v>2.81</v>
      </c>
      <c r="P141" s="554"/>
      <c r="Q141" s="567">
        <f t="shared" si="29"/>
        <v>24864.285</v>
      </c>
      <c r="R141" s="552">
        <f t="shared" si="26"/>
        <v>0</v>
      </c>
      <c r="S141" s="554"/>
      <c r="T141" s="708">
        <v>0.1</v>
      </c>
      <c r="U141" s="552">
        <f t="shared" si="27"/>
        <v>2486.4285</v>
      </c>
      <c r="V141" s="554"/>
      <c r="W141" s="554"/>
      <c r="X141" s="559">
        <f t="shared" si="28"/>
        <v>27350.713499999998</v>
      </c>
      <c r="Y141" s="363">
        <f t="shared" si="28"/>
        <v>27350.713499999998</v>
      </c>
      <c r="Z141" s="363">
        <f t="shared" si="28"/>
        <v>27350.713499999998</v>
      </c>
    </row>
    <row r="142" spans="1:44" s="377" customFormat="1" ht="15.75">
      <c r="A142" s="709">
        <v>133</v>
      </c>
      <c r="B142" s="153" t="s">
        <v>335</v>
      </c>
      <c r="C142" s="561" t="s">
        <v>336</v>
      </c>
      <c r="D142" s="560" t="s">
        <v>64</v>
      </c>
      <c r="E142" s="710"/>
      <c r="F142" s="560"/>
      <c r="G142" s="712" t="s">
        <v>409</v>
      </c>
      <c r="H142" s="563"/>
      <c r="I142" s="689"/>
      <c r="J142" s="563">
        <v>4</v>
      </c>
      <c r="K142" s="554">
        <v>17697</v>
      </c>
      <c r="L142" s="554"/>
      <c r="M142" s="554">
        <v>1.5</v>
      </c>
      <c r="N142" s="554"/>
      <c r="O142" s="554">
        <v>2.89</v>
      </c>
      <c r="P142" s="554"/>
      <c r="Q142" s="567">
        <f t="shared" si="29"/>
        <v>76716.494999999995</v>
      </c>
      <c r="R142" s="552">
        <f t="shared" si="26"/>
        <v>0</v>
      </c>
      <c r="S142" s="554"/>
      <c r="T142" s="708">
        <v>0.1</v>
      </c>
      <c r="U142" s="552">
        <f t="shared" si="27"/>
        <v>7671.6494999999995</v>
      </c>
      <c r="V142" s="554"/>
      <c r="W142" s="554"/>
      <c r="X142" s="559">
        <f t="shared" si="28"/>
        <v>84388.144499999995</v>
      </c>
      <c r="Y142" s="363">
        <f t="shared" si="28"/>
        <v>84388.144499999995</v>
      </c>
      <c r="Z142" s="363">
        <f t="shared" si="28"/>
        <v>84388.144499999995</v>
      </c>
    </row>
    <row r="143" spans="1:44" s="364" customFormat="1" ht="15.75">
      <c r="A143" s="703">
        <v>134</v>
      </c>
      <c r="B143" s="646" t="s">
        <v>337</v>
      </c>
      <c r="C143" s="647" t="s">
        <v>338</v>
      </c>
      <c r="D143" s="628" t="s">
        <v>64</v>
      </c>
      <c r="E143" s="713"/>
      <c r="F143" s="628"/>
      <c r="G143" s="628">
        <v>0.5</v>
      </c>
      <c r="H143" s="714"/>
      <c r="I143" s="715"/>
      <c r="J143" s="628">
        <v>2</v>
      </c>
      <c r="K143" s="715">
        <v>17697</v>
      </c>
      <c r="L143" s="715"/>
      <c r="M143" s="554">
        <v>0.5</v>
      </c>
      <c r="N143" s="554"/>
      <c r="O143" s="552">
        <v>2.81</v>
      </c>
      <c r="P143" s="552"/>
      <c r="Q143" s="567">
        <f t="shared" si="29"/>
        <v>24864.285</v>
      </c>
      <c r="R143" s="552">
        <f t="shared" si="26"/>
        <v>0</v>
      </c>
      <c r="S143" s="554"/>
      <c r="T143" s="708">
        <v>0.1</v>
      </c>
      <c r="U143" s="552">
        <f t="shared" si="27"/>
        <v>2486.4285</v>
      </c>
      <c r="V143" s="554"/>
      <c r="W143" s="554"/>
      <c r="X143" s="559">
        <f t="shared" si="28"/>
        <v>27350.713499999998</v>
      </c>
      <c r="Y143" s="363">
        <f t="shared" si="28"/>
        <v>27350.713499999998</v>
      </c>
      <c r="Z143" s="363">
        <f t="shared" si="28"/>
        <v>27350.713499999998</v>
      </c>
    </row>
    <row r="144" spans="1:44" s="364" customFormat="1" ht="15.75">
      <c r="A144" s="709">
        <v>135</v>
      </c>
      <c r="B144" s="646" t="s">
        <v>382</v>
      </c>
      <c r="C144" s="647" t="s">
        <v>338</v>
      </c>
      <c r="D144" s="560" t="s">
        <v>64</v>
      </c>
      <c r="E144" s="713"/>
      <c r="F144" s="646"/>
      <c r="G144" s="628">
        <v>0.5</v>
      </c>
      <c r="H144" s="714"/>
      <c r="I144" s="715"/>
      <c r="J144" s="628">
        <v>2</v>
      </c>
      <c r="K144" s="715">
        <v>17697</v>
      </c>
      <c r="L144" s="715"/>
      <c r="M144" s="554">
        <v>0.5</v>
      </c>
      <c r="N144" s="554"/>
      <c r="O144" s="552">
        <v>2.81</v>
      </c>
      <c r="P144" s="552"/>
      <c r="Q144" s="567">
        <f t="shared" si="29"/>
        <v>24864.285</v>
      </c>
      <c r="R144" s="552">
        <f>K144*Q146*N144</f>
        <v>0</v>
      </c>
      <c r="S144" s="554"/>
      <c r="T144" s="708">
        <v>0.1</v>
      </c>
      <c r="U144" s="552">
        <f t="shared" si="27"/>
        <v>2486.4285</v>
      </c>
      <c r="V144" s="554"/>
      <c r="W144" s="554"/>
      <c r="X144" s="559">
        <f t="shared" si="28"/>
        <v>27350.713499999998</v>
      </c>
      <c r="Y144" s="363">
        <f t="shared" si="28"/>
        <v>27350.713499999998</v>
      </c>
      <c r="Z144" s="363">
        <f t="shared" si="28"/>
        <v>27350.713499999998</v>
      </c>
    </row>
    <row r="145" spans="1:40" s="364" customFormat="1" ht="15.75">
      <c r="A145" s="703">
        <v>136</v>
      </c>
      <c r="B145" s="646" t="s">
        <v>383</v>
      </c>
      <c r="C145" s="647" t="s">
        <v>338</v>
      </c>
      <c r="D145" s="560" t="s">
        <v>75</v>
      </c>
      <c r="E145" s="713"/>
      <c r="F145" s="716"/>
      <c r="G145" s="628">
        <v>1</v>
      </c>
      <c r="H145" s="714"/>
      <c r="I145" s="715"/>
      <c r="J145" s="628">
        <v>2</v>
      </c>
      <c r="K145" s="715">
        <v>17697</v>
      </c>
      <c r="L145" s="715"/>
      <c r="M145" s="554">
        <v>1</v>
      </c>
      <c r="N145" s="554"/>
      <c r="O145" s="552">
        <v>2.81</v>
      </c>
      <c r="P145" s="552"/>
      <c r="Q145" s="567">
        <f t="shared" si="29"/>
        <v>49728.57</v>
      </c>
      <c r="R145" s="552">
        <f>K145*Q147*N145</f>
        <v>0</v>
      </c>
      <c r="S145" s="554"/>
      <c r="T145" s="708">
        <v>0.1</v>
      </c>
      <c r="U145" s="552">
        <f t="shared" si="27"/>
        <v>4972.857</v>
      </c>
      <c r="V145" s="554"/>
      <c r="W145" s="554"/>
      <c r="X145" s="559">
        <f>Q145+U145+W145</f>
        <v>54701.426999999996</v>
      </c>
      <c r="Y145" s="363">
        <f>R145+V145+X145</f>
        <v>54701.426999999996</v>
      </c>
      <c r="Z145" s="363">
        <f>S145+W145+Y145</f>
        <v>54701.426999999996</v>
      </c>
    </row>
    <row r="146" spans="1:40" s="390" customFormat="1" ht="15.75">
      <c r="A146" s="709">
        <v>137</v>
      </c>
      <c r="B146" s="153" t="s">
        <v>339</v>
      </c>
      <c r="C146" s="647" t="s">
        <v>340</v>
      </c>
      <c r="D146" s="560" t="s">
        <v>64</v>
      </c>
      <c r="E146" s="563"/>
      <c r="F146" s="711"/>
      <c r="G146" s="712">
        <v>1</v>
      </c>
      <c r="H146" s="563"/>
      <c r="I146" s="689"/>
      <c r="J146" s="563">
        <v>2</v>
      </c>
      <c r="K146" s="554">
        <v>17697</v>
      </c>
      <c r="L146" s="554"/>
      <c r="M146" s="554">
        <v>1</v>
      </c>
      <c r="N146" s="554"/>
      <c r="O146" s="552">
        <v>2.81</v>
      </c>
      <c r="P146" s="552"/>
      <c r="Q146" s="567">
        <f t="shared" si="29"/>
        <v>49728.57</v>
      </c>
      <c r="R146" s="552">
        <f t="shared" si="26"/>
        <v>0</v>
      </c>
      <c r="S146" s="568"/>
      <c r="T146" s="708">
        <v>0.1</v>
      </c>
      <c r="U146" s="552">
        <f t="shared" si="27"/>
        <v>4972.857</v>
      </c>
      <c r="V146" s="569">
        <v>0.3</v>
      </c>
      <c r="W146" s="554">
        <f t="shared" ref="W146:W152" si="30">V146*K146</f>
        <v>5309.0999999999995</v>
      </c>
      <c r="X146" s="559">
        <f t="shared" si="28"/>
        <v>60010.526999999995</v>
      </c>
      <c r="Y146" s="363">
        <f t="shared" si="28"/>
        <v>60010.826999999997</v>
      </c>
      <c r="Z146" s="363">
        <f t="shared" si="28"/>
        <v>65319.926999999996</v>
      </c>
      <c r="AA146" s="389"/>
      <c r="AB146" s="389"/>
      <c r="AC146" s="389"/>
      <c r="AD146" s="389"/>
      <c r="AE146" s="389"/>
      <c r="AF146" s="389"/>
      <c r="AG146" s="389"/>
      <c r="AH146" s="389"/>
      <c r="AI146" s="389"/>
      <c r="AJ146" s="389"/>
      <c r="AK146" s="389"/>
      <c r="AL146" s="389"/>
      <c r="AM146" s="389"/>
      <c r="AN146" s="389"/>
    </row>
    <row r="147" spans="1:40" s="390" customFormat="1" ht="15.75">
      <c r="A147" s="703">
        <v>138</v>
      </c>
      <c r="B147" s="153" t="s">
        <v>341</v>
      </c>
      <c r="C147" s="647" t="s">
        <v>340</v>
      </c>
      <c r="D147" s="560" t="s">
        <v>64</v>
      </c>
      <c r="E147" s="563"/>
      <c r="F147" s="711"/>
      <c r="G147" s="712">
        <v>1</v>
      </c>
      <c r="H147" s="563"/>
      <c r="I147" s="689"/>
      <c r="J147" s="563">
        <v>2</v>
      </c>
      <c r="K147" s="554">
        <v>17697</v>
      </c>
      <c r="L147" s="554"/>
      <c r="M147" s="554">
        <v>1</v>
      </c>
      <c r="N147" s="554"/>
      <c r="O147" s="552">
        <v>2.81</v>
      </c>
      <c r="P147" s="552"/>
      <c r="Q147" s="567">
        <f t="shared" si="29"/>
        <v>49728.57</v>
      </c>
      <c r="R147" s="552">
        <f t="shared" si="26"/>
        <v>0</v>
      </c>
      <c r="S147" s="568"/>
      <c r="T147" s="708">
        <v>0.1</v>
      </c>
      <c r="U147" s="552">
        <f t="shared" si="27"/>
        <v>4972.857</v>
      </c>
      <c r="V147" s="569">
        <v>0.3</v>
      </c>
      <c r="W147" s="554">
        <f t="shared" si="30"/>
        <v>5309.0999999999995</v>
      </c>
      <c r="X147" s="559">
        <f t="shared" si="28"/>
        <v>60010.526999999995</v>
      </c>
      <c r="Y147" s="363">
        <f t="shared" si="28"/>
        <v>60010.826999999997</v>
      </c>
      <c r="Z147" s="363">
        <f t="shared" si="28"/>
        <v>65319.926999999996</v>
      </c>
      <c r="AA147" s="389"/>
      <c r="AB147" s="389"/>
      <c r="AC147" s="389"/>
      <c r="AD147" s="389"/>
      <c r="AE147" s="389"/>
      <c r="AF147" s="389"/>
      <c r="AG147" s="389"/>
      <c r="AH147" s="389"/>
      <c r="AI147" s="389"/>
      <c r="AJ147" s="389"/>
      <c r="AK147" s="389"/>
      <c r="AL147" s="389"/>
      <c r="AM147" s="389"/>
      <c r="AN147" s="389"/>
    </row>
    <row r="148" spans="1:40" s="390" customFormat="1" ht="15.75">
      <c r="A148" s="709">
        <v>139</v>
      </c>
      <c r="B148" s="153" t="s">
        <v>342</v>
      </c>
      <c r="C148" s="647" t="s">
        <v>340</v>
      </c>
      <c r="D148" s="560" t="s">
        <v>64</v>
      </c>
      <c r="E148" s="563"/>
      <c r="F148" s="711"/>
      <c r="G148" s="712">
        <v>1</v>
      </c>
      <c r="H148" s="563"/>
      <c r="I148" s="689"/>
      <c r="J148" s="563">
        <v>2</v>
      </c>
      <c r="K148" s="554">
        <v>17697</v>
      </c>
      <c r="L148" s="554"/>
      <c r="M148" s="554">
        <v>1</v>
      </c>
      <c r="N148" s="554"/>
      <c r="O148" s="552">
        <v>2.81</v>
      </c>
      <c r="P148" s="552"/>
      <c r="Q148" s="567">
        <f t="shared" si="29"/>
        <v>49728.57</v>
      </c>
      <c r="R148" s="552">
        <f t="shared" si="26"/>
        <v>0</v>
      </c>
      <c r="S148" s="568"/>
      <c r="T148" s="708">
        <v>0.1</v>
      </c>
      <c r="U148" s="552">
        <f t="shared" si="27"/>
        <v>4972.857</v>
      </c>
      <c r="V148" s="569">
        <v>0.3</v>
      </c>
      <c r="W148" s="554">
        <f t="shared" si="30"/>
        <v>5309.0999999999995</v>
      </c>
      <c r="X148" s="559">
        <f t="shared" si="28"/>
        <v>60010.526999999995</v>
      </c>
      <c r="Y148" s="363">
        <f t="shared" si="28"/>
        <v>60010.826999999997</v>
      </c>
      <c r="Z148" s="363">
        <f t="shared" si="28"/>
        <v>65319.926999999996</v>
      </c>
      <c r="AA148" s="389"/>
      <c r="AB148" s="389"/>
      <c r="AC148" s="389"/>
      <c r="AD148" s="389"/>
      <c r="AE148" s="389"/>
      <c r="AF148" s="389"/>
      <c r="AG148" s="389"/>
      <c r="AH148" s="389"/>
      <c r="AI148" s="389"/>
      <c r="AJ148" s="389"/>
      <c r="AK148" s="389"/>
      <c r="AL148" s="389"/>
      <c r="AM148" s="389"/>
      <c r="AN148" s="389"/>
    </row>
    <row r="149" spans="1:40" s="390" customFormat="1" ht="15.75">
      <c r="A149" s="703">
        <v>140</v>
      </c>
      <c r="B149" s="153" t="s">
        <v>343</v>
      </c>
      <c r="C149" s="647" t="s">
        <v>340</v>
      </c>
      <c r="D149" s="560" t="s">
        <v>64</v>
      </c>
      <c r="E149" s="563"/>
      <c r="F149" s="711"/>
      <c r="G149" s="712">
        <v>1</v>
      </c>
      <c r="H149" s="563"/>
      <c r="I149" s="689"/>
      <c r="J149" s="563">
        <v>2</v>
      </c>
      <c r="K149" s="554">
        <v>17697</v>
      </c>
      <c r="L149" s="554"/>
      <c r="M149" s="554">
        <v>1</v>
      </c>
      <c r="N149" s="554"/>
      <c r="O149" s="552">
        <v>2.81</v>
      </c>
      <c r="P149" s="552"/>
      <c r="Q149" s="567">
        <f t="shared" si="29"/>
        <v>49728.57</v>
      </c>
      <c r="R149" s="552">
        <f t="shared" si="26"/>
        <v>0</v>
      </c>
      <c r="S149" s="568"/>
      <c r="T149" s="708">
        <v>0.1</v>
      </c>
      <c r="U149" s="552">
        <f t="shared" si="27"/>
        <v>4972.857</v>
      </c>
      <c r="V149" s="569">
        <v>0.3</v>
      </c>
      <c r="W149" s="554">
        <f t="shared" si="30"/>
        <v>5309.0999999999995</v>
      </c>
      <c r="X149" s="559">
        <f t="shared" si="28"/>
        <v>60010.526999999995</v>
      </c>
      <c r="Y149" s="363">
        <f t="shared" si="28"/>
        <v>60010.826999999997</v>
      </c>
      <c r="Z149" s="363">
        <f t="shared" si="28"/>
        <v>65319.926999999996</v>
      </c>
      <c r="AA149" s="389"/>
      <c r="AB149" s="389"/>
      <c r="AC149" s="389"/>
      <c r="AD149" s="389"/>
      <c r="AE149" s="389"/>
      <c r="AF149" s="389"/>
      <c r="AG149" s="389"/>
      <c r="AH149" s="389"/>
      <c r="AI149" s="389"/>
      <c r="AJ149" s="389"/>
      <c r="AK149" s="389"/>
      <c r="AL149" s="389"/>
      <c r="AM149" s="389"/>
      <c r="AN149" s="389"/>
    </row>
    <row r="150" spans="1:40" s="377" customFormat="1" ht="15.75">
      <c r="A150" s="709">
        <v>141</v>
      </c>
      <c r="B150" s="153" t="s">
        <v>505</v>
      </c>
      <c r="C150" s="647" t="s">
        <v>340</v>
      </c>
      <c r="D150" s="560" t="s">
        <v>64</v>
      </c>
      <c r="E150" s="563"/>
      <c r="F150" s="717"/>
      <c r="G150" s="712">
        <v>1</v>
      </c>
      <c r="H150" s="563"/>
      <c r="I150" s="689"/>
      <c r="J150" s="563">
        <v>2</v>
      </c>
      <c r="K150" s="554">
        <v>17697</v>
      </c>
      <c r="L150" s="554"/>
      <c r="M150" s="554">
        <v>1</v>
      </c>
      <c r="N150" s="554"/>
      <c r="O150" s="552">
        <v>2.81</v>
      </c>
      <c r="P150" s="552"/>
      <c r="Q150" s="567">
        <f t="shared" si="29"/>
        <v>49728.57</v>
      </c>
      <c r="R150" s="552">
        <f t="shared" si="26"/>
        <v>0</v>
      </c>
      <c r="S150" s="554"/>
      <c r="T150" s="708">
        <v>0.1</v>
      </c>
      <c r="U150" s="552">
        <f t="shared" si="27"/>
        <v>4972.857</v>
      </c>
      <c r="V150" s="569">
        <v>0.3</v>
      </c>
      <c r="W150" s="554">
        <f t="shared" si="30"/>
        <v>5309.0999999999995</v>
      </c>
      <c r="X150" s="559">
        <f t="shared" si="28"/>
        <v>60010.526999999995</v>
      </c>
      <c r="Y150" s="363">
        <f t="shared" si="28"/>
        <v>60010.826999999997</v>
      </c>
      <c r="Z150" s="363">
        <f t="shared" si="28"/>
        <v>65319.926999999996</v>
      </c>
    </row>
    <row r="151" spans="1:40" s="377" customFormat="1" ht="15.75">
      <c r="A151" s="703">
        <v>142</v>
      </c>
      <c r="B151" s="153" t="s">
        <v>378</v>
      </c>
      <c r="C151" s="647" t="s">
        <v>340</v>
      </c>
      <c r="D151" s="560" t="s">
        <v>64</v>
      </c>
      <c r="E151" s="563"/>
      <c r="F151" s="711"/>
      <c r="G151" s="712">
        <v>1</v>
      </c>
      <c r="H151" s="563"/>
      <c r="I151" s="689"/>
      <c r="J151" s="563">
        <v>2</v>
      </c>
      <c r="K151" s="554">
        <v>17697</v>
      </c>
      <c r="L151" s="554"/>
      <c r="M151" s="554">
        <v>1</v>
      </c>
      <c r="N151" s="554"/>
      <c r="O151" s="552">
        <v>2.81</v>
      </c>
      <c r="P151" s="552"/>
      <c r="Q151" s="567">
        <f t="shared" si="29"/>
        <v>49728.57</v>
      </c>
      <c r="R151" s="552">
        <f t="shared" si="26"/>
        <v>0</v>
      </c>
      <c r="S151" s="554"/>
      <c r="T151" s="708">
        <v>0.1</v>
      </c>
      <c r="U151" s="552">
        <f t="shared" si="27"/>
        <v>4972.857</v>
      </c>
      <c r="V151" s="569">
        <v>0.3</v>
      </c>
      <c r="W151" s="554">
        <f t="shared" si="30"/>
        <v>5309.0999999999995</v>
      </c>
      <c r="X151" s="559">
        <f t="shared" si="28"/>
        <v>60010.526999999995</v>
      </c>
      <c r="Y151" s="363">
        <f t="shared" si="28"/>
        <v>60010.826999999997</v>
      </c>
      <c r="Z151" s="363">
        <f t="shared" si="28"/>
        <v>65319.926999999996</v>
      </c>
    </row>
    <row r="152" spans="1:40" s="377" customFormat="1" ht="15.75">
      <c r="A152" s="709">
        <v>143</v>
      </c>
      <c r="B152" s="153" t="s">
        <v>506</v>
      </c>
      <c r="C152" s="647" t="s">
        <v>340</v>
      </c>
      <c r="D152" s="560" t="s">
        <v>64</v>
      </c>
      <c r="E152" s="563"/>
      <c r="F152" s="711"/>
      <c r="G152" s="712">
        <v>1</v>
      </c>
      <c r="H152" s="563"/>
      <c r="I152" s="689"/>
      <c r="J152" s="563">
        <v>2</v>
      </c>
      <c r="K152" s="554">
        <v>17697</v>
      </c>
      <c r="L152" s="554"/>
      <c r="M152" s="554">
        <v>1</v>
      </c>
      <c r="N152" s="554"/>
      <c r="O152" s="552">
        <v>2.81</v>
      </c>
      <c r="P152" s="552"/>
      <c r="Q152" s="567">
        <f t="shared" si="29"/>
        <v>49728.57</v>
      </c>
      <c r="R152" s="552">
        <f t="shared" si="26"/>
        <v>0</v>
      </c>
      <c r="S152" s="554"/>
      <c r="T152" s="708">
        <v>0.1</v>
      </c>
      <c r="U152" s="552">
        <f t="shared" si="27"/>
        <v>4972.857</v>
      </c>
      <c r="V152" s="569">
        <v>0.3</v>
      </c>
      <c r="W152" s="554">
        <f t="shared" si="30"/>
        <v>5309.0999999999995</v>
      </c>
      <c r="X152" s="559">
        <f t="shared" si="28"/>
        <v>60010.526999999995</v>
      </c>
      <c r="Y152" s="363">
        <f t="shared" si="28"/>
        <v>60010.826999999997</v>
      </c>
      <c r="Z152" s="363">
        <f t="shared" si="28"/>
        <v>65319.926999999996</v>
      </c>
    </row>
    <row r="153" spans="1:40" s="364" customFormat="1" ht="15.75">
      <c r="A153" s="703">
        <v>144</v>
      </c>
      <c r="B153" s="646" t="s">
        <v>507</v>
      </c>
      <c r="C153" s="647" t="s">
        <v>340</v>
      </c>
      <c r="D153" s="560" t="s">
        <v>64</v>
      </c>
      <c r="E153" s="713"/>
      <c r="F153" s="628"/>
      <c r="G153" s="712" t="s">
        <v>563</v>
      </c>
      <c r="H153" s="714"/>
      <c r="I153" s="715"/>
      <c r="J153" s="563">
        <v>2</v>
      </c>
      <c r="K153" s="715">
        <v>17697</v>
      </c>
      <c r="L153" s="715"/>
      <c r="M153" s="554">
        <v>1.3</v>
      </c>
      <c r="N153" s="554"/>
      <c r="O153" s="552">
        <v>2.81</v>
      </c>
      <c r="P153" s="552"/>
      <c r="Q153" s="567">
        <f t="shared" si="29"/>
        <v>64647.141000000003</v>
      </c>
      <c r="R153" s="552">
        <f t="shared" si="26"/>
        <v>0</v>
      </c>
      <c r="S153" s="554"/>
      <c r="T153" s="708">
        <v>0.1</v>
      </c>
      <c r="U153" s="552">
        <f t="shared" si="27"/>
        <v>6464.7141000000011</v>
      </c>
      <c r="V153" s="569">
        <v>0.3</v>
      </c>
      <c r="W153" s="554">
        <f>V153*K153/1*1.3</f>
        <v>6901.83</v>
      </c>
      <c r="X153" s="559">
        <f t="shared" si="28"/>
        <v>78013.685100000002</v>
      </c>
      <c r="Y153" s="363">
        <f t="shared" si="28"/>
        <v>78013.985100000005</v>
      </c>
      <c r="Z153" s="363">
        <f t="shared" si="28"/>
        <v>84915.815100000007</v>
      </c>
      <c r="AB153" s="422">
        <f>SUM(X146:X154)</f>
        <v>558097.9010999999</v>
      </c>
    </row>
    <row r="154" spans="1:40" s="377" customFormat="1" ht="15.75">
      <c r="A154" s="709">
        <v>145</v>
      </c>
      <c r="B154" s="718" t="s">
        <v>508</v>
      </c>
      <c r="C154" s="719" t="s">
        <v>340</v>
      </c>
      <c r="D154" s="720" t="s">
        <v>75</v>
      </c>
      <c r="E154" s="720"/>
      <c r="F154" s="721"/>
      <c r="G154" s="720">
        <v>1</v>
      </c>
      <c r="H154" s="722"/>
      <c r="I154" s="722"/>
      <c r="J154" s="601">
        <v>2</v>
      </c>
      <c r="K154" s="723">
        <v>17697</v>
      </c>
      <c r="L154" s="723"/>
      <c r="M154" s="554">
        <v>1</v>
      </c>
      <c r="N154" s="723"/>
      <c r="O154" s="552">
        <v>2.81</v>
      </c>
      <c r="P154" s="552"/>
      <c r="Q154" s="567">
        <f t="shared" si="29"/>
        <v>49728.57</v>
      </c>
      <c r="R154" s="552">
        <f t="shared" si="26"/>
        <v>0</v>
      </c>
      <c r="S154" s="723"/>
      <c r="T154" s="708">
        <v>0.1</v>
      </c>
      <c r="U154" s="552">
        <f>T154*Q154</f>
        <v>4972.857</v>
      </c>
      <c r="V154" s="609">
        <v>0.3</v>
      </c>
      <c r="W154" s="605">
        <f>V154*K154</f>
        <v>5309.0999999999995</v>
      </c>
      <c r="X154" s="559">
        <f t="shared" si="28"/>
        <v>60010.526999999995</v>
      </c>
      <c r="Y154" s="363">
        <f t="shared" si="28"/>
        <v>60010.826999999997</v>
      </c>
      <c r="Z154" s="363">
        <f t="shared" si="28"/>
        <v>65319.926999999996</v>
      </c>
      <c r="AA154" s="374"/>
      <c r="AB154" s="374"/>
      <c r="AC154" s="375"/>
      <c r="AD154" s="375"/>
      <c r="AE154" s="376"/>
      <c r="AF154" s="374"/>
      <c r="AG154" s="375"/>
    </row>
    <row r="155" spans="1:40" s="390" customFormat="1" ht="15.75">
      <c r="A155" s="703">
        <v>146</v>
      </c>
      <c r="B155" s="153" t="s">
        <v>345</v>
      </c>
      <c r="C155" s="561" t="s">
        <v>346</v>
      </c>
      <c r="D155" s="560" t="s">
        <v>64</v>
      </c>
      <c r="E155" s="563"/>
      <c r="F155" s="711"/>
      <c r="G155" s="712">
        <v>1</v>
      </c>
      <c r="H155" s="563"/>
      <c r="I155" s="689"/>
      <c r="J155" s="563">
        <v>1</v>
      </c>
      <c r="K155" s="554">
        <v>17697</v>
      </c>
      <c r="L155" s="554"/>
      <c r="M155" s="723">
        <v>1</v>
      </c>
      <c r="N155" s="554"/>
      <c r="O155" s="554">
        <v>2.77</v>
      </c>
      <c r="P155" s="554"/>
      <c r="Q155" s="567">
        <f t="shared" si="29"/>
        <v>49020.69</v>
      </c>
      <c r="R155" s="552">
        <f t="shared" si="26"/>
        <v>0</v>
      </c>
      <c r="S155" s="568"/>
      <c r="T155" s="708">
        <v>0.1</v>
      </c>
      <c r="U155" s="552">
        <f t="shared" si="27"/>
        <v>4902.0690000000004</v>
      </c>
      <c r="V155" s="724">
        <v>0.5</v>
      </c>
      <c r="W155" s="593">
        <v>12439.34</v>
      </c>
      <c r="X155" s="559">
        <f>Q155+U155+W155</f>
        <v>66362.099000000002</v>
      </c>
      <c r="Y155" s="363">
        <f>R155+V155+X155</f>
        <v>66362.599000000002</v>
      </c>
      <c r="Z155" s="363">
        <f>S155+W155+Y155</f>
        <v>78801.938999999998</v>
      </c>
      <c r="AA155" s="389"/>
      <c r="AB155" s="389"/>
      <c r="AC155" s="389"/>
      <c r="AD155" s="389"/>
      <c r="AE155" s="389"/>
      <c r="AF155" s="389"/>
      <c r="AG155" s="389"/>
      <c r="AH155" s="389"/>
      <c r="AI155" s="389"/>
      <c r="AJ155" s="389"/>
      <c r="AK155" s="389"/>
      <c r="AL155" s="389"/>
      <c r="AM155" s="389"/>
      <c r="AN155" s="389"/>
    </row>
    <row r="156" spans="1:40" s="390" customFormat="1" ht="15.75">
      <c r="A156" s="709">
        <v>147</v>
      </c>
      <c r="B156" s="153" t="s">
        <v>347</v>
      </c>
      <c r="C156" s="561" t="s">
        <v>346</v>
      </c>
      <c r="D156" s="560" t="s">
        <v>25</v>
      </c>
      <c r="E156" s="563"/>
      <c r="F156" s="560"/>
      <c r="G156" s="712">
        <v>1</v>
      </c>
      <c r="H156" s="563"/>
      <c r="I156" s="689"/>
      <c r="J156" s="563">
        <v>1</v>
      </c>
      <c r="K156" s="554">
        <v>17697</v>
      </c>
      <c r="L156" s="554"/>
      <c r="M156" s="554">
        <v>1</v>
      </c>
      <c r="N156" s="554"/>
      <c r="O156" s="554">
        <v>2.77</v>
      </c>
      <c r="P156" s="554"/>
      <c r="Q156" s="567">
        <f t="shared" si="29"/>
        <v>49020.69</v>
      </c>
      <c r="R156" s="552">
        <f t="shared" si="26"/>
        <v>0</v>
      </c>
      <c r="S156" s="568"/>
      <c r="T156" s="708">
        <v>0.1</v>
      </c>
      <c r="U156" s="552">
        <f t="shared" si="27"/>
        <v>4902.0690000000004</v>
      </c>
      <c r="V156" s="724">
        <v>0.5</v>
      </c>
      <c r="W156" s="593">
        <v>12439.34</v>
      </c>
      <c r="X156" s="559">
        <f t="shared" ref="X156:Z165" si="31">Q156+U156+W156</f>
        <v>66362.099000000002</v>
      </c>
      <c r="Y156" s="363">
        <f t="shared" si="31"/>
        <v>66362.599000000002</v>
      </c>
      <c r="Z156" s="363">
        <f t="shared" si="31"/>
        <v>78801.938999999998</v>
      </c>
      <c r="AA156" s="389"/>
      <c r="AB156" s="389"/>
      <c r="AC156" s="389"/>
      <c r="AD156" s="389"/>
      <c r="AE156" s="389"/>
      <c r="AF156" s="389"/>
      <c r="AG156" s="389"/>
      <c r="AH156" s="389"/>
      <c r="AI156" s="389"/>
      <c r="AJ156" s="389"/>
      <c r="AK156" s="389"/>
      <c r="AL156" s="389"/>
      <c r="AM156" s="389"/>
      <c r="AN156" s="389"/>
    </row>
    <row r="157" spans="1:40" s="390" customFormat="1" ht="15.75">
      <c r="A157" s="703">
        <v>148</v>
      </c>
      <c r="B157" s="153" t="s">
        <v>348</v>
      </c>
      <c r="C157" s="561" t="s">
        <v>346</v>
      </c>
      <c r="D157" s="560" t="s">
        <v>64</v>
      </c>
      <c r="E157" s="563"/>
      <c r="F157" s="560"/>
      <c r="G157" s="712">
        <v>1</v>
      </c>
      <c r="H157" s="563"/>
      <c r="I157" s="689"/>
      <c r="J157" s="563">
        <v>1</v>
      </c>
      <c r="K157" s="554">
        <v>17697</v>
      </c>
      <c r="L157" s="554"/>
      <c r="M157" s="554">
        <v>1</v>
      </c>
      <c r="N157" s="554"/>
      <c r="O157" s="554">
        <v>2.77</v>
      </c>
      <c r="P157" s="554"/>
      <c r="Q157" s="567">
        <f t="shared" si="29"/>
        <v>49020.69</v>
      </c>
      <c r="R157" s="552">
        <f t="shared" si="26"/>
        <v>0</v>
      </c>
      <c r="S157" s="568"/>
      <c r="T157" s="708">
        <v>0.1</v>
      </c>
      <c r="U157" s="552">
        <f t="shared" si="27"/>
        <v>4902.0690000000004</v>
      </c>
      <c r="V157" s="724">
        <v>0.5</v>
      </c>
      <c r="W157" s="593">
        <v>12439.34</v>
      </c>
      <c r="X157" s="559">
        <f t="shared" si="31"/>
        <v>66362.099000000002</v>
      </c>
      <c r="Y157" s="363">
        <f t="shared" si="31"/>
        <v>66362.599000000002</v>
      </c>
      <c r="Z157" s="363">
        <f t="shared" si="31"/>
        <v>78801.938999999998</v>
      </c>
      <c r="AA157" s="389"/>
      <c r="AB157" s="389"/>
      <c r="AC157" s="389"/>
      <c r="AD157" s="389"/>
      <c r="AE157" s="389"/>
      <c r="AF157" s="389"/>
      <c r="AG157" s="389"/>
      <c r="AH157" s="389"/>
      <c r="AI157" s="389"/>
      <c r="AJ157" s="389"/>
      <c r="AK157" s="389"/>
      <c r="AL157" s="389"/>
      <c r="AM157" s="389"/>
      <c r="AN157" s="389"/>
    </row>
    <row r="158" spans="1:40" s="377" customFormat="1" ht="15.75">
      <c r="A158" s="709">
        <v>149</v>
      </c>
      <c r="B158" s="153" t="s">
        <v>416</v>
      </c>
      <c r="C158" s="725" t="s">
        <v>346</v>
      </c>
      <c r="D158" s="560" t="s">
        <v>64</v>
      </c>
      <c r="E158" s="563"/>
      <c r="F158" s="560"/>
      <c r="G158" s="712">
        <v>1</v>
      </c>
      <c r="H158" s="563"/>
      <c r="I158" s="689"/>
      <c r="J158" s="563">
        <v>1</v>
      </c>
      <c r="K158" s="554">
        <v>17697</v>
      </c>
      <c r="L158" s="554"/>
      <c r="M158" s="554">
        <v>1</v>
      </c>
      <c r="N158" s="554"/>
      <c r="O158" s="554">
        <v>2.77</v>
      </c>
      <c r="P158" s="554"/>
      <c r="Q158" s="567">
        <f t="shared" si="29"/>
        <v>49020.69</v>
      </c>
      <c r="R158" s="552">
        <f t="shared" si="26"/>
        <v>0</v>
      </c>
      <c r="S158" s="554"/>
      <c r="T158" s="708">
        <v>0.1</v>
      </c>
      <c r="U158" s="552">
        <f t="shared" si="27"/>
        <v>4902.0690000000004</v>
      </c>
      <c r="V158" s="724">
        <v>0.5</v>
      </c>
      <c r="W158" s="593">
        <v>12439.34</v>
      </c>
      <c r="X158" s="559">
        <f t="shared" si="31"/>
        <v>66362.099000000002</v>
      </c>
      <c r="Y158" s="363">
        <f t="shared" si="31"/>
        <v>66362.599000000002</v>
      </c>
      <c r="Z158" s="363">
        <f t="shared" si="31"/>
        <v>78801.938999999998</v>
      </c>
    </row>
    <row r="159" spans="1:40" s="377" customFormat="1" ht="15.75">
      <c r="A159" s="703">
        <v>150</v>
      </c>
      <c r="B159" s="153" t="s">
        <v>333</v>
      </c>
      <c r="C159" s="725" t="s">
        <v>346</v>
      </c>
      <c r="D159" s="560" t="s">
        <v>64</v>
      </c>
      <c r="E159" s="563"/>
      <c r="F159" s="560"/>
      <c r="G159" s="712">
        <v>1</v>
      </c>
      <c r="H159" s="563"/>
      <c r="I159" s="689"/>
      <c r="J159" s="563">
        <v>1</v>
      </c>
      <c r="K159" s="554">
        <v>17697</v>
      </c>
      <c r="L159" s="554"/>
      <c r="M159" s="554">
        <v>1</v>
      </c>
      <c r="N159" s="554"/>
      <c r="O159" s="554">
        <v>2.77</v>
      </c>
      <c r="P159" s="554"/>
      <c r="Q159" s="567">
        <f t="shared" si="29"/>
        <v>49020.69</v>
      </c>
      <c r="R159" s="552">
        <f t="shared" si="26"/>
        <v>0</v>
      </c>
      <c r="S159" s="554"/>
      <c r="T159" s="708">
        <v>0.1</v>
      </c>
      <c r="U159" s="552">
        <f t="shared" si="27"/>
        <v>4902.0690000000004</v>
      </c>
      <c r="V159" s="724">
        <v>0.5</v>
      </c>
      <c r="W159" s="593">
        <v>12439.34</v>
      </c>
      <c r="X159" s="559">
        <f t="shared" si="31"/>
        <v>66362.099000000002</v>
      </c>
      <c r="Y159" s="363">
        <f t="shared" si="31"/>
        <v>66362.599000000002</v>
      </c>
      <c r="Z159" s="363">
        <f t="shared" si="31"/>
        <v>78801.938999999998</v>
      </c>
    </row>
    <row r="160" spans="1:40" s="377" customFormat="1" ht="15.75">
      <c r="A160" s="709">
        <v>151</v>
      </c>
      <c r="B160" s="153" t="s">
        <v>350</v>
      </c>
      <c r="C160" s="725" t="s">
        <v>346</v>
      </c>
      <c r="D160" s="560" t="s">
        <v>64</v>
      </c>
      <c r="E160" s="563"/>
      <c r="F160" s="560"/>
      <c r="G160" s="712">
        <v>1</v>
      </c>
      <c r="H160" s="563"/>
      <c r="I160" s="689"/>
      <c r="J160" s="563">
        <v>1</v>
      </c>
      <c r="K160" s="554">
        <v>17697</v>
      </c>
      <c r="L160" s="554"/>
      <c r="M160" s="554">
        <v>1</v>
      </c>
      <c r="N160" s="554"/>
      <c r="O160" s="554">
        <v>2.77</v>
      </c>
      <c r="P160" s="554"/>
      <c r="Q160" s="567">
        <f t="shared" si="29"/>
        <v>49020.69</v>
      </c>
      <c r="R160" s="552">
        <f t="shared" si="26"/>
        <v>0</v>
      </c>
      <c r="S160" s="554"/>
      <c r="T160" s="708">
        <v>0.1</v>
      </c>
      <c r="U160" s="552">
        <f t="shared" si="27"/>
        <v>4902.0690000000004</v>
      </c>
      <c r="V160" s="724">
        <v>0.5</v>
      </c>
      <c r="W160" s="593">
        <v>12439.34</v>
      </c>
      <c r="X160" s="559">
        <f t="shared" si="31"/>
        <v>66362.099000000002</v>
      </c>
      <c r="Y160" s="363">
        <f t="shared" si="31"/>
        <v>66362.599000000002</v>
      </c>
      <c r="Z160" s="363">
        <f t="shared" si="31"/>
        <v>78801.938999999998</v>
      </c>
    </row>
    <row r="161" spans="1:44" s="377" customFormat="1" ht="15.75">
      <c r="A161" s="703">
        <v>152</v>
      </c>
      <c r="B161" s="726" t="s">
        <v>351</v>
      </c>
      <c r="C161" s="662" t="s">
        <v>352</v>
      </c>
      <c r="D161" s="663" t="s">
        <v>75</v>
      </c>
      <c r="E161" s="663"/>
      <c r="F161" s="727"/>
      <c r="G161" s="663">
        <v>1</v>
      </c>
      <c r="H161" s="728"/>
      <c r="I161" s="728"/>
      <c r="J161" s="663">
        <v>1</v>
      </c>
      <c r="K161" s="567">
        <v>17697</v>
      </c>
      <c r="L161" s="567"/>
      <c r="M161" s="554">
        <v>1</v>
      </c>
      <c r="N161" s="567"/>
      <c r="O161" s="554">
        <v>2.77</v>
      </c>
      <c r="P161" s="554"/>
      <c r="Q161" s="567">
        <f t="shared" si="29"/>
        <v>49020.69</v>
      </c>
      <c r="R161" s="552">
        <f t="shared" si="26"/>
        <v>0</v>
      </c>
      <c r="S161" s="567"/>
      <c r="T161" s="708">
        <v>0.1</v>
      </c>
      <c r="U161" s="552">
        <f t="shared" si="27"/>
        <v>4902.0690000000004</v>
      </c>
      <c r="V161" s="567">
        <v>0</v>
      </c>
      <c r="W161" s="593">
        <v>12439.34</v>
      </c>
      <c r="X161" s="559">
        <f t="shared" si="31"/>
        <v>66362.099000000002</v>
      </c>
      <c r="Y161" s="363">
        <f t="shared" si="31"/>
        <v>66362.099000000002</v>
      </c>
      <c r="Z161" s="363">
        <f t="shared" si="31"/>
        <v>78801.438999999998</v>
      </c>
      <c r="AA161" s="374"/>
      <c r="AB161" s="374"/>
      <c r="AC161" s="375"/>
      <c r="AD161" s="375"/>
      <c r="AE161" s="376"/>
      <c r="AF161" s="374"/>
      <c r="AG161" s="375"/>
    </row>
    <row r="162" spans="1:44" s="377" customFormat="1" ht="15.75">
      <c r="A162" s="709">
        <v>153</v>
      </c>
      <c r="B162" s="726" t="s">
        <v>353</v>
      </c>
      <c r="C162" s="662" t="s">
        <v>352</v>
      </c>
      <c r="D162" s="663" t="s">
        <v>75</v>
      </c>
      <c r="E162" s="663"/>
      <c r="F162" s="727"/>
      <c r="G162" s="663">
        <v>1</v>
      </c>
      <c r="H162" s="728"/>
      <c r="I162" s="728"/>
      <c r="J162" s="663">
        <v>1</v>
      </c>
      <c r="K162" s="567">
        <v>17697</v>
      </c>
      <c r="L162" s="567"/>
      <c r="M162" s="554">
        <v>1</v>
      </c>
      <c r="N162" s="567"/>
      <c r="O162" s="554">
        <v>2.77</v>
      </c>
      <c r="P162" s="554"/>
      <c r="Q162" s="567">
        <f t="shared" si="29"/>
        <v>49020.69</v>
      </c>
      <c r="R162" s="552">
        <f t="shared" si="26"/>
        <v>0</v>
      </c>
      <c r="S162" s="567"/>
      <c r="T162" s="708">
        <v>0.1</v>
      </c>
      <c r="U162" s="552">
        <f t="shared" si="27"/>
        <v>4902.0690000000004</v>
      </c>
      <c r="V162" s="567">
        <v>0</v>
      </c>
      <c r="W162" s="593">
        <v>12439.34</v>
      </c>
      <c r="X162" s="559">
        <f t="shared" si="31"/>
        <v>66362.099000000002</v>
      </c>
      <c r="Y162" s="363">
        <f t="shared" si="31"/>
        <v>66362.099000000002</v>
      </c>
      <c r="Z162" s="363">
        <f t="shared" si="31"/>
        <v>78801.438999999998</v>
      </c>
      <c r="AA162" s="374"/>
      <c r="AB162" s="374"/>
      <c r="AC162" s="375"/>
      <c r="AD162" s="375"/>
      <c r="AE162" s="376"/>
      <c r="AF162" s="374"/>
      <c r="AG162" s="375"/>
    </row>
    <row r="163" spans="1:44" s="377" customFormat="1" ht="15.75">
      <c r="A163" s="703">
        <v>154</v>
      </c>
      <c r="B163" s="729" t="s">
        <v>354</v>
      </c>
      <c r="C163" s="662" t="s">
        <v>352</v>
      </c>
      <c r="D163" s="663" t="s">
        <v>75</v>
      </c>
      <c r="E163" s="663"/>
      <c r="F163" s="727"/>
      <c r="G163" s="663">
        <v>1</v>
      </c>
      <c r="H163" s="728"/>
      <c r="I163" s="728"/>
      <c r="J163" s="663">
        <v>1</v>
      </c>
      <c r="K163" s="567">
        <v>17697</v>
      </c>
      <c r="L163" s="567"/>
      <c r="M163" s="554">
        <v>1</v>
      </c>
      <c r="N163" s="567"/>
      <c r="O163" s="554">
        <v>2.77</v>
      </c>
      <c r="P163" s="554"/>
      <c r="Q163" s="567">
        <f t="shared" si="29"/>
        <v>49020.69</v>
      </c>
      <c r="R163" s="552">
        <f t="shared" si="26"/>
        <v>0</v>
      </c>
      <c r="S163" s="567"/>
      <c r="T163" s="708">
        <v>0.1</v>
      </c>
      <c r="U163" s="552">
        <f t="shared" si="27"/>
        <v>4902.0690000000004</v>
      </c>
      <c r="V163" s="567">
        <v>0</v>
      </c>
      <c r="W163" s="593">
        <v>12439.34</v>
      </c>
      <c r="X163" s="559">
        <f>Q163+U163+W163</f>
        <v>66362.099000000002</v>
      </c>
      <c r="Y163" s="363">
        <f>R163+V163+X163</f>
        <v>66362.099000000002</v>
      </c>
      <c r="Z163" s="363">
        <f>S163+W163+Y163</f>
        <v>78801.438999999998</v>
      </c>
      <c r="AA163" s="374"/>
      <c r="AB163" s="374"/>
      <c r="AC163" s="375"/>
      <c r="AD163" s="375"/>
      <c r="AE163" s="376"/>
      <c r="AF163" s="374"/>
      <c r="AG163" s="375"/>
    </row>
    <row r="164" spans="1:44" s="364" customFormat="1" ht="15.75">
      <c r="A164" s="709">
        <v>155</v>
      </c>
      <c r="B164" s="646" t="s">
        <v>355</v>
      </c>
      <c r="C164" s="647" t="s">
        <v>356</v>
      </c>
      <c r="D164" s="663" t="s">
        <v>75</v>
      </c>
      <c r="E164" s="646"/>
      <c r="F164" s="646"/>
      <c r="G164" s="628">
        <v>1</v>
      </c>
      <c r="H164" s="714"/>
      <c r="I164" s="715"/>
      <c r="J164" s="628">
        <v>1</v>
      </c>
      <c r="K164" s="715">
        <v>17697</v>
      </c>
      <c r="L164" s="715"/>
      <c r="M164" s="554">
        <v>1</v>
      </c>
      <c r="N164" s="554"/>
      <c r="O164" s="554">
        <v>2.77</v>
      </c>
      <c r="P164" s="554"/>
      <c r="Q164" s="567">
        <f t="shared" si="29"/>
        <v>49020.69</v>
      </c>
      <c r="R164" s="552">
        <f t="shared" si="26"/>
        <v>0</v>
      </c>
      <c r="S164" s="554"/>
      <c r="T164" s="708">
        <v>0.1</v>
      </c>
      <c r="U164" s="552">
        <f t="shared" si="27"/>
        <v>4902.0690000000004</v>
      </c>
      <c r="V164" s="567">
        <v>0</v>
      </c>
      <c r="W164" s="567">
        <v>0</v>
      </c>
      <c r="X164" s="559">
        <f t="shared" si="31"/>
        <v>53922.759000000005</v>
      </c>
      <c r="Y164" s="363">
        <f t="shared" si="31"/>
        <v>53922.759000000005</v>
      </c>
      <c r="Z164" s="363">
        <f t="shared" si="31"/>
        <v>53922.759000000005</v>
      </c>
      <c r="AC164" s="422">
        <f>SUM(X139:X165)</f>
        <v>1593746.8760999998</v>
      </c>
    </row>
    <row r="165" spans="1:44" s="364" customFormat="1" ht="15.75">
      <c r="A165" s="703">
        <v>156</v>
      </c>
      <c r="B165" s="646" t="s">
        <v>357</v>
      </c>
      <c r="C165" s="561" t="s">
        <v>358</v>
      </c>
      <c r="D165" s="560" t="s">
        <v>64</v>
      </c>
      <c r="E165" s="646"/>
      <c r="F165" s="646"/>
      <c r="G165" s="628">
        <v>1</v>
      </c>
      <c r="H165" s="714"/>
      <c r="I165" s="715"/>
      <c r="J165" s="628">
        <v>1</v>
      </c>
      <c r="K165" s="715">
        <v>17697</v>
      </c>
      <c r="L165" s="715"/>
      <c r="M165" s="554">
        <v>1</v>
      </c>
      <c r="N165" s="554"/>
      <c r="O165" s="554">
        <v>2.77</v>
      </c>
      <c r="P165" s="554"/>
      <c r="Q165" s="567">
        <f t="shared" si="29"/>
        <v>49020.69</v>
      </c>
      <c r="R165" s="552">
        <f>K165*Q167*N165</f>
        <v>0</v>
      </c>
      <c r="S165" s="554"/>
      <c r="T165" s="708">
        <v>0.1</v>
      </c>
      <c r="U165" s="552">
        <f t="shared" si="27"/>
        <v>4902.0690000000004</v>
      </c>
      <c r="V165" s="567">
        <v>0</v>
      </c>
      <c r="W165" s="567">
        <v>0</v>
      </c>
      <c r="X165" s="559">
        <f t="shared" si="31"/>
        <v>53922.759000000005</v>
      </c>
      <c r="Y165" s="363">
        <f t="shared" si="31"/>
        <v>53922.759000000005</v>
      </c>
      <c r="Z165" s="363">
        <f t="shared" si="31"/>
        <v>53922.759000000005</v>
      </c>
      <c r="AA165" s="422"/>
    </row>
    <row r="166" spans="1:44" s="364" customFormat="1" ht="15.75">
      <c r="A166" s="871"/>
      <c r="B166" s="872"/>
      <c r="C166" s="873"/>
      <c r="D166" s="874"/>
      <c r="E166" s="872"/>
      <c r="F166" s="872"/>
      <c r="G166" s="875"/>
      <c r="H166" s="876"/>
      <c r="I166" s="877"/>
      <c r="J166" s="875"/>
      <c r="K166" s="877"/>
      <c r="L166" s="877"/>
      <c r="M166" s="700"/>
      <c r="N166" s="700"/>
      <c r="O166" s="700"/>
      <c r="P166" s="700"/>
      <c r="Q166" s="697">
        <f>SUM(Q139:Q165)</f>
        <v>1302198.3509999993</v>
      </c>
      <c r="R166" s="552"/>
      <c r="S166" s="700"/>
      <c r="T166" s="708"/>
      <c r="U166" s="552"/>
      <c r="V166" s="697"/>
      <c r="W166" s="697"/>
      <c r="X166" s="559"/>
      <c r="Y166" s="363"/>
      <c r="Z166" s="363"/>
      <c r="AA166" s="422"/>
    </row>
    <row r="167" spans="1:44" s="84" customFormat="1" ht="22.5" customHeight="1">
      <c r="A167" s="2322" t="s">
        <v>359</v>
      </c>
      <c r="B167" s="2322"/>
      <c r="C167" s="2322"/>
      <c r="D167" s="2322"/>
      <c r="E167" s="687"/>
      <c r="F167" s="687"/>
      <c r="G167" s="678"/>
      <c r="H167" s="687"/>
      <c r="I167" s="687"/>
      <c r="J167" s="687"/>
      <c r="K167" s="687"/>
      <c r="L167" s="679"/>
      <c r="M167" s="680">
        <f>SUM(M6:M165)</f>
        <v>188.1888888888889</v>
      </c>
      <c r="N167" s="680"/>
      <c r="O167" s="680"/>
      <c r="P167" s="680"/>
      <c r="Q167" s="680">
        <f>SUM(Q6:Q166)</f>
        <v>25079901.315333351</v>
      </c>
      <c r="R167" s="680"/>
      <c r="S167" s="680">
        <f>SUM(S6:S165)</f>
        <v>552755.96333333326</v>
      </c>
      <c r="T167" s="680"/>
      <c r="U167" s="680">
        <f>SUM(U6:U165)</f>
        <v>2287350.9355166662</v>
      </c>
      <c r="V167" s="680"/>
      <c r="W167" s="680">
        <f>SUM(W6:W165)</f>
        <v>164868.08999999997</v>
      </c>
      <c r="X167" s="626">
        <f>SUM(X6:X165)</f>
        <v>25351256.108183317</v>
      </c>
      <c r="Y167" s="141">
        <f>SUM(Y6:Y165)</f>
        <v>1672633.4561000001</v>
      </c>
      <c r="Z167" s="141">
        <f>SUM(Z6:Z165)</f>
        <v>2241776.6694749999</v>
      </c>
      <c r="AA167" s="262"/>
      <c r="AB167" s="262"/>
      <c r="AC167" s="262"/>
      <c r="AD167" s="262"/>
      <c r="AE167" s="262"/>
      <c r="AF167" s="262"/>
      <c r="AG167" s="262"/>
      <c r="AH167" s="262"/>
      <c r="AI167" s="262"/>
      <c r="AJ167" s="262"/>
      <c r="AK167" s="262"/>
      <c r="AL167" s="262"/>
      <c r="AM167" s="262"/>
      <c r="AN167" s="262"/>
      <c r="AO167" s="262"/>
      <c r="AP167" s="262"/>
      <c r="AQ167" s="262"/>
      <c r="AR167" s="262"/>
    </row>
    <row r="168" spans="1:44" ht="25.5" customHeight="1">
      <c r="M168" s="85"/>
      <c r="N168" s="86"/>
      <c r="O168" s="23"/>
      <c r="P168" s="23"/>
      <c r="Q168" s="87"/>
      <c r="R168" s="88"/>
    </row>
    <row r="169" spans="1:44" s="24" customFormat="1">
      <c r="A169" s="1"/>
      <c r="B169" s="1"/>
      <c r="C169" s="686"/>
      <c r="D169" s="1"/>
      <c r="E169" s="1"/>
      <c r="F169" s="1"/>
      <c r="G169" s="1"/>
      <c r="H169" s="1"/>
      <c r="I169" s="1"/>
      <c r="J169" s="1"/>
      <c r="K169" s="1"/>
      <c r="L169" s="1"/>
      <c r="N169" s="89"/>
      <c r="R169" s="1"/>
      <c r="S169" s="1"/>
      <c r="T169" s="1"/>
      <c r="U169" s="1"/>
      <c r="V169" s="1"/>
      <c r="W169" s="1"/>
      <c r="X169" s="3"/>
      <c r="Y169" s="3"/>
      <c r="Z169" s="3"/>
    </row>
    <row r="170" spans="1:44" s="24" customFormat="1">
      <c r="A170" s="1"/>
      <c r="B170" s="1"/>
      <c r="C170" s="686"/>
      <c r="D170" s="1"/>
      <c r="E170" s="1"/>
      <c r="F170" s="1"/>
      <c r="G170" s="1"/>
      <c r="H170" s="1"/>
      <c r="I170" s="1"/>
      <c r="J170" s="1"/>
      <c r="K170" s="1"/>
      <c r="L170" s="1"/>
      <c r="M170" s="3">
        <v>2283</v>
      </c>
      <c r="N170" s="686"/>
      <c r="O170" s="1"/>
      <c r="P170" s="1"/>
      <c r="Q170" s="1"/>
      <c r="R170" s="1"/>
      <c r="S170" s="1"/>
      <c r="T170" s="1"/>
      <c r="U170" s="1"/>
      <c r="V170" s="3"/>
      <c r="W170" s="3"/>
      <c r="X170" s="3"/>
      <c r="Y170" s="3"/>
      <c r="Z170" s="3"/>
    </row>
    <row r="171" spans="1:44" s="24" customFormat="1">
      <c r="A171" s="1"/>
      <c r="B171" s="1"/>
      <c r="C171" s="686"/>
      <c r="D171" s="1"/>
      <c r="E171" s="1"/>
      <c r="F171" s="1"/>
      <c r="G171" s="1"/>
      <c r="H171" s="1"/>
      <c r="I171" s="1"/>
      <c r="J171" s="1"/>
      <c r="K171" s="3"/>
      <c r="L171" s="1"/>
      <c r="M171" s="3">
        <f>SUM(M139:M165)</f>
        <v>26.3</v>
      </c>
      <c r="N171" s="686"/>
      <c r="O171" s="1"/>
      <c r="P171" s="1"/>
      <c r="Q171" s="1" t="s">
        <v>564</v>
      </c>
      <c r="R171" s="90"/>
      <c r="S171" s="90"/>
      <c r="T171" s="1"/>
      <c r="U171" s="1"/>
      <c r="V171" s="1"/>
      <c r="W171" s="1"/>
      <c r="X171" s="1"/>
      <c r="Y171" s="1"/>
      <c r="Z171" s="1"/>
    </row>
    <row r="172" spans="1:44" s="24" customFormat="1">
      <c r="A172" s="1"/>
      <c r="B172" s="1"/>
      <c r="C172" s="686"/>
      <c r="D172" s="1"/>
      <c r="E172" s="1"/>
      <c r="F172" s="1"/>
      <c r="G172" s="1"/>
      <c r="H172" s="1"/>
      <c r="I172" s="1"/>
      <c r="J172" s="1"/>
      <c r="K172" s="3">
        <f>SUM(M139:M165)</f>
        <v>26.3</v>
      </c>
      <c r="L172" s="1"/>
      <c r="M172" s="3">
        <f>SUM(M6:M25)</f>
        <v>17.5</v>
      </c>
      <c r="N172" s="686"/>
      <c r="O172" s="1"/>
      <c r="P172" s="1"/>
      <c r="Q172" s="3">
        <f>Q138+Q122+Q102+Q78</f>
        <v>9806330.461666666</v>
      </c>
      <c r="R172" s="1"/>
      <c r="S172" s="1"/>
      <c r="T172" s="1"/>
      <c r="U172" s="1"/>
      <c r="V172" s="1"/>
      <c r="W172" s="1"/>
      <c r="X172" s="1"/>
      <c r="Y172" s="1"/>
      <c r="Z172" s="1"/>
    </row>
    <row r="173" spans="1:44" s="24" customFormat="1">
      <c r="A173" s="1"/>
      <c r="B173" s="1"/>
      <c r="C173" s="686"/>
      <c r="D173" s="1"/>
      <c r="E173" s="1"/>
      <c r="F173" s="1"/>
      <c r="G173" s="1"/>
      <c r="H173" s="1"/>
      <c r="I173" s="3"/>
      <c r="J173" s="1"/>
      <c r="K173" s="3"/>
      <c r="L173" s="1"/>
      <c r="M173" s="3">
        <f>SUM(M170:M172)</f>
        <v>2326.8000000000002</v>
      </c>
      <c r="N173" s="686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22"/>
    </row>
    <row r="175" spans="1:44">
      <c r="M175" s="3">
        <f>SUM(M27:M137)</f>
        <v>126.8888888888889</v>
      </c>
    </row>
    <row r="176" spans="1:44">
      <c r="AA176" s="22"/>
    </row>
    <row r="177" spans="1:26">
      <c r="M177" s="3">
        <f>M175+M172+M171</f>
        <v>170.68888888888893</v>
      </c>
      <c r="T177" s="3">
        <f>U138+U122+U102+U78</f>
        <v>1006994.4482083335</v>
      </c>
      <c r="U177" s="3"/>
      <c r="W177" s="3">
        <f>X138+X122+X102+X78</f>
        <v>11076938.930291668</v>
      </c>
    </row>
    <row r="178" spans="1:26" s="24" customFormat="1">
      <c r="A178" s="1"/>
      <c r="B178" s="1"/>
      <c r="C178" s="686"/>
      <c r="D178" s="1"/>
      <c r="E178" s="1"/>
      <c r="F178" s="1"/>
      <c r="G178" s="1"/>
      <c r="H178" s="1"/>
      <c r="I178" s="1"/>
      <c r="J178" s="1"/>
      <c r="K178" s="1"/>
      <c r="L178" s="1"/>
      <c r="M178" s="3"/>
      <c r="N178" s="686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</sheetData>
  <mergeCells count="26">
    <mergeCell ref="A2:X2"/>
    <mergeCell ref="A3:X3"/>
    <mergeCell ref="A4:A5"/>
    <mergeCell ref="B4:B5"/>
    <mergeCell ref="C4:C5"/>
    <mergeCell ref="D4:D5"/>
    <mergeCell ref="E4:E5"/>
    <mergeCell ref="F4:F5"/>
    <mergeCell ref="G4:G5"/>
    <mergeCell ref="H4:H5"/>
    <mergeCell ref="X4:X5"/>
    <mergeCell ref="Y4:Y5"/>
    <mergeCell ref="Z4:Z5"/>
    <mergeCell ref="A167:D167"/>
    <mergeCell ref="O4:O5"/>
    <mergeCell ref="P4:P5"/>
    <mergeCell ref="Q4:Q5"/>
    <mergeCell ref="R4:S4"/>
    <mergeCell ref="T4:U4"/>
    <mergeCell ref="V4:W4"/>
    <mergeCell ref="I4:I5"/>
    <mergeCell ref="J4:J5"/>
    <mergeCell ref="K4:K5"/>
    <mergeCell ref="L4:L5"/>
    <mergeCell ref="M4:M5"/>
    <mergeCell ref="N4:N5"/>
  </mergeCells>
  <pageMargins left="0" right="0" top="0.62992125984251968" bottom="0" header="0.43307086614173229" footer="0.31496062992125984"/>
  <pageSetup paperSize="9" scale="53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19">
    <tabColor rgb="FFFF0000"/>
  </sheetPr>
  <dimension ref="A1:AR165"/>
  <sheetViews>
    <sheetView zoomScale="70" zoomScaleNormal="70" zoomScaleSheetLayoutView="40" workbookViewId="0">
      <pane xSplit="3" topLeftCell="D1" activePane="topRight" state="frozen"/>
      <selection pane="topRight" activeCell="E17" sqref="E17"/>
    </sheetView>
  </sheetViews>
  <sheetFormatPr defaultRowHeight="12.75"/>
  <cols>
    <col min="1" max="1" width="6.42578125" style="1" customWidth="1"/>
    <col min="2" max="2" width="24" style="1" customWidth="1"/>
    <col min="3" max="3" width="22" style="351" customWidth="1"/>
    <col min="4" max="4" width="11.140625" style="1" customWidth="1"/>
    <col min="5" max="5" width="16.7109375" style="1" customWidth="1"/>
    <col min="6" max="6" width="13.5703125" style="1" customWidth="1"/>
    <col min="7" max="7" width="10.42578125" style="1" customWidth="1"/>
    <col min="8" max="8" width="4.7109375" style="1" customWidth="1"/>
    <col min="9" max="9" width="8.5703125" style="1" customWidth="1"/>
    <col min="10" max="10" width="5.5703125" style="1" customWidth="1"/>
    <col min="11" max="12" width="11.5703125" style="1" customWidth="1"/>
    <col min="13" max="13" width="10.85546875" style="1" customWidth="1"/>
    <col min="14" max="14" width="7.7109375" style="351" customWidth="1"/>
    <col min="15" max="15" width="8" style="1" customWidth="1"/>
    <col min="16" max="16" width="8" style="1" hidden="1" customWidth="1"/>
    <col min="17" max="17" width="16.28515625" style="1" customWidth="1"/>
    <col min="18" max="18" width="10.5703125" style="1" customWidth="1"/>
    <col min="19" max="19" width="12.42578125" style="1" customWidth="1"/>
    <col min="20" max="20" width="10.140625" style="1" customWidth="1"/>
    <col min="21" max="21" width="15.140625" style="1" customWidth="1"/>
    <col min="22" max="22" width="8.5703125" style="1" customWidth="1"/>
    <col min="23" max="23" width="11.7109375" style="1" customWidth="1"/>
    <col min="24" max="24" width="15.28515625" style="1" customWidth="1"/>
    <col min="25" max="26" width="18.28515625" style="1" hidden="1" customWidth="1"/>
    <col min="27" max="33" width="9.140625" style="24"/>
    <col min="34" max="34" width="11.28515625" style="24" bestFit="1" customWidth="1"/>
    <col min="35" max="35" width="10.7109375" style="24" bestFit="1" customWidth="1"/>
    <col min="36" max="44" width="9.140625" style="24"/>
    <col min="45" max="257" width="9.140625" style="1"/>
    <col min="258" max="258" width="6.42578125" style="1" customWidth="1"/>
    <col min="259" max="259" width="20.7109375" style="1" customWidth="1"/>
    <col min="260" max="260" width="24.7109375" style="1" customWidth="1"/>
    <col min="261" max="261" width="11.140625" style="1" customWidth="1"/>
    <col min="262" max="262" width="12.28515625" style="1" customWidth="1"/>
    <col min="263" max="263" width="11.140625" style="1" customWidth="1"/>
    <col min="264" max="264" width="10.42578125" style="1" customWidth="1"/>
    <col min="265" max="265" width="4.7109375" style="1" customWidth="1"/>
    <col min="266" max="266" width="8.5703125" style="1" customWidth="1"/>
    <col min="267" max="267" width="5.5703125" style="1" customWidth="1"/>
    <col min="268" max="269" width="11.5703125" style="1" customWidth="1"/>
    <col min="270" max="270" width="10.85546875" style="1" customWidth="1"/>
    <col min="271" max="271" width="7.7109375" style="1" customWidth="1"/>
    <col min="272" max="272" width="8" style="1" customWidth="1"/>
    <col min="273" max="273" width="16.28515625" style="1" customWidth="1"/>
    <col min="274" max="274" width="10.5703125" style="1" customWidth="1"/>
    <col min="275" max="275" width="14.140625" style="1" customWidth="1"/>
    <col min="276" max="276" width="10.140625" style="1" customWidth="1"/>
    <col min="277" max="277" width="15.140625" style="1" customWidth="1"/>
    <col min="278" max="278" width="8.5703125" style="1" customWidth="1"/>
    <col min="279" max="279" width="14.28515625" style="1" customWidth="1"/>
    <col min="280" max="280" width="18.28515625" style="1" customWidth="1"/>
    <col min="281" max="281" width="13" style="1" bestFit="1" customWidth="1"/>
    <col min="282" max="282" width="11.7109375" style="1" bestFit="1" customWidth="1"/>
    <col min="283" max="289" width="9.140625" style="1"/>
    <col min="290" max="290" width="11.28515625" style="1" bestFit="1" customWidth="1"/>
    <col min="291" max="291" width="10.7109375" style="1" bestFit="1" customWidth="1"/>
    <col min="292" max="513" width="9.140625" style="1"/>
    <col min="514" max="514" width="6.42578125" style="1" customWidth="1"/>
    <col min="515" max="515" width="20.7109375" style="1" customWidth="1"/>
    <col min="516" max="516" width="24.7109375" style="1" customWidth="1"/>
    <col min="517" max="517" width="11.140625" style="1" customWidth="1"/>
    <col min="518" max="518" width="12.28515625" style="1" customWidth="1"/>
    <col min="519" max="519" width="11.140625" style="1" customWidth="1"/>
    <col min="520" max="520" width="10.42578125" style="1" customWidth="1"/>
    <col min="521" max="521" width="4.7109375" style="1" customWidth="1"/>
    <col min="522" max="522" width="8.5703125" style="1" customWidth="1"/>
    <col min="523" max="523" width="5.5703125" style="1" customWidth="1"/>
    <col min="524" max="525" width="11.5703125" style="1" customWidth="1"/>
    <col min="526" max="526" width="10.85546875" style="1" customWidth="1"/>
    <col min="527" max="527" width="7.7109375" style="1" customWidth="1"/>
    <col min="528" max="528" width="8" style="1" customWidth="1"/>
    <col min="529" max="529" width="16.28515625" style="1" customWidth="1"/>
    <col min="530" max="530" width="10.5703125" style="1" customWidth="1"/>
    <col min="531" max="531" width="14.140625" style="1" customWidth="1"/>
    <col min="532" max="532" width="10.140625" style="1" customWidth="1"/>
    <col min="533" max="533" width="15.140625" style="1" customWidth="1"/>
    <col min="534" max="534" width="8.5703125" style="1" customWidth="1"/>
    <col min="535" max="535" width="14.28515625" style="1" customWidth="1"/>
    <col min="536" max="536" width="18.28515625" style="1" customWidth="1"/>
    <col min="537" max="537" width="13" style="1" bestFit="1" customWidth="1"/>
    <col min="538" max="538" width="11.7109375" style="1" bestFit="1" customWidth="1"/>
    <col min="539" max="545" width="9.140625" style="1"/>
    <col min="546" max="546" width="11.28515625" style="1" bestFit="1" customWidth="1"/>
    <col min="547" max="547" width="10.7109375" style="1" bestFit="1" customWidth="1"/>
    <col min="548" max="769" width="9.140625" style="1"/>
    <col min="770" max="770" width="6.42578125" style="1" customWidth="1"/>
    <col min="771" max="771" width="20.7109375" style="1" customWidth="1"/>
    <col min="772" max="772" width="24.7109375" style="1" customWidth="1"/>
    <col min="773" max="773" width="11.140625" style="1" customWidth="1"/>
    <col min="774" max="774" width="12.28515625" style="1" customWidth="1"/>
    <col min="775" max="775" width="11.140625" style="1" customWidth="1"/>
    <col min="776" max="776" width="10.42578125" style="1" customWidth="1"/>
    <col min="777" max="777" width="4.7109375" style="1" customWidth="1"/>
    <col min="778" max="778" width="8.5703125" style="1" customWidth="1"/>
    <col min="779" max="779" width="5.5703125" style="1" customWidth="1"/>
    <col min="780" max="781" width="11.5703125" style="1" customWidth="1"/>
    <col min="782" max="782" width="10.85546875" style="1" customWidth="1"/>
    <col min="783" max="783" width="7.7109375" style="1" customWidth="1"/>
    <col min="784" max="784" width="8" style="1" customWidth="1"/>
    <col min="785" max="785" width="16.28515625" style="1" customWidth="1"/>
    <col min="786" max="786" width="10.5703125" style="1" customWidth="1"/>
    <col min="787" max="787" width="14.140625" style="1" customWidth="1"/>
    <col min="788" max="788" width="10.140625" style="1" customWidth="1"/>
    <col min="789" max="789" width="15.140625" style="1" customWidth="1"/>
    <col min="790" max="790" width="8.5703125" style="1" customWidth="1"/>
    <col min="791" max="791" width="14.28515625" style="1" customWidth="1"/>
    <col min="792" max="792" width="18.28515625" style="1" customWidth="1"/>
    <col min="793" max="793" width="13" style="1" bestFit="1" customWidth="1"/>
    <col min="794" max="794" width="11.7109375" style="1" bestFit="1" customWidth="1"/>
    <col min="795" max="801" width="9.140625" style="1"/>
    <col min="802" max="802" width="11.28515625" style="1" bestFit="1" customWidth="1"/>
    <col min="803" max="803" width="10.7109375" style="1" bestFit="1" customWidth="1"/>
    <col min="804" max="1025" width="9.140625" style="1"/>
    <col min="1026" max="1026" width="6.42578125" style="1" customWidth="1"/>
    <col min="1027" max="1027" width="20.7109375" style="1" customWidth="1"/>
    <col min="1028" max="1028" width="24.7109375" style="1" customWidth="1"/>
    <col min="1029" max="1029" width="11.140625" style="1" customWidth="1"/>
    <col min="1030" max="1030" width="12.28515625" style="1" customWidth="1"/>
    <col min="1031" max="1031" width="11.140625" style="1" customWidth="1"/>
    <col min="1032" max="1032" width="10.42578125" style="1" customWidth="1"/>
    <col min="1033" max="1033" width="4.7109375" style="1" customWidth="1"/>
    <col min="1034" max="1034" width="8.5703125" style="1" customWidth="1"/>
    <col min="1035" max="1035" width="5.5703125" style="1" customWidth="1"/>
    <col min="1036" max="1037" width="11.5703125" style="1" customWidth="1"/>
    <col min="1038" max="1038" width="10.85546875" style="1" customWidth="1"/>
    <col min="1039" max="1039" width="7.7109375" style="1" customWidth="1"/>
    <col min="1040" max="1040" width="8" style="1" customWidth="1"/>
    <col min="1041" max="1041" width="16.28515625" style="1" customWidth="1"/>
    <col min="1042" max="1042" width="10.5703125" style="1" customWidth="1"/>
    <col min="1043" max="1043" width="14.140625" style="1" customWidth="1"/>
    <col min="1044" max="1044" width="10.140625" style="1" customWidth="1"/>
    <col min="1045" max="1045" width="15.140625" style="1" customWidth="1"/>
    <col min="1046" max="1046" width="8.5703125" style="1" customWidth="1"/>
    <col min="1047" max="1047" width="14.28515625" style="1" customWidth="1"/>
    <col min="1048" max="1048" width="18.28515625" style="1" customWidth="1"/>
    <col min="1049" max="1049" width="13" style="1" bestFit="1" customWidth="1"/>
    <col min="1050" max="1050" width="11.7109375" style="1" bestFit="1" customWidth="1"/>
    <col min="1051" max="1057" width="9.140625" style="1"/>
    <col min="1058" max="1058" width="11.28515625" style="1" bestFit="1" customWidth="1"/>
    <col min="1059" max="1059" width="10.7109375" style="1" bestFit="1" customWidth="1"/>
    <col min="1060" max="1281" width="9.140625" style="1"/>
    <col min="1282" max="1282" width="6.42578125" style="1" customWidth="1"/>
    <col min="1283" max="1283" width="20.7109375" style="1" customWidth="1"/>
    <col min="1284" max="1284" width="24.7109375" style="1" customWidth="1"/>
    <col min="1285" max="1285" width="11.140625" style="1" customWidth="1"/>
    <col min="1286" max="1286" width="12.28515625" style="1" customWidth="1"/>
    <col min="1287" max="1287" width="11.140625" style="1" customWidth="1"/>
    <col min="1288" max="1288" width="10.42578125" style="1" customWidth="1"/>
    <col min="1289" max="1289" width="4.7109375" style="1" customWidth="1"/>
    <col min="1290" max="1290" width="8.5703125" style="1" customWidth="1"/>
    <col min="1291" max="1291" width="5.5703125" style="1" customWidth="1"/>
    <col min="1292" max="1293" width="11.5703125" style="1" customWidth="1"/>
    <col min="1294" max="1294" width="10.85546875" style="1" customWidth="1"/>
    <col min="1295" max="1295" width="7.7109375" style="1" customWidth="1"/>
    <col min="1296" max="1296" width="8" style="1" customWidth="1"/>
    <col min="1297" max="1297" width="16.28515625" style="1" customWidth="1"/>
    <col min="1298" max="1298" width="10.5703125" style="1" customWidth="1"/>
    <col min="1299" max="1299" width="14.140625" style="1" customWidth="1"/>
    <col min="1300" max="1300" width="10.140625" style="1" customWidth="1"/>
    <col min="1301" max="1301" width="15.140625" style="1" customWidth="1"/>
    <col min="1302" max="1302" width="8.5703125" style="1" customWidth="1"/>
    <col min="1303" max="1303" width="14.28515625" style="1" customWidth="1"/>
    <col min="1304" max="1304" width="18.28515625" style="1" customWidth="1"/>
    <col min="1305" max="1305" width="13" style="1" bestFit="1" customWidth="1"/>
    <col min="1306" max="1306" width="11.7109375" style="1" bestFit="1" customWidth="1"/>
    <col min="1307" max="1313" width="9.140625" style="1"/>
    <col min="1314" max="1314" width="11.28515625" style="1" bestFit="1" customWidth="1"/>
    <col min="1315" max="1315" width="10.7109375" style="1" bestFit="1" customWidth="1"/>
    <col min="1316" max="1537" width="9.140625" style="1"/>
    <col min="1538" max="1538" width="6.42578125" style="1" customWidth="1"/>
    <col min="1539" max="1539" width="20.7109375" style="1" customWidth="1"/>
    <col min="1540" max="1540" width="24.7109375" style="1" customWidth="1"/>
    <col min="1541" max="1541" width="11.140625" style="1" customWidth="1"/>
    <col min="1542" max="1542" width="12.28515625" style="1" customWidth="1"/>
    <col min="1543" max="1543" width="11.140625" style="1" customWidth="1"/>
    <col min="1544" max="1544" width="10.42578125" style="1" customWidth="1"/>
    <col min="1545" max="1545" width="4.7109375" style="1" customWidth="1"/>
    <col min="1546" max="1546" width="8.5703125" style="1" customWidth="1"/>
    <col min="1547" max="1547" width="5.5703125" style="1" customWidth="1"/>
    <col min="1548" max="1549" width="11.5703125" style="1" customWidth="1"/>
    <col min="1550" max="1550" width="10.85546875" style="1" customWidth="1"/>
    <col min="1551" max="1551" width="7.7109375" style="1" customWidth="1"/>
    <col min="1552" max="1552" width="8" style="1" customWidth="1"/>
    <col min="1553" max="1553" width="16.28515625" style="1" customWidth="1"/>
    <col min="1554" max="1554" width="10.5703125" style="1" customWidth="1"/>
    <col min="1555" max="1555" width="14.140625" style="1" customWidth="1"/>
    <col min="1556" max="1556" width="10.140625" style="1" customWidth="1"/>
    <col min="1557" max="1557" width="15.140625" style="1" customWidth="1"/>
    <col min="1558" max="1558" width="8.5703125" style="1" customWidth="1"/>
    <col min="1559" max="1559" width="14.28515625" style="1" customWidth="1"/>
    <col min="1560" max="1560" width="18.28515625" style="1" customWidth="1"/>
    <col min="1561" max="1561" width="13" style="1" bestFit="1" customWidth="1"/>
    <col min="1562" max="1562" width="11.7109375" style="1" bestFit="1" customWidth="1"/>
    <col min="1563" max="1569" width="9.140625" style="1"/>
    <col min="1570" max="1570" width="11.28515625" style="1" bestFit="1" customWidth="1"/>
    <col min="1571" max="1571" width="10.7109375" style="1" bestFit="1" customWidth="1"/>
    <col min="1572" max="1793" width="9.140625" style="1"/>
    <col min="1794" max="1794" width="6.42578125" style="1" customWidth="1"/>
    <col min="1795" max="1795" width="20.7109375" style="1" customWidth="1"/>
    <col min="1796" max="1796" width="24.7109375" style="1" customWidth="1"/>
    <col min="1797" max="1797" width="11.140625" style="1" customWidth="1"/>
    <col min="1798" max="1798" width="12.28515625" style="1" customWidth="1"/>
    <col min="1799" max="1799" width="11.140625" style="1" customWidth="1"/>
    <col min="1800" max="1800" width="10.42578125" style="1" customWidth="1"/>
    <col min="1801" max="1801" width="4.7109375" style="1" customWidth="1"/>
    <col min="1802" max="1802" width="8.5703125" style="1" customWidth="1"/>
    <col min="1803" max="1803" width="5.5703125" style="1" customWidth="1"/>
    <col min="1804" max="1805" width="11.5703125" style="1" customWidth="1"/>
    <col min="1806" max="1806" width="10.85546875" style="1" customWidth="1"/>
    <col min="1807" max="1807" width="7.7109375" style="1" customWidth="1"/>
    <col min="1808" max="1808" width="8" style="1" customWidth="1"/>
    <col min="1809" max="1809" width="16.28515625" style="1" customWidth="1"/>
    <col min="1810" max="1810" width="10.5703125" style="1" customWidth="1"/>
    <col min="1811" max="1811" width="14.140625" style="1" customWidth="1"/>
    <col min="1812" max="1812" width="10.140625" style="1" customWidth="1"/>
    <col min="1813" max="1813" width="15.140625" style="1" customWidth="1"/>
    <col min="1814" max="1814" width="8.5703125" style="1" customWidth="1"/>
    <col min="1815" max="1815" width="14.28515625" style="1" customWidth="1"/>
    <col min="1816" max="1816" width="18.28515625" style="1" customWidth="1"/>
    <col min="1817" max="1817" width="13" style="1" bestFit="1" customWidth="1"/>
    <col min="1818" max="1818" width="11.7109375" style="1" bestFit="1" customWidth="1"/>
    <col min="1819" max="1825" width="9.140625" style="1"/>
    <col min="1826" max="1826" width="11.28515625" style="1" bestFit="1" customWidth="1"/>
    <col min="1827" max="1827" width="10.7109375" style="1" bestFit="1" customWidth="1"/>
    <col min="1828" max="2049" width="9.140625" style="1"/>
    <col min="2050" max="2050" width="6.42578125" style="1" customWidth="1"/>
    <col min="2051" max="2051" width="20.7109375" style="1" customWidth="1"/>
    <col min="2052" max="2052" width="24.7109375" style="1" customWidth="1"/>
    <col min="2053" max="2053" width="11.140625" style="1" customWidth="1"/>
    <col min="2054" max="2054" width="12.28515625" style="1" customWidth="1"/>
    <col min="2055" max="2055" width="11.140625" style="1" customWidth="1"/>
    <col min="2056" max="2056" width="10.42578125" style="1" customWidth="1"/>
    <col min="2057" max="2057" width="4.7109375" style="1" customWidth="1"/>
    <col min="2058" max="2058" width="8.5703125" style="1" customWidth="1"/>
    <col min="2059" max="2059" width="5.5703125" style="1" customWidth="1"/>
    <col min="2060" max="2061" width="11.5703125" style="1" customWidth="1"/>
    <col min="2062" max="2062" width="10.85546875" style="1" customWidth="1"/>
    <col min="2063" max="2063" width="7.7109375" style="1" customWidth="1"/>
    <col min="2064" max="2064" width="8" style="1" customWidth="1"/>
    <col min="2065" max="2065" width="16.28515625" style="1" customWidth="1"/>
    <col min="2066" max="2066" width="10.5703125" style="1" customWidth="1"/>
    <col min="2067" max="2067" width="14.140625" style="1" customWidth="1"/>
    <col min="2068" max="2068" width="10.140625" style="1" customWidth="1"/>
    <col min="2069" max="2069" width="15.140625" style="1" customWidth="1"/>
    <col min="2070" max="2070" width="8.5703125" style="1" customWidth="1"/>
    <col min="2071" max="2071" width="14.28515625" style="1" customWidth="1"/>
    <col min="2072" max="2072" width="18.28515625" style="1" customWidth="1"/>
    <col min="2073" max="2073" width="13" style="1" bestFit="1" customWidth="1"/>
    <col min="2074" max="2074" width="11.7109375" style="1" bestFit="1" customWidth="1"/>
    <col min="2075" max="2081" width="9.140625" style="1"/>
    <col min="2082" max="2082" width="11.28515625" style="1" bestFit="1" customWidth="1"/>
    <col min="2083" max="2083" width="10.7109375" style="1" bestFit="1" customWidth="1"/>
    <col min="2084" max="2305" width="9.140625" style="1"/>
    <col min="2306" max="2306" width="6.42578125" style="1" customWidth="1"/>
    <col min="2307" max="2307" width="20.7109375" style="1" customWidth="1"/>
    <col min="2308" max="2308" width="24.7109375" style="1" customWidth="1"/>
    <col min="2309" max="2309" width="11.140625" style="1" customWidth="1"/>
    <col min="2310" max="2310" width="12.28515625" style="1" customWidth="1"/>
    <col min="2311" max="2311" width="11.140625" style="1" customWidth="1"/>
    <col min="2312" max="2312" width="10.42578125" style="1" customWidth="1"/>
    <col min="2313" max="2313" width="4.7109375" style="1" customWidth="1"/>
    <col min="2314" max="2314" width="8.5703125" style="1" customWidth="1"/>
    <col min="2315" max="2315" width="5.5703125" style="1" customWidth="1"/>
    <col min="2316" max="2317" width="11.5703125" style="1" customWidth="1"/>
    <col min="2318" max="2318" width="10.85546875" style="1" customWidth="1"/>
    <col min="2319" max="2319" width="7.7109375" style="1" customWidth="1"/>
    <col min="2320" max="2320" width="8" style="1" customWidth="1"/>
    <col min="2321" max="2321" width="16.28515625" style="1" customWidth="1"/>
    <col min="2322" max="2322" width="10.5703125" style="1" customWidth="1"/>
    <col min="2323" max="2323" width="14.140625" style="1" customWidth="1"/>
    <col min="2324" max="2324" width="10.140625" style="1" customWidth="1"/>
    <col min="2325" max="2325" width="15.140625" style="1" customWidth="1"/>
    <col min="2326" max="2326" width="8.5703125" style="1" customWidth="1"/>
    <col min="2327" max="2327" width="14.28515625" style="1" customWidth="1"/>
    <col min="2328" max="2328" width="18.28515625" style="1" customWidth="1"/>
    <col min="2329" max="2329" width="13" style="1" bestFit="1" customWidth="1"/>
    <col min="2330" max="2330" width="11.7109375" style="1" bestFit="1" customWidth="1"/>
    <col min="2331" max="2337" width="9.140625" style="1"/>
    <col min="2338" max="2338" width="11.28515625" style="1" bestFit="1" customWidth="1"/>
    <col min="2339" max="2339" width="10.7109375" style="1" bestFit="1" customWidth="1"/>
    <col min="2340" max="2561" width="9.140625" style="1"/>
    <col min="2562" max="2562" width="6.42578125" style="1" customWidth="1"/>
    <col min="2563" max="2563" width="20.7109375" style="1" customWidth="1"/>
    <col min="2564" max="2564" width="24.7109375" style="1" customWidth="1"/>
    <col min="2565" max="2565" width="11.140625" style="1" customWidth="1"/>
    <col min="2566" max="2566" width="12.28515625" style="1" customWidth="1"/>
    <col min="2567" max="2567" width="11.140625" style="1" customWidth="1"/>
    <col min="2568" max="2568" width="10.42578125" style="1" customWidth="1"/>
    <col min="2569" max="2569" width="4.7109375" style="1" customWidth="1"/>
    <col min="2570" max="2570" width="8.5703125" style="1" customWidth="1"/>
    <col min="2571" max="2571" width="5.5703125" style="1" customWidth="1"/>
    <col min="2572" max="2573" width="11.5703125" style="1" customWidth="1"/>
    <col min="2574" max="2574" width="10.85546875" style="1" customWidth="1"/>
    <col min="2575" max="2575" width="7.7109375" style="1" customWidth="1"/>
    <col min="2576" max="2576" width="8" style="1" customWidth="1"/>
    <col min="2577" max="2577" width="16.28515625" style="1" customWidth="1"/>
    <col min="2578" max="2578" width="10.5703125" style="1" customWidth="1"/>
    <col min="2579" max="2579" width="14.140625" style="1" customWidth="1"/>
    <col min="2580" max="2580" width="10.140625" style="1" customWidth="1"/>
    <col min="2581" max="2581" width="15.140625" style="1" customWidth="1"/>
    <col min="2582" max="2582" width="8.5703125" style="1" customWidth="1"/>
    <col min="2583" max="2583" width="14.28515625" style="1" customWidth="1"/>
    <col min="2584" max="2584" width="18.28515625" style="1" customWidth="1"/>
    <col min="2585" max="2585" width="13" style="1" bestFit="1" customWidth="1"/>
    <col min="2586" max="2586" width="11.7109375" style="1" bestFit="1" customWidth="1"/>
    <col min="2587" max="2593" width="9.140625" style="1"/>
    <col min="2594" max="2594" width="11.28515625" style="1" bestFit="1" customWidth="1"/>
    <col min="2595" max="2595" width="10.7109375" style="1" bestFit="1" customWidth="1"/>
    <col min="2596" max="2817" width="9.140625" style="1"/>
    <col min="2818" max="2818" width="6.42578125" style="1" customWidth="1"/>
    <col min="2819" max="2819" width="20.7109375" style="1" customWidth="1"/>
    <col min="2820" max="2820" width="24.7109375" style="1" customWidth="1"/>
    <col min="2821" max="2821" width="11.140625" style="1" customWidth="1"/>
    <col min="2822" max="2822" width="12.28515625" style="1" customWidth="1"/>
    <col min="2823" max="2823" width="11.140625" style="1" customWidth="1"/>
    <col min="2824" max="2824" width="10.42578125" style="1" customWidth="1"/>
    <col min="2825" max="2825" width="4.7109375" style="1" customWidth="1"/>
    <col min="2826" max="2826" width="8.5703125" style="1" customWidth="1"/>
    <col min="2827" max="2827" width="5.5703125" style="1" customWidth="1"/>
    <col min="2828" max="2829" width="11.5703125" style="1" customWidth="1"/>
    <col min="2830" max="2830" width="10.85546875" style="1" customWidth="1"/>
    <col min="2831" max="2831" width="7.7109375" style="1" customWidth="1"/>
    <col min="2832" max="2832" width="8" style="1" customWidth="1"/>
    <col min="2833" max="2833" width="16.28515625" style="1" customWidth="1"/>
    <col min="2834" max="2834" width="10.5703125" style="1" customWidth="1"/>
    <col min="2835" max="2835" width="14.140625" style="1" customWidth="1"/>
    <col min="2836" max="2836" width="10.140625" style="1" customWidth="1"/>
    <col min="2837" max="2837" width="15.140625" style="1" customWidth="1"/>
    <col min="2838" max="2838" width="8.5703125" style="1" customWidth="1"/>
    <col min="2839" max="2839" width="14.28515625" style="1" customWidth="1"/>
    <col min="2840" max="2840" width="18.28515625" style="1" customWidth="1"/>
    <col min="2841" max="2841" width="13" style="1" bestFit="1" customWidth="1"/>
    <col min="2842" max="2842" width="11.7109375" style="1" bestFit="1" customWidth="1"/>
    <col min="2843" max="2849" width="9.140625" style="1"/>
    <col min="2850" max="2850" width="11.28515625" style="1" bestFit="1" customWidth="1"/>
    <col min="2851" max="2851" width="10.7109375" style="1" bestFit="1" customWidth="1"/>
    <col min="2852" max="3073" width="9.140625" style="1"/>
    <col min="3074" max="3074" width="6.42578125" style="1" customWidth="1"/>
    <col min="3075" max="3075" width="20.7109375" style="1" customWidth="1"/>
    <col min="3076" max="3076" width="24.7109375" style="1" customWidth="1"/>
    <col min="3077" max="3077" width="11.140625" style="1" customWidth="1"/>
    <col min="3078" max="3078" width="12.28515625" style="1" customWidth="1"/>
    <col min="3079" max="3079" width="11.140625" style="1" customWidth="1"/>
    <col min="3080" max="3080" width="10.42578125" style="1" customWidth="1"/>
    <col min="3081" max="3081" width="4.7109375" style="1" customWidth="1"/>
    <col min="3082" max="3082" width="8.5703125" style="1" customWidth="1"/>
    <col min="3083" max="3083" width="5.5703125" style="1" customWidth="1"/>
    <col min="3084" max="3085" width="11.5703125" style="1" customWidth="1"/>
    <col min="3086" max="3086" width="10.85546875" style="1" customWidth="1"/>
    <col min="3087" max="3087" width="7.7109375" style="1" customWidth="1"/>
    <col min="3088" max="3088" width="8" style="1" customWidth="1"/>
    <col min="3089" max="3089" width="16.28515625" style="1" customWidth="1"/>
    <col min="3090" max="3090" width="10.5703125" style="1" customWidth="1"/>
    <col min="3091" max="3091" width="14.140625" style="1" customWidth="1"/>
    <col min="3092" max="3092" width="10.140625" style="1" customWidth="1"/>
    <col min="3093" max="3093" width="15.140625" style="1" customWidth="1"/>
    <col min="3094" max="3094" width="8.5703125" style="1" customWidth="1"/>
    <col min="3095" max="3095" width="14.28515625" style="1" customWidth="1"/>
    <col min="3096" max="3096" width="18.28515625" style="1" customWidth="1"/>
    <col min="3097" max="3097" width="13" style="1" bestFit="1" customWidth="1"/>
    <col min="3098" max="3098" width="11.7109375" style="1" bestFit="1" customWidth="1"/>
    <col min="3099" max="3105" width="9.140625" style="1"/>
    <col min="3106" max="3106" width="11.28515625" style="1" bestFit="1" customWidth="1"/>
    <col min="3107" max="3107" width="10.7109375" style="1" bestFit="1" customWidth="1"/>
    <col min="3108" max="3329" width="9.140625" style="1"/>
    <col min="3330" max="3330" width="6.42578125" style="1" customWidth="1"/>
    <col min="3331" max="3331" width="20.7109375" style="1" customWidth="1"/>
    <col min="3332" max="3332" width="24.7109375" style="1" customWidth="1"/>
    <col min="3333" max="3333" width="11.140625" style="1" customWidth="1"/>
    <col min="3334" max="3334" width="12.28515625" style="1" customWidth="1"/>
    <col min="3335" max="3335" width="11.140625" style="1" customWidth="1"/>
    <col min="3336" max="3336" width="10.42578125" style="1" customWidth="1"/>
    <col min="3337" max="3337" width="4.7109375" style="1" customWidth="1"/>
    <col min="3338" max="3338" width="8.5703125" style="1" customWidth="1"/>
    <col min="3339" max="3339" width="5.5703125" style="1" customWidth="1"/>
    <col min="3340" max="3341" width="11.5703125" style="1" customWidth="1"/>
    <col min="3342" max="3342" width="10.85546875" style="1" customWidth="1"/>
    <col min="3343" max="3343" width="7.7109375" style="1" customWidth="1"/>
    <col min="3344" max="3344" width="8" style="1" customWidth="1"/>
    <col min="3345" max="3345" width="16.28515625" style="1" customWidth="1"/>
    <col min="3346" max="3346" width="10.5703125" style="1" customWidth="1"/>
    <col min="3347" max="3347" width="14.140625" style="1" customWidth="1"/>
    <col min="3348" max="3348" width="10.140625" style="1" customWidth="1"/>
    <col min="3349" max="3349" width="15.140625" style="1" customWidth="1"/>
    <col min="3350" max="3350" width="8.5703125" style="1" customWidth="1"/>
    <col min="3351" max="3351" width="14.28515625" style="1" customWidth="1"/>
    <col min="3352" max="3352" width="18.28515625" style="1" customWidth="1"/>
    <col min="3353" max="3353" width="13" style="1" bestFit="1" customWidth="1"/>
    <col min="3354" max="3354" width="11.7109375" style="1" bestFit="1" customWidth="1"/>
    <col min="3355" max="3361" width="9.140625" style="1"/>
    <col min="3362" max="3362" width="11.28515625" style="1" bestFit="1" customWidth="1"/>
    <col min="3363" max="3363" width="10.7109375" style="1" bestFit="1" customWidth="1"/>
    <col min="3364" max="3585" width="9.140625" style="1"/>
    <col min="3586" max="3586" width="6.42578125" style="1" customWidth="1"/>
    <col min="3587" max="3587" width="20.7109375" style="1" customWidth="1"/>
    <col min="3588" max="3588" width="24.7109375" style="1" customWidth="1"/>
    <col min="3589" max="3589" width="11.140625" style="1" customWidth="1"/>
    <col min="3590" max="3590" width="12.28515625" style="1" customWidth="1"/>
    <col min="3591" max="3591" width="11.140625" style="1" customWidth="1"/>
    <col min="3592" max="3592" width="10.42578125" style="1" customWidth="1"/>
    <col min="3593" max="3593" width="4.7109375" style="1" customWidth="1"/>
    <col min="3594" max="3594" width="8.5703125" style="1" customWidth="1"/>
    <col min="3595" max="3595" width="5.5703125" style="1" customWidth="1"/>
    <col min="3596" max="3597" width="11.5703125" style="1" customWidth="1"/>
    <col min="3598" max="3598" width="10.85546875" style="1" customWidth="1"/>
    <col min="3599" max="3599" width="7.7109375" style="1" customWidth="1"/>
    <col min="3600" max="3600" width="8" style="1" customWidth="1"/>
    <col min="3601" max="3601" width="16.28515625" style="1" customWidth="1"/>
    <col min="3602" max="3602" width="10.5703125" style="1" customWidth="1"/>
    <col min="3603" max="3603" width="14.140625" style="1" customWidth="1"/>
    <col min="3604" max="3604" width="10.140625" style="1" customWidth="1"/>
    <col min="3605" max="3605" width="15.140625" style="1" customWidth="1"/>
    <col min="3606" max="3606" width="8.5703125" style="1" customWidth="1"/>
    <col min="3607" max="3607" width="14.28515625" style="1" customWidth="1"/>
    <col min="3608" max="3608" width="18.28515625" style="1" customWidth="1"/>
    <col min="3609" max="3609" width="13" style="1" bestFit="1" customWidth="1"/>
    <col min="3610" max="3610" width="11.7109375" style="1" bestFit="1" customWidth="1"/>
    <col min="3611" max="3617" width="9.140625" style="1"/>
    <col min="3618" max="3618" width="11.28515625" style="1" bestFit="1" customWidth="1"/>
    <col min="3619" max="3619" width="10.7109375" style="1" bestFit="1" customWidth="1"/>
    <col min="3620" max="3841" width="9.140625" style="1"/>
    <col min="3842" max="3842" width="6.42578125" style="1" customWidth="1"/>
    <col min="3843" max="3843" width="20.7109375" style="1" customWidth="1"/>
    <col min="3844" max="3844" width="24.7109375" style="1" customWidth="1"/>
    <col min="3845" max="3845" width="11.140625" style="1" customWidth="1"/>
    <col min="3846" max="3846" width="12.28515625" style="1" customWidth="1"/>
    <col min="3847" max="3847" width="11.140625" style="1" customWidth="1"/>
    <col min="3848" max="3848" width="10.42578125" style="1" customWidth="1"/>
    <col min="3849" max="3849" width="4.7109375" style="1" customWidth="1"/>
    <col min="3850" max="3850" width="8.5703125" style="1" customWidth="1"/>
    <col min="3851" max="3851" width="5.5703125" style="1" customWidth="1"/>
    <col min="3852" max="3853" width="11.5703125" style="1" customWidth="1"/>
    <col min="3854" max="3854" width="10.85546875" style="1" customWidth="1"/>
    <col min="3855" max="3855" width="7.7109375" style="1" customWidth="1"/>
    <col min="3856" max="3856" width="8" style="1" customWidth="1"/>
    <col min="3857" max="3857" width="16.28515625" style="1" customWidth="1"/>
    <col min="3858" max="3858" width="10.5703125" style="1" customWidth="1"/>
    <col min="3859" max="3859" width="14.140625" style="1" customWidth="1"/>
    <col min="3860" max="3860" width="10.140625" style="1" customWidth="1"/>
    <col min="3861" max="3861" width="15.140625" style="1" customWidth="1"/>
    <col min="3862" max="3862" width="8.5703125" style="1" customWidth="1"/>
    <col min="3863" max="3863" width="14.28515625" style="1" customWidth="1"/>
    <col min="3864" max="3864" width="18.28515625" style="1" customWidth="1"/>
    <col min="3865" max="3865" width="13" style="1" bestFit="1" customWidth="1"/>
    <col min="3866" max="3866" width="11.7109375" style="1" bestFit="1" customWidth="1"/>
    <col min="3867" max="3873" width="9.140625" style="1"/>
    <col min="3874" max="3874" width="11.28515625" style="1" bestFit="1" customWidth="1"/>
    <col min="3875" max="3875" width="10.7109375" style="1" bestFit="1" customWidth="1"/>
    <col min="3876" max="4097" width="9.140625" style="1"/>
    <col min="4098" max="4098" width="6.42578125" style="1" customWidth="1"/>
    <col min="4099" max="4099" width="20.7109375" style="1" customWidth="1"/>
    <col min="4100" max="4100" width="24.7109375" style="1" customWidth="1"/>
    <col min="4101" max="4101" width="11.140625" style="1" customWidth="1"/>
    <col min="4102" max="4102" width="12.28515625" style="1" customWidth="1"/>
    <col min="4103" max="4103" width="11.140625" style="1" customWidth="1"/>
    <col min="4104" max="4104" width="10.42578125" style="1" customWidth="1"/>
    <col min="4105" max="4105" width="4.7109375" style="1" customWidth="1"/>
    <col min="4106" max="4106" width="8.5703125" style="1" customWidth="1"/>
    <col min="4107" max="4107" width="5.5703125" style="1" customWidth="1"/>
    <col min="4108" max="4109" width="11.5703125" style="1" customWidth="1"/>
    <col min="4110" max="4110" width="10.85546875" style="1" customWidth="1"/>
    <col min="4111" max="4111" width="7.7109375" style="1" customWidth="1"/>
    <col min="4112" max="4112" width="8" style="1" customWidth="1"/>
    <col min="4113" max="4113" width="16.28515625" style="1" customWidth="1"/>
    <col min="4114" max="4114" width="10.5703125" style="1" customWidth="1"/>
    <col min="4115" max="4115" width="14.140625" style="1" customWidth="1"/>
    <col min="4116" max="4116" width="10.140625" style="1" customWidth="1"/>
    <col min="4117" max="4117" width="15.140625" style="1" customWidth="1"/>
    <col min="4118" max="4118" width="8.5703125" style="1" customWidth="1"/>
    <col min="4119" max="4119" width="14.28515625" style="1" customWidth="1"/>
    <col min="4120" max="4120" width="18.28515625" style="1" customWidth="1"/>
    <col min="4121" max="4121" width="13" style="1" bestFit="1" customWidth="1"/>
    <col min="4122" max="4122" width="11.7109375" style="1" bestFit="1" customWidth="1"/>
    <col min="4123" max="4129" width="9.140625" style="1"/>
    <col min="4130" max="4130" width="11.28515625" style="1" bestFit="1" customWidth="1"/>
    <col min="4131" max="4131" width="10.7109375" style="1" bestFit="1" customWidth="1"/>
    <col min="4132" max="4353" width="9.140625" style="1"/>
    <col min="4354" max="4354" width="6.42578125" style="1" customWidth="1"/>
    <col min="4355" max="4355" width="20.7109375" style="1" customWidth="1"/>
    <col min="4356" max="4356" width="24.7109375" style="1" customWidth="1"/>
    <col min="4357" max="4357" width="11.140625" style="1" customWidth="1"/>
    <col min="4358" max="4358" width="12.28515625" style="1" customWidth="1"/>
    <col min="4359" max="4359" width="11.140625" style="1" customWidth="1"/>
    <col min="4360" max="4360" width="10.42578125" style="1" customWidth="1"/>
    <col min="4361" max="4361" width="4.7109375" style="1" customWidth="1"/>
    <col min="4362" max="4362" width="8.5703125" style="1" customWidth="1"/>
    <col min="4363" max="4363" width="5.5703125" style="1" customWidth="1"/>
    <col min="4364" max="4365" width="11.5703125" style="1" customWidth="1"/>
    <col min="4366" max="4366" width="10.85546875" style="1" customWidth="1"/>
    <col min="4367" max="4367" width="7.7109375" style="1" customWidth="1"/>
    <col min="4368" max="4368" width="8" style="1" customWidth="1"/>
    <col min="4369" max="4369" width="16.28515625" style="1" customWidth="1"/>
    <col min="4370" max="4370" width="10.5703125" style="1" customWidth="1"/>
    <col min="4371" max="4371" width="14.140625" style="1" customWidth="1"/>
    <col min="4372" max="4372" width="10.140625" style="1" customWidth="1"/>
    <col min="4373" max="4373" width="15.140625" style="1" customWidth="1"/>
    <col min="4374" max="4374" width="8.5703125" style="1" customWidth="1"/>
    <col min="4375" max="4375" width="14.28515625" style="1" customWidth="1"/>
    <col min="4376" max="4376" width="18.28515625" style="1" customWidth="1"/>
    <col min="4377" max="4377" width="13" style="1" bestFit="1" customWidth="1"/>
    <col min="4378" max="4378" width="11.7109375" style="1" bestFit="1" customWidth="1"/>
    <col min="4379" max="4385" width="9.140625" style="1"/>
    <col min="4386" max="4386" width="11.28515625" style="1" bestFit="1" customWidth="1"/>
    <col min="4387" max="4387" width="10.7109375" style="1" bestFit="1" customWidth="1"/>
    <col min="4388" max="4609" width="9.140625" style="1"/>
    <col min="4610" max="4610" width="6.42578125" style="1" customWidth="1"/>
    <col min="4611" max="4611" width="20.7109375" style="1" customWidth="1"/>
    <col min="4612" max="4612" width="24.7109375" style="1" customWidth="1"/>
    <col min="4613" max="4613" width="11.140625" style="1" customWidth="1"/>
    <col min="4614" max="4614" width="12.28515625" style="1" customWidth="1"/>
    <col min="4615" max="4615" width="11.140625" style="1" customWidth="1"/>
    <col min="4616" max="4616" width="10.42578125" style="1" customWidth="1"/>
    <col min="4617" max="4617" width="4.7109375" style="1" customWidth="1"/>
    <col min="4618" max="4618" width="8.5703125" style="1" customWidth="1"/>
    <col min="4619" max="4619" width="5.5703125" style="1" customWidth="1"/>
    <col min="4620" max="4621" width="11.5703125" style="1" customWidth="1"/>
    <col min="4622" max="4622" width="10.85546875" style="1" customWidth="1"/>
    <col min="4623" max="4623" width="7.7109375" style="1" customWidth="1"/>
    <col min="4624" max="4624" width="8" style="1" customWidth="1"/>
    <col min="4625" max="4625" width="16.28515625" style="1" customWidth="1"/>
    <col min="4626" max="4626" width="10.5703125" style="1" customWidth="1"/>
    <col min="4627" max="4627" width="14.140625" style="1" customWidth="1"/>
    <col min="4628" max="4628" width="10.140625" style="1" customWidth="1"/>
    <col min="4629" max="4629" width="15.140625" style="1" customWidth="1"/>
    <col min="4630" max="4630" width="8.5703125" style="1" customWidth="1"/>
    <col min="4631" max="4631" width="14.28515625" style="1" customWidth="1"/>
    <col min="4632" max="4632" width="18.28515625" style="1" customWidth="1"/>
    <col min="4633" max="4633" width="13" style="1" bestFit="1" customWidth="1"/>
    <col min="4634" max="4634" width="11.7109375" style="1" bestFit="1" customWidth="1"/>
    <col min="4635" max="4641" width="9.140625" style="1"/>
    <col min="4642" max="4642" width="11.28515625" style="1" bestFit="1" customWidth="1"/>
    <col min="4643" max="4643" width="10.7109375" style="1" bestFit="1" customWidth="1"/>
    <col min="4644" max="4865" width="9.140625" style="1"/>
    <col min="4866" max="4866" width="6.42578125" style="1" customWidth="1"/>
    <col min="4867" max="4867" width="20.7109375" style="1" customWidth="1"/>
    <col min="4868" max="4868" width="24.7109375" style="1" customWidth="1"/>
    <col min="4869" max="4869" width="11.140625" style="1" customWidth="1"/>
    <col min="4870" max="4870" width="12.28515625" style="1" customWidth="1"/>
    <col min="4871" max="4871" width="11.140625" style="1" customWidth="1"/>
    <col min="4872" max="4872" width="10.42578125" style="1" customWidth="1"/>
    <col min="4873" max="4873" width="4.7109375" style="1" customWidth="1"/>
    <col min="4874" max="4874" width="8.5703125" style="1" customWidth="1"/>
    <col min="4875" max="4875" width="5.5703125" style="1" customWidth="1"/>
    <col min="4876" max="4877" width="11.5703125" style="1" customWidth="1"/>
    <col min="4878" max="4878" width="10.85546875" style="1" customWidth="1"/>
    <col min="4879" max="4879" width="7.7109375" style="1" customWidth="1"/>
    <col min="4880" max="4880" width="8" style="1" customWidth="1"/>
    <col min="4881" max="4881" width="16.28515625" style="1" customWidth="1"/>
    <col min="4882" max="4882" width="10.5703125" style="1" customWidth="1"/>
    <col min="4883" max="4883" width="14.140625" style="1" customWidth="1"/>
    <col min="4884" max="4884" width="10.140625" style="1" customWidth="1"/>
    <col min="4885" max="4885" width="15.140625" style="1" customWidth="1"/>
    <col min="4886" max="4886" width="8.5703125" style="1" customWidth="1"/>
    <col min="4887" max="4887" width="14.28515625" style="1" customWidth="1"/>
    <col min="4888" max="4888" width="18.28515625" style="1" customWidth="1"/>
    <col min="4889" max="4889" width="13" style="1" bestFit="1" customWidth="1"/>
    <col min="4890" max="4890" width="11.7109375" style="1" bestFit="1" customWidth="1"/>
    <col min="4891" max="4897" width="9.140625" style="1"/>
    <col min="4898" max="4898" width="11.28515625" style="1" bestFit="1" customWidth="1"/>
    <col min="4899" max="4899" width="10.7109375" style="1" bestFit="1" customWidth="1"/>
    <col min="4900" max="5121" width="9.140625" style="1"/>
    <col min="5122" max="5122" width="6.42578125" style="1" customWidth="1"/>
    <col min="5123" max="5123" width="20.7109375" style="1" customWidth="1"/>
    <col min="5124" max="5124" width="24.7109375" style="1" customWidth="1"/>
    <col min="5125" max="5125" width="11.140625" style="1" customWidth="1"/>
    <col min="5126" max="5126" width="12.28515625" style="1" customWidth="1"/>
    <col min="5127" max="5127" width="11.140625" style="1" customWidth="1"/>
    <col min="5128" max="5128" width="10.42578125" style="1" customWidth="1"/>
    <col min="5129" max="5129" width="4.7109375" style="1" customWidth="1"/>
    <col min="5130" max="5130" width="8.5703125" style="1" customWidth="1"/>
    <col min="5131" max="5131" width="5.5703125" style="1" customWidth="1"/>
    <col min="5132" max="5133" width="11.5703125" style="1" customWidth="1"/>
    <col min="5134" max="5134" width="10.85546875" style="1" customWidth="1"/>
    <col min="5135" max="5135" width="7.7109375" style="1" customWidth="1"/>
    <col min="5136" max="5136" width="8" style="1" customWidth="1"/>
    <col min="5137" max="5137" width="16.28515625" style="1" customWidth="1"/>
    <col min="5138" max="5138" width="10.5703125" style="1" customWidth="1"/>
    <col min="5139" max="5139" width="14.140625" style="1" customWidth="1"/>
    <col min="5140" max="5140" width="10.140625" style="1" customWidth="1"/>
    <col min="5141" max="5141" width="15.140625" style="1" customWidth="1"/>
    <col min="5142" max="5142" width="8.5703125" style="1" customWidth="1"/>
    <col min="5143" max="5143" width="14.28515625" style="1" customWidth="1"/>
    <col min="5144" max="5144" width="18.28515625" style="1" customWidth="1"/>
    <col min="5145" max="5145" width="13" style="1" bestFit="1" customWidth="1"/>
    <col min="5146" max="5146" width="11.7109375" style="1" bestFit="1" customWidth="1"/>
    <col min="5147" max="5153" width="9.140625" style="1"/>
    <col min="5154" max="5154" width="11.28515625" style="1" bestFit="1" customWidth="1"/>
    <col min="5155" max="5155" width="10.7109375" style="1" bestFit="1" customWidth="1"/>
    <col min="5156" max="5377" width="9.140625" style="1"/>
    <col min="5378" max="5378" width="6.42578125" style="1" customWidth="1"/>
    <col min="5379" max="5379" width="20.7109375" style="1" customWidth="1"/>
    <col min="5380" max="5380" width="24.7109375" style="1" customWidth="1"/>
    <col min="5381" max="5381" width="11.140625" style="1" customWidth="1"/>
    <col min="5382" max="5382" width="12.28515625" style="1" customWidth="1"/>
    <col min="5383" max="5383" width="11.140625" style="1" customWidth="1"/>
    <col min="5384" max="5384" width="10.42578125" style="1" customWidth="1"/>
    <col min="5385" max="5385" width="4.7109375" style="1" customWidth="1"/>
    <col min="5386" max="5386" width="8.5703125" style="1" customWidth="1"/>
    <col min="5387" max="5387" width="5.5703125" style="1" customWidth="1"/>
    <col min="5388" max="5389" width="11.5703125" style="1" customWidth="1"/>
    <col min="5390" max="5390" width="10.85546875" style="1" customWidth="1"/>
    <col min="5391" max="5391" width="7.7109375" style="1" customWidth="1"/>
    <col min="5392" max="5392" width="8" style="1" customWidth="1"/>
    <col min="5393" max="5393" width="16.28515625" style="1" customWidth="1"/>
    <col min="5394" max="5394" width="10.5703125" style="1" customWidth="1"/>
    <col min="5395" max="5395" width="14.140625" style="1" customWidth="1"/>
    <col min="5396" max="5396" width="10.140625" style="1" customWidth="1"/>
    <col min="5397" max="5397" width="15.140625" style="1" customWidth="1"/>
    <col min="5398" max="5398" width="8.5703125" style="1" customWidth="1"/>
    <col min="5399" max="5399" width="14.28515625" style="1" customWidth="1"/>
    <col min="5400" max="5400" width="18.28515625" style="1" customWidth="1"/>
    <col min="5401" max="5401" width="13" style="1" bestFit="1" customWidth="1"/>
    <col min="5402" max="5402" width="11.7109375" style="1" bestFit="1" customWidth="1"/>
    <col min="5403" max="5409" width="9.140625" style="1"/>
    <col min="5410" max="5410" width="11.28515625" style="1" bestFit="1" customWidth="1"/>
    <col min="5411" max="5411" width="10.7109375" style="1" bestFit="1" customWidth="1"/>
    <col min="5412" max="5633" width="9.140625" style="1"/>
    <col min="5634" max="5634" width="6.42578125" style="1" customWidth="1"/>
    <col min="5635" max="5635" width="20.7109375" style="1" customWidth="1"/>
    <col min="5636" max="5636" width="24.7109375" style="1" customWidth="1"/>
    <col min="5637" max="5637" width="11.140625" style="1" customWidth="1"/>
    <col min="5638" max="5638" width="12.28515625" style="1" customWidth="1"/>
    <col min="5639" max="5639" width="11.140625" style="1" customWidth="1"/>
    <col min="5640" max="5640" width="10.42578125" style="1" customWidth="1"/>
    <col min="5641" max="5641" width="4.7109375" style="1" customWidth="1"/>
    <col min="5642" max="5642" width="8.5703125" style="1" customWidth="1"/>
    <col min="5643" max="5643" width="5.5703125" style="1" customWidth="1"/>
    <col min="5644" max="5645" width="11.5703125" style="1" customWidth="1"/>
    <col min="5646" max="5646" width="10.85546875" style="1" customWidth="1"/>
    <col min="5647" max="5647" width="7.7109375" style="1" customWidth="1"/>
    <col min="5648" max="5648" width="8" style="1" customWidth="1"/>
    <col min="5649" max="5649" width="16.28515625" style="1" customWidth="1"/>
    <col min="5650" max="5650" width="10.5703125" style="1" customWidth="1"/>
    <col min="5651" max="5651" width="14.140625" style="1" customWidth="1"/>
    <col min="5652" max="5652" width="10.140625" style="1" customWidth="1"/>
    <col min="5653" max="5653" width="15.140625" style="1" customWidth="1"/>
    <col min="5654" max="5654" width="8.5703125" style="1" customWidth="1"/>
    <col min="5655" max="5655" width="14.28515625" style="1" customWidth="1"/>
    <col min="5656" max="5656" width="18.28515625" style="1" customWidth="1"/>
    <col min="5657" max="5657" width="13" style="1" bestFit="1" customWidth="1"/>
    <col min="5658" max="5658" width="11.7109375" style="1" bestFit="1" customWidth="1"/>
    <col min="5659" max="5665" width="9.140625" style="1"/>
    <col min="5666" max="5666" width="11.28515625" style="1" bestFit="1" customWidth="1"/>
    <col min="5667" max="5667" width="10.7109375" style="1" bestFit="1" customWidth="1"/>
    <col min="5668" max="5889" width="9.140625" style="1"/>
    <col min="5890" max="5890" width="6.42578125" style="1" customWidth="1"/>
    <col min="5891" max="5891" width="20.7109375" style="1" customWidth="1"/>
    <col min="5892" max="5892" width="24.7109375" style="1" customWidth="1"/>
    <col min="5893" max="5893" width="11.140625" style="1" customWidth="1"/>
    <col min="5894" max="5894" width="12.28515625" style="1" customWidth="1"/>
    <col min="5895" max="5895" width="11.140625" style="1" customWidth="1"/>
    <col min="5896" max="5896" width="10.42578125" style="1" customWidth="1"/>
    <col min="5897" max="5897" width="4.7109375" style="1" customWidth="1"/>
    <col min="5898" max="5898" width="8.5703125" style="1" customWidth="1"/>
    <col min="5899" max="5899" width="5.5703125" style="1" customWidth="1"/>
    <col min="5900" max="5901" width="11.5703125" style="1" customWidth="1"/>
    <col min="5902" max="5902" width="10.85546875" style="1" customWidth="1"/>
    <col min="5903" max="5903" width="7.7109375" style="1" customWidth="1"/>
    <col min="5904" max="5904" width="8" style="1" customWidth="1"/>
    <col min="5905" max="5905" width="16.28515625" style="1" customWidth="1"/>
    <col min="5906" max="5906" width="10.5703125" style="1" customWidth="1"/>
    <col min="5907" max="5907" width="14.140625" style="1" customWidth="1"/>
    <col min="5908" max="5908" width="10.140625" style="1" customWidth="1"/>
    <col min="5909" max="5909" width="15.140625" style="1" customWidth="1"/>
    <col min="5910" max="5910" width="8.5703125" style="1" customWidth="1"/>
    <col min="5911" max="5911" width="14.28515625" style="1" customWidth="1"/>
    <col min="5912" max="5912" width="18.28515625" style="1" customWidth="1"/>
    <col min="5913" max="5913" width="13" style="1" bestFit="1" customWidth="1"/>
    <col min="5914" max="5914" width="11.7109375" style="1" bestFit="1" customWidth="1"/>
    <col min="5915" max="5921" width="9.140625" style="1"/>
    <col min="5922" max="5922" width="11.28515625" style="1" bestFit="1" customWidth="1"/>
    <col min="5923" max="5923" width="10.7109375" style="1" bestFit="1" customWidth="1"/>
    <col min="5924" max="6145" width="9.140625" style="1"/>
    <col min="6146" max="6146" width="6.42578125" style="1" customWidth="1"/>
    <col min="6147" max="6147" width="20.7109375" style="1" customWidth="1"/>
    <col min="6148" max="6148" width="24.7109375" style="1" customWidth="1"/>
    <col min="6149" max="6149" width="11.140625" style="1" customWidth="1"/>
    <col min="6150" max="6150" width="12.28515625" style="1" customWidth="1"/>
    <col min="6151" max="6151" width="11.140625" style="1" customWidth="1"/>
    <col min="6152" max="6152" width="10.42578125" style="1" customWidth="1"/>
    <col min="6153" max="6153" width="4.7109375" style="1" customWidth="1"/>
    <col min="6154" max="6154" width="8.5703125" style="1" customWidth="1"/>
    <col min="6155" max="6155" width="5.5703125" style="1" customWidth="1"/>
    <col min="6156" max="6157" width="11.5703125" style="1" customWidth="1"/>
    <col min="6158" max="6158" width="10.85546875" style="1" customWidth="1"/>
    <col min="6159" max="6159" width="7.7109375" style="1" customWidth="1"/>
    <col min="6160" max="6160" width="8" style="1" customWidth="1"/>
    <col min="6161" max="6161" width="16.28515625" style="1" customWidth="1"/>
    <col min="6162" max="6162" width="10.5703125" style="1" customWidth="1"/>
    <col min="6163" max="6163" width="14.140625" style="1" customWidth="1"/>
    <col min="6164" max="6164" width="10.140625" style="1" customWidth="1"/>
    <col min="6165" max="6165" width="15.140625" style="1" customWidth="1"/>
    <col min="6166" max="6166" width="8.5703125" style="1" customWidth="1"/>
    <col min="6167" max="6167" width="14.28515625" style="1" customWidth="1"/>
    <col min="6168" max="6168" width="18.28515625" style="1" customWidth="1"/>
    <col min="6169" max="6169" width="13" style="1" bestFit="1" customWidth="1"/>
    <col min="6170" max="6170" width="11.7109375" style="1" bestFit="1" customWidth="1"/>
    <col min="6171" max="6177" width="9.140625" style="1"/>
    <col min="6178" max="6178" width="11.28515625" style="1" bestFit="1" customWidth="1"/>
    <col min="6179" max="6179" width="10.7109375" style="1" bestFit="1" customWidth="1"/>
    <col min="6180" max="6401" width="9.140625" style="1"/>
    <col min="6402" max="6402" width="6.42578125" style="1" customWidth="1"/>
    <col min="6403" max="6403" width="20.7109375" style="1" customWidth="1"/>
    <col min="6404" max="6404" width="24.7109375" style="1" customWidth="1"/>
    <col min="6405" max="6405" width="11.140625" style="1" customWidth="1"/>
    <col min="6406" max="6406" width="12.28515625" style="1" customWidth="1"/>
    <col min="6407" max="6407" width="11.140625" style="1" customWidth="1"/>
    <col min="6408" max="6408" width="10.42578125" style="1" customWidth="1"/>
    <col min="6409" max="6409" width="4.7109375" style="1" customWidth="1"/>
    <col min="6410" max="6410" width="8.5703125" style="1" customWidth="1"/>
    <col min="6411" max="6411" width="5.5703125" style="1" customWidth="1"/>
    <col min="6412" max="6413" width="11.5703125" style="1" customWidth="1"/>
    <col min="6414" max="6414" width="10.85546875" style="1" customWidth="1"/>
    <col min="6415" max="6415" width="7.7109375" style="1" customWidth="1"/>
    <col min="6416" max="6416" width="8" style="1" customWidth="1"/>
    <col min="6417" max="6417" width="16.28515625" style="1" customWidth="1"/>
    <col min="6418" max="6418" width="10.5703125" style="1" customWidth="1"/>
    <col min="6419" max="6419" width="14.140625" style="1" customWidth="1"/>
    <col min="6420" max="6420" width="10.140625" style="1" customWidth="1"/>
    <col min="6421" max="6421" width="15.140625" style="1" customWidth="1"/>
    <col min="6422" max="6422" width="8.5703125" style="1" customWidth="1"/>
    <col min="6423" max="6423" width="14.28515625" style="1" customWidth="1"/>
    <col min="6424" max="6424" width="18.28515625" style="1" customWidth="1"/>
    <col min="6425" max="6425" width="13" style="1" bestFit="1" customWidth="1"/>
    <col min="6426" max="6426" width="11.7109375" style="1" bestFit="1" customWidth="1"/>
    <col min="6427" max="6433" width="9.140625" style="1"/>
    <col min="6434" max="6434" width="11.28515625" style="1" bestFit="1" customWidth="1"/>
    <col min="6435" max="6435" width="10.7109375" style="1" bestFit="1" customWidth="1"/>
    <col min="6436" max="6657" width="9.140625" style="1"/>
    <col min="6658" max="6658" width="6.42578125" style="1" customWidth="1"/>
    <col min="6659" max="6659" width="20.7109375" style="1" customWidth="1"/>
    <col min="6660" max="6660" width="24.7109375" style="1" customWidth="1"/>
    <col min="6661" max="6661" width="11.140625" style="1" customWidth="1"/>
    <col min="6662" max="6662" width="12.28515625" style="1" customWidth="1"/>
    <col min="6663" max="6663" width="11.140625" style="1" customWidth="1"/>
    <col min="6664" max="6664" width="10.42578125" style="1" customWidth="1"/>
    <col min="6665" max="6665" width="4.7109375" style="1" customWidth="1"/>
    <col min="6666" max="6666" width="8.5703125" style="1" customWidth="1"/>
    <col min="6667" max="6667" width="5.5703125" style="1" customWidth="1"/>
    <col min="6668" max="6669" width="11.5703125" style="1" customWidth="1"/>
    <col min="6670" max="6670" width="10.85546875" style="1" customWidth="1"/>
    <col min="6671" max="6671" width="7.7109375" style="1" customWidth="1"/>
    <col min="6672" max="6672" width="8" style="1" customWidth="1"/>
    <col min="6673" max="6673" width="16.28515625" style="1" customWidth="1"/>
    <col min="6674" max="6674" width="10.5703125" style="1" customWidth="1"/>
    <col min="6675" max="6675" width="14.140625" style="1" customWidth="1"/>
    <col min="6676" max="6676" width="10.140625" style="1" customWidth="1"/>
    <col min="6677" max="6677" width="15.140625" style="1" customWidth="1"/>
    <col min="6678" max="6678" width="8.5703125" style="1" customWidth="1"/>
    <col min="6679" max="6679" width="14.28515625" style="1" customWidth="1"/>
    <col min="6680" max="6680" width="18.28515625" style="1" customWidth="1"/>
    <col min="6681" max="6681" width="13" style="1" bestFit="1" customWidth="1"/>
    <col min="6682" max="6682" width="11.7109375" style="1" bestFit="1" customWidth="1"/>
    <col min="6683" max="6689" width="9.140625" style="1"/>
    <col min="6690" max="6690" width="11.28515625" style="1" bestFit="1" customWidth="1"/>
    <col min="6691" max="6691" width="10.7109375" style="1" bestFit="1" customWidth="1"/>
    <col min="6692" max="6913" width="9.140625" style="1"/>
    <col min="6914" max="6914" width="6.42578125" style="1" customWidth="1"/>
    <col min="6915" max="6915" width="20.7109375" style="1" customWidth="1"/>
    <col min="6916" max="6916" width="24.7109375" style="1" customWidth="1"/>
    <col min="6917" max="6917" width="11.140625" style="1" customWidth="1"/>
    <col min="6918" max="6918" width="12.28515625" style="1" customWidth="1"/>
    <col min="6919" max="6919" width="11.140625" style="1" customWidth="1"/>
    <col min="6920" max="6920" width="10.42578125" style="1" customWidth="1"/>
    <col min="6921" max="6921" width="4.7109375" style="1" customWidth="1"/>
    <col min="6922" max="6922" width="8.5703125" style="1" customWidth="1"/>
    <col min="6923" max="6923" width="5.5703125" style="1" customWidth="1"/>
    <col min="6924" max="6925" width="11.5703125" style="1" customWidth="1"/>
    <col min="6926" max="6926" width="10.85546875" style="1" customWidth="1"/>
    <col min="6927" max="6927" width="7.7109375" style="1" customWidth="1"/>
    <col min="6928" max="6928" width="8" style="1" customWidth="1"/>
    <col min="6929" max="6929" width="16.28515625" style="1" customWidth="1"/>
    <col min="6930" max="6930" width="10.5703125" style="1" customWidth="1"/>
    <col min="6931" max="6931" width="14.140625" style="1" customWidth="1"/>
    <col min="6932" max="6932" width="10.140625" style="1" customWidth="1"/>
    <col min="6933" max="6933" width="15.140625" style="1" customWidth="1"/>
    <col min="6934" max="6934" width="8.5703125" style="1" customWidth="1"/>
    <col min="6935" max="6935" width="14.28515625" style="1" customWidth="1"/>
    <col min="6936" max="6936" width="18.28515625" style="1" customWidth="1"/>
    <col min="6937" max="6937" width="13" style="1" bestFit="1" customWidth="1"/>
    <col min="6938" max="6938" width="11.7109375" style="1" bestFit="1" customWidth="1"/>
    <col min="6939" max="6945" width="9.140625" style="1"/>
    <col min="6946" max="6946" width="11.28515625" style="1" bestFit="1" customWidth="1"/>
    <col min="6947" max="6947" width="10.7109375" style="1" bestFit="1" customWidth="1"/>
    <col min="6948" max="7169" width="9.140625" style="1"/>
    <col min="7170" max="7170" width="6.42578125" style="1" customWidth="1"/>
    <col min="7171" max="7171" width="20.7109375" style="1" customWidth="1"/>
    <col min="7172" max="7172" width="24.7109375" style="1" customWidth="1"/>
    <col min="7173" max="7173" width="11.140625" style="1" customWidth="1"/>
    <col min="7174" max="7174" width="12.28515625" style="1" customWidth="1"/>
    <col min="7175" max="7175" width="11.140625" style="1" customWidth="1"/>
    <col min="7176" max="7176" width="10.42578125" style="1" customWidth="1"/>
    <col min="7177" max="7177" width="4.7109375" style="1" customWidth="1"/>
    <col min="7178" max="7178" width="8.5703125" style="1" customWidth="1"/>
    <col min="7179" max="7179" width="5.5703125" style="1" customWidth="1"/>
    <col min="7180" max="7181" width="11.5703125" style="1" customWidth="1"/>
    <col min="7182" max="7182" width="10.85546875" style="1" customWidth="1"/>
    <col min="7183" max="7183" width="7.7109375" style="1" customWidth="1"/>
    <col min="7184" max="7184" width="8" style="1" customWidth="1"/>
    <col min="7185" max="7185" width="16.28515625" style="1" customWidth="1"/>
    <col min="7186" max="7186" width="10.5703125" style="1" customWidth="1"/>
    <col min="7187" max="7187" width="14.140625" style="1" customWidth="1"/>
    <col min="7188" max="7188" width="10.140625" style="1" customWidth="1"/>
    <col min="7189" max="7189" width="15.140625" style="1" customWidth="1"/>
    <col min="7190" max="7190" width="8.5703125" style="1" customWidth="1"/>
    <col min="7191" max="7191" width="14.28515625" style="1" customWidth="1"/>
    <col min="7192" max="7192" width="18.28515625" style="1" customWidth="1"/>
    <col min="7193" max="7193" width="13" style="1" bestFit="1" customWidth="1"/>
    <col min="7194" max="7194" width="11.7109375" style="1" bestFit="1" customWidth="1"/>
    <col min="7195" max="7201" width="9.140625" style="1"/>
    <col min="7202" max="7202" width="11.28515625" style="1" bestFit="1" customWidth="1"/>
    <col min="7203" max="7203" width="10.7109375" style="1" bestFit="1" customWidth="1"/>
    <col min="7204" max="7425" width="9.140625" style="1"/>
    <col min="7426" max="7426" width="6.42578125" style="1" customWidth="1"/>
    <col min="7427" max="7427" width="20.7109375" style="1" customWidth="1"/>
    <col min="7428" max="7428" width="24.7109375" style="1" customWidth="1"/>
    <col min="7429" max="7429" width="11.140625" style="1" customWidth="1"/>
    <col min="7430" max="7430" width="12.28515625" style="1" customWidth="1"/>
    <col min="7431" max="7431" width="11.140625" style="1" customWidth="1"/>
    <col min="7432" max="7432" width="10.42578125" style="1" customWidth="1"/>
    <col min="7433" max="7433" width="4.7109375" style="1" customWidth="1"/>
    <col min="7434" max="7434" width="8.5703125" style="1" customWidth="1"/>
    <col min="7435" max="7435" width="5.5703125" style="1" customWidth="1"/>
    <col min="7436" max="7437" width="11.5703125" style="1" customWidth="1"/>
    <col min="7438" max="7438" width="10.85546875" style="1" customWidth="1"/>
    <col min="7439" max="7439" width="7.7109375" style="1" customWidth="1"/>
    <col min="7440" max="7440" width="8" style="1" customWidth="1"/>
    <col min="7441" max="7441" width="16.28515625" style="1" customWidth="1"/>
    <col min="7442" max="7442" width="10.5703125" style="1" customWidth="1"/>
    <col min="7443" max="7443" width="14.140625" style="1" customWidth="1"/>
    <col min="7444" max="7444" width="10.140625" style="1" customWidth="1"/>
    <col min="7445" max="7445" width="15.140625" style="1" customWidth="1"/>
    <col min="7446" max="7446" width="8.5703125" style="1" customWidth="1"/>
    <col min="7447" max="7447" width="14.28515625" style="1" customWidth="1"/>
    <col min="7448" max="7448" width="18.28515625" style="1" customWidth="1"/>
    <col min="7449" max="7449" width="13" style="1" bestFit="1" customWidth="1"/>
    <col min="7450" max="7450" width="11.7109375" style="1" bestFit="1" customWidth="1"/>
    <col min="7451" max="7457" width="9.140625" style="1"/>
    <col min="7458" max="7458" width="11.28515625" style="1" bestFit="1" customWidth="1"/>
    <col min="7459" max="7459" width="10.7109375" style="1" bestFit="1" customWidth="1"/>
    <col min="7460" max="7681" width="9.140625" style="1"/>
    <col min="7682" max="7682" width="6.42578125" style="1" customWidth="1"/>
    <col min="7683" max="7683" width="20.7109375" style="1" customWidth="1"/>
    <col min="7684" max="7684" width="24.7109375" style="1" customWidth="1"/>
    <col min="7685" max="7685" width="11.140625" style="1" customWidth="1"/>
    <col min="7686" max="7686" width="12.28515625" style="1" customWidth="1"/>
    <col min="7687" max="7687" width="11.140625" style="1" customWidth="1"/>
    <col min="7688" max="7688" width="10.42578125" style="1" customWidth="1"/>
    <col min="7689" max="7689" width="4.7109375" style="1" customWidth="1"/>
    <col min="7690" max="7690" width="8.5703125" style="1" customWidth="1"/>
    <col min="7691" max="7691" width="5.5703125" style="1" customWidth="1"/>
    <col min="7692" max="7693" width="11.5703125" style="1" customWidth="1"/>
    <col min="7694" max="7694" width="10.85546875" style="1" customWidth="1"/>
    <col min="7695" max="7695" width="7.7109375" style="1" customWidth="1"/>
    <col min="7696" max="7696" width="8" style="1" customWidth="1"/>
    <col min="7697" max="7697" width="16.28515625" style="1" customWidth="1"/>
    <col min="7698" max="7698" width="10.5703125" style="1" customWidth="1"/>
    <col min="7699" max="7699" width="14.140625" style="1" customWidth="1"/>
    <col min="7700" max="7700" width="10.140625" style="1" customWidth="1"/>
    <col min="7701" max="7701" width="15.140625" style="1" customWidth="1"/>
    <col min="7702" max="7702" width="8.5703125" style="1" customWidth="1"/>
    <col min="7703" max="7703" width="14.28515625" style="1" customWidth="1"/>
    <col min="7704" max="7704" width="18.28515625" style="1" customWidth="1"/>
    <col min="7705" max="7705" width="13" style="1" bestFit="1" customWidth="1"/>
    <col min="7706" max="7706" width="11.7109375" style="1" bestFit="1" customWidth="1"/>
    <col min="7707" max="7713" width="9.140625" style="1"/>
    <col min="7714" max="7714" width="11.28515625" style="1" bestFit="1" customWidth="1"/>
    <col min="7715" max="7715" width="10.7109375" style="1" bestFit="1" customWidth="1"/>
    <col min="7716" max="7937" width="9.140625" style="1"/>
    <col min="7938" max="7938" width="6.42578125" style="1" customWidth="1"/>
    <col min="7939" max="7939" width="20.7109375" style="1" customWidth="1"/>
    <col min="7940" max="7940" width="24.7109375" style="1" customWidth="1"/>
    <col min="7941" max="7941" width="11.140625" style="1" customWidth="1"/>
    <col min="7942" max="7942" width="12.28515625" style="1" customWidth="1"/>
    <col min="7943" max="7943" width="11.140625" style="1" customWidth="1"/>
    <col min="7944" max="7944" width="10.42578125" style="1" customWidth="1"/>
    <col min="7945" max="7945" width="4.7109375" style="1" customWidth="1"/>
    <col min="7946" max="7946" width="8.5703125" style="1" customWidth="1"/>
    <col min="7947" max="7947" width="5.5703125" style="1" customWidth="1"/>
    <col min="7948" max="7949" width="11.5703125" style="1" customWidth="1"/>
    <col min="7950" max="7950" width="10.85546875" style="1" customWidth="1"/>
    <col min="7951" max="7951" width="7.7109375" style="1" customWidth="1"/>
    <col min="7952" max="7952" width="8" style="1" customWidth="1"/>
    <col min="7953" max="7953" width="16.28515625" style="1" customWidth="1"/>
    <col min="7954" max="7954" width="10.5703125" style="1" customWidth="1"/>
    <col min="7955" max="7955" width="14.140625" style="1" customWidth="1"/>
    <col min="7956" max="7956" width="10.140625" style="1" customWidth="1"/>
    <col min="7957" max="7957" width="15.140625" style="1" customWidth="1"/>
    <col min="7958" max="7958" width="8.5703125" style="1" customWidth="1"/>
    <col min="7959" max="7959" width="14.28515625" style="1" customWidth="1"/>
    <col min="7960" max="7960" width="18.28515625" style="1" customWidth="1"/>
    <col min="7961" max="7961" width="13" style="1" bestFit="1" customWidth="1"/>
    <col min="7962" max="7962" width="11.7109375" style="1" bestFit="1" customWidth="1"/>
    <col min="7963" max="7969" width="9.140625" style="1"/>
    <col min="7970" max="7970" width="11.28515625" style="1" bestFit="1" customWidth="1"/>
    <col min="7971" max="7971" width="10.7109375" style="1" bestFit="1" customWidth="1"/>
    <col min="7972" max="8193" width="9.140625" style="1"/>
    <col min="8194" max="8194" width="6.42578125" style="1" customWidth="1"/>
    <col min="8195" max="8195" width="20.7109375" style="1" customWidth="1"/>
    <col min="8196" max="8196" width="24.7109375" style="1" customWidth="1"/>
    <col min="8197" max="8197" width="11.140625" style="1" customWidth="1"/>
    <col min="8198" max="8198" width="12.28515625" style="1" customWidth="1"/>
    <col min="8199" max="8199" width="11.140625" style="1" customWidth="1"/>
    <col min="8200" max="8200" width="10.42578125" style="1" customWidth="1"/>
    <col min="8201" max="8201" width="4.7109375" style="1" customWidth="1"/>
    <col min="8202" max="8202" width="8.5703125" style="1" customWidth="1"/>
    <col min="8203" max="8203" width="5.5703125" style="1" customWidth="1"/>
    <col min="8204" max="8205" width="11.5703125" style="1" customWidth="1"/>
    <col min="8206" max="8206" width="10.85546875" style="1" customWidth="1"/>
    <col min="8207" max="8207" width="7.7109375" style="1" customWidth="1"/>
    <col min="8208" max="8208" width="8" style="1" customWidth="1"/>
    <col min="8209" max="8209" width="16.28515625" style="1" customWidth="1"/>
    <col min="8210" max="8210" width="10.5703125" style="1" customWidth="1"/>
    <col min="8211" max="8211" width="14.140625" style="1" customWidth="1"/>
    <col min="8212" max="8212" width="10.140625" style="1" customWidth="1"/>
    <col min="8213" max="8213" width="15.140625" style="1" customWidth="1"/>
    <col min="8214" max="8214" width="8.5703125" style="1" customWidth="1"/>
    <col min="8215" max="8215" width="14.28515625" style="1" customWidth="1"/>
    <col min="8216" max="8216" width="18.28515625" style="1" customWidth="1"/>
    <col min="8217" max="8217" width="13" style="1" bestFit="1" customWidth="1"/>
    <col min="8218" max="8218" width="11.7109375" style="1" bestFit="1" customWidth="1"/>
    <col min="8219" max="8225" width="9.140625" style="1"/>
    <col min="8226" max="8226" width="11.28515625" style="1" bestFit="1" customWidth="1"/>
    <col min="8227" max="8227" width="10.7109375" style="1" bestFit="1" customWidth="1"/>
    <col min="8228" max="8449" width="9.140625" style="1"/>
    <col min="8450" max="8450" width="6.42578125" style="1" customWidth="1"/>
    <col min="8451" max="8451" width="20.7109375" style="1" customWidth="1"/>
    <col min="8452" max="8452" width="24.7109375" style="1" customWidth="1"/>
    <col min="8453" max="8453" width="11.140625" style="1" customWidth="1"/>
    <col min="8454" max="8454" width="12.28515625" style="1" customWidth="1"/>
    <col min="8455" max="8455" width="11.140625" style="1" customWidth="1"/>
    <col min="8456" max="8456" width="10.42578125" style="1" customWidth="1"/>
    <col min="8457" max="8457" width="4.7109375" style="1" customWidth="1"/>
    <col min="8458" max="8458" width="8.5703125" style="1" customWidth="1"/>
    <col min="8459" max="8459" width="5.5703125" style="1" customWidth="1"/>
    <col min="8460" max="8461" width="11.5703125" style="1" customWidth="1"/>
    <col min="8462" max="8462" width="10.85546875" style="1" customWidth="1"/>
    <col min="8463" max="8463" width="7.7109375" style="1" customWidth="1"/>
    <col min="8464" max="8464" width="8" style="1" customWidth="1"/>
    <col min="8465" max="8465" width="16.28515625" style="1" customWidth="1"/>
    <col min="8466" max="8466" width="10.5703125" style="1" customWidth="1"/>
    <col min="8467" max="8467" width="14.140625" style="1" customWidth="1"/>
    <col min="8468" max="8468" width="10.140625" style="1" customWidth="1"/>
    <col min="8469" max="8469" width="15.140625" style="1" customWidth="1"/>
    <col min="8470" max="8470" width="8.5703125" style="1" customWidth="1"/>
    <col min="8471" max="8471" width="14.28515625" style="1" customWidth="1"/>
    <col min="8472" max="8472" width="18.28515625" style="1" customWidth="1"/>
    <col min="8473" max="8473" width="13" style="1" bestFit="1" customWidth="1"/>
    <col min="8474" max="8474" width="11.7109375" style="1" bestFit="1" customWidth="1"/>
    <col min="8475" max="8481" width="9.140625" style="1"/>
    <col min="8482" max="8482" width="11.28515625" style="1" bestFit="1" customWidth="1"/>
    <col min="8483" max="8483" width="10.7109375" style="1" bestFit="1" customWidth="1"/>
    <col min="8484" max="8705" width="9.140625" style="1"/>
    <col min="8706" max="8706" width="6.42578125" style="1" customWidth="1"/>
    <col min="8707" max="8707" width="20.7109375" style="1" customWidth="1"/>
    <col min="8708" max="8708" width="24.7109375" style="1" customWidth="1"/>
    <col min="8709" max="8709" width="11.140625" style="1" customWidth="1"/>
    <col min="8710" max="8710" width="12.28515625" style="1" customWidth="1"/>
    <col min="8711" max="8711" width="11.140625" style="1" customWidth="1"/>
    <col min="8712" max="8712" width="10.42578125" style="1" customWidth="1"/>
    <col min="8713" max="8713" width="4.7109375" style="1" customWidth="1"/>
    <col min="8714" max="8714" width="8.5703125" style="1" customWidth="1"/>
    <col min="8715" max="8715" width="5.5703125" style="1" customWidth="1"/>
    <col min="8716" max="8717" width="11.5703125" style="1" customWidth="1"/>
    <col min="8718" max="8718" width="10.85546875" style="1" customWidth="1"/>
    <col min="8719" max="8719" width="7.7109375" style="1" customWidth="1"/>
    <col min="8720" max="8720" width="8" style="1" customWidth="1"/>
    <col min="8721" max="8721" width="16.28515625" style="1" customWidth="1"/>
    <col min="8722" max="8722" width="10.5703125" style="1" customWidth="1"/>
    <col min="8723" max="8723" width="14.140625" style="1" customWidth="1"/>
    <col min="8724" max="8724" width="10.140625" style="1" customWidth="1"/>
    <col min="8725" max="8725" width="15.140625" style="1" customWidth="1"/>
    <col min="8726" max="8726" width="8.5703125" style="1" customWidth="1"/>
    <col min="8727" max="8727" width="14.28515625" style="1" customWidth="1"/>
    <col min="8728" max="8728" width="18.28515625" style="1" customWidth="1"/>
    <col min="8729" max="8729" width="13" style="1" bestFit="1" customWidth="1"/>
    <col min="8730" max="8730" width="11.7109375" style="1" bestFit="1" customWidth="1"/>
    <col min="8731" max="8737" width="9.140625" style="1"/>
    <col min="8738" max="8738" width="11.28515625" style="1" bestFit="1" customWidth="1"/>
    <col min="8739" max="8739" width="10.7109375" style="1" bestFit="1" customWidth="1"/>
    <col min="8740" max="8961" width="9.140625" style="1"/>
    <col min="8962" max="8962" width="6.42578125" style="1" customWidth="1"/>
    <col min="8963" max="8963" width="20.7109375" style="1" customWidth="1"/>
    <col min="8964" max="8964" width="24.7109375" style="1" customWidth="1"/>
    <col min="8965" max="8965" width="11.140625" style="1" customWidth="1"/>
    <col min="8966" max="8966" width="12.28515625" style="1" customWidth="1"/>
    <col min="8967" max="8967" width="11.140625" style="1" customWidth="1"/>
    <col min="8968" max="8968" width="10.42578125" style="1" customWidth="1"/>
    <col min="8969" max="8969" width="4.7109375" style="1" customWidth="1"/>
    <col min="8970" max="8970" width="8.5703125" style="1" customWidth="1"/>
    <col min="8971" max="8971" width="5.5703125" style="1" customWidth="1"/>
    <col min="8972" max="8973" width="11.5703125" style="1" customWidth="1"/>
    <col min="8974" max="8974" width="10.85546875" style="1" customWidth="1"/>
    <col min="8975" max="8975" width="7.7109375" style="1" customWidth="1"/>
    <col min="8976" max="8976" width="8" style="1" customWidth="1"/>
    <col min="8977" max="8977" width="16.28515625" style="1" customWidth="1"/>
    <col min="8978" max="8978" width="10.5703125" style="1" customWidth="1"/>
    <col min="8979" max="8979" width="14.140625" style="1" customWidth="1"/>
    <col min="8980" max="8980" width="10.140625" style="1" customWidth="1"/>
    <col min="8981" max="8981" width="15.140625" style="1" customWidth="1"/>
    <col min="8982" max="8982" width="8.5703125" style="1" customWidth="1"/>
    <col min="8983" max="8983" width="14.28515625" style="1" customWidth="1"/>
    <col min="8984" max="8984" width="18.28515625" style="1" customWidth="1"/>
    <col min="8985" max="8985" width="13" style="1" bestFit="1" customWidth="1"/>
    <col min="8986" max="8986" width="11.7109375" style="1" bestFit="1" customWidth="1"/>
    <col min="8987" max="8993" width="9.140625" style="1"/>
    <col min="8994" max="8994" width="11.28515625" style="1" bestFit="1" customWidth="1"/>
    <col min="8995" max="8995" width="10.7109375" style="1" bestFit="1" customWidth="1"/>
    <col min="8996" max="9217" width="9.140625" style="1"/>
    <col min="9218" max="9218" width="6.42578125" style="1" customWidth="1"/>
    <col min="9219" max="9219" width="20.7109375" style="1" customWidth="1"/>
    <col min="9220" max="9220" width="24.7109375" style="1" customWidth="1"/>
    <col min="9221" max="9221" width="11.140625" style="1" customWidth="1"/>
    <col min="9222" max="9222" width="12.28515625" style="1" customWidth="1"/>
    <col min="9223" max="9223" width="11.140625" style="1" customWidth="1"/>
    <col min="9224" max="9224" width="10.42578125" style="1" customWidth="1"/>
    <col min="9225" max="9225" width="4.7109375" style="1" customWidth="1"/>
    <col min="9226" max="9226" width="8.5703125" style="1" customWidth="1"/>
    <col min="9227" max="9227" width="5.5703125" style="1" customWidth="1"/>
    <col min="9228" max="9229" width="11.5703125" style="1" customWidth="1"/>
    <col min="9230" max="9230" width="10.85546875" style="1" customWidth="1"/>
    <col min="9231" max="9231" width="7.7109375" style="1" customWidth="1"/>
    <col min="9232" max="9232" width="8" style="1" customWidth="1"/>
    <col min="9233" max="9233" width="16.28515625" style="1" customWidth="1"/>
    <col min="9234" max="9234" width="10.5703125" style="1" customWidth="1"/>
    <col min="9235" max="9235" width="14.140625" style="1" customWidth="1"/>
    <col min="9236" max="9236" width="10.140625" style="1" customWidth="1"/>
    <col min="9237" max="9237" width="15.140625" style="1" customWidth="1"/>
    <col min="9238" max="9238" width="8.5703125" style="1" customWidth="1"/>
    <col min="9239" max="9239" width="14.28515625" style="1" customWidth="1"/>
    <col min="9240" max="9240" width="18.28515625" style="1" customWidth="1"/>
    <col min="9241" max="9241" width="13" style="1" bestFit="1" customWidth="1"/>
    <col min="9242" max="9242" width="11.7109375" style="1" bestFit="1" customWidth="1"/>
    <col min="9243" max="9249" width="9.140625" style="1"/>
    <col min="9250" max="9250" width="11.28515625" style="1" bestFit="1" customWidth="1"/>
    <col min="9251" max="9251" width="10.7109375" style="1" bestFit="1" customWidth="1"/>
    <col min="9252" max="9473" width="9.140625" style="1"/>
    <col min="9474" max="9474" width="6.42578125" style="1" customWidth="1"/>
    <col min="9475" max="9475" width="20.7109375" style="1" customWidth="1"/>
    <col min="9476" max="9476" width="24.7109375" style="1" customWidth="1"/>
    <col min="9477" max="9477" width="11.140625" style="1" customWidth="1"/>
    <col min="9478" max="9478" width="12.28515625" style="1" customWidth="1"/>
    <col min="9479" max="9479" width="11.140625" style="1" customWidth="1"/>
    <col min="9480" max="9480" width="10.42578125" style="1" customWidth="1"/>
    <col min="9481" max="9481" width="4.7109375" style="1" customWidth="1"/>
    <col min="9482" max="9482" width="8.5703125" style="1" customWidth="1"/>
    <col min="9483" max="9483" width="5.5703125" style="1" customWidth="1"/>
    <col min="9484" max="9485" width="11.5703125" style="1" customWidth="1"/>
    <col min="9486" max="9486" width="10.85546875" style="1" customWidth="1"/>
    <col min="9487" max="9487" width="7.7109375" style="1" customWidth="1"/>
    <col min="9488" max="9488" width="8" style="1" customWidth="1"/>
    <col min="9489" max="9489" width="16.28515625" style="1" customWidth="1"/>
    <col min="9490" max="9490" width="10.5703125" style="1" customWidth="1"/>
    <col min="9491" max="9491" width="14.140625" style="1" customWidth="1"/>
    <col min="9492" max="9492" width="10.140625" style="1" customWidth="1"/>
    <col min="9493" max="9493" width="15.140625" style="1" customWidth="1"/>
    <col min="9494" max="9494" width="8.5703125" style="1" customWidth="1"/>
    <col min="9495" max="9495" width="14.28515625" style="1" customWidth="1"/>
    <col min="9496" max="9496" width="18.28515625" style="1" customWidth="1"/>
    <col min="9497" max="9497" width="13" style="1" bestFit="1" customWidth="1"/>
    <col min="9498" max="9498" width="11.7109375" style="1" bestFit="1" customWidth="1"/>
    <col min="9499" max="9505" width="9.140625" style="1"/>
    <col min="9506" max="9506" width="11.28515625" style="1" bestFit="1" customWidth="1"/>
    <col min="9507" max="9507" width="10.7109375" style="1" bestFit="1" customWidth="1"/>
    <col min="9508" max="9729" width="9.140625" style="1"/>
    <col min="9730" max="9730" width="6.42578125" style="1" customWidth="1"/>
    <col min="9731" max="9731" width="20.7109375" style="1" customWidth="1"/>
    <col min="9732" max="9732" width="24.7109375" style="1" customWidth="1"/>
    <col min="9733" max="9733" width="11.140625" style="1" customWidth="1"/>
    <col min="9734" max="9734" width="12.28515625" style="1" customWidth="1"/>
    <col min="9735" max="9735" width="11.140625" style="1" customWidth="1"/>
    <col min="9736" max="9736" width="10.42578125" style="1" customWidth="1"/>
    <col min="9737" max="9737" width="4.7109375" style="1" customWidth="1"/>
    <col min="9738" max="9738" width="8.5703125" style="1" customWidth="1"/>
    <col min="9739" max="9739" width="5.5703125" style="1" customWidth="1"/>
    <col min="9740" max="9741" width="11.5703125" style="1" customWidth="1"/>
    <col min="9742" max="9742" width="10.85546875" style="1" customWidth="1"/>
    <col min="9743" max="9743" width="7.7109375" style="1" customWidth="1"/>
    <col min="9744" max="9744" width="8" style="1" customWidth="1"/>
    <col min="9745" max="9745" width="16.28515625" style="1" customWidth="1"/>
    <col min="9746" max="9746" width="10.5703125" style="1" customWidth="1"/>
    <col min="9747" max="9747" width="14.140625" style="1" customWidth="1"/>
    <col min="9748" max="9748" width="10.140625" style="1" customWidth="1"/>
    <col min="9749" max="9749" width="15.140625" style="1" customWidth="1"/>
    <col min="9750" max="9750" width="8.5703125" style="1" customWidth="1"/>
    <col min="9751" max="9751" width="14.28515625" style="1" customWidth="1"/>
    <col min="9752" max="9752" width="18.28515625" style="1" customWidth="1"/>
    <col min="9753" max="9753" width="13" style="1" bestFit="1" customWidth="1"/>
    <col min="9754" max="9754" width="11.7109375" style="1" bestFit="1" customWidth="1"/>
    <col min="9755" max="9761" width="9.140625" style="1"/>
    <col min="9762" max="9762" width="11.28515625" style="1" bestFit="1" customWidth="1"/>
    <col min="9763" max="9763" width="10.7109375" style="1" bestFit="1" customWidth="1"/>
    <col min="9764" max="9985" width="9.140625" style="1"/>
    <col min="9986" max="9986" width="6.42578125" style="1" customWidth="1"/>
    <col min="9987" max="9987" width="20.7109375" style="1" customWidth="1"/>
    <col min="9988" max="9988" width="24.7109375" style="1" customWidth="1"/>
    <col min="9989" max="9989" width="11.140625" style="1" customWidth="1"/>
    <col min="9990" max="9990" width="12.28515625" style="1" customWidth="1"/>
    <col min="9991" max="9991" width="11.140625" style="1" customWidth="1"/>
    <col min="9992" max="9992" width="10.42578125" style="1" customWidth="1"/>
    <col min="9993" max="9993" width="4.7109375" style="1" customWidth="1"/>
    <col min="9994" max="9994" width="8.5703125" style="1" customWidth="1"/>
    <col min="9995" max="9995" width="5.5703125" style="1" customWidth="1"/>
    <col min="9996" max="9997" width="11.5703125" style="1" customWidth="1"/>
    <col min="9998" max="9998" width="10.85546875" style="1" customWidth="1"/>
    <col min="9999" max="9999" width="7.7109375" style="1" customWidth="1"/>
    <col min="10000" max="10000" width="8" style="1" customWidth="1"/>
    <col min="10001" max="10001" width="16.28515625" style="1" customWidth="1"/>
    <col min="10002" max="10002" width="10.5703125" style="1" customWidth="1"/>
    <col min="10003" max="10003" width="14.140625" style="1" customWidth="1"/>
    <col min="10004" max="10004" width="10.140625" style="1" customWidth="1"/>
    <col min="10005" max="10005" width="15.140625" style="1" customWidth="1"/>
    <col min="10006" max="10006" width="8.5703125" style="1" customWidth="1"/>
    <col min="10007" max="10007" width="14.28515625" style="1" customWidth="1"/>
    <col min="10008" max="10008" width="18.28515625" style="1" customWidth="1"/>
    <col min="10009" max="10009" width="13" style="1" bestFit="1" customWidth="1"/>
    <col min="10010" max="10010" width="11.7109375" style="1" bestFit="1" customWidth="1"/>
    <col min="10011" max="10017" width="9.140625" style="1"/>
    <col min="10018" max="10018" width="11.28515625" style="1" bestFit="1" customWidth="1"/>
    <col min="10019" max="10019" width="10.7109375" style="1" bestFit="1" customWidth="1"/>
    <col min="10020" max="10241" width="9.140625" style="1"/>
    <col min="10242" max="10242" width="6.42578125" style="1" customWidth="1"/>
    <col min="10243" max="10243" width="20.7109375" style="1" customWidth="1"/>
    <col min="10244" max="10244" width="24.7109375" style="1" customWidth="1"/>
    <col min="10245" max="10245" width="11.140625" style="1" customWidth="1"/>
    <col min="10246" max="10246" width="12.28515625" style="1" customWidth="1"/>
    <col min="10247" max="10247" width="11.140625" style="1" customWidth="1"/>
    <col min="10248" max="10248" width="10.42578125" style="1" customWidth="1"/>
    <col min="10249" max="10249" width="4.7109375" style="1" customWidth="1"/>
    <col min="10250" max="10250" width="8.5703125" style="1" customWidth="1"/>
    <col min="10251" max="10251" width="5.5703125" style="1" customWidth="1"/>
    <col min="10252" max="10253" width="11.5703125" style="1" customWidth="1"/>
    <col min="10254" max="10254" width="10.85546875" style="1" customWidth="1"/>
    <col min="10255" max="10255" width="7.7109375" style="1" customWidth="1"/>
    <col min="10256" max="10256" width="8" style="1" customWidth="1"/>
    <col min="10257" max="10257" width="16.28515625" style="1" customWidth="1"/>
    <col min="10258" max="10258" width="10.5703125" style="1" customWidth="1"/>
    <col min="10259" max="10259" width="14.140625" style="1" customWidth="1"/>
    <col min="10260" max="10260" width="10.140625" style="1" customWidth="1"/>
    <col min="10261" max="10261" width="15.140625" style="1" customWidth="1"/>
    <col min="10262" max="10262" width="8.5703125" style="1" customWidth="1"/>
    <col min="10263" max="10263" width="14.28515625" style="1" customWidth="1"/>
    <col min="10264" max="10264" width="18.28515625" style="1" customWidth="1"/>
    <col min="10265" max="10265" width="13" style="1" bestFit="1" customWidth="1"/>
    <col min="10266" max="10266" width="11.7109375" style="1" bestFit="1" customWidth="1"/>
    <col min="10267" max="10273" width="9.140625" style="1"/>
    <col min="10274" max="10274" width="11.28515625" style="1" bestFit="1" customWidth="1"/>
    <col min="10275" max="10275" width="10.7109375" style="1" bestFit="1" customWidth="1"/>
    <col min="10276" max="10497" width="9.140625" style="1"/>
    <col min="10498" max="10498" width="6.42578125" style="1" customWidth="1"/>
    <col min="10499" max="10499" width="20.7109375" style="1" customWidth="1"/>
    <col min="10500" max="10500" width="24.7109375" style="1" customWidth="1"/>
    <col min="10501" max="10501" width="11.140625" style="1" customWidth="1"/>
    <col min="10502" max="10502" width="12.28515625" style="1" customWidth="1"/>
    <col min="10503" max="10503" width="11.140625" style="1" customWidth="1"/>
    <col min="10504" max="10504" width="10.42578125" style="1" customWidth="1"/>
    <col min="10505" max="10505" width="4.7109375" style="1" customWidth="1"/>
    <col min="10506" max="10506" width="8.5703125" style="1" customWidth="1"/>
    <col min="10507" max="10507" width="5.5703125" style="1" customWidth="1"/>
    <col min="10508" max="10509" width="11.5703125" style="1" customWidth="1"/>
    <col min="10510" max="10510" width="10.85546875" style="1" customWidth="1"/>
    <col min="10511" max="10511" width="7.7109375" style="1" customWidth="1"/>
    <col min="10512" max="10512" width="8" style="1" customWidth="1"/>
    <col min="10513" max="10513" width="16.28515625" style="1" customWidth="1"/>
    <col min="10514" max="10514" width="10.5703125" style="1" customWidth="1"/>
    <col min="10515" max="10515" width="14.140625" style="1" customWidth="1"/>
    <col min="10516" max="10516" width="10.140625" style="1" customWidth="1"/>
    <col min="10517" max="10517" width="15.140625" style="1" customWidth="1"/>
    <col min="10518" max="10518" width="8.5703125" style="1" customWidth="1"/>
    <col min="10519" max="10519" width="14.28515625" style="1" customWidth="1"/>
    <col min="10520" max="10520" width="18.28515625" style="1" customWidth="1"/>
    <col min="10521" max="10521" width="13" style="1" bestFit="1" customWidth="1"/>
    <col min="10522" max="10522" width="11.7109375" style="1" bestFit="1" customWidth="1"/>
    <col min="10523" max="10529" width="9.140625" style="1"/>
    <col min="10530" max="10530" width="11.28515625" style="1" bestFit="1" customWidth="1"/>
    <col min="10531" max="10531" width="10.7109375" style="1" bestFit="1" customWidth="1"/>
    <col min="10532" max="10753" width="9.140625" style="1"/>
    <col min="10754" max="10754" width="6.42578125" style="1" customWidth="1"/>
    <col min="10755" max="10755" width="20.7109375" style="1" customWidth="1"/>
    <col min="10756" max="10756" width="24.7109375" style="1" customWidth="1"/>
    <col min="10757" max="10757" width="11.140625" style="1" customWidth="1"/>
    <col min="10758" max="10758" width="12.28515625" style="1" customWidth="1"/>
    <col min="10759" max="10759" width="11.140625" style="1" customWidth="1"/>
    <col min="10760" max="10760" width="10.42578125" style="1" customWidth="1"/>
    <col min="10761" max="10761" width="4.7109375" style="1" customWidth="1"/>
    <col min="10762" max="10762" width="8.5703125" style="1" customWidth="1"/>
    <col min="10763" max="10763" width="5.5703125" style="1" customWidth="1"/>
    <col min="10764" max="10765" width="11.5703125" style="1" customWidth="1"/>
    <col min="10766" max="10766" width="10.85546875" style="1" customWidth="1"/>
    <col min="10767" max="10767" width="7.7109375" style="1" customWidth="1"/>
    <col min="10768" max="10768" width="8" style="1" customWidth="1"/>
    <col min="10769" max="10769" width="16.28515625" style="1" customWidth="1"/>
    <col min="10770" max="10770" width="10.5703125" style="1" customWidth="1"/>
    <col min="10771" max="10771" width="14.140625" style="1" customWidth="1"/>
    <col min="10772" max="10772" width="10.140625" style="1" customWidth="1"/>
    <col min="10773" max="10773" width="15.140625" style="1" customWidth="1"/>
    <col min="10774" max="10774" width="8.5703125" style="1" customWidth="1"/>
    <col min="10775" max="10775" width="14.28515625" style="1" customWidth="1"/>
    <col min="10776" max="10776" width="18.28515625" style="1" customWidth="1"/>
    <col min="10777" max="10777" width="13" style="1" bestFit="1" customWidth="1"/>
    <col min="10778" max="10778" width="11.7109375" style="1" bestFit="1" customWidth="1"/>
    <col min="10779" max="10785" width="9.140625" style="1"/>
    <col min="10786" max="10786" width="11.28515625" style="1" bestFit="1" customWidth="1"/>
    <col min="10787" max="10787" width="10.7109375" style="1" bestFit="1" customWidth="1"/>
    <col min="10788" max="11009" width="9.140625" style="1"/>
    <col min="11010" max="11010" width="6.42578125" style="1" customWidth="1"/>
    <col min="11011" max="11011" width="20.7109375" style="1" customWidth="1"/>
    <col min="11012" max="11012" width="24.7109375" style="1" customWidth="1"/>
    <col min="11013" max="11013" width="11.140625" style="1" customWidth="1"/>
    <col min="11014" max="11014" width="12.28515625" style="1" customWidth="1"/>
    <col min="11015" max="11015" width="11.140625" style="1" customWidth="1"/>
    <col min="11016" max="11016" width="10.42578125" style="1" customWidth="1"/>
    <col min="11017" max="11017" width="4.7109375" style="1" customWidth="1"/>
    <col min="11018" max="11018" width="8.5703125" style="1" customWidth="1"/>
    <col min="11019" max="11019" width="5.5703125" style="1" customWidth="1"/>
    <col min="11020" max="11021" width="11.5703125" style="1" customWidth="1"/>
    <col min="11022" max="11022" width="10.85546875" style="1" customWidth="1"/>
    <col min="11023" max="11023" width="7.7109375" style="1" customWidth="1"/>
    <col min="11024" max="11024" width="8" style="1" customWidth="1"/>
    <col min="11025" max="11025" width="16.28515625" style="1" customWidth="1"/>
    <col min="11026" max="11026" width="10.5703125" style="1" customWidth="1"/>
    <col min="11027" max="11027" width="14.140625" style="1" customWidth="1"/>
    <col min="11028" max="11028" width="10.140625" style="1" customWidth="1"/>
    <col min="11029" max="11029" width="15.140625" style="1" customWidth="1"/>
    <col min="11030" max="11030" width="8.5703125" style="1" customWidth="1"/>
    <col min="11031" max="11031" width="14.28515625" style="1" customWidth="1"/>
    <col min="11032" max="11032" width="18.28515625" style="1" customWidth="1"/>
    <col min="11033" max="11033" width="13" style="1" bestFit="1" customWidth="1"/>
    <col min="11034" max="11034" width="11.7109375" style="1" bestFit="1" customWidth="1"/>
    <col min="11035" max="11041" width="9.140625" style="1"/>
    <col min="11042" max="11042" width="11.28515625" style="1" bestFit="1" customWidth="1"/>
    <col min="11043" max="11043" width="10.7109375" style="1" bestFit="1" customWidth="1"/>
    <col min="11044" max="11265" width="9.140625" style="1"/>
    <col min="11266" max="11266" width="6.42578125" style="1" customWidth="1"/>
    <col min="11267" max="11267" width="20.7109375" style="1" customWidth="1"/>
    <col min="11268" max="11268" width="24.7109375" style="1" customWidth="1"/>
    <col min="11269" max="11269" width="11.140625" style="1" customWidth="1"/>
    <col min="11270" max="11270" width="12.28515625" style="1" customWidth="1"/>
    <col min="11271" max="11271" width="11.140625" style="1" customWidth="1"/>
    <col min="11272" max="11272" width="10.42578125" style="1" customWidth="1"/>
    <col min="11273" max="11273" width="4.7109375" style="1" customWidth="1"/>
    <col min="11274" max="11274" width="8.5703125" style="1" customWidth="1"/>
    <col min="11275" max="11275" width="5.5703125" style="1" customWidth="1"/>
    <col min="11276" max="11277" width="11.5703125" style="1" customWidth="1"/>
    <col min="11278" max="11278" width="10.85546875" style="1" customWidth="1"/>
    <col min="11279" max="11279" width="7.7109375" style="1" customWidth="1"/>
    <col min="11280" max="11280" width="8" style="1" customWidth="1"/>
    <col min="11281" max="11281" width="16.28515625" style="1" customWidth="1"/>
    <col min="11282" max="11282" width="10.5703125" style="1" customWidth="1"/>
    <col min="11283" max="11283" width="14.140625" style="1" customWidth="1"/>
    <col min="11284" max="11284" width="10.140625" style="1" customWidth="1"/>
    <col min="11285" max="11285" width="15.140625" style="1" customWidth="1"/>
    <col min="11286" max="11286" width="8.5703125" style="1" customWidth="1"/>
    <col min="11287" max="11287" width="14.28515625" style="1" customWidth="1"/>
    <col min="11288" max="11288" width="18.28515625" style="1" customWidth="1"/>
    <col min="11289" max="11289" width="13" style="1" bestFit="1" customWidth="1"/>
    <col min="11290" max="11290" width="11.7109375" style="1" bestFit="1" customWidth="1"/>
    <col min="11291" max="11297" width="9.140625" style="1"/>
    <col min="11298" max="11298" width="11.28515625" style="1" bestFit="1" customWidth="1"/>
    <col min="11299" max="11299" width="10.7109375" style="1" bestFit="1" customWidth="1"/>
    <col min="11300" max="11521" width="9.140625" style="1"/>
    <col min="11522" max="11522" width="6.42578125" style="1" customWidth="1"/>
    <col min="11523" max="11523" width="20.7109375" style="1" customWidth="1"/>
    <col min="11524" max="11524" width="24.7109375" style="1" customWidth="1"/>
    <col min="11525" max="11525" width="11.140625" style="1" customWidth="1"/>
    <col min="11526" max="11526" width="12.28515625" style="1" customWidth="1"/>
    <col min="11527" max="11527" width="11.140625" style="1" customWidth="1"/>
    <col min="11528" max="11528" width="10.42578125" style="1" customWidth="1"/>
    <col min="11529" max="11529" width="4.7109375" style="1" customWidth="1"/>
    <col min="11530" max="11530" width="8.5703125" style="1" customWidth="1"/>
    <col min="11531" max="11531" width="5.5703125" style="1" customWidth="1"/>
    <col min="11532" max="11533" width="11.5703125" style="1" customWidth="1"/>
    <col min="11534" max="11534" width="10.85546875" style="1" customWidth="1"/>
    <col min="11535" max="11535" width="7.7109375" style="1" customWidth="1"/>
    <col min="11536" max="11536" width="8" style="1" customWidth="1"/>
    <col min="11537" max="11537" width="16.28515625" style="1" customWidth="1"/>
    <col min="11538" max="11538" width="10.5703125" style="1" customWidth="1"/>
    <col min="11539" max="11539" width="14.140625" style="1" customWidth="1"/>
    <col min="11540" max="11540" width="10.140625" style="1" customWidth="1"/>
    <col min="11541" max="11541" width="15.140625" style="1" customWidth="1"/>
    <col min="11542" max="11542" width="8.5703125" style="1" customWidth="1"/>
    <col min="11543" max="11543" width="14.28515625" style="1" customWidth="1"/>
    <col min="11544" max="11544" width="18.28515625" style="1" customWidth="1"/>
    <col min="11545" max="11545" width="13" style="1" bestFit="1" customWidth="1"/>
    <col min="11546" max="11546" width="11.7109375" style="1" bestFit="1" customWidth="1"/>
    <col min="11547" max="11553" width="9.140625" style="1"/>
    <col min="11554" max="11554" width="11.28515625" style="1" bestFit="1" customWidth="1"/>
    <col min="11555" max="11555" width="10.7109375" style="1" bestFit="1" customWidth="1"/>
    <col min="11556" max="11777" width="9.140625" style="1"/>
    <col min="11778" max="11778" width="6.42578125" style="1" customWidth="1"/>
    <col min="11779" max="11779" width="20.7109375" style="1" customWidth="1"/>
    <col min="11780" max="11780" width="24.7109375" style="1" customWidth="1"/>
    <col min="11781" max="11781" width="11.140625" style="1" customWidth="1"/>
    <col min="11782" max="11782" width="12.28515625" style="1" customWidth="1"/>
    <col min="11783" max="11783" width="11.140625" style="1" customWidth="1"/>
    <col min="11784" max="11784" width="10.42578125" style="1" customWidth="1"/>
    <col min="11785" max="11785" width="4.7109375" style="1" customWidth="1"/>
    <col min="11786" max="11786" width="8.5703125" style="1" customWidth="1"/>
    <col min="11787" max="11787" width="5.5703125" style="1" customWidth="1"/>
    <col min="11788" max="11789" width="11.5703125" style="1" customWidth="1"/>
    <col min="11790" max="11790" width="10.85546875" style="1" customWidth="1"/>
    <col min="11791" max="11791" width="7.7109375" style="1" customWidth="1"/>
    <col min="11792" max="11792" width="8" style="1" customWidth="1"/>
    <col min="11793" max="11793" width="16.28515625" style="1" customWidth="1"/>
    <col min="11794" max="11794" width="10.5703125" style="1" customWidth="1"/>
    <col min="11795" max="11795" width="14.140625" style="1" customWidth="1"/>
    <col min="11796" max="11796" width="10.140625" style="1" customWidth="1"/>
    <col min="11797" max="11797" width="15.140625" style="1" customWidth="1"/>
    <col min="11798" max="11798" width="8.5703125" style="1" customWidth="1"/>
    <col min="11799" max="11799" width="14.28515625" style="1" customWidth="1"/>
    <col min="11800" max="11800" width="18.28515625" style="1" customWidth="1"/>
    <col min="11801" max="11801" width="13" style="1" bestFit="1" customWidth="1"/>
    <col min="11802" max="11802" width="11.7109375" style="1" bestFit="1" customWidth="1"/>
    <col min="11803" max="11809" width="9.140625" style="1"/>
    <col min="11810" max="11810" width="11.28515625" style="1" bestFit="1" customWidth="1"/>
    <col min="11811" max="11811" width="10.7109375" style="1" bestFit="1" customWidth="1"/>
    <col min="11812" max="12033" width="9.140625" style="1"/>
    <col min="12034" max="12034" width="6.42578125" style="1" customWidth="1"/>
    <col min="12035" max="12035" width="20.7109375" style="1" customWidth="1"/>
    <col min="12036" max="12036" width="24.7109375" style="1" customWidth="1"/>
    <col min="12037" max="12037" width="11.140625" style="1" customWidth="1"/>
    <col min="12038" max="12038" width="12.28515625" style="1" customWidth="1"/>
    <col min="12039" max="12039" width="11.140625" style="1" customWidth="1"/>
    <col min="12040" max="12040" width="10.42578125" style="1" customWidth="1"/>
    <col min="12041" max="12041" width="4.7109375" style="1" customWidth="1"/>
    <col min="12042" max="12042" width="8.5703125" style="1" customWidth="1"/>
    <col min="12043" max="12043" width="5.5703125" style="1" customWidth="1"/>
    <col min="12044" max="12045" width="11.5703125" style="1" customWidth="1"/>
    <col min="12046" max="12046" width="10.85546875" style="1" customWidth="1"/>
    <col min="12047" max="12047" width="7.7109375" style="1" customWidth="1"/>
    <col min="12048" max="12048" width="8" style="1" customWidth="1"/>
    <col min="12049" max="12049" width="16.28515625" style="1" customWidth="1"/>
    <col min="12050" max="12050" width="10.5703125" style="1" customWidth="1"/>
    <col min="12051" max="12051" width="14.140625" style="1" customWidth="1"/>
    <col min="12052" max="12052" width="10.140625" style="1" customWidth="1"/>
    <col min="12053" max="12053" width="15.140625" style="1" customWidth="1"/>
    <col min="12054" max="12054" width="8.5703125" style="1" customWidth="1"/>
    <col min="12055" max="12055" width="14.28515625" style="1" customWidth="1"/>
    <col min="12056" max="12056" width="18.28515625" style="1" customWidth="1"/>
    <col min="12057" max="12057" width="13" style="1" bestFit="1" customWidth="1"/>
    <col min="12058" max="12058" width="11.7109375" style="1" bestFit="1" customWidth="1"/>
    <col min="12059" max="12065" width="9.140625" style="1"/>
    <col min="12066" max="12066" width="11.28515625" style="1" bestFit="1" customWidth="1"/>
    <col min="12067" max="12067" width="10.7109375" style="1" bestFit="1" customWidth="1"/>
    <col min="12068" max="12289" width="9.140625" style="1"/>
    <col min="12290" max="12290" width="6.42578125" style="1" customWidth="1"/>
    <col min="12291" max="12291" width="20.7109375" style="1" customWidth="1"/>
    <col min="12292" max="12292" width="24.7109375" style="1" customWidth="1"/>
    <col min="12293" max="12293" width="11.140625" style="1" customWidth="1"/>
    <col min="12294" max="12294" width="12.28515625" style="1" customWidth="1"/>
    <col min="12295" max="12295" width="11.140625" style="1" customWidth="1"/>
    <col min="12296" max="12296" width="10.42578125" style="1" customWidth="1"/>
    <col min="12297" max="12297" width="4.7109375" style="1" customWidth="1"/>
    <col min="12298" max="12298" width="8.5703125" style="1" customWidth="1"/>
    <col min="12299" max="12299" width="5.5703125" style="1" customWidth="1"/>
    <col min="12300" max="12301" width="11.5703125" style="1" customWidth="1"/>
    <col min="12302" max="12302" width="10.85546875" style="1" customWidth="1"/>
    <col min="12303" max="12303" width="7.7109375" style="1" customWidth="1"/>
    <col min="12304" max="12304" width="8" style="1" customWidth="1"/>
    <col min="12305" max="12305" width="16.28515625" style="1" customWidth="1"/>
    <col min="12306" max="12306" width="10.5703125" style="1" customWidth="1"/>
    <col min="12307" max="12307" width="14.140625" style="1" customWidth="1"/>
    <col min="12308" max="12308" width="10.140625" style="1" customWidth="1"/>
    <col min="12309" max="12309" width="15.140625" style="1" customWidth="1"/>
    <col min="12310" max="12310" width="8.5703125" style="1" customWidth="1"/>
    <col min="12311" max="12311" width="14.28515625" style="1" customWidth="1"/>
    <col min="12312" max="12312" width="18.28515625" style="1" customWidth="1"/>
    <col min="12313" max="12313" width="13" style="1" bestFit="1" customWidth="1"/>
    <col min="12314" max="12314" width="11.7109375" style="1" bestFit="1" customWidth="1"/>
    <col min="12315" max="12321" width="9.140625" style="1"/>
    <col min="12322" max="12322" width="11.28515625" style="1" bestFit="1" customWidth="1"/>
    <col min="12323" max="12323" width="10.7109375" style="1" bestFit="1" customWidth="1"/>
    <col min="12324" max="12545" width="9.140625" style="1"/>
    <col min="12546" max="12546" width="6.42578125" style="1" customWidth="1"/>
    <col min="12547" max="12547" width="20.7109375" style="1" customWidth="1"/>
    <col min="12548" max="12548" width="24.7109375" style="1" customWidth="1"/>
    <col min="12549" max="12549" width="11.140625" style="1" customWidth="1"/>
    <col min="12550" max="12550" width="12.28515625" style="1" customWidth="1"/>
    <col min="12551" max="12551" width="11.140625" style="1" customWidth="1"/>
    <col min="12552" max="12552" width="10.42578125" style="1" customWidth="1"/>
    <col min="12553" max="12553" width="4.7109375" style="1" customWidth="1"/>
    <col min="12554" max="12554" width="8.5703125" style="1" customWidth="1"/>
    <col min="12555" max="12555" width="5.5703125" style="1" customWidth="1"/>
    <col min="12556" max="12557" width="11.5703125" style="1" customWidth="1"/>
    <col min="12558" max="12558" width="10.85546875" style="1" customWidth="1"/>
    <col min="12559" max="12559" width="7.7109375" style="1" customWidth="1"/>
    <col min="12560" max="12560" width="8" style="1" customWidth="1"/>
    <col min="12561" max="12561" width="16.28515625" style="1" customWidth="1"/>
    <col min="12562" max="12562" width="10.5703125" style="1" customWidth="1"/>
    <col min="12563" max="12563" width="14.140625" style="1" customWidth="1"/>
    <col min="12564" max="12564" width="10.140625" style="1" customWidth="1"/>
    <col min="12565" max="12565" width="15.140625" style="1" customWidth="1"/>
    <col min="12566" max="12566" width="8.5703125" style="1" customWidth="1"/>
    <col min="12567" max="12567" width="14.28515625" style="1" customWidth="1"/>
    <col min="12568" max="12568" width="18.28515625" style="1" customWidth="1"/>
    <col min="12569" max="12569" width="13" style="1" bestFit="1" customWidth="1"/>
    <col min="12570" max="12570" width="11.7109375" style="1" bestFit="1" customWidth="1"/>
    <col min="12571" max="12577" width="9.140625" style="1"/>
    <col min="12578" max="12578" width="11.28515625" style="1" bestFit="1" customWidth="1"/>
    <col min="12579" max="12579" width="10.7109375" style="1" bestFit="1" customWidth="1"/>
    <col min="12580" max="12801" width="9.140625" style="1"/>
    <col min="12802" max="12802" width="6.42578125" style="1" customWidth="1"/>
    <col min="12803" max="12803" width="20.7109375" style="1" customWidth="1"/>
    <col min="12804" max="12804" width="24.7109375" style="1" customWidth="1"/>
    <col min="12805" max="12805" width="11.140625" style="1" customWidth="1"/>
    <col min="12806" max="12806" width="12.28515625" style="1" customWidth="1"/>
    <col min="12807" max="12807" width="11.140625" style="1" customWidth="1"/>
    <col min="12808" max="12808" width="10.42578125" style="1" customWidth="1"/>
    <col min="12809" max="12809" width="4.7109375" style="1" customWidth="1"/>
    <col min="12810" max="12810" width="8.5703125" style="1" customWidth="1"/>
    <col min="12811" max="12811" width="5.5703125" style="1" customWidth="1"/>
    <col min="12812" max="12813" width="11.5703125" style="1" customWidth="1"/>
    <col min="12814" max="12814" width="10.85546875" style="1" customWidth="1"/>
    <col min="12815" max="12815" width="7.7109375" style="1" customWidth="1"/>
    <col min="12816" max="12816" width="8" style="1" customWidth="1"/>
    <col min="12817" max="12817" width="16.28515625" style="1" customWidth="1"/>
    <col min="12818" max="12818" width="10.5703125" style="1" customWidth="1"/>
    <col min="12819" max="12819" width="14.140625" style="1" customWidth="1"/>
    <col min="12820" max="12820" width="10.140625" style="1" customWidth="1"/>
    <col min="12821" max="12821" width="15.140625" style="1" customWidth="1"/>
    <col min="12822" max="12822" width="8.5703125" style="1" customWidth="1"/>
    <col min="12823" max="12823" width="14.28515625" style="1" customWidth="1"/>
    <col min="12824" max="12824" width="18.28515625" style="1" customWidth="1"/>
    <col min="12825" max="12825" width="13" style="1" bestFit="1" customWidth="1"/>
    <col min="12826" max="12826" width="11.7109375" style="1" bestFit="1" customWidth="1"/>
    <col min="12827" max="12833" width="9.140625" style="1"/>
    <col min="12834" max="12834" width="11.28515625" style="1" bestFit="1" customWidth="1"/>
    <col min="12835" max="12835" width="10.7109375" style="1" bestFit="1" customWidth="1"/>
    <col min="12836" max="13057" width="9.140625" style="1"/>
    <col min="13058" max="13058" width="6.42578125" style="1" customWidth="1"/>
    <col min="13059" max="13059" width="20.7109375" style="1" customWidth="1"/>
    <col min="13060" max="13060" width="24.7109375" style="1" customWidth="1"/>
    <col min="13061" max="13061" width="11.140625" style="1" customWidth="1"/>
    <col min="13062" max="13062" width="12.28515625" style="1" customWidth="1"/>
    <col min="13063" max="13063" width="11.140625" style="1" customWidth="1"/>
    <col min="13064" max="13064" width="10.42578125" style="1" customWidth="1"/>
    <col min="13065" max="13065" width="4.7109375" style="1" customWidth="1"/>
    <col min="13066" max="13066" width="8.5703125" style="1" customWidth="1"/>
    <col min="13067" max="13067" width="5.5703125" style="1" customWidth="1"/>
    <col min="13068" max="13069" width="11.5703125" style="1" customWidth="1"/>
    <col min="13070" max="13070" width="10.85546875" style="1" customWidth="1"/>
    <col min="13071" max="13071" width="7.7109375" style="1" customWidth="1"/>
    <col min="13072" max="13072" width="8" style="1" customWidth="1"/>
    <col min="13073" max="13073" width="16.28515625" style="1" customWidth="1"/>
    <col min="13074" max="13074" width="10.5703125" style="1" customWidth="1"/>
    <col min="13075" max="13075" width="14.140625" style="1" customWidth="1"/>
    <col min="13076" max="13076" width="10.140625" style="1" customWidth="1"/>
    <col min="13077" max="13077" width="15.140625" style="1" customWidth="1"/>
    <col min="13078" max="13078" width="8.5703125" style="1" customWidth="1"/>
    <col min="13079" max="13079" width="14.28515625" style="1" customWidth="1"/>
    <col min="13080" max="13080" width="18.28515625" style="1" customWidth="1"/>
    <col min="13081" max="13081" width="13" style="1" bestFit="1" customWidth="1"/>
    <col min="13082" max="13082" width="11.7109375" style="1" bestFit="1" customWidth="1"/>
    <col min="13083" max="13089" width="9.140625" style="1"/>
    <col min="13090" max="13090" width="11.28515625" style="1" bestFit="1" customWidth="1"/>
    <col min="13091" max="13091" width="10.7109375" style="1" bestFit="1" customWidth="1"/>
    <col min="13092" max="13313" width="9.140625" style="1"/>
    <col min="13314" max="13314" width="6.42578125" style="1" customWidth="1"/>
    <col min="13315" max="13315" width="20.7109375" style="1" customWidth="1"/>
    <col min="13316" max="13316" width="24.7109375" style="1" customWidth="1"/>
    <col min="13317" max="13317" width="11.140625" style="1" customWidth="1"/>
    <col min="13318" max="13318" width="12.28515625" style="1" customWidth="1"/>
    <col min="13319" max="13319" width="11.140625" style="1" customWidth="1"/>
    <col min="13320" max="13320" width="10.42578125" style="1" customWidth="1"/>
    <col min="13321" max="13321" width="4.7109375" style="1" customWidth="1"/>
    <col min="13322" max="13322" width="8.5703125" style="1" customWidth="1"/>
    <col min="13323" max="13323" width="5.5703125" style="1" customWidth="1"/>
    <col min="13324" max="13325" width="11.5703125" style="1" customWidth="1"/>
    <col min="13326" max="13326" width="10.85546875" style="1" customWidth="1"/>
    <col min="13327" max="13327" width="7.7109375" style="1" customWidth="1"/>
    <col min="13328" max="13328" width="8" style="1" customWidth="1"/>
    <col min="13329" max="13329" width="16.28515625" style="1" customWidth="1"/>
    <col min="13330" max="13330" width="10.5703125" style="1" customWidth="1"/>
    <col min="13331" max="13331" width="14.140625" style="1" customWidth="1"/>
    <col min="13332" max="13332" width="10.140625" style="1" customWidth="1"/>
    <col min="13333" max="13333" width="15.140625" style="1" customWidth="1"/>
    <col min="13334" max="13334" width="8.5703125" style="1" customWidth="1"/>
    <col min="13335" max="13335" width="14.28515625" style="1" customWidth="1"/>
    <col min="13336" max="13336" width="18.28515625" style="1" customWidth="1"/>
    <col min="13337" max="13337" width="13" style="1" bestFit="1" customWidth="1"/>
    <col min="13338" max="13338" width="11.7109375" style="1" bestFit="1" customWidth="1"/>
    <col min="13339" max="13345" width="9.140625" style="1"/>
    <col min="13346" max="13346" width="11.28515625" style="1" bestFit="1" customWidth="1"/>
    <col min="13347" max="13347" width="10.7109375" style="1" bestFit="1" customWidth="1"/>
    <col min="13348" max="13569" width="9.140625" style="1"/>
    <col min="13570" max="13570" width="6.42578125" style="1" customWidth="1"/>
    <col min="13571" max="13571" width="20.7109375" style="1" customWidth="1"/>
    <col min="13572" max="13572" width="24.7109375" style="1" customWidth="1"/>
    <col min="13573" max="13573" width="11.140625" style="1" customWidth="1"/>
    <col min="13574" max="13574" width="12.28515625" style="1" customWidth="1"/>
    <col min="13575" max="13575" width="11.140625" style="1" customWidth="1"/>
    <col min="13576" max="13576" width="10.42578125" style="1" customWidth="1"/>
    <col min="13577" max="13577" width="4.7109375" style="1" customWidth="1"/>
    <col min="13578" max="13578" width="8.5703125" style="1" customWidth="1"/>
    <col min="13579" max="13579" width="5.5703125" style="1" customWidth="1"/>
    <col min="13580" max="13581" width="11.5703125" style="1" customWidth="1"/>
    <col min="13582" max="13582" width="10.85546875" style="1" customWidth="1"/>
    <col min="13583" max="13583" width="7.7109375" style="1" customWidth="1"/>
    <col min="13584" max="13584" width="8" style="1" customWidth="1"/>
    <col min="13585" max="13585" width="16.28515625" style="1" customWidth="1"/>
    <col min="13586" max="13586" width="10.5703125" style="1" customWidth="1"/>
    <col min="13587" max="13587" width="14.140625" style="1" customWidth="1"/>
    <col min="13588" max="13588" width="10.140625" style="1" customWidth="1"/>
    <col min="13589" max="13589" width="15.140625" style="1" customWidth="1"/>
    <col min="13590" max="13590" width="8.5703125" style="1" customWidth="1"/>
    <col min="13591" max="13591" width="14.28515625" style="1" customWidth="1"/>
    <col min="13592" max="13592" width="18.28515625" style="1" customWidth="1"/>
    <col min="13593" max="13593" width="13" style="1" bestFit="1" customWidth="1"/>
    <col min="13594" max="13594" width="11.7109375" style="1" bestFit="1" customWidth="1"/>
    <col min="13595" max="13601" width="9.140625" style="1"/>
    <col min="13602" max="13602" width="11.28515625" style="1" bestFit="1" customWidth="1"/>
    <col min="13603" max="13603" width="10.7109375" style="1" bestFit="1" customWidth="1"/>
    <col min="13604" max="13825" width="9.140625" style="1"/>
    <col min="13826" max="13826" width="6.42578125" style="1" customWidth="1"/>
    <col min="13827" max="13827" width="20.7109375" style="1" customWidth="1"/>
    <col min="13828" max="13828" width="24.7109375" style="1" customWidth="1"/>
    <col min="13829" max="13829" width="11.140625" style="1" customWidth="1"/>
    <col min="13830" max="13830" width="12.28515625" style="1" customWidth="1"/>
    <col min="13831" max="13831" width="11.140625" style="1" customWidth="1"/>
    <col min="13832" max="13832" width="10.42578125" style="1" customWidth="1"/>
    <col min="13833" max="13833" width="4.7109375" style="1" customWidth="1"/>
    <col min="13834" max="13834" width="8.5703125" style="1" customWidth="1"/>
    <col min="13835" max="13835" width="5.5703125" style="1" customWidth="1"/>
    <col min="13836" max="13837" width="11.5703125" style="1" customWidth="1"/>
    <col min="13838" max="13838" width="10.85546875" style="1" customWidth="1"/>
    <col min="13839" max="13839" width="7.7109375" style="1" customWidth="1"/>
    <col min="13840" max="13840" width="8" style="1" customWidth="1"/>
    <col min="13841" max="13841" width="16.28515625" style="1" customWidth="1"/>
    <col min="13842" max="13842" width="10.5703125" style="1" customWidth="1"/>
    <col min="13843" max="13843" width="14.140625" style="1" customWidth="1"/>
    <col min="13844" max="13844" width="10.140625" style="1" customWidth="1"/>
    <col min="13845" max="13845" width="15.140625" style="1" customWidth="1"/>
    <col min="13846" max="13846" width="8.5703125" style="1" customWidth="1"/>
    <col min="13847" max="13847" width="14.28515625" style="1" customWidth="1"/>
    <col min="13848" max="13848" width="18.28515625" style="1" customWidth="1"/>
    <col min="13849" max="13849" width="13" style="1" bestFit="1" customWidth="1"/>
    <col min="13850" max="13850" width="11.7109375" style="1" bestFit="1" customWidth="1"/>
    <col min="13851" max="13857" width="9.140625" style="1"/>
    <col min="13858" max="13858" width="11.28515625" style="1" bestFit="1" customWidth="1"/>
    <col min="13859" max="13859" width="10.7109375" style="1" bestFit="1" customWidth="1"/>
    <col min="13860" max="14081" width="9.140625" style="1"/>
    <col min="14082" max="14082" width="6.42578125" style="1" customWidth="1"/>
    <col min="14083" max="14083" width="20.7109375" style="1" customWidth="1"/>
    <col min="14084" max="14084" width="24.7109375" style="1" customWidth="1"/>
    <col min="14085" max="14085" width="11.140625" style="1" customWidth="1"/>
    <col min="14086" max="14086" width="12.28515625" style="1" customWidth="1"/>
    <col min="14087" max="14087" width="11.140625" style="1" customWidth="1"/>
    <col min="14088" max="14088" width="10.42578125" style="1" customWidth="1"/>
    <col min="14089" max="14089" width="4.7109375" style="1" customWidth="1"/>
    <col min="14090" max="14090" width="8.5703125" style="1" customWidth="1"/>
    <col min="14091" max="14091" width="5.5703125" style="1" customWidth="1"/>
    <col min="14092" max="14093" width="11.5703125" style="1" customWidth="1"/>
    <col min="14094" max="14094" width="10.85546875" style="1" customWidth="1"/>
    <col min="14095" max="14095" width="7.7109375" style="1" customWidth="1"/>
    <col min="14096" max="14096" width="8" style="1" customWidth="1"/>
    <col min="14097" max="14097" width="16.28515625" style="1" customWidth="1"/>
    <col min="14098" max="14098" width="10.5703125" style="1" customWidth="1"/>
    <col min="14099" max="14099" width="14.140625" style="1" customWidth="1"/>
    <col min="14100" max="14100" width="10.140625" style="1" customWidth="1"/>
    <col min="14101" max="14101" width="15.140625" style="1" customWidth="1"/>
    <col min="14102" max="14102" width="8.5703125" style="1" customWidth="1"/>
    <col min="14103" max="14103" width="14.28515625" style="1" customWidth="1"/>
    <col min="14104" max="14104" width="18.28515625" style="1" customWidth="1"/>
    <col min="14105" max="14105" width="13" style="1" bestFit="1" customWidth="1"/>
    <col min="14106" max="14106" width="11.7109375" style="1" bestFit="1" customWidth="1"/>
    <col min="14107" max="14113" width="9.140625" style="1"/>
    <col min="14114" max="14114" width="11.28515625" style="1" bestFit="1" customWidth="1"/>
    <col min="14115" max="14115" width="10.7109375" style="1" bestFit="1" customWidth="1"/>
    <col min="14116" max="14337" width="9.140625" style="1"/>
    <col min="14338" max="14338" width="6.42578125" style="1" customWidth="1"/>
    <col min="14339" max="14339" width="20.7109375" style="1" customWidth="1"/>
    <col min="14340" max="14340" width="24.7109375" style="1" customWidth="1"/>
    <col min="14341" max="14341" width="11.140625" style="1" customWidth="1"/>
    <col min="14342" max="14342" width="12.28515625" style="1" customWidth="1"/>
    <col min="14343" max="14343" width="11.140625" style="1" customWidth="1"/>
    <col min="14344" max="14344" width="10.42578125" style="1" customWidth="1"/>
    <col min="14345" max="14345" width="4.7109375" style="1" customWidth="1"/>
    <col min="14346" max="14346" width="8.5703125" style="1" customWidth="1"/>
    <col min="14347" max="14347" width="5.5703125" style="1" customWidth="1"/>
    <col min="14348" max="14349" width="11.5703125" style="1" customWidth="1"/>
    <col min="14350" max="14350" width="10.85546875" style="1" customWidth="1"/>
    <col min="14351" max="14351" width="7.7109375" style="1" customWidth="1"/>
    <col min="14352" max="14352" width="8" style="1" customWidth="1"/>
    <col min="14353" max="14353" width="16.28515625" style="1" customWidth="1"/>
    <col min="14354" max="14354" width="10.5703125" style="1" customWidth="1"/>
    <col min="14355" max="14355" width="14.140625" style="1" customWidth="1"/>
    <col min="14356" max="14356" width="10.140625" style="1" customWidth="1"/>
    <col min="14357" max="14357" width="15.140625" style="1" customWidth="1"/>
    <col min="14358" max="14358" width="8.5703125" style="1" customWidth="1"/>
    <col min="14359" max="14359" width="14.28515625" style="1" customWidth="1"/>
    <col min="14360" max="14360" width="18.28515625" style="1" customWidth="1"/>
    <col min="14361" max="14361" width="13" style="1" bestFit="1" customWidth="1"/>
    <col min="14362" max="14362" width="11.7109375" style="1" bestFit="1" customWidth="1"/>
    <col min="14363" max="14369" width="9.140625" style="1"/>
    <col min="14370" max="14370" width="11.28515625" style="1" bestFit="1" customWidth="1"/>
    <col min="14371" max="14371" width="10.7109375" style="1" bestFit="1" customWidth="1"/>
    <col min="14372" max="14593" width="9.140625" style="1"/>
    <col min="14594" max="14594" width="6.42578125" style="1" customWidth="1"/>
    <col min="14595" max="14595" width="20.7109375" style="1" customWidth="1"/>
    <col min="14596" max="14596" width="24.7109375" style="1" customWidth="1"/>
    <col min="14597" max="14597" width="11.140625" style="1" customWidth="1"/>
    <col min="14598" max="14598" width="12.28515625" style="1" customWidth="1"/>
    <col min="14599" max="14599" width="11.140625" style="1" customWidth="1"/>
    <col min="14600" max="14600" width="10.42578125" style="1" customWidth="1"/>
    <col min="14601" max="14601" width="4.7109375" style="1" customWidth="1"/>
    <col min="14602" max="14602" width="8.5703125" style="1" customWidth="1"/>
    <col min="14603" max="14603" width="5.5703125" style="1" customWidth="1"/>
    <col min="14604" max="14605" width="11.5703125" style="1" customWidth="1"/>
    <col min="14606" max="14606" width="10.85546875" style="1" customWidth="1"/>
    <col min="14607" max="14607" width="7.7109375" style="1" customWidth="1"/>
    <col min="14608" max="14608" width="8" style="1" customWidth="1"/>
    <col min="14609" max="14609" width="16.28515625" style="1" customWidth="1"/>
    <col min="14610" max="14610" width="10.5703125" style="1" customWidth="1"/>
    <col min="14611" max="14611" width="14.140625" style="1" customWidth="1"/>
    <col min="14612" max="14612" width="10.140625" style="1" customWidth="1"/>
    <col min="14613" max="14613" width="15.140625" style="1" customWidth="1"/>
    <col min="14614" max="14614" width="8.5703125" style="1" customWidth="1"/>
    <col min="14615" max="14615" width="14.28515625" style="1" customWidth="1"/>
    <col min="14616" max="14616" width="18.28515625" style="1" customWidth="1"/>
    <col min="14617" max="14617" width="13" style="1" bestFit="1" customWidth="1"/>
    <col min="14618" max="14618" width="11.7109375" style="1" bestFit="1" customWidth="1"/>
    <col min="14619" max="14625" width="9.140625" style="1"/>
    <col min="14626" max="14626" width="11.28515625" style="1" bestFit="1" customWidth="1"/>
    <col min="14627" max="14627" width="10.7109375" style="1" bestFit="1" customWidth="1"/>
    <col min="14628" max="14849" width="9.140625" style="1"/>
    <col min="14850" max="14850" width="6.42578125" style="1" customWidth="1"/>
    <col min="14851" max="14851" width="20.7109375" style="1" customWidth="1"/>
    <col min="14852" max="14852" width="24.7109375" style="1" customWidth="1"/>
    <col min="14853" max="14853" width="11.140625" style="1" customWidth="1"/>
    <col min="14854" max="14854" width="12.28515625" style="1" customWidth="1"/>
    <col min="14855" max="14855" width="11.140625" style="1" customWidth="1"/>
    <col min="14856" max="14856" width="10.42578125" style="1" customWidth="1"/>
    <col min="14857" max="14857" width="4.7109375" style="1" customWidth="1"/>
    <col min="14858" max="14858" width="8.5703125" style="1" customWidth="1"/>
    <col min="14859" max="14859" width="5.5703125" style="1" customWidth="1"/>
    <col min="14860" max="14861" width="11.5703125" style="1" customWidth="1"/>
    <col min="14862" max="14862" width="10.85546875" style="1" customWidth="1"/>
    <col min="14863" max="14863" width="7.7109375" style="1" customWidth="1"/>
    <col min="14864" max="14864" width="8" style="1" customWidth="1"/>
    <col min="14865" max="14865" width="16.28515625" style="1" customWidth="1"/>
    <col min="14866" max="14866" width="10.5703125" style="1" customWidth="1"/>
    <col min="14867" max="14867" width="14.140625" style="1" customWidth="1"/>
    <col min="14868" max="14868" width="10.140625" style="1" customWidth="1"/>
    <col min="14869" max="14869" width="15.140625" style="1" customWidth="1"/>
    <col min="14870" max="14870" width="8.5703125" style="1" customWidth="1"/>
    <col min="14871" max="14871" width="14.28515625" style="1" customWidth="1"/>
    <col min="14872" max="14872" width="18.28515625" style="1" customWidth="1"/>
    <col min="14873" max="14873" width="13" style="1" bestFit="1" customWidth="1"/>
    <col min="14874" max="14874" width="11.7109375" style="1" bestFit="1" customWidth="1"/>
    <col min="14875" max="14881" width="9.140625" style="1"/>
    <col min="14882" max="14882" width="11.28515625" style="1" bestFit="1" customWidth="1"/>
    <col min="14883" max="14883" width="10.7109375" style="1" bestFit="1" customWidth="1"/>
    <col min="14884" max="15105" width="9.140625" style="1"/>
    <col min="15106" max="15106" width="6.42578125" style="1" customWidth="1"/>
    <col min="15107" max="15107" width="20.7109375" style="1" customWidth="1"/>
    <col min="15108" max="15108" width="24.7109375" style="1" customWidth="1"/>
    <col min="15109" max="15109" width="11.140625" style="1" customWidth="1"/>
    <col min="15110" max="15110" width="12.28515625" style="1" customWidth="1"/>
    <col min="15111" max="15111" width="11.140625" style="1" customWidth="1"/>
    <col min="15112" max="15112" width="10.42578125" style="1" customWidth="1"/>
    <col min="15113" max="15113" width="4.7109375" style="1" customWidth="1"/>
    <col min="15114" max="15114" width="8.5703125" style="1" customWidth="1"/>
    <col min="15115" max="15115" width="5.5703125" style="1" customWidth="1"/>
    <col min="15116" max="15117" width="11.5703125" style="1" customWidth="1"/>
    <col min="15118" max="15118" width="10.85546875" style="1" customWidth="1"/>
    <col min="15119" max="15119" width="7.7109375" style="1" customWidth="1"/>
    <col min="15120" max="15120" width="8" style="1" customWidth="1"/>
    <col min="15121" max="15121" width="16.28515625" style="1" customWidth="1"/>
    <col min="15122" max="15122" width="10.5703125" style="1" customWidth="1"/>
    <col min="15123" max="15123" width="14.140625" style="1" customWidth="1"/>
    <col min="15124" max="15124" width="10.140625" style="1" customWidth="1"/>
    <col min="15125" max="15125" width="15.140625" style="1" customWidth="1"/>
    <col min="15126" max="15126" width="8.5703125" style="1" customWidth="1"/>
    <col min="15127" max="15127" width="14.28515625" style="1" customWidth="1"/>
    <col min="15128" max="15128" width="18.28515625" style="1" customWidth="1"/>
    <col min="15129" max="15129" width="13" style="1" bestFit="1" customWidth="1"/>
    <col min="15130" max="15130" width="11.7109375" style="1" bestFit="1" customWidth="1"/>
    <col min="15131" max="15137" width="9.140625" style="1"/>
    <col min="15138" max="15138" width="11.28515625" style="1" bestFit="1" customWidth="1"/>
    <col min="15139" max="15139" width="10.7109375" style="1" bestFit="1" customWidth="1"/>
    <col min="15140" max="15361" width="9.140625" style="1"/>
    <col min="15362" max="15362" width="6.42578125" style="1" customWidth="1"/>
    <col min="15363" max="15363" width="20.7109375" style="1" customWidth="1"/>
    <col min="15364" max="15364" width="24.7109375" style="1" customWidth="1"/>
    <col min="15365" max="15365" width="11.140625" style="1" customWidth="1"/>
    <col min="15366" max="15366" width="12.28515625" style="1" customWidth="1"/>
    <col min="15367" max="15367" width="11.140625" style="1" customWidth="1"/>
    <col min="15368" max="15368" width="10.42578125" style="1" customWidth="1"/>
    <col min="15369" max="15369" width="4.7109375" style="1" customWidth="1"/>
    <col min="15370" max="15370" width="8.5703125" style="1" customWidth="1"/>
    <col min="15371" max="15371" width="5.5703125" style="1" customWidth="1"/>
    <col min="15372" max="15373" width="11.5703125" style="1" customWidth="1"/>
    <col min="15374" max="15374" width="10.85546875" style="1" customWidth="1"/>
    <col min="15375" max="15375" width="7.7109375" style="1" customWidth="1"/>
    <col min="15376" max="15376" width="8" style="1" customWidth="1"/>
    <col min="15377" max="15377" width="16.28515625" style="1" customWidth="1"/>
    <col min="15378" max="15378" width="10.5703125" style="1" customWidth="1"/>
    <col min="15379" max="15379" width="14.140625" style="1" customWidth="1"/>
    <col min="15380" max="15380" width="10.140625" style="1" customWidth="1"/>
    <col min="15381" max="15381" width="15.140625" style="1" customWidth="1"/>
    <col min="15382" max="15382" width="8.5703125" style="1" customWidth="1"/>
    <col min="15383" max="15383" width="14.28515625" style="1" customWidth="1"/>
    <col min="15384" max="15384" width="18.28515625" style="1" customWidth="1"/>
    <col min="15385" max="15385" width="13" style="1" bestFit="1" customWidth="1"/>
    <col min="15386" max="15386" width="11.7109375" style="1" bestFit="1" customWidth="1"/>
    <col min="15387" max="15393" width="9.140625" style="1"/>
    <col min="15394" max="15394" width="11.28515625" style="1" bestFit="1" customWidth="1"/>
    <col min="15395" max="15395" width="10.7109375" style="1" bestFit="1" customWidth="1"/>
    <col min="15396" max="15617" width="9.140625" style="1"/>
    <col min="15618" max="15618" width="6.42578125" style="1" customWidth="1"/>
    <col min="15619" max="15619" width="20.7109375" style="1" customWidth="1"/>
    <col min="15620" max="15620" width="24.7109375" style="1" customWidth="1"/>
    <col min="15621" max="15621" width="11.140625" style="1" customWidth="1"/>
    <col min="15622" max="15622" width="12.28515625" style="1" customWidth="1"/>
    <col min="15623" max="15623" width="11.140625" style="1" customWidth="1"/>
    <col min="15624" max="15624" width="10.42578125" style="1" customWidth="1"/>
    <col min="15625" max="15625" width="4.7109375" style="1" customWidth="1"/>
    <col min="15626" max="15626" width="8.5703125" style="1" customWidth="1"/>
    <col min="15627" max="15627" width="5.5703125" style="1" customWidth="1"/>
    <col min="15628" max="15629" width="11.5703125" style="1" customWidth="1"/>
    <col min="15630" max="15630" width="10.85546875" style="1" customWidth="1"/>
    <col min="15631" max="15631" width="7.7109375" style="1" customWidth="1"/>
    <col min="15632" max="15632" width="8" style="1" customWidth="1"/>
    <col min="15633" max="15633" width="16.28515625" style="1" customWidth="1"/>
    <col min="15634" max="15634" width="10.5703125" style="1" customWidth="1"/>
    <col min="15635" max="15635" width="14.140625" style="1" customWidth="1"/>
    <col min="15636" max="15636" width="10.140625" style="1" customWidth="1"/>
    <col min="15637" max="15637" width="15.140625" style="1" customWidth="1"/>
    <col min="15638" max="15638" width="8.5703125" style="1" customWidth="1"/>
    <col min="15639" max="15639" width="14.28515625" style="1" customWidth="1"/>
    <col min="15640" max="15640" width="18.28515625" style="1" customWidth="1"/>
    <col min="15641" max="15641" width="13" style="1" bestFit="1" customWidth="1"/>
    <col min="15642" max="15642" width="11.7109375" style="1" bestFit="1" customWidth="1"/>
    <col min="15643" max="15649" width="9.140625" style="1"/>
    <col min="15650" max="15650" width="11.28515625" style="1" bestFit="1" customWidth="1"/>
    <col min="15651" max="15651" width="10.7109375" style="1" bestFit="1" customWidth="1"/>
    <col min="15652" max="15873" width="9.140625" style="1"/>
    <col min="15874" max="15874" width="6.42578125" style="1" customWidth="1"/>
    <col min="15875" max="15875" width="20.7109375" style="1" customWidth="1"/>
    <col min="15876" max="15876" width="24.7109375" style="1" customWidth="1"/>
    <col min="15877" max="15877" width="11.140625" style="1" customWidth="1"/>
    <col min="15878" max="15878" width="12.28515625" style="1" customWidth="1"/>
    <col min="15879" max="15879" width="11.140625" style="1" customWidth="1"/>
    <col min="15880" max="15880" width="10.42578125" style="1" customWidth="1"/>
    <col min="15881" max="15881" width="4.7109375" style="1" customWidth="1"/>
    <col min="15882" max="15882" width="8.5703125" style="1" customWidth="1"/>
    <col min="15883" max="15883" width="5.5703125" style="1" customWidth="1"/>
    <col min="15884" max="15885" width="11.5703125" style="1" customWidth="1"/>
    <col min="15886" max="15886" width="10.85546875" style="1" customWidth="1"/>
    <col min="15887" max="15887" width="7.7109375" style="1" customWidth="1"/>
    <col min="15888" max="15888" width="8" style="1" customWidth="1"/>
    <col min="15889" max="15889" width="16.28515625" style="1" customWidth="1"/>
    <col min="15890" max="15890" width="10.5703125" style="1" customWidth="1"/>
    <col min="15891" max="15891" width="14.140625" style="1" customWidth="1"/>
    <col min="15892" max="15892" width="10.140625" style="1" customWidth="1"/>
    <col min="15893" max="15893" width="15.140625" style="1" customWidth="1"/>
    <col min="15894" max="15894" width="8.5703125" style="1" customWidth="1"/>
    <col min="15895" max="15895" width="14.28515625" style="1" customWidth="1"/>
    <col min="15896" max="15896" width="18.28515625" style="1" customWidth="1"/>
    <col min="15897" max="15897" width="13" style="1" bestFit="1" customWidth="1"/>
    <col min="15898" max="15898" width="11.7109375" style="1" bestFit="1" customWidth="1"/>
    <col min="15899" max="15905" width="9.140625" style="1"/>
    <col min="15906" max="15906" width="11.28515625" style="1" bestFit="1" customWidth="1"/>
    <col min="15907" max="15907" width="10.7109375" style="1" bestFit="1" customWidth="1"/>
    <col min="15908" max="16129" width="9.140625" style="1"/>
    <col min="16130" max="16130" width="6.42578125" style="1" customWidth="1"/>
    <col min="16131" max="16131" width="20.7109375" style="1" customWidth="1"/>
    <col min="16132" max="16132" width="24.7109375" style="1" customWidth="1"/>
    <col min="16133" max="16133" width="11.140625" style="1" customWidth="1"/>
    <col min="16134" max="16134" width="12.28515625" style="1" customWidth="1"/>
    <col min="16135" max="16135" width="11.140625" style="1" customWidth="1"/>
    <col min="16136" max="16136" width="10.42578125" style="1" customWidth="1"/>
    <col min="16137" max="16137" width="4.7109375" style="1" customWidth="1"/>
    <col min="16138" max="16138" width="8.5703125" style="1" customWidth="1"/>
    <col min="16139" max="16139" width="5.5703125" style="1" customWidth="1"/>
    <col min="16140" max="16141" width="11.5703125" style="1" customWidth="1"/>
    <col min="16142" max="16142" width="10.85546875" style="1" customWidth="1"/>
    <col min="16143" max="16143" width="7.7109375" style="1" customWidth="1"/>
    <col min="16144" max="16144" width="8" style="1" customWidth="1"/>
    <col min="16145" max="16145" width="16.28515625" style="1" customWidth="1"/>
    <col min="16146" max="16146" width="10.5703125" style="1" customWidth="1"/>
    <col min="16147" max="16147" width="14.140625" style="1" customWidth="1"/>
    <col min="16148" max="16148" width="10.140625" style="1" customWidth="1"/>
    <col min="16149" max="16149" width="15.140625" style="1" customWidth="1"/>
    <col min="16150" max="16150" width="8.5703125" style="1" customWidth="1"/>
    <col min="16151" max="16151" width="14.28515625" style="1" customWidth="1"/>
    <col min="16152" max="16152" width="18.28515625" style="1" customWidth="1"/>
    <col min="16153" max="16153" width="13" style="1" bestFit="1" customWidth="1"/>
    <col min="16154" max="16154" width="11.7109375" style="1" bestFit="1" customWidth="1"/>
    <col min="16155" max="16161" width="9.140625" style="1"/>
    <col min="16162" max="16162" width="11.28515625" style="1" bestFit="1" customWidth="1"/>
    <col min="16163" max="16163" width="10.7109375" style="1" bestFit="1" customWidth="1"/>
    <col min="16164" max="16384" width="9.140625" style="1"/>
  </cols>
  <sheetData>
    <row r="1" spans="1:44" ht="9.75" customHeight="1">
      <c r="V1" s="3"/>
    </row>
    <row r="2" spans="1:44" ht="16.5" customHeight="1">
      <c r="A2" s="2258" t="s">
        <v>417</v>
      </c>
      <c r="B2" s="2258"/>
      <c r="C2" s="2258"/>
      <c r="D2" s="2258"/>
      <c r="E2" s="2258"/>
      <c r="F2" s="2258"/>
      <c r="G2" s="2258"/>
      <c r="H2" s="2258"/>
      <c r="I2" s="2258"/>
      <c r="J2" s="2258"/>
      <c r="K2" s="2258"/>
      <c r="L2" s="2258"/>
      <c r="M2" s="2258"/>
      <c r="N2" s="2258"/>
      <c r="O2" s="2258"/>
      <c r="P2" s="2258"/>
      <c r="Q2" s="2258"/>
      <c r="R2" s="2258"/>
      <c r="S2" s="2258"/>
      <c r="T2" s="2258"/>
      <c r="U2" s="2258"/>
      <c r="V2" s="2258"/>
      <c r="W2" s="2258"/>
      <c r="X2" s="2258"/>
      <c r="Y2" s="24"/>
      <c r="Z2" s="24"/>
    </row>
    <row r="3" spans="1:44" ht="13.5" customHeight="1">
      <c r="A3" s="2259" t="s">
        <v>0</v>
      </c>
      <c r="B3" s="2259"/>
      <c r="C3" s="2259"/>
      <c r="D3" s="2259"/>
      <c r="E3" s="2259"/>
      <c r="F3" s="2259"/>
      <c r="G3" s="2259"/>
      <c r="H3" s="2259"/>
      <c r="I3" s="2259"/>
      <c r="J3" s="2259"/>
      <c r="K3" s="2259"/>
      <c r="L3" s="2259"/>
      <c r="M3" s="2259"/>
      <c r="N3" s="2259"/>
      <c r="O3" s="2259"/>
      <c r="P3" s="2259"/>
      <c r="Q3" s="2259"/>
      <c r="R3" s="2259"/>
      <c r="S3" s="2259"/>
      <c r="T3" s="2259"/>
      <c r="U3" s="2259"/>
      <c r="V3" s="2259"/>
      <c r="W3" s="2259"/>
      <c r="X3" s="2259"/>
      <c r="Y3" s="24"/>
      <c r="Z3" s="24"/>
    </row>
    <row r="4" spans="1:44" s="351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5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304" t="s">
        <v>395</v>
      </c>
      <c r="P4" s="2256" t="s">
        <v>396</v>
      </c>
      <c r="Q4" s="2256" t="s">
        <v>16</v>
      </c>
      <c r="R4" s="2256" t="s">
        <v>17</v>
      </c>
      <c r="S4" s="2256"/>
      <c r="T4" s="2256" t="s">
        <v>18</v>
      </c>
      <c r="U4" s="2256"/>
      <c r="V4" s="2256" t="s">
        <v>19</v>
      </c>
      <c r="W4" s="2256"/>
      <c r="X4" s="2306" t="s">
        <v>401</v>
      </c>
      <c r="Y4" s="2260" t="s">
        <v>393</v>
      </c>
      <c r="Z4" s="2305" t="s">
        <v>394</v>
      </c>
      <c r="AA4" s="24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</row>
    <row r="5" spans="1:44" s="351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304"/>
      <c r="P5" s="2256"/>
      <c r="Q5" s="2256"/>
      <c r="R5" s="349" t="s">
        <v>21</v>
      </c>
      <c r="S5" s="349" t="s">
        <v>22</v>
      </c>
      <c r="T5" s="349" t="s">
        <v>21</v>
      </c>
      <c r="U5" s="349" t="s">
        <v>22</v>
      </c>
      <c r="V5" s="349" t="s">
        <v>21</v>
      </c>
      <c r="W5" s="349" t="s">
        <v>22</v>
      </c>
      <c r="X5" s="2306"/>
      <c r="Y5" s="2260"/>
      <c r="Z5" s="2305"/>
      <c r="AA5" s="24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</row>
    <row r="6" spans="1:44" s="377" customFormat="1" ht="15" customHeight="1">
      <c r="A6" s="379">
        <v>1</v>
      </c>
      <c r="B6" s="404" t="s">
        <v>23</v>
      </c>
      <c r="C6" s="392" t="s">
        <v>24</v>
      </c>
      <c r="D6" s="379" t="s">
        <v>25</v>
      </c>
      <c r="E6" s="379" t="s">
        <v>26</v>
      </c>
      <c r="F6" s="379" t="s">
        <v>27</v>
      </c>
      <c r="G6" s="379">
        <v>1</v>
      </c>
      <c r="H6" s="379" t="s">
        <v>28</v>
      </c>
      <c r="I6" s="379" t="s">
        <v>29</v>
      </c>
      <c r="J6" s="405" t="s">
        <v>30</v>
      </c>
      <c r="K6" s="359">
        <v>17697</v>
      </c>
      <c r="L6" s="359"/>
      <c r="M6" s="359">
        <v>1</v>
      </c>
      <c r="N6" s="359"/>
      <c r="O6" s="359">
        <v>6.22</v>
      </c>
      <c r="P6" s="359"/>
      <c r="Q6" s="379">
        <f>O6*K6</f>
        <v>110075.34</v>
      </c>
      <c r="R6" s="359"/>
      <c r="S6" s="388"/>
      <c r="T6" s="359">
        <v>0.1</v>
      </c>
      <c r="U6" s="387">
        <f>T6*Q6</f>
        <v>11007.534</v>
      </c>
      <c r="V6" s="359"/>
      <c r="W6" s="383"/>
      <c r="X6" s="406">
        <f>Q6+S6+U6</f>
        <v>121082.874</v>
      </c>
      <c r="Y6" s="406">
        <f>R6+T6+V6</f>
        <v>0.1</v>
      </c>
      <c r="Z6" s="406">
        <f>S6+U6+W6</f>
        <v>11007.534</v>
      </c>
      <c r="AA6" s="375"/>
      <c r="AB6" s="407"/>
      <c r="AC6" s="374"/>
      <c r="AD6" s="375"/>
      <c r="AE6" s="375"/>
      <c r="AF6" s="375"/>
      <c r="AG6" s="375"/>
      <c r="AH6" s="375"/>
      <c r="AI6" s="375"/>
      <c r="AJ6" s="375"/>
      <c r="AK6" s="375"/>
      <c r="AL6" s="375"/>
      <c r="AM6" s="375"/>
      <c r="AN6" s="375"/>
    </row>
    <row r="7" spans="1:44" s="377" customFormat="1" ht="15" customHeight="1">
      <c r="A7" s="379">
        <v>1</v>
      </c>
      <c r="B7" s="384" t="s">
        <v>98</v>
      </c>
      <c r="C7" s="392" t="s">
        <v>99</v>
      </c>
      <c r="D7" s="379" t="s">
        <v>25</v>
      </c>
      <c r="E7" s="490" t="s">
        <v>100</v>
      </c>
      <c r="F7" s="490" t="s">
        <v>101</v>
      </c>
      <c r="G7" s="379">
        <v>1</v>
      </c>
      <c r="H7" s="379" t="s">
        <v>102</v>
      </c>
      <c r="I7" s="379" t="s">
        <v>103</v>
      </c>
      <c r="J7" s="425">
        <v>1</v>
      </c>
      <c r="K7" s="359">
        <v>17697</v>
      </c>
      <c r="L7" s="472">
        <v>35</v>
      </c>
      <c r="M7" s="359">
        <f>L7/18</f>
        <v>1.9444444444444444</v>
      </c>
      <c r="N7" s="473" t="s">
        <v>104</v>
      </c>
      <c r="O7" s="528">
        <v>4.55</v>
      </c>
      <c r="P7" s="528">
        <v>4.1399999999999997</v>
      </c>
      <c r="Q7" s="360">
        <f>O7*K7/18*L7</f>
        <v>156569.29166666666</v>
      </c>
      <c r="R7" s="388"/>
      <c r="S7" s="359"/>
      <c r="T7" s="359">
        <v>0.1</v>
      </c>
      <c r="U7" s="360">
        <f>T7*Q7</f>
        <v>15656.929166666667</v>
      </c>
      <c r="V7" s="383"/>
      <c r="W7" s="359"/>
      <c r="X7" s="406">
        <f>U7+Q7</f>
        <v>172226.22083333333</v>
      </c>
      <c r="Y7" s="406">
        <f t="shared" ref="Y7:Y18" si="0">R7+T7+V7</f>
        <v>0.1</v>
      </c>
      <c r="Z7" s="406">
        <f t="shared" ref="Z7:Z18" si="1">S7+U7+W7</f>
        <v>15656.929166666667</v>
      </c>
      <c r="AH7" s="411"/>
      <c r="AI7" s="412"/>
    </row>
    <row r="8" spans="1:44" s="364" customFormat="1" ht="15" customHeight="1">
      <c r="A8" s="379">
        <v>1</v>
      </c>
      <c r="B8" s="463" t="s">
        <v>215</v>
      </c>
      <c r="C8" s="392" t="s">
        <v>99</v>
      </c>
      <c r="D8" s="382" t="s">
        <v>25</v>
      </c>
      <c r="E8" s="464" t="s">
        <v>441</v>
      </c>
      <c r="F8" s="464" t="s">
        <v>217</v>
      </c>
      <c r="G8" s="465">
        <v>1</v>
      </c>
      <c r="H8" s="466" t="s">
        <v>102</v>
      </c>
      <c r="I8" s="466" t="s">
        <v>103</v>
      </c>
      <c r="J8" s="467">
        <v>4</v>
      </c>
      <c r="K8" s="359">
        <v>17697</v>
      </c>
      <c r="L8" s="468">
        <v>20</v>
      </c>
      <c r="M8" s="359">
        <f>L8/18</f>
        <v>1.1111111111111112</v>
      </c>
      <c r="N8" s="467" t="s">
        <v>218</v>
      </c>
      <c r="O8" s="408">
        <v>4.12</v>
      </c>
      <c r="P8" s="408"/>
      <c r="Q8" s="360">
        <f>O8*K8/18*L8</f>
        <v>81012.933333333334</v>
      </c>
      <c r="R8" s="388"/>
      <c r="S8" s="359"/>
      <c r="T8" s="359">
        <v>0.1</v>
      </c>
      <c r="U8" s="360">
        <f>Q8*T8</f>
        <v>8101.293333333334</v>
      </c>
      <c r="V8" s="383"/>
      <c r="W8" s="359"/>
      <c r="X8" s="406">
        <f>U8+Q8</f>
        <v>89114.226666666669</v>
      </c>
      <c r="Y8" s="406">
        <f t="shared" si="0"/>
        <v>0.1</v>
      </c>
      <c r="Z8" s="406">
        <f t="shared" si="1"/>
        <v>8101.293333333334</v>
      </c>
      <c r="AH8" s="421"/>
      <c r="AI8" s="422"/>
    </row>
    <row r="9" spans="1:44" s="418" customFormat="1" ht="15">
      <c r="A9" s="379">
        <v>1</v>
      </c>
      <c r="B9" s="353" t="s">
        <v>36</v>
      </c>
      <c r="C9" s="354" t="s">
        <v>99</v>
      </c>
      <c r="D9" s="356" t="s">
        <v>25</v>
      </c>
      <c r="E9" s="356" t="s">
        <v>424</v>
      </c>
      <c r="F9" s="381" t="s">
        <v>40</v>
      </c>
      <c r="G9" s="379">
        <v>1</v>
      </c>
      <c r="H9" s="382" t="s">
        <v>102</v>
      </c>
      <c r="I9" s="382" t="s">
        <v>103</v>
      </c>
      <c r="J9" s="457">
        <v>1</v>
      </c>
      <c r="K9" s="359">
        <v>17697</v>
      </c>
      <c r="L9" s="458">
        <v>9</v>
      </c>
      <c r="M9" s="359">
        <f>L9/18</f>
        <v>0.5</v>
      </c>
      <c r="N9" s="459" t="s">
        <v>152</v>
      </c>
      <c r="O9" s="356">
        <v>4.75</v>
      </c>
      <c r="P9" s="356"/>
      <c r="Q9" s="360">
        <f>O9*K9/18*L9</f>
        <v>42030.375</v>
      </c>
      <c r="R9" s="388"/>
      <c r="S9" s="359"/>
      <c r="T9" s="359">
        <v>0.1</v>
      </c>
      <c r="U9" s="360">
        <f>Q9*T9</f>
        <v>4203.0375000000004</v>
      </c>
      <c r="V9" s="383"/>
      <c r="W9" s="359"/>
      <c r="X9" s="406">
        <f>U9+Q9</f>
        <v>46233.412499999999</v>
      </c>
      <c r="Y9" s="406">
        <f t="shared" si="0"/>
        <v>0.1</v>
      </c>
      <c r="Z9" s="406">
        <f t="shared" si="1"/>
        <v>4203.0375000000004</v>
      </c>
      <c r="AA9" s="374"/>
      <c r="AB9" s="374"/>
      <c r="AC9" s="375"/>
      <c r="AD9" s="375"/>
      <c r="AE9" s="374"/>
      <c r="AF9" s="374"/>
      <c r="AG9" s="375"/>
      <c r="AP9" s="419"/>
      <c r="AQ9" s="420">
        <f>Q9+U9+S9+W9</f>
        <v>46233.412499999999</v>
      </c>
    </row>
    <row r="10" spans="1:44" s="377" customFormat="1" ht="15" customHeight="1">
      <c r="A10" s="379">
        <v>2</v>
      </c>
      <c r="B10" s="404" t="s">
        <v>31</v>
      </c>
      <c r="C10" s="392" t="s">
        <v>32</v>
      </c>
      <c r="D10" s="379" t="s">
        <v>25</v>
      </c>
      <c r="E10" s="408" t="s">
        <v>33</v>
      </c>
      <c r="F10" s="409" t="s">
        <v>34</v>
      </c>
      <c r="G10" s="379">
        <v>1</v>
      </c>
      <c r="H10" s="379" t="s">
        <v>28</v>
      </c>
      <c r="I10" s="379" t="s">
        <v>35</v>
      </c>
      <c r="J10" s="410" t="s">
        <v>30</v>
      </c>
      <c r="K10" s="359">
        <v>17697</v>
      </c>
      <c r="L10" s="359"/>
      <c r="M10" s="359">
        <v>1</v>
      </c>
      <c r="N10" s="359"/>
      <c r="O10" s="379">
        <v>5.77</v>
      </c>
      <c r="P10" s="379"/>
      <c r="Q10" s="359">
        <f>O10*K10</f>
        <v>102111.68999999999</v>
      </c>
      <c r="R10" s="388"/>
      <c r="S10" s="359"/>
      <c r="T10" s="359">
        <v>0.1</v>
      </c>
      <c r="U10" s="359">
        <f>ROUND(Q10*T10*M10,2)</f>
        <v>10211.17</v>
      </c>
      <c r="V10" s="383"/>
      <c r="W10" s="359"/>
      <c r="X10" s="406">
        <f>Q10+S10+U10</f>
        <v>112322.85999999999</v>
      </c>
      <c r="Y10" s="406">
        <f t="shared" si="0"/>
        <v>0.1</v>
      </c>
      <c r="Z10" s="406">
        <f t="shared" si="1"/>
        <v>10211.17</v>
      </c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5"/>
      <c r="AN10" s="375"/>
    </row>
    <row r="11" spans="1:44" s="377" customFormat="1" ht="15" customHeight="1">
      <c r="A11" s="379">
        <v>2</v>
      </c>
      <c r="B11" s="384" t="s">
        <v>41</v>
      </c>
      <c r="C11" s="392" t="s">
        <v>99</v>
      </c>
      <c r="D11" s="379" t="s">
        <v>25</v>
      </c>
      <c r="E11" s="470" t="s">
        <v>105</v>
      </c>
      <c r="F11" s="470" t="s">
        <v>34</v>
      </c>
      <c r="G11" s="379">
        <v>1</v>
      </c>
      <c r="H11" s="382" t="s">
        <v>102</v>
      </c>
      <c r="I11" s="382" t="s">
        <v>103</v>
      </c>
      <c r="J11" s="471">
        <v>2</v>
      </c>
      <c r="K11" s="359">
        <v>17697</v>
      </c>
      <c r="L11" s="472">
        <v>9</v>
      </c>
      <c r="M11" s="359">
        <f>L11/18</f>
        <v>0.5</v>
      </c>
      <c r="N11" s="473" t="s">
        <v>104</v>
      </c>
      <c r="O11" s="473">
        <v>4.51</v>
      </c>
      <c r="P11" s="473">
        <v>3.92</v>
      </c>
      <c r="Q11" s="360">
        <f>O11*K11/18*L11</f>
        <v>39906.735000000001</v>
      </c>
      <c r="R11" s="388"/>
      <c r="S11" s="359"/>
      <c r="T11" s="359">
        <v>0.1</v>
      </c>
      <c r="U11" s="360">
        <f>T11*Q11</f>
        <v>3990.6735000000003</v>
      </c>
      <c r="V11" s="383"/>
      <c r="W11" s="359"/>
      <c r="X11" s="406">
        <f>U11+Q11</f>
        <v>43897.408499999998</v>
      </c>
      <c r="Y11" s="406">
        <f t="shared" si="0"/>
        <v>0.1</v>
      </c>
      <c r="Z11" s="406">
        <f t="shared" si="1"/>
        <v>3990.6735000000003</v>
      </c>
    </row>
    <row r="12" spans="1:44" s="377" customFormat="1" ht="15" customHeight="1">
      <c r="A12" s="379">
        <v>2</v>
      </c>
      <c r="B12" s="463" t="s">
        <v>222</v>
      </c>
      <c r="C12" s="392" t="s">
        <v>148</v>
      </c>
      <c r="D12" s="382" t="s">
        <v>25</v>
      </c>
      <c r="E12" s="464" t="s">
        <v>223</v>
      </c>
      <c r="F12" s="469" t="s">
        <v>224</v>
      </c>
      <c r="G12" s="465">
        <v>1</v>
      </c>
      <c r="H12" s="466" t="s">
        <v>102</v>
      </c>
      <c r="I12" s="466" t="s">
        <v>103</v>
      </c>
      <c r="J12" s="467">
        <v>3</v>
      </c>
      <c r="K12" s="359">
        <v>17697</v>
      </c>
      <c r="L12" s="468">
        <v>34</v>
      </c>
      <c r="M12" s="359">
        <f>L12/18</f>
        <v>1.8888888888888888</v>
      </c>
      <c r="N12" s="467">
        <v>2</v>
      </c>
      <c r="O12" s="408">
        <v>4.1399999999999997</v>
      </c>
      <c r="P12" s="408"/>
      <c r="Q12" s="360">
        <f>O12*K12/18*L12</f>
        <v>138390.53999999998</v>
      </c>
      <c r="R12" s="388"/>
      <c r="S12" s="359"/>
      <c r="T12" s="359">
        <v>0.1</v>
      </c>
      <c r="U12" s="360">
        <f>Q12*T12</f>
        <v>13839.053999999998</v>
      </c>
      <c r="V12" s="383"/>
      <c r="W12" s="359"/>
      <c r="X12" s="406">
        <f>U12+Q12</f>
        <v>152229.59399999998</v>
      </c>
      <c r="Y12" s="406">
        <f t="shared" si="0"/>
        <v>0.1</v>
      </c>
      <c r="Z12" s="406">
        <f t="shared" si="1"/>
        <v>13839.053999999998</v>
      </c>
      <c r="AA12" s="375"/>
      <c r="AB12" s="375"/>
      <c r="AC12" s="375"/>
      <c r="AD12" s="375"/>
      <c r="AE12" s="375"/>
      <c r="AF12" s="375"/>
      <c r="AG12" s="375"/>
      <c r="AH12" s="375"/>
      <c r="AI12" s="375"/>
      <c r="AJ12" s="375"/>
      <c r="AK12" s="375"/>
      <c r="AL12" s="375"/>
      <c r="AM12" s="375"/>
      <c r="AN12" s="375"/>
    </row>
    <row r="13" spans="1:44" s="377" customFormat="1" ht="15" customHeight="1">
      <c r="A13" s="379">
        <v>2</v>
      </c>
      <c r="B13" s="353" t="s">
        <v>261</v>
      </c>
      <c r="C13" s="354" t="s">
        <v>99</v>
      </c>
      <c r="D13" s="356" t="s">
        <v>25</v>
      </c>
      <c r="E13" s="356" t="s">
        <v>435</v>
      </c>
      <c r="F13" s="381" t="s">
        <v>425</v>
      </c>
      <c r="G13" s="379">
        <v>1</v>
      </c>
      <c r="H13" s="382" t="s">
        <v>102</v>
      </c>
      <c r="I13" s="382" t="s">
        <v>103</v>
      </c>
      <c r="J13" s="457">
        <v>2</v>
      </c>
      <c r="K13" s="359">
        <v>17697</v>
      </c>
      <c r="L13" s="458">
        <v>35</v>
      </c>
      <c r="M13" s="359">
        <f>L13/18</f>
        <v>1.9444444444444444</v>
      </c>
      <c r="N13" s="459" t="s">
        <v>104</v>
      </c>
      <c r="O13" s="356">
        <v>4.49</v>
      </c>
      <c r="P13" s="356"/>
      <c r="Q13" s="360">
        <f>O13*K13/18*L13</f>
        <v>154504.64166666666</v>
      </c>
      <c r="R13" s="388"/>
      <c r="S13" s="359"/>
      <c r="T13" s="359">
        <v>0.1</v>
      </c>
      <c r="U13" s="360">
        <f>Q13*T13</f>
        <v>15450.464166666667</v>
      </c>
      <c r="V13" s="383"/>
      <c r="W13" s="359"/>
      <c r="X13" s="406">
        <f>U13+Q13</f>
        <v>169955.10583333333</v>
      </c>
      <c r="Y13" s="406">
        <f t="shared" si="0"/>
        <v>0.1</v>
      </c>
      <c r="Z13" s="406">
        <f t="shared" si="1"/>
        <v>15450.464166666667</v>
      </c>
      <c r="AA13" s="375"/>
      <c r="AB13" s="375"/>
      <c r="AC13" s="375"/>
      <c r="AD13" s="375"/>
      <c r="AE13" s="375"/>
      <c r="AF13" s="375"/>
      <c r="AG13" s="375"/>
      <c r="AH13" s="375"/>
      <c r="AI13" s="375"/>
      <c r="AJ13" s="375"/>
      <c r="AK13" s="375"/>
      <c r="AL13" s="375"/>
      <c r="AM13" s="375"/>
      <c r="AN13" s="375"/>
    </row>
    <row r="14" spans="1:44" s="377" customFormat="1" ht="18" customHeight="1">
      <c r="A14" s="379">
        <v>3</v>
      </c>
      <c r="B14" s="354" t="s">
        <v>36</v>
      </c>
      <c r="C14" s="392" t="s">
        <v>32</v>
      </c>
      <c r="D14" s="356" t="s">
        <v>25</v>
      </c>
      <c r="E14" s="356" t="s">
        <v>37</v>
      </c>
      <c r="F14" s="409" t="s">
        <v>34</v>
      </c>
      <c r="G14" s="356">
        <v>1</v>
      </c>
      <c r="H14" s="379" t="s">
        <v>28</v>
      </c>
      <c r="I14" s="379" t="s">
        <v>35</v>
      </c>
      <c r="J14" s="356">
        <v>3</v>
      </c>
      <c r="K14" s="358">
        <v>17697</v>
      </c>
      <c r="L14" s="358"/>
      <c r="M14" s="358">
        <v>1</v>
      </c>
      <c r="N14" s="359"/>
      <c r="O14" s="355">
        <v>5.77</v>
      </c>
      <c r="P14" s="355"/>
      <c r="Q14" s="359">
        <f>O14*K14</f>
        <v>102111.68999999999</v>
      </c>
      <c r="R14" s="388"/>
      <c r="S14" s="359"/>
      <c r="T14" s="359">
        <v>0.1</v>
      </c>
      <c r="U14" s="359">
        <f>ROUND(Q14*T14*M14,2)</f>
        <v>10211.17</v>
      </c>
      <c r="V14" s="383"/>
      <c r="W14" s="359"/>
      <c r="X14" s="406">
        <f>Q14+S14+U14</f>
        <v>112322.85999999999</v>
      </c>
      <c r="Y14" s="406">
        <f t="shared" si="0"/>
        <v>0.1</v>
      </c>
      <c r="Z14" s="406">
        <f t="shared" si="1"/>
        <v>10211.17</v>
      </c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5"/>
      <c r="AN14" s="375"/>
    </row>
    <row r="15" spans="1:44" s="377" customFormat="1" ht="18" customHeight="1">
      <c r="A15" s="379">
        <v>3</v>
      </c>
      <c r="B15" s="463" t="s">
        <v>215</v>
      </c>
      <c r="C15" s="392" t="s">
        <v>99</v>
      </c>
      <c r="D15" s="382" t="s">
        <v>25</v>
      </c>
      <c r="E15" s="480" t="s">
        <v>441</v>
      </c>
      <c r="F15" s="464" t="s">
        <v>217</v>
      </c>
      <c r="G15" s="481">
        <v>1</v>
      </c>
      <c r="H15" s="466" t="s">
        <v>102</v>
      </c>
      <c r="I15" s="466" t="s">
        <v>103</v>
      </c>
      <c r="J15" s="467">
        <v>4</v>
      </c>
      <c r="K15" s="359">
        <v>17697</v>
      </c>
      <c r="L15" s="468">
        <v>6</v>
      </c>
      <c r="M15" s="359">
        <f>L15/18</f>
        <v>0.33333333333333331</v>
      </c>
      <c r="N15" s="467" t="s">
        <v>218</v>
      </c>
      <c r="O15" s="408">
        <v>4.12</v>
      </c>
      <c r="P15" s="408"/>
      <c r="Q15" s="360">
        <f>O15*K15/18*L15</f>
        <v>24303.879999999997</v>
      </c>
      <c r="R15" s="388"/>
      <c r="S15" s="359"/>
      <c r="T15" s="359">
        <v>0.1</v>
      </c>
      <c r="U15" s="360">
        <f>Q15*T15</f>
        <v>2430.3879999999999</v>
      </c>
      <c r="V15" s="383"/>
      <c r="W15" s="359"/>
      <c r="X15" s="406">
        <f>U15+Q15</f>
        <v>26734.267999999996</v>
      </c>
      <c r="Y15" s="406">
        <f t="shared" si="0"/>
        <v>0.1</v>
      </c>
      <c r="Z15" s="406">
        <f t="shared" si="1"/>
        <v>2430.3879999999999</v>
      </c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  <c r="AN15" s="375"/>
    </row>
    <row r="16" spans="1:44" s="377" customFormat="1" ht="15" customHeight="1">
      <c r="A16" s="379">
        <v>3</v>
      </c>
      <c r="B16" s="384" t="s">
        <v>116</v>
      </c>
      <c r="C16" s="392" t="s">
        <v>99</v>
      </c>
      <c r="D16" s="379" t="s">
        <v>64</v>
      </c>
      <c r="E16" s="470" t="s">
        <v>117</v>
      </c>
      <c r="F16" s="470" t="s">
        <v>114</v>
      </c>
      <c r="G16" s="379">
        <v>1</v>
      </c>
      <c r="H16" s="382" t="s">
        <v>102</v>
      </c>
      <c r="I16" s="382" t="s">
        <v>118</v>
      </c>
      <c r="J16" s="471">
        <v>1</v>
      </c>
      <c r="K16" s="359">
        <v>17697</v>
      </c>
      <c r="L16" s="472">
        <v>5</v>
      </c>
      <c r="M16" s="359">
        <f>L16/18</f>
        <v>0.27777777777777779</v>
      </c>
      <c r="N16" s="473" t="s">
        <v>115</v>
      </c>
      <c r="O16" s="473">
        <v>4.5199999999999996</v>
      </c>
      <c r="P16" s="473">
        <v>3.89</v>
      </c>
      <c r="Q16" s="360">
        <f>O16*K16/18*L16</f>
        <v>22219.566666666666</v>
      </c>
      <c r="R16" s="388"/>
      <c r="S16" s="359"/>
      <c r="T16" s="359">
        <v>0.1</v>
      </c>
      <c r="U16" s="360">
        <f>T16*Q16</f>
        <v>2221.9566666666665</v>
      </c>
      <c r="V16" s="383"/>
      <c r="W16" s="359"/>
      <c r="X16" s="406">
        <f>U16+Q16</f>
        <v>24441.523333333331</v>
      </c>
      <c r="Y16" s="406">
        <f t="shared" si="0"/>
        <v>0.1</v>
      </c>
      <c r="Z16" s="406">
        <f t="shared" si="1"/>
        <v>2221.9566666666665</v>
      </c>
      <c r="AA16" s="375"/>
      <c r="AB16" s="375"/>
      <c r="AC16" s="375"/>
      <c r="AD16" s="375"/>
      <c r="AE16" s="375"/>
      <c r="AF16" s="375"/>
      <c r="AG16" s="375"/>
      <c r="AH16" s="375"/>
      <c r="AI16" s="375"/>
      <c r="AJ16" s="375"/>
      <c r="AK16" s="375"/>
      <c r="AL16" s="375"/>
      <c r="AM16" s="375"/>
      <c r="AN16" s="375"/>
    </row>
    <row r="17" spans="1:40" s="377" customFormat="1" ht="15" customHeight="1">
      <c r="A17" s="379">
        <v>3</v>
      </c>
      <c r="B17" s="354" t="s">
        <v>264</v>
      </c>
      <c r="C17" s="354" t="s">
        <v>99</v>
      </c>
      <c r="D17" s="356" t="s">
        <v>25</v>
      </c>
      <c r="E17" s="356" t="s">
        <v>426</v>
      </c>
      <c r="F17" s="381" t="s">
        <v>40</v>
      </c>
      <c r="G17" s="379">
        <v>1</v>
      </c>
      <c r="H17" s="382" t="s">
        <v>102</v>
      </c>
      <c r="I17" s="382" t="s">
        <v>103</v>
      </c>
      <c r="J17" s="457">
        <v>1</v>
      </c>
      <c r="K17" s="359">
        <v>17697</v>
      </c>
      <c r="L17" s="458">
        <v>36</v>
      </c>
      <c r="M17" s="359">
        <f>L17/18</f>
        <v>2</v>
      </c>
      <c r="N17" s="460" t="s">
        <v>152</v>
      </c>
      <c r="O17" s="356">
        <v>4.75</v>
      </c>
      <c r="P17" s="356"/>
      <c r="Q17" s="360">
        <f>O17*K17/18*L17</f>
        <v>168121.5</v>
      </c>
      <c r="R17" s="388"/>
      <c r="S17" s="359"/>
      <c r="T17" s="359">
        <v>0.1</v>
      </c>
      <c r="U17" s="360">
        <f>Q17*T17</f>
        <v>16812.150000000001</v>
      </c>
      <c r="V17" s="383"/>
      <c r="W17" s="359"/>
      <c r="X17" s="406">
        <f>U17+Q17</f>
        <v>184933.65</v>
      </c>
      <c r="Y17" s="406">
        <f t="shared" si="0"/>
        <v>0.1</v>
      </c>
      <c r="Z17" s="406">
        <f t="shared" si="1"/>
        <v>16812.150000000001</v>
      </c>
    </row>
    <row r="18" spans="1:40" s="364" customFormat="1" ht="15.75" customHeight="1">
      <c r="A18" s="379">
        <v>4</v>
      </c>
      <c r="B18" s="413" t="s">
        <v>38</v>
      </c>
      <c r="C18" s="392" t="s">
        <v>32</v>
      </c>
      <c r="D18" s="355" t="s">
        <v>25</v>
      </c>
      <c r="E18" s="355" t="s">
        <v>39</v>
      </c>
      <c r="F18" s="414" t="s">
        <v>40</v>
      </c>
      <c r="G18" s="355">
        <v>1</v>
      </c>
      <c r="H18" s="379" t="s">
        <v>28</v>
      </c>
      <c r="I18" s="379" t="s">
        <v>35</v>
      </c>
      <c r="J18" s="415">
        <v>3</v>
      </c>
      <c r="K18" s="360">
        <v>17697</v>
      </c>
      <c r="L18" s="360"/>
      <c r="M18" s="360">
        <v>1</v>
      </c>
      <c r="N18" s="360"/>
      <c r="O18" s="355">
        <v>5.77</v>
      </c>
      <c r="P18" s="355"/>
      <c r="Q18" s="360">
        <f>O18*K18*M18</f>
        <v>102111.68999999999</v>
      </c>
      <c r="R18" s="416">
        <v>0.25</v>
      </c>
      <c r="S18" s="360">
        <f>R18*Q18</f>
        <v>25527.922499999997</v>
      </c>
      <c r="T18" s="359">
        <v>0.1</v>
      </c>
      <c r="U18" s="360">
        <f>ROUND(Q18*T18,2)</f>
        <v>10211.17</v>
      </c>
      <c r="V18" s="417"/>
      <c r="W18" s="360"/>
      <c r="X18" s="406">
        <f>Q18+S18+U18</f>
        <v>137850.7825</v>
      </c>
      <c r="Y18" s="406">
        <f t="shared" si="0"/>
        <v>0.35</v>
      </c>
      <c r="Z18" s="406">
        <f t="shared" si="1"/>
        <v>35739.092499999999</v>
      </c>
    </row>
    <row r="19" spans="1:40" s="364" customFormat="1" ht="15.75" customHeight="1">
      <c r="A19" s="379">
        <v>4</v>
      </c>
      <c r="B19" s="463" t="s">
        <v>445</v>
      </c>
      <c r="C19" s="392" t="s">
        <v>99</v>
      </c>
      <c r="D19" s="382" t="s">
        <v>25</v>
      </c>
      <c r="E19" s="464"/>
      <c r="F19" s="464"/>
      <c r="G19" s="465">
        <v>1</v>
      </c>
      <c r="H19" s="379" t="s">
        <v>102</v>
      </c>
      <c r="I19" s="379" t="s">
        <v>103</v>
      </c>
      <c r="J19" s="425">
        <v>1</v>
      </c>
      <c r="K19" s="359">
        <v>17697</v>
      </c>
      <c r="L19" s="468">
        <v>10</v>
      </c>
      <c r="M19" s="359">
        <f>L19/18</f>
        <v>0.55555555555555558</v>
      </c>
      <c r="N19" s="467" t="s">
        <v>152</v>
      </c>
      <c r="O19" s="408">
        <v>4.26</v>
      </c>
      <c r="P19" s="408"/>
      <c r="Q19" s="360">
        <f>O19*K19/18*L19</f>
        <v>41882.9</v>
      </c>
      <c r="R19" s="388"/>
      <c r="S19" s="359"/>
      <c r="T19" s="359">
        <v>0.1</v>
      </c>
      <c r="U19" s="360">
        <f>Q19*T19</f>
        <v>4188.29</v>
      </c>
      <c r="V19" s="383"/>
      <c r="W19" s="359"/>
      <c r="X19" s="406">
        <f>U19+Q19</f>
        <v>46071.19</v>
      </c>
      <c r="Y19" s="406">
        <f>R19+T19+V19+X19</f>
        <v>46071.29</v>
      </c>
      <c r="Z19" s="406">
        <f>S19+U19+W19+Y19</f>
        <v>50259.58</v>
      </c>
    </row>
    <row r="20" spans="1:40" s="364" customFormat="1" ht="15.75" customHeight="1">
      <c r="A20" s="379">
        <v>4</v>
      </c>
      <c r="B20" s="384" t="s">
        <v>124</v>
      </c>
      <c r="C20" s="392" t="s">
        <v>125</v>
      </c>
      <c r="D20" s="379" t="s">
        <v>75</v>
      </c>
      <c r="E20" s="490" t="s">
        <v>126</v>
      </c>
      <c r="F20" s="470" t="s">
        <v>108</v>
      </c>
      <c r="G20" s="379">
        <v>1</v>
      </c>
      <c r="H20" s="382" t="s">
        <v>102</v>
      </c>
      <c r="I20" s="382" t="s">
        <v>118</v>
      </c>
      <c r="J20" s="474">
        <v>4</v>
      </c>
      <c r="K20" s="359">
        <v>17697</v>
      </c>
      <c r="L20" s="472">
        <v>13</v>
      </c>
      <c r="M20" s="359">
        <f>L20/18</f>
        <v>0.72222222222222221</v>
      </c>
      <c r="N20" s="473" t="s">
        <v>112</v>
      </c>
      <c r="O20" s="473">
        <v>3.41</v>
      </c>
      <c r="P20" s="473">
        <v>2.85</v>
      </c>
      <c r="Q20" s="360">
        <f>O20*K20/18*L20</f>
        <v>43583.778333333335</v>
      </c>
      <c r="R20" s="388"/>
      <c r="S20" s="359"/>
      <c r="T20" s="359">
        <v>0.1</v>
      </c>
      <c r="U20" s="360">
        <f>T20*Q20</f>
        <v>4358.3778333333339</v>
      </c>
      <c r="V20" s="383"/>
      <c r="W20" s="359"/>
      <c r="X20" s="406">
        <f>U20+Q20</f>
        <v>47942.156166666668</v>
      </c>
      <c r="Y20" s="406">
        <f>R20+T20+V20+X20</f>
        <v>47942.256166666666</v>
      </c>
      <c r="Z20" s="406">
        <f>S20+U20+W20+Y20</f>
        <v>52300.633999999998</v>
      </c>
    </row>
    <row r="21" spans="1:40" s="377" customFormat="1" ht="15" customHeight="1">
      <c r="A21" s="379">
        <v>4</v>
      </c>
      <c r="B21" s="354" t="s">
        <v>268</v>
      </c>
      <c r="C21" s="354" t="s">
        <v>99</v>
      </c>
      <c r="D21" s="356" t="s">
        <v>25</v>
      </c>
      <c r="E21" s="356" t="s">
        <v>427</v>
      </c>
      <c r="F21" s="381" t="s">
        <v>40</v>
      </c>
      <c r="G21" s="379">
        <v>1</v>
      </c>
      <c r="H21" s="382" t="s">
        <v>102</v>
      </c>
      <c r="I21" s="382" t="s">
        <v>103</v>
      </c>
      <c r="J21" s="457">
        <v>1</v>
      </c>
      <c r="K21" s="359">
        <v>17697</v>
      </c>
      <c r="L21" s="458">
        <v>36</v>
      </c>
      <c r="M21" s="359">
        <f>L21/18</f>
        <v>2</v>
      </c>
      <c r="N21" s="460" t="s">
        <v>152</v>
      </c>
      <c r="O21" s="356">
        <v>4.75</v>
      </c>
      <c r="P21" s="356"/>
      <c r="Q21" s="360">
        <f>O21*K21/18*L21</f>
        <v>168121.5</v>
      </c>
      <c r="R21" s="388"/>
      <c r="S21" s="359"/>
      <c r="T21" s="359">
        <v>0.1</v>
      </c>
      <c r="U21" s="360">
        <f>Q21*T21</f>
        <v>16812.150000000001</v>
      </c>
      <c r="V21" s="383"/>
      <c r="W21" s="359"/>
      <c r="X21" s="406">
        <f>U21+Q21</f>
        <v>184933.65</v>
      </c>
      <c r="Y21" s="406">
        <f t="shared" ref="Y21:Z26" si="2">R21+T21+V21</f>
        <v>0.1</v>
      </c>
      <c r="Z21" s="406">
        <f t="shared" si="2"/>
        <v>16812.150000000001</v>
      </c>
      <c r="AA21" s="375"/>
      <c r="AB21" s="375"/>
      <c r="AC21" s="375"/>
      <c r="AD21" s="375"/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</row>
    <row r="22" spans="1:40" s="390" customFormat="1" ht="15.75" customHeight="1">
      <c r="A22" s="379">
        <v>5</v>
      </c>
      <c r="B22" s="404" t="s">
        <v>41</v>
      </c>
      <c r="C22" s="392" t="s">
        <v>42</v>
      </c>
      <c r="D22" s="379" t="s">
        <v>25</v>
      </c>
      <c r="E22" s="379" t="s">
        <v>43</v>
      </c>
      <c r="F22" s="379" t="s">
        <v>27</v>
      </c>
      <c r="G22" s="379">
        <v>1</v>
      </c>
      <c r="H22" s="382" t="s">
        <v>28</v>
      </c>
      <c r="I22" s="382" t="s">
        <v>29</v>
      </c>
      <c r="J22" s="405" t="s">
        <v>44</v>
      </c>
      <c r="K22" s="359">
        <v>17697</v>
      </c>
      <c r="L22" s="359"/>
      <c r="M22" s="359">
        <v>1</v>
      </c>
      <c r="N22" s="359"/>
      <c r="O22" s="381" t="s">
        <v>369</v>
      </c>
      <c r="P22" s="381"/>
      <c r="Q22" s="360">
        <f>O22*K22*M22</f>
        <v>104589.27</v>
      </c>
      <c r="R22" s="359"/>
      <c r="S22" s="388"/>
      <c r="T22" s="359">
        <v>0.1</v>
      </c>
      <c r="U22" s="360">
        <f>ROUND(Q22*T22,2)</f>
        <v>10458.93</v>
      </c>
      <c r="V22" s="359"/>
      <c r="W22" s="383"/>
      <c r="X22" s="406">
        <f>Q22+S22+U22</f>
        <v>115048.20000000001</v>
      </c>
      <c r="Y22" s="406">
        <f t="shared" si="2"/>
        <v>0.1</v>
      </c>
      <c r="Z22" s="406">
        <f t="shared" si="2"/>
        <v>10458.93</v>
      </c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</row>
    <row r="23" spans="1:40" s="377" customFormat="1" ht="18" customHeight="1">
      <c r="A23" s="379">
        <v>5</v>
      </c>
      <c r="B23" s="384" t="s">
        <v>106</v>
      </c>
      <c r="C23" s="392" t="s">
        <v>99</v>
      </c>
      <c r="D23" s="379" t="s">
        <v>25</v>
      </c>
      <c r="E23" s="470" t="s">
        <v>107</v>
      </c>
      <c r="F23" s="470" t="s">
        <v>108</v>
      </c>
      <c r="G23" s="379">
        <v>1</v>
      </c>
      <c r="H23" s="382" t="s">
        <v>102</v>
      </c>
      <c r="I23" s="382" t="s">
        <v>103</v>
      </c>
      <c r="J23" s="471">
        <v>3</v>
      </c>
      <c r="K23" s="359">
        <v>17697</v>
      </c>
      <c r="L23" s="472">
        <v>15</v>
      </c>
      <c r="M23" s="359">
        <f>L23/18</f>
        <v>0.83333333333333337</v>
      </c>
      <c r="N23" s="473" t="s">
        <v>109</v>
      </c>
      <c r="O23" s="473">
        <v>4</v>
      </c>
      <c r="P23" s="473">
        <v>3.33</v>
      </c>
      <c r="Q23" s="360">
        <f>O23*K23/18*L23</f>
        <v>58990</v>
      </c>
      <c r="R23" s="388"/>
      <c r="S23" s="359"/>
      <c r="T23" s="359">
        <v>0.1</v>
      </c>
      <c r="U23" s="360">
        <f>T23*Q23</f>
        <v>5899</v>
      </c>
      <c r="V23" s="383"/>
      <c r="W23" s="359"/>
      <c r="X23" s="406">
        <f>U23+Q23</f>
        <v>64889</v>
      </c>
      <c r="Y23" s="406">
        <f t="shared" si="2"/>
        <v>0.1</v>
      </c>
      <c r="Z23" s="406">
        <f t="shared" si="2"/>
        <v>5899</v>
      </c>
    </row>
    <row r="24" spans="1:40" s="377" customFormat="1" ht="17.25" customHeight="1">
      <c r="A24" s="379">
        <v>5</v>
      </c>
      <c r="B24" s="384" t="s">
        <v>199</v>
      </c>
      <c r="C24" s="392" t="s">
        <v>99</v>
      </c>
      <c r="D24" s="382" t="s">
        <v>25</v>
      </c>
      <c r="E24" s="476" t="s">
        <v>158</v>
      </c>
      <c r="F24" s="470" t="s">
        <v>159</v>
      </c>
      <c r="G24" s="426">
        <v>1</v>
      </c>
      <c r="H24" s="382" t="s">
        <v>102</v>
      </c>
      <c r="I24" s="382" t="s">
        <v>118</v>
      </c>
      <c r="J24" s="474">
        <v>4</v>
      </c>
      <c r="K24" s="359">
        <v>17697</v>
      </c>
      <c r="L24" s="506">
        <v>12</v>
      </c>
      <c r="M24" s="373">
        <f>L24/18</f>
        <v>0.66666666666666663</v>
      </c>
      <c r="N24" s="483" t="s">
        <v>112</v>
      </c>
      <c r="O24" s="485">
        <v>3.32</v>
      </c>
      <c r="P24" s="485"/>
      <c r="Q24" s="438">
        <f>O24*K24/18*L24</f>
        <v>39169.359999999993</v>
      </c>
      <c r="R24" s="439"/>
      <c r="S24" s="373"/>
      <c r="T24" s="373">
        <v>0.1</v>
      </c>
      <c r="U24" s="438">
        <f>T24*Q24</f>
        <v>3916.9359999999997</v>
      </c>
      <c r="V24" s="372"/>
      <c r="W24" s="373"/>
      <c r="X24" s="437">
        <f>U24+Q24</f>
        <v>43086.295999999995</v>
      </c>
      <c r="Y24" s="437">
        <f t="shared" si="2"/>
        <v>0.1</v>
      </c>
      <c r="Z24" s="437">
        <f t="shared" si="2"/>
        <v>3916.9359999999997</v>
      </c>
    </row>
    <row r="25" spans="1:40" s="377" customFormat="1" ht="17.25" customHeight="1">
      <c r="A25" s="379">
        <v>5</v>
      </c>
      <c r="B25" s="366" t="s">
        <v>269</v>
      </c>
      <c r="C25" s="366" t="s">
        <v>99</v>
      </c>
      <c r="D25" s="513" t="s">
        <v>25</v>
      </c>
      <c r="E25" s="513" t="s">
        <v>428</v>
      </c>
      <c r="F25" s="426" t="s">
        <v>271</v>
      </c>
      <c r="G25" s="426">
        <v>1</v>
      </c>
      <c r="H25" s="370" t="s">
        <v>102</v>
      </c>
      <c r="I25" s="370" t="s">
        <v>103</v>
      </c>
      <c r="J25" s="520">
        <v>2</v>
      </c>
      <c r="K25" s="373">
        <v>17697</v>
      </c>
      <c r="L25" s="521">
        <v>36</v>
      </c>
      <c r="M25" s="373">
        <f>L25/18</f>
        <v>2</v>
      </c>
      <c r="N25" s="525" t="s">
        <v>104</v>
      </c>
      <c r="O25" s="513">
        <v>4.37</v>
      </c>
      <c r="P25" s="513"/>
      <c r="Q25" s="438">
        <f>O25*K25/18*L25</f>
        <v>154671.78</v>
      </c>
      <c r="R25" s="439"/>
      <c r="S25" s="373"/>
      <c r="T25" s="373">
        <v>0.1</v>
      </c>
      <c r="U25" s="438">
        <f>Q25*T25</f>
        <v>15467.178</v>
      </c>
      <c r="V25" s="372"/>
      <c r="W25" s="373"/>
      <c r="X25" s="437">
        <f>U25+Q25</f>
        <v>170138.95799999998</v>
      </c>
      <c r="Y25" s="437">
        <f t="shared" si="2"/>
        <v>0.1</v>
      </c>
      <c r="Z25" s="437">
        <f t="shared" si="2"/>
        <v>15467.178</v>
      </c>
    </row>
    <row r="26" spans="1:40" s="377" customFormat="1" ht="17.25" customHeight="1">
      <c r="A26" s="379">
        <v>6</v>
      </c>
      <c r="B26" s="511" t="s">
        <v>45</v>
      </c>
      <c r="C26" s="441" t="s">
        <v>46</v>
      </c>
      <c r="D26" s="512" t="s">
        <v>25</v>
      </c>
      <c r="E26" s="517" t="s">
        <v>47</v>
      </c>
      <c r="F26" s="424" t="s">
        <v>34</v>
      </c>
      <c r="G26" s="512">
        <v>1</v>
      </c>
      <c r="H26" s="426" t="s">
        <v>28</v>
      </c>
      <c r="I26" s="426" t="s">
        <v>29</v>
      </c>
      <c r="J26" s="442" t="s">
        <v>44</v>
      </c>
      <c r="K26" s="373">
        <v>17697</v>
      </c>
      <c r="L26" s="373"/>
      <c r="M26" s="373">
        <v>1</v>
      </c>
      <c r="N26" s="373"/>
      <c r="O26" s="373">
        <v>5.91</v>
      </c>
      <c r="P26" s="373"/>
      <c r="Q26" s="438">
        <f>O26*K26*M26</f>
        <v>104589.27</v>
      </c>
      <c r="R26" s="531"/>
      <c r="S26" s="373"/>
      <c r="T26" s="373">
        <v>0.1</v>
      </c>
      <c r="U26" s="438">
        <f>ROUND(Q26*T26,2)</f>
        <v>10458.93</v>
      </c>
      <c r="V26" s="372"/>
      <c r="W26" s="373"/>
      <c r="X26" s="437">
        <f>Q26+S26+U26</f>
        <v>115048.20000000001</v>
      </c>
      <c r="Y26" s="437">
        <f t="shared" si="2"/>
        <v>0.1</v>
      </c>
      <c r="Z26" s="437">
        <f t="shared" si="2"/>
        <v>10458.93</v>
      </c>
    </row>
    <row r="27" spans="1:40" s="377" customFormat="1" ht="17.25" customHeight="1">
      <c r="A27" s="395">
        <v>6</v>
      </c>
      <c r="B27" s="510" t="s">
        <v>110</v>
      </c>
      <c r="C27" s="487" t="s">
        <v>99</v>
      </c>
      <c r="D27" s="395" t="s">
        <v>25</v>
      </c>
      <c r="E27" s="516" t="s">
        <v>111</v>
      </c>
      <c r="F27" s="516" t="s">
        <v>51</v>
      </c>
      <c r="G27" s="395">
        <v>1</v>
      </c>
      <c r="H27" s="399" t="s">
        <v>102</v>
      </c>
      <c r="I27" s="399" t="s">
        <v>103</v>
      </c>
      <c r="J27" s="519">
        <v>4</v>
      </c>
      <c r="K27" s="361">
        <v>17697</v>
      </c>
      <c r="L27" s="488">
        <v>31</v>
      </c>
      <c r="M27" s="359">
        <f>L27/18</f>
        <v>1.7222222222222223</v>
      </c>
      <c r="N27" s="475" t="s">
        <v>112</v>
      </c>
      <c r="O27" s="475">
        <v>3.71</v>
      </c>
      <c r="P27" s="475">
        <v>2.92</v>
      </c>
      <c r="Q27" s="456">
        <f>O27*K27/18*L27</f>
        <v>113073.99833333332</v>
      </c>
      <c r="R27" s="402"/>
      <c r="S27" s="361"/>
      <c r="T27" s="361">
        <v>0.1</v>
      </c>
      <c r="U27" s="456">
        <f>T27*Q27</f>
        <v>11307.399833333333</v>
      </c>
      <c r="V27" s="403"/>
      <c r="W27" s="361"/>
      <c r="X27" s="363">
        <f t="shared" ref="X27:Z29" si="3">U27+Q27</f>
        <v>124381.39816666665</v>
      </c>
      <c r="Y27" s="363">
        <f t="shared" si="3"/>
        <v>0</v>
      </c>
      <c r="Z27" s="363">
        <f t="shared" si="3"/>
        <v>0</v>
      </c>
    </row>
    <row r="28" spans="1:40" s="377" customFormat="1" ht="17.25" customHeight="1">
      <c r="A28" s="379">
        <v>6</v>
      </c>
      <c r="B28" s="384" t="s">
        <v>127</v>
      </c>
      <c r="C28" s="392" t="s">
        <v>99</v>
      </c>
      <c r="D28" s="379" t="s">
        <v>25</v>
      </c>
      <c r="E28" s="470" t="s">
        <v>128</v>
      </c>
      <c r="F28" s="470" t="s">
        <v>34</v>
      </c>
      <c r="G28" s="379">
        <v>1</v>
      </c>
      <c r="H28" s="382" t="s">
        <v>102</v>
      </c>
      <c r="I28" s="382" t="s">
        <v>103</v>
      </c>
      <c r="J28" s="471">
        <v>1</v>
      </c>
      <c r="K28" s="359">
        <v>17697</v>
      </c>
      <c r="L28" s="472">
        <v>6</v>
      </c>
      <c r="M28" s="359">
        <f>L28/18</f>
        <v>0.33333333333333331</v>
      </c>
      <c r="N28" s="473" t="s">
        <v>129</v>
      </c>
      <c r="O28" s="473">
        <v>4.75</v>
      </c>
      <c r="P28" s="473"/>
      <c r="Q28" s="360">
        <f>O28*K28/18*L28</f>
        <v>28020.25</v>
      </c>
      <c r="R28" s="388"/>
      <c r="S28" s="359"/>
      <c r="T28" s="359">
        <v>0.1</v>
      </c>
      <c r="U28" s="360">
        <f>T28*Q28</f>
        <v>2802.0250000000001</v>
      </c>
      <c r="V28" s="383"/>
      <c r="W28" s="359"/>
      <c r="X28" s="406">
        <f t="shared" si="3"/>
        <v>30822.275000000001</v>
      </c>
      <c r="Y28" s="406">
        <f t="shared" si="3"/>
        <v>0</v>
      </c>
      <c r="Z28" s="406">
        <f t="shared" si="3"/>
        <v>0</v>
      </c>
    </row>
    <row r="29" spans="1:40" s="377" customFormat="1" ht="15">
      <c r="A29" s="395">
        <v>6</v>
      </c>
      <c r="B29" s="354" t="s">
        <v>272</v>
      </c>
      <c r="C29" s="354" t="s">
        <v>99</v>
      </c>
      <c r="D29" s="356" t="s">
        <v>25</v>
      </c>
      <c r="E29" s="356" t="s">
        <v>429</v>
      </c>
      <c r="F29" s="379" t="s">
        <v>434</v>
      </c>
      <c r="G29" s="379">
        <v>1</v>
      </c>
      <c r="H29" s="382" t="s">
        <v>102</v>
      </c>
      <c r="I29" s="382" t="s">
        <v>103</v>
      </c>
      <c r="J29" s="457">
        <v>1</v>
      </c>
      <c r="K29" s="359">
        <v>17697</v>
      </c>
      <c r="L29" s="458">
        <v>36</v>
      </c>
      <c r="M29" s="359">
        <f>L29/18</f>
        <v>2</v>
      </c>
      <c r="N29" s="460" t="s">
        <v>152</v>
      </c>
      <c r="O29" s="356">
        <v>4.6900000000000004</v>
      </c>
      <c r="P29" s="356"/>
      <c r="Q29" s="360">
        <f>O29*K29/18*L29</f>
        <v>165997.86000000002</v>
      </c>
      <c r="R29" s="388"/>
      <c r="S29" s="359"/>
      <c r="T29" s="359">
        <v>0.1</v>
      </c>
      <c r="U29" s="360">
        <f>Q29*T29</f>
        <v>16599.786000000004</v>
      </c>
      <c r="V29" s="383"/>
      <c r="W29" s="359"/>
      <c r="X29" s="406">
        <f t="shared" si="3"/>
        <v>182597.64600000001</v>
      </c>
      <c r="Y29" s="406">
        <f t="shared" si="3"/>
        <v>0</v>
      </c>
      <c r="Z29" s="406">
        <f t="shared" si="3"/>
        <v>0</v>
      </c>
    </row>
    <row r="30" spans="1:40" s="377" customFormat="1" ht="15">
      <c r="A30" s="379">
        <v>7</v>
      </c>
      <c r="B30" s="404" t="s">
        <v>48</v>
      </c>
      <c r="C30" s="392" t="s">
        <v>49</v>
      </c>
      <c r="D30" s="379" t="s">
        <v>25</v>
      </c>
      <c r="E30" s="379" t="s">
        <v>50</v>
      </c>
      <c r="F30" s="379" t="s">
        <v>51</v>
      </c>
      <c r="G30" s="379">
        <v>1</v>
      </c>
      <c r="H30" s="399" t="s">
        <v>28</v>
      </c>
      <c r="I30" s="399" t="s">
        <v>35</v>
      </c>
      <c r="J30" s="518" t="s">
        <v>30</v>
      </c>
      <c r="K30" s="359">
        <v>17697</v>
      </c>
      <c r="L30" s="359"/>
      <c r="M30" s="359">
        <v>1</v>
      </c>
      <c r="N30" s="359"/>
      <c r="O30" s="527" t="s">
        <v>370</v>
      </c>
      <c r="P30" s="527"/>
      <c r="Q30" s="360">
        <f>O30*K30*M30</f>
        <v>99280.170000000013</v>
      </c>
      <c r="R30" s="359"/>
      <c r="S30" s="388"/>
      <c r="T30" s="359">
        <v>0.1</v>
      </c>
      <c r="U30" s="360">
        <f>ROUND(Q30*T30,2)</f>
        <v>9928.02</v>
      </c>
      <c r="V30" s="359"/>
      <c r="W30" s="383"/>
      <c r="X30" s="406">
        <f>Q30+S30+U30</f>
        <v>109208.19000000002</v>
      </c>
      <c r="Y30" s="406"/>
      <c r="Z30" s="406"/>
    </row>
    <row r="31" spans="1:40" s="377" customFormat="1" ht="17.25" customHeight="1">
      <c r="A31" s="395">
        <v>7</v>
      </c>
      <c r="B31" s="384" t="s">
        <v>23</v>
      </c>
      <c r="C31" s="392" t="s">
        <v>99</v>
      </c>
      <c r="D31" s="379" t="s">
        <v>25</v>
      </c>
      <c r="E31" s="470" t="s">
        <v>113</v>
      </c>
      <c r="F31" s="470" t="s">
        <v>114</v>
      </c>
      <c r="G31" s="379">
        <v>1</v>
      </c>
      <c r="H31" s="382" t="s">
        <v>102</v>
      </c>
      <c r="I31" s="382" t="s">
        <v>103</v>
      </c>
      <c r="J31" s="474">
        <v>1</v>
      </c>
      <c r="K31" s="359">
        <v>17697</v>
      </c>
      <c r="L31" s="472">
        <v>9</v>
      </c>
      <c r="M31" s="359">
        <f>L31/18</f>
        <v>0.5</v>
      </c>
      <c r="N31" s="473" t="s">
        <v>115</v>
      </c>
      <c r="O31" s="485">
        <v>4.75</v>
      </c>
      <c r="P31" s="485">
        <v>4.32</v>
      </c>
      <c r="Q31" s="360">
        <f>O31*K31/18*L31</f>
        <v>42030.375</v>
      </c>
      <c r="R31" s="388"/>
      <c r="S31" s="359"/>
      <c r="T31" s="359">
        <v>0.1</v>
      </c>
      <c r="U31" s="360">
        <f>T31*Q31</f>
        <v>4203.0375000000004</v>
      </c>
      <c r="V31" s="383"/>
      <c r="W31" s="359"/>
      <c r="X31" s="406">
        <f t="shared" ref="X31:Z33" si="4">U31+Q31</f>
        <v>46233.412499999999</v>
      </c>
      <c r="Y31" s="406">
        <f t="shared" si="4"/>
        <v>0</v>
      </c>
      <c r="Z31" s="406">
        <f t="shared" si="4"/>
        <v>0</v>
      </c>
    </row>
    <row r="32" spans="1:40" s="377" customFormat="1" ht="15">
      <c r="A32" s="379">
        <v>7</v>
      </c>
      <c r="B32" s="463" t="s">
        <v>227</v>
      </c>
      <c r="C32" s="392" t="s">
        <v>99</v>
      </c>
      <c r="D32" s="379" t="s">
        <v>25</v>
      </c>
      <c r="E32" s="464" t="s">
        <v>228</v>
      </c>
      <c r="F32" s="464" t="s">
        <v>229</v>
      </c>
      <c r="G32" s="465">
        <v>1</v>
      </c>
      <c r="H32" s="466" t="s">
        <v>102</v>
      </c>
      <c r="I32" s="466" t="s">
        <v>103</v>
      </c>
      <c r="J32" s="467">
        <v>3</v>
      </c>
      <c r="K32" s="359">
        <v>17697</v>
      </c>
      <c r="L32" s="468">
        <v>28</v>
      </c>
      <c r="M32" s="359">
        <f>L32/18</f>
        <v>1.5555555555555556</v>
      </c>
      <c r="N32" s="467">
        <v>2</v>
      </c>
      <c r="O32" s="408">
        <v>4</v>
      </c>
      <c r="P32" s="408"/>
      <c r="Q32" s="360">
        <f>O32*K32/18*L32</f>
        <v>110114.66666666666</v>
      </c>
      <c r="R32" s="388"/>
      <c r="S32" s="359"/>
      <c r="T32" s="359">
        <v>0.1</v>
      </c>
      <c r="U32" s="360">
        <f>Q32*T32</f>
        <v>11011.466666666667</v>
      </c>
      <c r="V32" s="383"/>
      <c r="W32" s="359"/>
      <c r="X32" s="406">
        <f t="shared" si="4"/>
        <v>121126.13333333333</v>
      </c>
      <c r="Y32" s="406">
        <f t="shared" si="4"/>
        <v>0</v>
      </c>
      <c r="Z32" s="406">
        <f t="shared" si="4"/>
        <v>0</v>
      </c>
    </row>
    <row r="33" spans="1:26" s="377" customFormat="1" ht="17.25" customHeight="1">
      <c r="A33" s="395">
        <v>7</v>
      </c>
      <c r="B33" s="353" t="s">
        <v>274</v>
      </c>
      <c r="C33" s="354" t="s">
        <v>99</v>
      </c>
      <c r="D33" s="356" t="s">
        <v>25</v>
      </c>
      <c r="E33" s="356" t="s">
        <v>442</v>
      </c>
      <c r="F33" s="379" t="s">
        <v>403</v>
      </c>
      <c r="G33" s="379">
        <v>1</v>
      </c>
      <c r="H33" s="382" t="s">
        <v>102</v>
      </c>
      <c r="I33" s="382" t="s">
        <v>103</v>
      </c>
      <c r="J33" s="457">
        <v>2</v>
      </c>
      <c r="K33" s="359">
        <v>17697</v>
      </c>
      <c r="L33" s="458">
        <v>27</v>
      </c>
      <c r="M33" s="359">
        <f>L33/18</f>
        <v>1.5</v>
      </c>
      <c r="N33" s="459" t="s">
        <v>104</v>
      </c>
      <c r="O33" s="454">
        <v>4.16</v>
      </c>
      <c r="P33" s="454"/>
      <c r="Q33" s="360">
        <f>O33*K33/18*L33</f>
        <v>110429.28</v>
      </c>
      <c r="R33" s="388"/>
      <c r="S33" s="359"/>
      <c r="T33" s="359">
        <v>0.1</v>
      </c>
      <c r="U33" s="360">
        <f>Q33*T33</f>
        <v>11042.928</v>
      </c>
      <c r="V33" s="383"/>
      <c r="W33" s="359"/>
      <c r="X33" s="406">
        <f t="shared" si="4"/>
        <v>121472.208</v>
      </c>
      <c r="Y33" s="406">
        <f t="shared" si="4"/>
        <v>0</v>
      </c>
      <c r="Z33" s="406">
        <f t="shared" si="4"/>
        <v>0</v>
      </c>
    </row>
    <row r="34" spans="1:26" s="377" customFormat="1" ht="17.25" customHeight="1">
      <c r="A34" s="379">
        <v>8</v>
      </c>
      <c r="B34" s="384" t="s">
        <v>52</v>
      </c>
      <c r="C34" s="392" t="s">
        <v>53</v>
      </c>
      <c r="D34" s="379" t="s">
        <v>25</v>
      </c>
      <c r="E34" s="379" t="s">
        <v>54</v>
      </c>
      <c r="F34" s="379" t="s">
        <v>55</v>
      </c>
      <c r="G34" s="379">
        <v>1</v>
      </c>
      <c r="H34" s="382" t="s">
        <v>56</v>
      </c>
      <c r="I34" s="382" t="s">
        <v>56</v>
      </c>
      <c r="J34" s="405" t="s">
        <v>57</v>
      </c>
      <c r="K34" s="359">
        <v>17697</v>
      </c>
      <c r="L34" s="359"/>
      <c r="M34" s="359">
        <v>1</v>
      </c>
      <c r="N34" s="359"/>
      <c r="O34" s="381" t="s">
        <v>371</v>
      </c>
      <c r="P34" s="381"/>
      <c r="Q34" s="360">
        <f>O34*K34*M34</f>
        <v>75566.189999999988</v>
      </c>
      <c r="R34" s="359"/>
      <c r="S34" s="388"/>
      <c r="T34" s="359">
        <v>0.1</v>
      </c>
      <c r="U34" s="360">
        <f>ROUND(Q34*T34,2)</f>
        <v>7556.62</v>
      </c>
      <c r="V34" s="359"/>
      <c r="W34" s="383"/>
      <c r="X34" s="406">
        <f>Q34+S34+U34</f>
        <v>83122.809999999983</v>
      </c>
      <c r="Y34" s="406">
        <f t="shared" ref="Y34:Z37" si="5">V34+R34</f>
        <v>0</v>
      </c>
      <c r="Z34" s="406">
        <f t="shared" si="5"/>
        <v>0</v>
      </c>
    </row>
    <row r="35" spans="1:26" s="377" customFormat="1" ht="17.25" customHeight="1">
      <c r="A35" s="395">
        <v>8</v>
      </c>
      <c r="B35" s="384" t="s">
        <v>116</v>
      </c>
      <c r="C35" s="392" t="s">
        <v>99</v>
      </c>
      <c r="D35" s="379" t="s">
        <v>64</v>
      </c>
      <c r="E35" s="516" t="s">
        <v>117</v>
      </c>
      <c r="F35" s="470" t="s">
        <v>114</v>
      </c>
      <c r="G35" s="379">
        <v>1</v>
      </c>
      <c r="H35" s="382" t="s">
        <v>102</v>
      </c>
      <c r="I35" s="382" t="s">
        <v>118</v>
      </c>
      <c r="J35" s="471">
        <v>1</v>
      </c>
      <c r="K35" s="359">
        <v>17697</v>
      </c>
      <c r="L35" s="472">
        <v>19</v>
      </c>
      <c r="M35" s="359">
        <f>L35/18</f>
        <v>1.0555555555555556</v>
      </c>
      <c r="N35" s="475" t="s">
        <v>115</v>
      </c>
      <c r="O35" s="473">
        <v>4.5199999999999996</v>
      </c>
      <c r="P35" s="473">
        <v>3.89</v>
      </c>
      <c r="Q35" s="360">
        <f>O35*K35/18*L35</f>
        <v>84434.353333333333</v>
      </c>
      <c r="R35" s="388"/>
      <c r="S35" s="359"/>
      <c r="T35" s="359">
        <v>0.1</v>
      </c>
      <c r="U35" s="360">
        <f>T35*Q35</f>
        <v>8443.4353333333329</v>
      </c>
      <c r="V35" s="383"/>
      <c r="W35" s="359"/>
      <c r="X35" s="406">
        <f>U35+Q35</f>
        <v>92877.78866666666</v>
      </c>
      <c r="Y35" s="406">
        <f t="shared" si="5"/>
        <v>0</v>
      </c>
      <c r="Z35" s="406">
        <f t="shared" si="5"/>
        <v>0</v>
      </c>
    </row>
    <row r="36" spans="1:26" s="377" customFormat="1" ht="17.25" customHeight="1">
      <c r="A36" s="379">
        <v>8</v>
      </c>
      <c r="B36" s="463" t="s">
        <v>230</v>
      </c>
      <c r="C36" s="392" t="s">
        <v>99</v>
      </c>
      <c r="D36" s="379" t="s">
        <v>25</v>
      </c>
      <c r="E36" s="409" t="s">
        <v>231</v>
      </c>
      <c r="F36" s="409" t="s">
        <v>40</v>
      </c>
      <c r="G36" s="409">
        <v>1</v>
      </c>
      <c r="H36" s="466" t="s">
        <v>232</v>
      </c>
      <c r="I36" s="466" t="s">
        <v>233</v>
      </c>
      <c r="J36" s="467">
        <v>1</v>
      </c>
      <c r="K36" s="359">
        <v>17697</v>
      </c>
      <c r="L36" s="468">
        <v>36</v>
      </c>
      <c r="M36" s="359">
        <f>L36/18</f>
        <v>2</v>
      </c>
      <c r="N36" s="524" t="s">
        <v>218</v>
      </c>
      <c r="O36" s="473">
        <v>4.75</v>
      </c>
      <c r="P36" s="473"/>
      <c r="Q36" s="360">
        <f>O36*K36/18*L36</f>
        <v>168121.5</v>
      </c>
      <c r="R36" s="388"/>
      <c r="S36" s="359"/>
      <c r="T36" s="359">
        <v>0.1</v>
      </c>
      <c r="U36" s="360">
        <f>Q36*T36</f>
        <v>16812.150000000001</v>
      </c>
      <c r="V36" s="383"/>
      <c r="W36" s="359"/>
      <c r="X36" s="406">
        <f>U36+Q36</f>
        <v>184933.65</v>
      </c>
      <c r="Y36" s="406">
        <f t="shared" si="5"/>
        <v>0</v>
      </c>
      <c r="Z36" s="406">
        <f t="shared" si="5"/>
        <v>0</v>
      </c>
    </row>
    <row r="37" spans="1:26" s="377" customFormat="1" ht="17.25" customHeight="1">
      <c r="A37" s="395">
        <v>8</v>
      </c>
      <c r="B37" s="353" t="s">
        <v>420</v>
      </c>
      <c r="C37" s="354" t="s">
        <v>99</v>
      </c>
      <c r="D37" s="356" t="s">
        <v>25</v>
      </c>
      <c r="E37" s="356" t="s">
        <v>443</v>
      </c>
      <c r="F37" s="379" t="s">
        <v>403</v>
      </c>
      <c r="G37" s="379"/>
      <c r="H37" s="382" t="s">
        <v>102</v>
      </c>
      <c r="I37" s="382" t="s">
        <v>103</v>
      </c>
      <c r="J37" s="457">
        <v>4</v>
      </c>
      <c r="K37" s="359">
        <v>17697</v>
      </c>
      <c r="L37" s="458">
        <v>18</v>
      </c>
      <c r="M37" s="359">
        <f>L37/18</f>
        <v>1</v>
      </c>
      <c r="N37" s="459" t="s">
        <v>385</v>
      </c>
      <c r="O37" s="356">
        <v>3.85</v>
      </c>
      <c r="P37" s="356"/>
      <c r="Q37" s="360">
        <f>O37*K37/18*L37</f>
        <v>68133.45</v>
      </c>
      <c r="R37" s="388"/>
      <c r="S37" s="359"/>
      <c r="T37" s="359">
        <v>0.1</v>
      </c>
      <c r="U37" s="360">
        <f>Q37*T37</f>
        <v>6813.3450000000003</v>
      </c>
      <c r="V37" s="383"/>
      <c r="W37" s="359"/>
      <c r="X37" s="406">
        <f>U37+Q37</f>
        <v>74946.794999999998</v>
      </c>
      <c r="Y37" s="406">
        <f t="shared" si="5"/>
        <v>0</v>
      </c>
      <c r="Z37" s="406">
        <f t="shared" si="5"/>
        <v>0</v>
      </c>
    </row>
    <row r="38" spans="1:26" s="377" customFormat="1" ht="17.25" customHeight="1">
      <c r="A38" s="379">
        <v>9</v>
      </c>
      <c r="B38" s="384" t="s">
        <v>58</v>
      </c>
      <c r="C38" s="392" t="s">
        <v>410</v>
      </c>
      <c r="D38" s="379" t="s">
        <v>25</v>
      </c>
      <c r="E38" s="381" t="s">
        <v>411</v>
      </c>
      <c r="F38" s="379" t="s">
        <v>51</v>
      </c>
      <c r="G38" s="379">
        <v>0.5</v>
      </c>
      <c r="H38" s="379" t="s">
        <v>61</v>
      </c>
      <c r="I38" s="379" t="s">
        <v>61</v>
      </c>
      <c r="J38" s="425">
        <v>1</v>
      </c>
      <c r="K38" s="359">
        <v>17697</v>
      </c>
      <c r="L38" s="359"/>
      <c r="M38" s="359">
        <v>0.5</v>
      </c>
      <c r="N38" s="387"/>
      <c r="O38" s="381" t="s">
        <v>372</v>
      </c>
      <c r="P38" s="381"/>
      <c r="Q38" s="360">
        <f>O38*K38*M38</f>
        <v>28492.170000000002</v>
      </c>
      <c r="R38" s="359"/>
      <c r="S38" s="388"/>
      <c r="T38" s="359">
        <v>0.1</v>
      </c>
      <c r="U38" s="360">
        <f>ROUND(Q38*T38,2)</f>
        <v>2849.22</v>
      </c>
      <c r="V38" s="359"/>
      <c r="W38" s="383"/>
      <c r="X38" s="406">
        <f>Q38+S38+U38</f>
        <v>31341.390000000003</v>
      </c>
      <c r="Y38" s="406"/>
      <c r="Z38" s="406"/>
    </row>
    <row r="39" spans="1:26" s="377" customFormat="1" ht="17.25" customHeight="1">
      <c r="A39" s="395">
        <v>9</v>
      </c>
      <c r="B39" s="384" t="s">
        <v>399</v>
      </c>
      <c r="C39" s="392" t="s">
        <v>59</v>
      </c>
      <c r="D39" s="379" t="s">
        <v>25</v>
      </c>
      <c r="E39" s="359" t="s">
        <v>418</v>
      </c>
      <c r="F39" s="379" t="s">
        <v>77</v>
      </c>
      <c r="G39" s="379">
        <v>1</v>
      </c>
      <c r="H39" s="379" t="s">
        <v>61</v>
      </c>
      <c r="I39" s="379" t="s">
        <v>61</v>
      </c>
      <c r="J39" s="425">
        <v>1</v>
      </c>
      <c r="K39" s="359">
        <v>17697</v>
      </c>
      <c r="L39" s="359"/>
      <c r="M39" s="359">
        <v>1</v>
      </c>
      <c r="N39" s="387"/>
      <c r="O39" s="381" t="s">
        <v>402</v>
      </c>
      <c r="P39" s="381"/>
      <c r="Q39" s="360">
        <f>O39*K39*M39</f>
        <v>53798.879999999997</v>
      </c>
      <c r="R39" s="359"/>
      <c r="S39" s="388"/>
      <c r="T39" s="359">
        <v>0.1</v>
      </c>
      <c r="U39" s="360">
        <f>ROUND(Q39*T39,2)</f>
        <v>5379.89</v>
      </c>
      <c r="V39" s="359"/>
      <c r="W39" s="383"/>
      <c r="X39" s="406">
        <f>Q39+S39+U39</f>
        <v>59178.77</v>
      </c>
      <c r="Y39" s="406">
        <f t="shared" ref="Y39:Z43" si="6">V39+R39</f>
        <v>0</v>
      </c>
      <c r="Z39" s="406">
        <f t="shared" si="6"/>
        <v>0</v>
      </c>
    </row>
    <row r="40" spans="1:26" s="377" customFormat="1" ht="17.25" customHeight="1">
      <c r="A40" s="379">
        <v>9</v>
      </c>
      <c r="B40" s="384" t="s">
        <v>124</v>
      </c>
      <c r="C40" s="392" t="s">
        <v>125</v>
      </c>
      <c r="D40" s="379" t="s">
        <v>75</v>
      </c>
      <c r="E40" s="490" t="s">
        <v>126</v>
      </c>
      <c r="F40" s="470" t="s">
        <v>108</v>
      </c>
      <c r="G40" s="379">
        <v>1</v>
      </c>
      <c r="H40" s="382" t="s">
        <v>102</v>
      </c>
      <c r="I40" s="382" t="s">
        <v>118</v>
      </c>
      <c r="J40" s="474">
        <v>3</v>
      </c>
      <c r="K40" s="359">
        <v>17697</v>
      </c>
      <c r="L40" s="472">
        <v>22.5</v>
      </c>
      <c r="M40" s="359">
        <f>L40/18</f>
        <v>1.25</v>
      </c>
      <c r="N40" s="473" t="s">
        <v>112</v>
      </c>
      <c r="O40" s="473">
        <v>3.85</v>
      </c>
      <c r="P40" s="473">
        <v>2.85</v>
      </c>
      <c r="Q40" s="360">
        <f>O40*K40/18*L40</f>
        <v>85166.8125</v>
      </c>
      <c r="R40" s="388"/>
      <c r="S40" s="359"/>
      <c r="T40" s="359">
        <v>0.1</v>
      </c>
      <c r="U40" s="360">
        <f>T40*Q40</f>
        <v>8516.6812499999996</v>
      </c>
      <c r="V40" s="383"/>
      <c r="W40" s="359"/>
      <c r="X40" s="406">
        <f>U40+Q40</f>
        <v>93683.493749999994</v>
      </c>
      <c r="Y40" s="406">
        <f t="shared" si="6"/>
        <v>0</v>
      </c>
      <c r="Z40" s="406">
        <f t="shared" si="6"/>
        <v>0</v>
      </c>
    </row>
    <row r="41" spans="1:26" s="377" customFormat="1" ht="17.25" customHeight="1">
      <c r="A41" s="395">
        <v>9</v>
      </c>
      <c r="B41" s="384" t="s">
        <v>133</v>
      </c>
      <c r="C41" s="392" t="s">
        <v>99</v>
      </c>
      <c r="D41" s="382" t="s">
        <v>25</v>
      </c>
      <c r="E41" s="470" t="s">
        <v>134</v>
      </c>
      <c r="F41" s="470" t="s">
        <v>34</v>
      </c>
      <c r="G41" s="379">
        <v>1</v>
      </c>
      <c r="H41" s="382" t="s">
        <v>102</v>
      </c>
      <c r="I41" s="382" t="s">
        <v>103</v>
      </c>
      <c r="J41" s="474">
        <v>1</v>
      </c>
      <c r="K41" s="359">
        <v>17697</v>
      </c>
      <c r="L41" s="472">
        <v>17</v>
      </c>
      <c r="M41" s="359">
        <f>L41/18</f>
        <v>0.94444444444444442</v>
      </c>
      <c r="N41" s="473" t="s">
        <v>115</v>
      </c>
      <c r="O41" s="473">
        <v>4.75</v>
      </c>
      <c r="P41" s="473"/>
      <c r="Q41" s="360">
        <f>O41*K41/18*L41</f>
        <v>79390.708333333343</v>
      </c>
      <c r="R41" s="388"/>
      <c r="S41" s="359"/>
      <c r="T41" s="359">
        <v>0.1</v>
      </c>
      <c r="U41" s="360">
        <f>T41*Q41</f>
        <v>7939.070833333335</v>
      </c>
      <c r="V41" s="383"/>
      <c r="W41" s="359"/>
      <c r="X41" s="406">
        <f>U41+Q41</f>
        <v>87329.779166666674</v>
      </c>
      <c r="Y41" s="406">
        <f t="shared" si="6"/>
        <v>0</v>
      </c>
      <c r="Z41" s="406">
        <f t="shared" si="6"/>
        <v>0</v>
      </c>
    </row>
    <row r="42" spans="1:26" s="377" customFormat="1" ht="17.25" customHeight="1">
      <c r="A42" s="379">
        <v>9</v>
      </c>
      <c r="B42" s="353" t="s">
        <v>277</v>
      </c>
      <c r="C42" s="354" t="s">
        <v>99</v>
      </c>
      <c r="D42" s="356" t="s">
        <v>25</v>
      </c>
      <c r="E42" s="356" t="s">
        <v>430</v>
      </c>
      <c r="F42" s="381" t="s">
        <v>40</v>
      </c>
      <c r="G42" s="379">
        <v>1</v>
      </c>
      <c r="H42" s="382" t="s">
        <v>102</v>
      </c>
      <c r="I42" s="382" t="s">
        <v>103</v>
      </c>
      <c r="J42" s="457">
        <v>1</v>
      </c>
      <c r="K42" s="359">
        <v>17697</v>
      </c>
      <c r="L42" s="458">
        <v>15</v>
      </c>
      <c r="M42" s="359">
        <f>L42/18</f>
        <v>0.83333333333333337</v>
      </c>
      <c r="N42" s="459" t="s">
        <v>152</v>
      </c>
      <c r="O42" s="356">
        <v>4.75</v>
      </c>
      <c r="P42" s="356"/>
      <c r="Q42" s="360">
        <f>O42*K42/18*L42</f>
        <v>70050.625</v>
      </c>
      <c r="R42" s="388"/>
      <c r="S42" s="359"/>
      <c r="T42" s="359">
        <v>0.1</v>
      </c>
      <c r="U42" s="360">
        <f>Q42*T42</f>
        <v>7005.0625</v>
      </c>
      <c r="V42" s="383"/>
      <c r="W42" s="359"/>
      <c r="X42" s="406">
        <f>U42+Q42</f>
        <v>77055.6875</v>
      </c>
      <c r="Y42" s="406">
        <f t="shared" si="6"/>
        <v>0</v>
      </c>
      <c r="Z42" s="406">
        <f t="shared" si="6"/>
        <v>0</v>
      </c>
    </row>
    <row r="43" spans="1:26" s="377" customFormat="1" ht="17.25" customHeight="1">
      <c r="A43" s="395">
        <v>10</v>
      </c>
      <c r="B43" s="384" t="s">
        <v>62</v>
      </c>
      <c r="C43" s="354" t="s">
        <v>63</v>
      </c>
      <c r="D43" s="379" t="s">
        <v>64</v>
      </c>
      <c r="E43" s="379" t="s">
        <v>412</v>
      </c>
      <c r="F43" s="379" t="s">
        <v>66</v>
      </c>
      <c r="G43" s="379">
        <v>1</v>
      </c>
      <c r="H43" s="382" t="s">
        <v>56</v>
      </c>
      <c r="I43" s="382" t="s">
        <v>56</v>
      </c>
      <c r="J43" s="425">
        <v>3</v>
      </c>
      <c r="K43" s="359">
        <v>17697</v>
      </c>
      <c r="L43" s="359"/>
      <c r="M43" s="359">
        <v>1</v>
      </c>
      <c r="N43" s="359"/>
      <c r="O43" s="359">
        <v>3.57</v>
      </c>
      <c r="P43" s="359"/>
      <c r="Q43" s="360">
        <f>O43*K43*M43</f>
        <v>63178.289999999994</v>
      </c>
      <c r="R43" s="359"/>
      <c r="S43" s="388"/>
      <c r="T43" s="359">
        <v>0.1</v>
      </c>
      <c r="U43" s="360">
        <f>ROUND(Q43*T43,2)</f>
        <v>6317.83</v>
      </c>
      <c r="V43" s="359"/>
      <c r="W43" s="383"/>
      <c r="X43" s="406">
        <f>Q43+S43+U43</f>
        <v>69496.12</v>
      </c>
      <c r="Y43" s="406">
        <f t="shared" si="6"/>
        <v>0</v>
      </c>
      <c r="Z43" s="406">
        <f t="shared" si="6"/>
        <v>0</v>
      </c>
    </row>
    <row r="44" spans="1:26" s="377" customFormat="1" ht="17.25" customHeight="1">
      <c r="A44" s="379">
        <v>10</v>
      </c>
      <c r="B44" s="384" t="s">
        <v>127</v>
      </c>
      <c r="C44" s="392" t="s">
        <v>99</v>
      </c>
      <c r="D44" s="379" t="s">
        <v>25</v>
      </c>
      <c r="E44" s="470" t="s">
        <v>128</v>
      </c>
      <c r="F44" s="470" t="s">
        <v>34</v>
      </c>
      <c r="G44" s="379">
        <v>1</v>
      </c>
      <c r="H44" s="382" t="s">
        <v>102</v>
      </c>
      <c r="I44" s="382" t="s">
        <v>103</v>
      </c>
      <c r="J44" s="471">
        <v>1</v>
      </c>
      <c r="K44" s="359">
        <v>17697</v>
      </c>
      <c r="L44" s="472">
        <v>26</v>
      </c>
      <c r="M44" s="359">
        <f>L44/18</f>
        <v>1.4444444444444444</v>
      </c>
      <c r="N44" s="473" t="s">
        <v>129</v>
      </c>
      <c r="O44" s="473">
        <v>4.75</v>
      </c>
      <c r="P44" s="473">
        <v>4.32</v>
      </c>
      <c r="Q44" s="360">
        <f>O44*K44/18*L44</f>
        <v>121421.08333333334</v>
      </c>
      <c r="R44" s="388"/>
      <c r="S44" s="359"/>
      <c r="T44" s="359">
        <v>0.1</v>
      </c>
      <c r="U44" s="360">
        <f>T44*Q44</f>
        <v>12142.108333333335</v>
      </c>
      <c r="V44" s="383"/>
      <c r="W44" s="359"/>
      <c r="X44" s="406">
        <f>U44+Q44</f>
        <v>133563.19166666668</v>
      </c>
      <c r="Y44" s="406"/>
      <c r="Z44" s="406"/>
    </row>
    <row r="45" spans="1:26" s="377" customFormat="1" ht="17.25" customHeight="1">
      <c r="A45" s="395">
        <v>10</v>
      </c>
      <c r="B45" s="478" t="s">
        <v>436</v>
      </c>
      <c r="C45" s="392" t="s">
        <v>99</v>
      </c>
      <c r="D45" s="382" t="s">
        <v>75</v>
      </c>
      <c r="E45" s="470" t="s">
        <v>437</v>
      </c>
      <c r="F45" s="470" t="s">
        <v>438</v>
      </c>
      <c r="G45" s="379"/>
      <c r="H45" s="382" t="s">
        <v>102</v>
      </c>
      <c r="I45" s="382" t="s">
        <v>118</v>
      </c>
      <c r="J45" s="474">
        <v>4</v>
      </c>
      <c r="K45" s="359">
        <v>17697</v>
      </c>
      <c r="L45" s="472">
        <v>6</v>
      </c>
      <c r="M45" s="359">
        <f>L45/18</f>
        <v>0.33333333333333331</v>
      </c>
      <c r="N45" s="473" t="s">
        <v>112</v>
      </c>
      <c r="O45" s="473">
        <v>3.32</v>
      </c>
      <c r="P45" s="473"/>
      <c r="Q45" s="360">
        <f>O45*K45/18*L45</f>
        <v>19584.679999999997</v>
      </c>
      <c r="R45" s="388"/>
      <c r="S45" s="359"/>
      <c r="T45" s="359">
        <v>0.1</v>
      </c>
      <c r="U45" s="360">
        <f>T45*Q45</f>
        <v>1958.4679999999998</v>
      </c>
      <c r="V45" s="383"/>
      <c r="W45" s="359"/>
      <c r="X45" s="406">
        <f>U45+Q45</f>
        <v>21543.147999999997</v>
      </c>
      <c r="Y45" s="406">
        <f t="shared" ref="Y45:Y58" si="7">V45+R45</f>
        <v>0</v>
      </c>
      <c r="Z45" s="406">
        <f t="shared" ref="Z45:Z58" si="8">W45+S45</f>
        <v>0</v>
      </c>
    </row>
    <row r="46" spans="1:26" s="377" customFormat="1" ht="17.25" customHeight="1">
      <c r="A46" s="379">
        <v>10</v>
      </c>
      <c r="B46" s="354" t="s">
        <v>281</v>
      </c>
      <c r="C46" s="354" t="s">
        <v>99</v>
      </c>
      <c r="D46" s="356" t="s">
        <v>25</v>
      </c>
      <c r="E46" s="356" t="s">
        <v>430</v>
      </c>
      <c r="F46" s="381" t="s">
        <v>40</v>
      </c>
      <c r="G46" s="379">
        <v>1</v>
      </c>
      <c r="H46" s="382" t="s">
        <v>102</v>
      </c>
      <c r="I46" s="382" t="s">
        <v>103</v>
      </c>
      <c r="J46" s="457">
        <v>1</v>
      </c>
      <c r="K46" s="359">
        <v>17697</v>
      </c>
      <c r="L46" s="458">
        <v>24</v>
      </c>
      <c r="M46" s="359">
        <f>L46/18</f>
        <v>1.3333333333333333</v>
      </c>
      <c r="N46" s="523" t="s">
        <v>152</v>
      </c>
      <c r="O46" s="356">
        <v>4.75</v>
      </c>
      <c r="P46" s="356"/>
      <c r="Q46" s="360">
        <f>O46*K46/18*L46</f>
        <v>112081</v>
      </c>
      <c r="R46" s="388"/>
      <c r="S46" s="359"/>
      <c r="T46" s="359">
        <v>0.1</v>
      </c>
      <c r="U46" s="360">
        <f>Q46*T46</f>
        <v>11208.1</v>
      </c>
      <c r="V46" s="383"/>
      <c r="W46" s="359"/>
      <c r="X46" s="406">
        <f>U46+Q46</f>
        <v>123289.1</v>
      </c>
      <c r="Y46" s="406">
        <f t="shared" si="7"/>
        <v>0</v>
      </c>
      <c r="Z46" s="406">
        <f t="shared" si="8"/>
        <v>0</v>
      </c>
    </row>
    <row r="47" spans="1:26" s="377" customFormat="1" ht="17.25" customHeight="1">
      <c r="A47" s="395">
        <v>11</v>
      </c>
      <c r="B47" s="384" t="s">
        <v>400</v>
      </c>
      <c r="C47" s="354" t="s">
        <v>63</v>
      </c>
      <c r="D47" s="379" t="s">
        <v>64</v>
      </c>
      <c r="E47" s="387">
        <v>0</v>
      </c>
      <c r="F47" s="379" t="s">
        <v>159</v>
      </c>
      <c r="G47" s="379">
        <v>1.5</v>
      </c>
      <c r="H47" s="382" t="s">
        <v>69</v>
      </c>
      <c r="I47" s="382" t="s">
        <v>69</v>
      </c>
      <c r="J47" s="427" t="s">
        <v>30</v>
      </c>
      <c r="K47" s="359">
        <v>17697</v>
      </c>
      <c r="L47" s="359"/>
      <c r="M47" s="359">
        <v>1.5</v>
      </c>
      <c r="N47" s="359"/>
      <c r="O47" s="379">
        <v>3.31</v>
      </c>
      <c r="P47" s="379"/>
      <c r="Q47" s="360">
        <f>O47*K47*M47</f>
        <v>87865.604999999996</v>
      </c>
      <c r="R47" s="388"/>
      <c r="S47" s="359"/>
      <c r="T47" s="359">
        <v>0.1</v>
      </c>
      <c r="U47" s="360">
        <f>ROUND(Q47*T47,2)</f>
        <v>8786.56</v>
      </c>
      <c r="V47" s="383"/>
      <c r="W47" s="359"/>
      <c r="X47" s="406">
        <f>Q47+S47+U47</f>
        <v>96652.164999999994</v>
      </c>
      <c r="Y47" s="406">
        <f t="shared" si="7"/>
        <v>0</v>
      </c>
      <c r="Z47" s="406">
        <f t="shared" si="8"/>
        <v>0</v>
      </c>
    </row>
    <row r="48" spans="1:26" s="377" customFormat="1" ht="17.25" customHeight="1">
      <c r="A48" s="379">
        <v>11</v>
      </c>
      <c r="B48" s="384" t="s">
        <v>130</v>
      </c>
      <c r="C48" s="392" t="s">
        <v>99</v>
      </c>
      <c r="D48" s="379" t="s">
        <v>25</v>
      </c>
      <c r="E48" s="514" t="s">
        <v>131</v>
      </c>
      <c r="F48" s="514" t="s">
        <v>34</v>
      </c>
      <c r="G48" s="379">
        <v>1</v>
      </c>
      <c r="H48" s="382" t="s">
        <v>102</v>
      </c>
      <c r="I48" s="382" t="s">
        <v>103</v>
      </c>
      <c r="J48" s="474">
        <v>1</v>
      </c>
      <c r="K48" s="359">
        <v>17697</v>
      </c>
      <c r="L48" s="472">
        <v>9</v>
      </c>
      <c r="M48" s="359">
        <f>L48/18</f>
        <v>0.5</v>
      </c>
      <c r="N48" s="473" t="s">
        <v>115</v>
      </c>
      <c r="O48" s="473">
        <v>4.75</v>
      </c>
      <c r="P48" s="473">
        <v>4.32</v>
      </c>
      <c r="Q48" s="360">
        <f>O48*K48/18*L48</f>
        <v>42030.375</v>
      </c>
      <c r="R48" s="388"/>
      <c r="S48" s="359"/>
      <c r="T48" s="359">
        <v>0.1</v>
      </c>
      <c r="U48" s="360">
        <f>T48*Q48</f>
        <v>4203.0375000000004</v>
      </c>
      <c r="V48" s="383"/>
      <c r="W48" s="359"/>
      <c r="X48" s="406">
        <f>U48+Q48</f>
        <v>46233.412499999999</v>
      </c>
      <c r="Y48" s="406">
        <f t="shared" si="7"/>
        <v>0</v>
      </c>
      <c r="Z48" s="406">
        <f t="shared" si="8"/>
        <v>0</v>
      </c>
    </row>
    <row r="49" spans="1:26" s="377" customFormat="1" ht="17.25" customHeight="1">
      <c r="A49" s="395">
        <v>11</v>
      </c>
      <c r="B49" s="463" t="s">
        <v>360</v>
      </c>
      <c r="C49" s="392" t="s">
        <v>99</v>
      </c>
      <c r="D49" s="382" t="s">
        <v>25</v>
      </c>
      <c r="E49" s="464" t="s">
        <v>361</v>
      </c>
      <c r="F49" s="464" t="s">
        <v>362</v>
      </c>
      <c r="G49" s="465">
        <v>1</v>
      </c>
      <c r="H49" s="466" t="s">
        <v>102</v>
      </c>
      <c r="I49" s="466" t="s">
        <v>103</v>
      </c>
      <c r="J49" s="467">
        <v>3</v>
      </c>
      <c r="K49" s="359">
        <v>17697</v>
      </c>
      <c r="L49" s="468">
        <v>24</v>
      </c>
      <c r="M49" s="359">
        <f>L49/18</f>
        <v>1.3333333333333333</v>
      </c>
      <c r="N49" s="467">
        <v>2</v>
      </c>
      <c r="O49" s="408">
        <v>4.28</v>
      </c>
      <c r="P49" s="408"/>
      <c r="Q49" s="360">
        <f>O49*K49/18*L49</f>
        <v>100990.88</v>
      </c>
      <c r="R49" s="388"/>
      <c r="S49" s="359"/>
      <c r="T49" s="359">
        <v>0.1</v>
      </c>
      <c r="U49" s="360">
        <f>Q49*T49</f>
        <v>10099.088000000002</v>
      </c>
      <c r="V49" s="383"/>
      <c r="W49" s="359"/>
      <c r="X49" s="406">
        <f>U49+Q49</f>
        <v>111089.96800000001</v>
      </c>
      <c r="Y49" s="406">
        <f t="shared" si="7"/>
        <v>0</v>
      </c>
      <c r="Z49" s="406">
        <f t="shared" si="8"/>
        <v>0</v>
      </c>
    </row>
    <row r="50" spans="1:26" s="377" customFormat="1" ht="17.25" customHeight="1">
      <c r="A50" s="379">
        <v>11</v>
      </c>
      <c r="B50" s="354" t="s">
        <v>282</v>
      </c>
      <c r="C50" s="354" t="s">
        <v>99</v>
      </c>
      <c r="D50" s="356" t="s">
        <v>25</v>
      </c>
      <c r="E50" s="356" t="s">
        <v>431</v>
      </c>
      <c r="F50" s="381" t="s">
        <v>40</v>
      </c>
      <c r="G50" s="379">
        <v>1</v>
      </c>
      <c r="H50" s="382" t="s">
        <v>102</v>
      </c>
      <c r="I50" s="382" t="s">
        <v>103</v>
      </c>
      <c r="J50" s="457">
        <v>1</v>
      </c>
      <c r="K50" s="359">
        <v>17697</v>
      </c>
      <c r="L50" s="458">
        <v>36</v>
      </c>
      <c r="M50" s="359">
        <f>L50/18</f>
        <v>2</v>
      </c>
      <c r="N50" s="460" t="s">
        <v>152</v>
      </c>
      <c r="O50" s="356">
        <v>4.75</v>
      </c>
      <c r="P50" s="356"/>
      <c r="Q50" s="360">
        <f>O50*K50/18*L50</f>
        <v>168121.5</v>
      </c>
      <c r="R50" s="388"/>
      <c r="S50" s="359"/>
      <c r="T50" s="359">
        <v>0.1</v>
      </c>
      <c r="U50" s="360">
        <f>Q50*T50</f>
        <v>16812.150000000001</v>
      </c>
      <c r="V50" s="383"/>
      <c r="W50" s="359"/>
      <c r="X50" s="406">
        <f>U50+Q50</f>
        <v>184933.65</v>
      </c>
      <c r="Y50" s="406">
        <f t="shared" si="7"/>
        <v>0</v>
      </c>
      <c r="Z50" s="406">
        <f t="shared" si="8"/>
        <v>0</v>
      </c>
    </row>
    <row r="51" spans="1:26" s="377" customFormat="1" ht="17.25" customHeight="1">
      <c r="A51" s="395">
        <v>12</v>
      </c>
      <c r="B51" s="354" t="s">
        <v>378</v>
      </c>
      <c r="C51" s="354" t="s">
        <v>63</v>
      </c>
      <c r="D51" s="379" t="s">
        <v>64</v>
      </c>
      <c r="E51" s="356">
        <v>0</v>
      </c>
      <c r="F51" s="379" t="s">
        <v>159</v>
      </c>
      <c r="G51" s="379">
        <v>0.5</v>
      </c>
      <c r="H51" s="358" t="s">
        <v>56</v>
      </c>
      <c r="I51" s="358" t="s">
        <v>56</v>
      </c>
      <c r="J51" s="356">
        <v>3</v>
      </c>
      <c r="K51" s="358">
        <v>17697</v>
      </c>
      <c r="L51" s="358"/>
      <c r="M51" s="359">
        <v>0.5</v>
      </c>
      <c r="N51" s="381"/>
      <c r="O51" s="359">
        <v>3.31</v>
      </c>
      <c r="P51" s="359"/>
      <c r="Q51" s="360">
        <f>O51*K51*M51</f>
        <v>29288.535</v>
      </c>
      <c r="R51" s="388"/>
      <c r="S51" s="359"/>
      <c r="T51" s="359">
        <v>0.1</v>
      </c>
      <c r="U51" s="360">
        <f>ROUND(Q51*T51,2)</f>
        <v>2928.85</v>
      </c>
      <c r="V51" s="383"/>
      <c r="W51" s="359"/>
      <c r="X51" s="406">
        <f>Q51+S51+U51</f>
        <v>32217.384999999998</v>
      </c>
      <c r="Y51" s="406">
        <f t="shared" si="7"/>
        <v>0</v>
      </c>
      <c r="Z51" s="406">
        <f t="shared" si="8"/>
        <v>0</v>
      </c>
    </row>
    <row r="52" spans="1:26" s="377" customFormat="1" ht="17.25" customHeight="1">
      <c r="A52" s="379">
        <v>12</v>
      </c>
      <c r="B52" s="384" t="s">
        <v>446</v>
      </c>
      <c r="C52" s="392"/>
      <c r="D52" s="379" t="s">
        <v>25</v>
      </c>
      <c r="E52" s="490"/>
      <c r="F52" s="490"/>
      <c r="G52" s="379">
        <v>1</v>
      </c>
      <c r="H52" s="382" t="s">
        <v>102</v>
      </c>
      <c r="I52" s="382" t="s">
        <v>103</v>
      </c>
      <c r="J52" s="474">
        <v>1</v>
      </c>
      <c r="K52" s="359">
        <v>17697</v>
      </c>
      <c r="L52" s="472">
        <v>23</v>
      </c>
      <c r="M52" s="359">
        <f>L52/18</f>
        <v>1.2777777777777777</v>
      </c>
      <c r="N52" s="475" t="s">
        <v>129</v>
      </c>
      <c r="O52" s="473">
        <v>4.75</v>
      </c>
      <c r="P52" s="473"/>
      <c r="Q52" s="360">
        <f>O52*K52/18*L52</f>
        <v>107410.95833333334</v>
      </c>
      <c r="R52" s="388"/>
      <c r="S52" s="359"/>
      <c r="T52" s="359">
        <v>0.1</v>
      </c>
      <c r="U52" s="360">
        <f>T52*Q52</f>
        <v>10741.095833333335</v>
      </c>
      <c r="V52" s="383"/>
      <c r="W52" s="359"/>
      <c r="X52" s="406">
        <f>U52+Q52</f>
        <v>118152.05416666668</v>
      </c>
      <c r="Y52" s="406">
        <f t="shared" si="7"/>
        <v>0</v>
      </c>
      <c r="Z52" s="406">
        <f t="shared" si="8"/>
        <v>0</v>
      </c>
    </row>
    <row r="53" spans="1:26" s="377" customFormat="1" ht="17.25" customHeight="1">
      <c r="A53" s="395">
        <v>12</v>
      </c>
      <c r="B53" s="384" t="s">
        <v>160</v>
      </c>
      <c r="C53" s="392" t="s">
        <v>148</v>
      </c>
      <c r="D53" s="382" t="s">
        <v>25</v>
      </c>
      <c r="E53" s="470" t="s">
        <v>161</v>
      </c>
      <c r="F53" s="470" t="s">
        <v>34</v>
      </c>
      <c r="G53" s="379">
        <v>1</v>
      </c>
      <c r="H53" s="382" t="s">
        <v>102</v>
      </c>
      <c r="I53" s="382" t="s">
        <v>103</v>
      </c>
      <c r="J53" s="471">
        <v>3</v>
      </c>
      <c r="K53" s="359">
        <v>17697</v>
      </c>
      <c r="L53" s="472">
        <v>11</v>
      </c>
      <c r="M53" s="359">
        <f>L53/18</f>
        <v>0.61111111111111116</v>
      </c>
      <c r="N53" s="473" t="s">
        <v>109</v>
      </c>
      <c r="O53" s="473">
        <v>4.3</v>
      </c>
      <c r="P53" s="473"/>
      <c r="Q53" s="360">
        <f>O53*K53/18*L53</f>
        <v>46503.783333333326</v>
      </c>
      <c r="R53" s="388"/>
      <c r="S53" s="359"/>
      <c r="T53" s="359">
        <v>0.1</v>
      </c>
      <c r="U53" s="360">
        <f>T53*Q53</f>
        <v>4650.3783333333331</v>
      </c>
      <c r="V53" s="383"/>
      <c r="W53" s="359"/>
      <c r="X53" s="406">
        <f>U53+Q53</f>
        <v>51154.16166666666</v>
      </c>
      <c r="Y53" s="406">
        <f t="shared" si="7"/>
        <v>0</v>
      </c>
      <c r="Z53" s="406">
        <f t="shared" si="8"/>
        <v>0</v>
      </c>
    </row>
    <row r="54" spans="1:26" s="377" customFormat="1" ht="17.25" customHeight="1">
      <c r="A54" s="379">
        <v>12</v>
      </c>
      <c r="B54" s="354" t="s">
        <v>421</v>
      </c>
      <c r="C54" s="354"/>
      <c r="D54" s="356" t="s">
        <v>75</v>
      </c>
      <c r="E54" s="356" t="s">
        <v>422</v>
      </c>
      <c r="F54" s="381" t="s">
        <v>159</v>
      </c>
      <c r="G54" s="379">
        <v>1</v>
      </c>
      <c r="H54" s="382" t="s">
        <v>102</v>
      </c>
      <c r="I54" s="382" t="s">
        <v>118</v>
      </c>
      <c r="J54" s="457">
        <v>4</v>
      </c>
      <c r="K54" s="359">
        <v>17697</v>
      </c>
      <c r="L54" s="461">
        <v>10</v>
      </c>
      <c r="M54" s="359">
        <f>L54/18</f>
        <v>0.55555555555555558</v>
      </c>
      <c r="N54" s="455" t="s">
        <v>385</v>
      </c>
      <c r="O54" s="356">
        <v>3.32</v>
      </c>
      <c r="P54" s="356"/>
      <c r="Q54" s="360">
        <f>O54*K54/18*L54</f>
        <v>32641.133333333328</v>
      </c>
      <c r="R54" s="388"/>
      <c r="S54" s="359"/>
      <c r="T54" s="359">
        <v>0.1</v>
      </c>
      <c r="U54" s="360">
        <f>Q54*T54</f>
        <v>3264.1133333333328</v>
      </c>
      <c r="V54" s="383"/>
      <c r="W54" s="359"/>
      <c r="X54" s="406">
        <f>U54+Q54</f>
        <v>35905.246666666659</v>
      </c>
      <c r="Y54" s="406">
        <f t="shared" si="7"/>
        <v>0</v>
      </c>
      <c r="Z54" s="406">
        <f t="shared" si="8"/>
        <v>0</v>
      </c>
    </row>
    <row r="55" spans="1:26" s="377" customFormat="1" ht="17.25" customHeight="1">
      <c r="A55" s="395">
        <v>13</v>
      </c>
      <c r="B55" s="354" t="s">
        <v>70</v>
      </c>
      <c r="C55" s="354" t="s">
        <v>71</v>
      </c>
      <c r="D55" s="379" t="s">
        <v>25</v>
      </c>
      <c r="E55" s="356" t="s">
        <v>72</v>
      </c>
      <c r="F55" s="379" t="s">
        <v>73</v>
      </c>
      <c r="G55" s="379">
        <v>1</v>
      </c>
      <c r="H55" s="428" t="s">
        <v>56</v>
      </c>
      <c r="I55" s="428" t="s">
        <v>56</v>
      </c>
      <c r="J55" s="428">
        <v>2</v>
      </c>
      <c r="K55" s="358">
        <v>17697</v>
      </c>
      <c r="L55" s="358"/>
      <c r="M55" s="406">
        <v>0.5</v>
      </c>
      <c r="N55" s="398"/>
      <c r="O55" s="359">
        <v>4.43</v>
      </c>
      <c r="P55" s="359"/>
      <c r="Q55" s="360">
        <f>O55*K55*M55</f>
        <v>39198.854999999996</v>
      </c>
      <c r="R55" s="388"/>
      <c r="S55" s="359"/>
      <c r="T55" s="359">
        <v>0.1</v>
      </c>
      <c r="U55" s="360">
        <f>ROUND(Q55*T55,2)</f>
        <v>3919.89</v>
      </c>
      <c r="V55" s="383">
        <v>0.2</v>
      </c>
      <c r="W55" s="359">
        <f>V55*K55*50%</f>
        <v>1769.7</v>
      </c>
      <c r="X55" s="406">
        <f>Q55+S55+U55+W55</f>
        <v>44888.444999999992</v>
      </c>
      <c r="Y55" s="406">
        <f t="shared" si="7"/>
        <v>0.2</v>
      </c>
      <c r="Z55" s="406">
        <f t="shared" si="8"/>
        <v>1769.7</v>
      </c>
    </row>
    <row r="56" spans="1:26" s="377" customFormat="1" ht="17.25" customHeight="1">
      <c r="A56" s="379">
        <v>13</v>
      </c>
      <c r="B56" s="384" t="s">
        <v>133</v>
      </c>
      <c r="C56" s="392" t="s">
        <v>99</v>
      </c>
      <c r="D56" s="382" t="s">
        <v>25</v>
      </c>
      <c r="E56" s="470" t="s">
        <v>134</v>
      </c>
      <c r="F56" s="470" t="s">
        <v>34</v>
      </c>
      <c r="G56" s="379">
        <v>1</v>
      </c>
      <c r="H56" s="382" t="s">
        <v>102</v>
      </c>
      <c r="I56" s="382" t="s">
        <v>103</v>
      </c>
      <c r="J56" s="474">
        <v>1</v>
      </c>
      <c r="K56" s="359">
        <v>17697</v>
      </c>
      <c r="L56" s="472">
        <v>11</v>
      </c>
      <c r="M56" s="359">
        <f>L56/18</f>
        <v>0.61111111111111116</v>
      </c>
      <c r="N56" s="473" t="s">
        <v>115</v>
      </c>
      <c r="O56" s="475">
        <v>4.75</v>
      </c>
      <c r="P56" s="475"/>
      <c r="Q56" s="360">
        <f>O56*K56/18*L56</f>
        <v>51370.458333333336</v>
      </c>
      <c r="R56" s="388"/>
      <c r="S56" s="359"/>
      <c r="T56" s="359">
        <v>0.1</v>
      </c>
      <c r="U56" s="360">
        <f>T56*Q56</f>
        <v>5137.0458333333336</v>
      </c>
      <c r="V56" s="383"/>
      <c r="W56" s="359"/>
      <c r="X56" s="406">
        <f>U56+Q56</f>
        <v>56507.504166666666</v>
      </c>
      <c r="Y56" s="406">
        <f t="shared" si="7"/>
        <v>0</v>
      </c>
      <c r="Z56" s="406">
        <f t="shared" si="8"/>
        <v>0</v>
      </c>
    </row>
    <row r="57" spans="1:26" s="377" customFormat="1" ht="17.25" customHeight="1">
      <c r="A57" s="395">
        <v>13</v>
      </c>
      <c r="B57" s="384" t="s">
        <v>162</v>
      </c>
      <c r="C57" s="392" t="s">
        <v>99</v>
      </c>
      <c r="D57" s="382" t="s">
        <v>64</v>
      </c>
      <c r="E57" s="470" t="s">
        <v>163</v>
      </c>
      <c r="F57" s="470" t="s">
        <v>164</v>
      </c>
      <c r="G57" s="379">
        <v>1</v>
      </c>
      <c r="H57" s="382" t="s">
        <v>102</v>
      </c>
      <c r="I57" s="382" t="s">
        <v>118</v>
      </c>
      <c r="J57" s="474">
        <v>4</v>
      </c>
      <c r="K57" s="359">
        <v>17697</v>
      </c>
      <c r="L57" s="472">
        <v>22</v>
      </c>
      <c r="M57" s="359">
        <f>L57/18</f>
        <v>1.2222222222222223</v>
      </c>
      <c r="N57" s="459" t="s">
        <v>165</v>
      </c>
      <c r="O57" s="473">
        <v>3.41</v>
      </c>
      <c r="P57" s="473"/>
      <c r="Q57" s="360">
        <f>O57*K57/18*L57</f>
        <v>73757.16333333333</v>
      </c>
      <c r="R57" s="388"/>
      <c r="S57" s="359"/>
      <c r="T57" s="359">
        <v>0.1</v>
      </c>
      <c r="U57" s="360">
        <f>T57*Q57</f>
        <v>7375.7163333333338</v>
      </c>
      <c r="V57" s="383"/>
      <c r="W57" s="359"/>
      <c r="X57" s="406">
        <f>U57+Q57</f>
        <v>81132.87966666666</v>
      </c>
      <c r="Y57" s="406">
        <f t="shared" si="7"/>
        <v>0</v>
      </c>
      <c r="Z57" s="406">
        <f t="shared" si="8"/>
        <v>0</v>
      </c>
    </row>
    <row r="58" spans="1:26" s="377" customFormat="1" ht="17.25" customHeight="1">
      <c r="A58" s="266">
        <v>13</v>
      </c>
      <c r="B58" s="285" t="s">
        <v>180</v>
      </c>
      <c r="C58" s="285" t="s">
        <v>284</v>
      </c>
      <c r="D58" s="286" t="s">
        <v>25</v>
      </c>
      <c r="E58" s="286"/>
      <c r="F58" s="289"/>
      <c r="G58" s="266"/>
      <c r="H58" s="288" t="s">
        <v>102</v>
      </c>
      <c r="I58" s="288" t="s">
        <v>103</v>
      </c>
      <c r="J58" s="450">
        <v>3</v>
      </c>
      <c r="K58" s="270">
        <v>17697</v>
      </c>
      <c r="L58" s="453">
        <v>20</v>
      </c>
      <c r="M58" s="270">
        <f>L58/18</f>
        <v>1.1111111111111112</v>
      </c>
      <c r="N58" s="452" t="s">
        <v>109</v>
      </c>
      <c r="O58" s="286">
        <v>4.5</v>
      </c>
      <c r="P58" s="286"/>
      <c r="Q58" s="282">
        <f>O58*K58/18*L58</f>
        <v>88485</v>
      </c>
      <c r="R58" s="271"/>
      <c r="S58" s="270"/>
      <c r="T58" s="270">
        <v>0.1</v>
      </c>
      <c r="U58" s="282">
        <f>Q58*T58</f>
        <v>8848.5</v>
      </c>
      <c r="V58" s="273"/>
      <c r="W58" s="270"/>
      <c r="X58" s="274">
        <f>U58+Q58</f>
        <v>97333.5</v>
      </c>
      <c r="Y58" s="406">
        <f t="shared" si="7"/>
        <v>0</v>
      </c>
      <c r="Z58" s="406">
        <f t="shared" si="8"/>
        <v>0</v>
      </c>
    </row>
    <row r="59" spans="1:26" s="377" customFormat="1" ht="17.25" customHeight="1">
      <c r="A59" s="395">
        <v>14</v>
      </c>
      <c r="B59" s="354" t="s">
        <v>378</v>
      </c>
      <c r="C59" s="354" t="s">
        <v>71</v>
      </c>
      <c r="D59" s="379" t="s">
        <v>75</v>
      </c>
      <c r="E59" s="356">
        <v>0</v>
      </c>
      <c r="F59" s="379" t="s">
        <v>159</v>
      </c>
      <c r="G59" s="379">
        <v>0.5</v>
      </c>
      <c r="H59" s="358" t="s">
        <v>56</v>
      </c>
      <c r="I59" s="358" t="s">
        <v>56</v>
      </c>
      <c r="J59" s="356">
        <v>3</v>
      </c>
      <c r="K59" s="358">
        <v>17697</v>
      </c>
      <c r="L59" s="358"/>
      <c r="M59" s="406">
        <v>0.5</v>
      </c>
      <c r="N59" s="381"/>
      <c r="O59" s="359">
        <v>3.31</v>
      </c>
      <c r="P59" s="359"/>
      <c r="Q59" s="360">
        <f>O59*K59*M59</f>
        <v>29288.535</v>
      </c>
      <c r="R59" s="388"/>
      <c r="S59" s="359"/>
      <c r="T59" s="359">
        <v>0.1</v>
      </c>
      <c r="U59" s="360">
        <f>ROUND(Q59*T59,2)</f>
        <v>2928.85</v>
      </c>
      <c r="V59" s="383">
        <v>0.2</v>
      </c>
      <c r="W59" s="359">
        <f>V59*K59*50%</f>
        <v>1769.7</v>
      </c>
      <c r="X59" s="406">
        <f>Q59+S59+U59+W59</f>
        <v>33987.084999999999</v>
      </c>
      <c r="Y59" s="406"/>
      <c r="Z59" s="406"/>
    </row>
    <row r="60" spans="1:26" s="377" customFormat="1" ht="16.5" customHeight="1">
      <c r="A60" s="379">
        <v>14</v>
      </c>
      <c r="B60" s="384" t="s">
        <v>138</v>
      </c>
      <c r="C60" s="392" t="s">
        <v>99</v>
      </c>
      <c r="D60" s="382" t="s">
        <v>64</v>
      </c>
      <c r="E60" s="470" t="s">
        <v>139</v>
      </c>
      <c r="F60" s="470" t="s">
        <v>140</v>
      </c>
      <c r="G60" s="379">
        <v>1</v>
      </c>
      <c r="H60" s="382" t="s">
        <v>102</v>
      </c>
      <c r="I60" s="382" t="s">
        <v>103</v>
      </c>
      <c r="J60" s="425">
        <v>4</v>
      </c>
      <c r="K60" s="359">
        <v>17697</v>
      </c>
      <c r="L60" s="472">
        <v>23</v>
      </c>
      <c r="M60" s="359">
        <f>L60/18</f>
        <v>1.2777777777777777</v>
      </c>
      <c r="N60" s="473" t="s">
        <v>141</v>
      </c>
      <c r="O60" s="473">
        <v>3.78</v>
      </c>
      <c r="P60" s="473"/>
      <c r="Q60" s="360">
        <f>O60*K60/18*L60</f>
        <v>85476.510000000009</v>
      </c>
      <c r="R60" s="388"/>
      <c r="S60" s="359"/>
      <c r="T60" s="359">
        <v>0.1</v>
      </c>
      <c r="U60" s="360">
        <f>T60*Q60</f>
        <v>8547.6510000000017</v>
      </c>
      <c r="V60" s="383"/>
      <c r="W60" s="359"/>
      <c r="X60" s="406">
        <f t="shared" ref="X60:Z62" si="9">U60+Q60</f>
        <v>94024.161000000007</v>
      </c>
      <c r="Y60" s="406">
        <f t="shared" si="9"/>
        <v>0</v>
      </c>
      <c r="Z60" s="406">
        <f t="shared" si="9"/>
        <v>0</v>
      </c>
    </row>
    <row r="61" spans="1:26" s="377" customFormat="1" ht="17.25" customHeight="1">
      <c r="A61" s="395">
        <v>14</v>
      </c>
      <c r="B61" s="463" t="s">
        <v>237</v>
      </c>
      <c r="C61" s="392" t="s">
        <v>99</v>
      </c>
      <c r="D61" s="382" t="s">
        <v>25</v>
      </c>
      <c r="E61" s="464" t="s">
        <v>238</v>
      </c>
      <c r="F61" s="464" t="s">
        <v>239</v>
      </c>
      <c r="G61" s="465">
        <v>1</v>
      </c>
      <c r="H61" s="466" t="s">
        <v>102</v>
      </c>
      <c r="I61" s="466" t="s">
        <v>103</v>
      </c>
      <c r="J61" s="467">
        <v>2</v>
      </c>
      <c r="K61" s="359">
        <v>17697</v>
      </c>
      <c r="L61" s="468">
        <v>25</v>
      </c>
      <c r="M61" s="359">
        <f>L61/18</f>
        <v>1.3888888888888888</v>
      </c>
      <c r="N61" s="524" t="s">
        <v>104</v>
      </c>
      <c r="O61" s="408">
        <v>4.2300000000000004</v>
      </c>
      <c r="P61" s="408"/>
      <c r="Q61" s="360">
        <f>O61*K61/18*L61</f>
        <v>103969.87500000003</v>
      </c>
      <c r="R61" s="388"/>
      <c r="S61" s="359"/>
      <c r="T61" s="359">
        <v>0.1</v>
      </c>
      <c r="U61" s="360">
        <f>Q61*T61</f>
        <v>10396.987500000003</v>
      </c>
      <c r="V61" s="383"/>
      <c r="W61" s="359"/>
      <c r="X61" s="406">
        <f t="shared" si="9"/>
        <v>114366.86250000003</v>
      </c>
      <c r="Y61" s="406">
        <f t="shared" si="9"/>
        <v>0</v>
      </c>
      <c r="Z61" s="406">
        <f t="shared" si="9"/>
        <v>0</v>
      </c>
    </row>
    <row r="62" spans="1:26" s="377" customFormat="1" ht="17.25" customHeight="1">
      <c r="A62" s="266">
        <v>14</v>
      </c>
      <c r="B62" s="285" t="s">
        <v>184</v>
      </c>
      <c r="C62" s="285" t="s">
        <v>99</v>
      </c>
      <c r="D62" s="286" t="s">
        <v>25</v>
      </c>
      <c r="E62" s="286" t="s">
        <v>286</v>
      </c>
      <c r="F62" s="289" t="s">
        <v>40</v>
      </c>
      <c r="G62" s="266">
        <v>1</v>
      </c>
      <c r="H62" s="288" t="s">
        <v>102</v>
      </c>
      <c r="I62" s="288" t="s">
        <v>103</v>
      </c>
      <c r="J62" s="450">
        <v>1</v>
      </c>
      <c r="K62" s="270">
        <v>17697</v>
      </c>
      <c r="L62" s="451">
        <v>4</v>
      </c>
      <c r="M62" s="270">
        <f>L62/18</f>
        <v>0.22222222222222221</v>
      </c>
      <c r="N62" s="522" t="s">
        <v>152</v>
      </c>
      <c r="O62" s="286">
        <v>4.75</v>
      </c>
      <c r="P62" s="286"/>
      <c r="Q62" s="282">
        <f>O62*K62/18*L62</f>
        <v>18680.166666666668</v>
      </c>
      <c r="R62" s="271"/>
      <c r="S62" s="270"/>
      <c r="T62" s="270">
        <v>0.1</v>
      </c>
      <c r="U62" s="282">
        <f>Q62*T62</f>
        <v>1868.0166666666669</v>
      </c>
      <c r="V62" s="273"/>
      <c r="W62" s="270"/>
      <c r="X62" s="274">
        <f t="shared" si="9"/>
        <v>20548.183333333334</v>
      </c>
      <c r="Y62" s="406">
        <f t="shared" si="9"/>
        <v>0</v>
      </c>
      <c r="Z62" s="406">
        <f t="shared" si="9"/>
        <v>0</v>
      </c>
    </row>
    <row r="63" spans="1:26" s="503" customFormat="1" ht="17.25" customHeight="1">
      <c r="A63" s="395">
        <v>15</v>
      </c>
      <c r="B63" s="384" t="s">
        <v>78</v>
      </c>
      <c r="C63" s="392" t="s">
        <v>79</v>
      </c>
      <c r="D63" s="379" t="s">
        <v>25</v>
      </c>
      <c r="E63" s="379" t="s">
        <v>413</v>
      </c>
      <c r="F63" s="379" t="s">
        <v>73</v>
      </c>
      <c r="G63" s="379">
        <v>1</v>
      </c>
      <c r="H63" s="379" t="s">
        <v>56</v>
      </c>
      <c r="I63" s="379" t="s">
        <v>56</v>
      </c>
      <c r="J63" s="425">
        <v>2</v>
      </c>
      <c r="K63" s="359">
        <v>17697</v>
      </c>
      <c r="L63" s="359"/>
      <c r="M63" s="359">
        <v>0.5</v>
      </c>
      <c r="N63" s="429"/>
      <c r="O63" s="359">
        <v>4.43</v>
      </c>
      <c r="P63" s="359"/>
      <c r="Q63" s="360">
        <f>O63*K63*M63</f>
        <v>39198.854999999996</v>
      </c>
      <c r="R63" s="359"/>
      <c r="S63" s="388"/>
      <c r="T63" s="359">
        <v>0.1</v>
      </c>
      <c r="U63" s="360">
        <f>ROUND(Q63*T63,2)</f>
        <v>3919.89</v>
      </c>
      <c r="V63" s="359"/>
      <c r="W63" s="383"/>
      <c r="X63" s="406">
        <f>Q63+S63+U63</f>
        <v>43118.744999999995</v>
      </c>
      <c r="Y63" s="502">
        <f>V63+R63</f>
        <v>0</v>
      </c>
      <c r="Z63" s="502">
        <f>W63+S63</f>
        <v>0</v>
      </c>
    </row>
    <row r="64" spans="1:26" s="503" customFormat="1" ht="17.25" customHeight="1">
      <c r="A64" s="379">
        <v>15</v>
      </c>
      <c r="B64" s="384" t="s">
        <v>58</v>
      </c>
      <c r="C64" s="392" t="s">
        <v>99</v>
      </c>
      <c r="D64" s="382" t="s">
        <v>25</v>
      </c>
      <c r="E64" s="470" t="s">
        <v>142</v>
      </c>
      <c r="F64" s="470" t="s">
        <v>93</v>
      </c>
      <c r="G64" s="379">
        <v>1</v>
      </c>
      <c r="H64" s="382" t="s">
        <v>102</v>
      </c>
      <c r="I64" s="382" t="s">
        <v>103</v>
      </c>
      <c r="J64" s="474">
        <v>3</v>
      </c>
      <c r="K64" s="359">
        <v>17697</v>
      </c>
      <c r="L64" s="472">
        <v>18</v>
      </c>
      <c r="M64" s="359">
        <f>L64/18</f>
        <v>1</v>
      </c>
      <c r="N64" s="473" t="s">
        <v>109</v>
      </c>
      <c r="O64" s="473">
        <v>4.43</v>
      </c>
      <c r="P64" s="473"/>
      <c r="Q64" s="360">
        <f>O64*K64/18*L64</f>
        <v>78397.709999999992</v>
      </c>
      <c r="R64" s="388"/>
      <c r="S64" s="359"/>
      <c r="T64" s="359">
        <v>0.1</v>
      </c>
      <c r="U64" s="360">
        <f>T64*Q64</f>
        <v>7839.7709999999997</v>
      </c>
      <c r="V64" s="383"/>
      <c r="W64" s="359"/>
      <c r="X64" s="406">
        <f>U64+Q64</f>
        <v>86237.480999999985</v>
      </c>
      <c r="Y64" s="502"/>
      <c r="Z64" s="502"/>
    </row>
    <row r="65" spans="1:26" s="503" customFormat="1" ht="17.25" customHeight="1">
      <c r="A65" s="395">
        <v>15</v>
      </c>
      <c r="B65" s="463" t="s">
        <v>281</v>
      </c>
      <c r="C65" s="392" t="s">
        <v>99</v>
      </c>
      <c r="D65" s="356" t="s">
        <v>25</v>
      </c>
      <c r="E65" s="356" t="s">
        <v>430</v>
      </c>
      <c r="F65" s="381" t="s">
        <v>40</v>
      </c>
      <c r="G65" s="379">
        <v>1</v>
      </c>
      <c r="H65" s="382" t="s">
        <v>102</v>
      </c>
      <c r="I65" s="382" t="s">
        <v>103</v>
      </c>
      <c r="J65" s="457">
        <v>1</v>
      </c>
      <c r="K65" s="359">
        <v>17697</v>
      </c>
      <c r="L65" s="468">
        <v>12</v>
      </c>
      <c r="M65" s="359">
        <f>L65/18</f>
        <v>0.66666666666666663</v>
      </c>
      <c r="N65" s="467" t="s">
        <v>152</v>
      </c>
      <c r="O65" s="408">
        <v>4.75</v>
      </c>
      <c r="P65" s="408"/>
      <c r="Q65" s="360">
        <f>O65*K65/18*L65</f>
        <v>56040.5</v>
      </c>
      <c r="R65" s="388"/>
      <c r="S65" s="359"/>
      <c r="T65" s="359">
        <v>0.1</v>
      </c>
      <c r="U65" s="360">
        <f>Q65*T65</f>
        <v>5604.05</v>
      </c>
      <c r="V65" s="383"/>
      <c r="W65" s="359"/>
      <c r="X65" s="406">
        <f>U65+Q65</f>
        <v>61644.55</v>
      </c>
      <c r="Y65" s="502"/>
      <c r="Z65" s="502"/>
    </row>
    <row r="66" spans="1:26" s="377" customFormat="1" ht="17.25" customHeight="1">
      <c r="A66" s="379">
        <v>15</v>
      </c>
      <c r="B66" s="354" t="s">
        <v>287</v>
      </c>
      <c r="C66" s="354" t="s">
        <v>99</v>
      </c>
      <c r="D66" s="356" t="s">
        <v>25</v>
      </c>
      <c r="E66" s="356" t="s">
        <v>432</v>
      </c>
      <c r="F66" s="381" t="s">
        <v>40</v>
      </c>
      <c r="G66" s="379">
        <v>1</v>
      </c>
      <c r="H66" s="382" t="s">
        <v>102</v>
      </c>
      <c r="I66" s="382" t="s">
        <v>103</v>
      </c>
      <c r="J66" s="457">
        <v>1</v>
      </c>
      <c r="K66" s="359">
        <v>17697</v>
      </c>
      <c r="L66" s="458">
        <v>29</v>
      </c>
      <c r="M66" s="359">
        <f>L66/18</f>
        <v>1.6111111111111112</v>
      </c>
      <c r="N66" s="460" t="s">
        <v>152</v>
      </c>
      <c r="O66" s="356">
        <v>4.75</v>
      </c>
      <c r="P66" s="356"/>
      <c r="Q66" s="360">
        <f>O66*K66/18*L66</f>
        <v>135431.20833333334</v>
      </c>
      <c r="R66" s="388"/>
      <c r="S66" s="359"/>
      <c r="T66" s="359">
        <v>0.1</v>
      </c>
      <c r="U66" s="360">
        <f>Q66*T66</f>
        <v>13543.120833333334</v>
      </c>
      <c r="V66" s="383"/>
      <c r="W66" s="359"/>
      <c r="X66" s="406">
        <f>U66+Q66</f>
        <v>148974.32916666666</v>
      </c>
      <c r="Y66" s="406">
        <f t="shared" ref="Y66:Z71" si="10">V66+R66</f>
        <v>0</v>
      </c>
      <c r="Z66" s="406">
        <f t="shared" si="10"/>
        <v>0</v>
      </c>
    </row>
    <row r="67" spans="1:26" s="377" customFormat="1" ht="17.25" customHeight="1">
      <c r="A67" s="395">
        <v>16</v>
      </c>
      <c r="B67" s="430" t="s">
        <v>81</v>
      </c>
      <c r="C67" s="392" t="s">
        <v>82</v>
      </c>
      <c r="D67" s="431" t="s">
        <v>64</v>
      </c>
      <c r="E67" s="379" t="s">
        <v>413</v>
      </c>
      <c r="F67" s="431" t="s">
        <v>84</v>
      </c>
      <c r="G67" s="381">
        <v>1</v>
      </c>
      <c r="H67" s="382" t="s">
        <v>56</v>
      </c>
      <c r="I67" s="379" t="s">
        <v>56</v>
      </c>
      <c r="J67" s="382">
        <v>3</v>
      </c>
      <c r="K67" s="359">
        <v>17697</v>
      </c>
      <c r="L67" s="359"/>
      <c r="M67" s="359">
        <v>1</v>
      </c>
      <c r="N67" s="359"/>
      <c r="O67" s="359">
        <v>3.5</v>
      </c>
      <c r="P67" s="359"/>
      <c r="Q67" s="360">
        <f>O67*K67*M67</f>
        <v>61939.5</v>
      </c>
      <c r="R67" s="359"/>
      <c r="S67" s="388"/>
      <c r="T67" s="359">
        <v>0.1</v>
      </c>
      <c r="U67" s="360">
        <f>ROUND(Q67*T67,2)</f>
        <v>6193.95</v>
      </c>
      <c r="V67" s="359"/>
      <c r="W67" s="383"/>
      <c r="X67" s="406">
        <f>Q67+S67+U67</f>
        <v>68133.45</v>
      </c>
      <c r="Y67" s="406">
        <f t="shared" si="10"/>
        <v>0</v>
      </c>
      <c r="Z67" s="406">
        <f t="shared" si="10"/>
        <v>0</v>
      </c>
    </row>
    <row r="68" spans="1:26" s="377" customFormat="1" ht="17.25" customHeight="1">
      <c r="A68" s="379">
        <v>16</v>
      </c>
      <c r="B68" s="384" t="s">
        <v>143</v>
      </c>
      <c r="C68" s="392" t="s">
        <v>99</v>
      </c>
      <c r="D68" s="382" t="s">
        <v>25</v>
      </c>
      <c r="E68" s="470" t="s">
        <v>144</v>
      </c>
      <c r="F68" s="470" t="s">
        <v>73</v>
      </c>
      <c r="G68" s="379">
        <v>1</v>
      </c>
      <c r="H68" s="382" t="s">
        <v>102</v>
      </c>
      <c r="I68" s="382" t="s">
        <v>103</v>
      </c>
      <c r="J68" s="474">
        <v>1</v>
      </c>
      <c r="K68" s="359">
        <v>17697</v>
      </c>
      <c r="L68" s="472">
        <v>34</v>
      </c>
      <c r="M68" s="359">
        <f>L68/18</f>
        <v>1.8888888888888888</v>
      </c>
      <c r="N68" s="475" t="s">
        <v>109</v>
      </c>
      <c r="O68" s="473">
        <v>4.42</v>
      </c>
      <c r="P68" s="473"/>
      <c r="Q68" s="360">
        <f>O68*K68/18*L68</f>
        <v>147750.28666666668</v>
      </c>
      <c r="R68" s="388"/>
      <c r="S68" s="359"/>
      <c r="T68" s="359">
        <v>0.1</v>
      </c>
      <c r="U68" s="360">
        <f>T68*Q68</f>
        <v>14775.028666666669</v>
      </c>
      <c r="V68" s="383"/>
      <c r="W68" s="359"/>
      <c r="X68" s="406">
        <f>U68+Q68</f>
        <v>162525.31533333336</v>
      </c>
      <c r="Y68" s="406">
        <f t="shared" si="10"/>
        <v>0</v>
      </c>
      <c r="Z68" s="406">
        <f t="shared" si="10"/>
        <v>0</v>
      </c>
    </row>
    <row r="69" spans="1:26" s="377" customFormat="1" ht="17.25" customHeight="1">
      <c r="A69" s="395">
        <v>16</v>
      </c>
      <c r="B69" s="463" t="s">
        <v>243</v>
      </c>
      <c r="C69" s="392" t="s">
        <v>99</v>
      </c>
      <c r="D69" s="382" t="s">
        <v>25</v>
      </c>
      <c r="E69" s="464" t="s">
        <v>244</v>
      </c>
      <c r="F69" s="464" t="s">
        <v>239</v>
      </c>
      <c r="G69" s="465">
        <v>1</v>
      </c>
      <c r="H69" s="466" t="s">
        <v>102</v>
      </c>
      <c r="I69" s="466" t="s">
        <v>103</v>
      </c>
      <c r="J69" s="467">
        <v>3</v>
      </c>
      <c r="K69" s="359">
        <v>17697</v>
      </c>
      <c r="L69" s="468">
        <v>36</v>
      </c>
      <c r="M69" s="359">
        <f>L69/18</f>
        <v>2</v>
      </c>
      <c r="N69" s="467">
        <v>2</v>
      </c>
      <c r="O69" s="408">
        <v>4.1399999999999997</v>
      </c>
      <c r="P69" s="408"/>
      <c r="Q69" s="360">
        <f>O69*K69/18*L69</f>
        <v>146531.15999999997</v>
      </c>
      <c r="R69" s="388"/>
      <c r="S69" s="359"/>
      <c r="T69" s="359">
        <v>0.1</v>
      </c>
      <c r="U69" s="360">
        <f>Q69*T69</f>
        <v>14653.115999999998</v>
      </c>
      <c r="V69" s="383"/>
      <c r="W69" s="359"/>
      <c r="X69" s="406">
        <f>U69+Q69</f>
        <v>161184.27599999998</v>
      </c>
      <c r="Y69" s="406">
        <f t="shared" si="10"/>
        <v>0</v>
      </c>
      <c r="Z69" s="406">
        <f t="shared" si="10"/>
        <v>0</v>
      </c>
    </row>
    <row r="70" spans="1:26" s="377" customFormat="1" ht="17.25" customHeight="1">
      <c r="A70" s="379">
        <v>16</v>
      </c>
      <c r="B70" s="354" t="s">
        <v>289</v>
      </c>
      <c r="C70" s="354" t="s">
        <v>99</v>
      </c>
      <c r="D70" s="382" t="s">
        <v>64</v>
      </c>
      <c r="E70" s="356" t="s">
        <v>423</v>
      </c>
      <c r="F70" s="379" t="s">
        <v>108</v>
      </c>
      <c r="G70" s="379">
        <v>1</v>
      </c>
      <c r="H70" s="382" t="s">
        <v>102</v>
      </c>
      <c r="I70" s="382" t="s">
        <v>118</v>
      </c>
      <c r="J70" s="457">
        <v>4</v>
      </c>
      <c r="K70" s="359">
        <v>17697</v>
      </c>
      <c r="L70" s="458">
        <v>36</v>
      </c>
      <c r="M70" s="359">
        <f>L70/18</f>
        <v>2</v>
      </c>
      <c r="N70" s="460" t="s">
        <v>109</v>
      </c>
      <c r="O70" s="462">
        <v>3.41</v>
      </c>
      <c r="P70" s="462"/>
      <c r="Q70" s="360">
        <f>O70*K70/18*L70</f>
        <v>120693.54000000001</v>
      </c>
      <c r="R70" s="388"/>
      <c r="S70" s="359"/>
      <c r="T70" s="359">
        <v>0.1</v>
      </c>
      <c r="U70" s="360">
        <f>Q70*T70</f>
        <v>12069.354000000001</v>
      </c>
      <c r="V70" s="383"/>
      <c r="W70" s="359"/>
      <c r="X70" s="406">
        <f>U70+Q70</f>
        <v>132762.894</v>
      </c>
      <c r="Y70" s="406">
        <f t="shared" si="10"/>
        <v>0</v>
      </c>
      <c r="Z70" s="406">
        <f t="shared" si="10"/>
        <v>0</v>
      </c>
    </row>
    <row r="71" spans="1:26" s="377" customFormat="1" ht="17.25" customHeight="1">
      <c r="A71" s="395">
        <v>17</v>
      </c>
      <c r="B71" s="440" t="s">
        <v>85</v>
      </c>
      <c r="C71" s="441" t="s">
        <v>86</v>
      </c>
      <c r="D71" s="426" t="s">
        <v>25</v>
      </c>
      <c r="E71" s="373" t="s">
        <v>414</v>
      </c>
      <c r="F71" s="426" t="s">
        <v>88</v>
      </c>
      <c r="G71" s="426">
        <v>1</v>
      </c>
      <c r="H71" s="426" t="s">
        <v>56</v>
      </c>
      <c r="I71" s="426" t="s">
        <v>56</v>
      </c>
      <c r="J71" s="442" t="s">
        <v>57</v>
      </c>
      <c r="K71" s="373">
        <v>17697</v>
      </c>
      <c r="L71" s="373"/>
      <c r="M71" s="359">
        <v>1</v>
      </c>
      <c r="N71" s="373"/>
      <c r="O71" s="373">
        <v>4.43</v>
      </c>
      <c r="P71" s="373"/>
      <c r="Q71" s="438">
        <f>O71*K71*M71</f>
        <v>78397.709999999992</v>
      </c>
      <c r="R71" s="439"/>
      <c r="S71" s="532"/>
      <c r="T71" s="373">
        <v>0.1</v>
      </c>
      <c r="U71" s="438">
        <f>ROUND(Q71*T71,2)</f>
        <v>7839.77</v>
      </c>
      <c r="V71" s="533"/>
      <c r="W71" s="532"/>
      <c r="X71" s="437">
        <f>Q71+S71+U71</f>
        <v>86237.48</v>
      </c>
      <c r="Y71" s="437">
        <f t="shared" si="10"/>
        <v>0</v>
      </c>
      <c r="Z71" s="437">
        <f t="shared" si="10"/>
        <v>0</v>
      </c>
    </row>
    <row r="72" spans="1:26" s="377" customFormat="1" ht="17.25" customHeight="1">
      <c r="A72" s="379">
        <v>17</v>
      </c>
      <c r="B72" s="440" t="s">
        <v>145</v>
      </c>
      <c r="C72" s="441" t="s">
        <v>99</v>
      </c>
      <c r="D72" s="370" t="s">
        <v>25</v>
      </c>
      <c r="E72" s="504" t="s">
        <v>146</v>
      </c>
      <c r="F72" s="470" t="s">
        <v>140</v>
      </c>
      <c r="G72" s="426">
        <v>1</v>
      </c>
      <c r="H72" s="382" t="s">
        <v>102</v>
      </c>
      <c r="I72" s="382" t="s">
        <v>103</v>
      </c>
      <c r="J72" s="474">
        <v>4</v>
      </c>
      <c r="K72" s="359">
        <v>17697</v>
      </c>
      <c r="L72" s="506">
        <v>18</v>
      </c>
      <c r="M72" s="359">
        <f t="shared" ref="M72:M77" si="11">L72/18</f>
        <v>1</v>
      </c>
      <c r="N72" s="485" t="s">
        <v>109</v>
      </c>
      <c r="O72" s="485">
        <v>3.78</v>
      </c>
      <c r="P72" s="485"/>
      <c r="Q72" s="438">
        <f t="shared" ref="Q72:Q77" si="12">O72*K72/18*L72</f>
        <v>66894.66</v>
      </c>
      <c r="R72" s="439"/>
      <c r="S72" s="373"/>
      <c r="T72" s="373">
        <v>0.1</v>
      </c>
      <c r="U72" s="438">
        <f>T72*Q72</f>
        <v>6689.4660000000003</v>
      </c>
      <c r="V72" s="372"/>
      <c r="W72" s="373"/>
      <c r="X72" s="437">
        <f t="shared" ref="X72:X77" si="13">U72+Q72</f>
        <v>73584.126000000004</v>
      </c>
      <c r="Y72" s="437"/>
      <c r="Z72" s="437"/>
    </row>
    <row r="73" spans="1:26" s="377" customFormat="1" ht="17.25" customHeight="1">
      <c r="A73" s="395">
        <v>17</v>
      </c>
      <c r="B73" s="479" t="s">
        <v>245</v>
      </c>
      <c r="C73" s="441" t="s">
        <v>99</v>
      </c>
      <c r="D73" s="382" t="s">
        <v>25</v>
      </c>
      <c r="E73" s="464" t="s">
        <v>246</v>
      </c>
      <c r="F73" s="464" t="s">
        <v>40</v>
      </c>
      <c r="G73" s="481">
        <v>1</v>
      </c>
      <c r="H73" s="482" t="s">
        <v>102</v>
      </c>
      <c r="I73" s="482" t="s">
        <v>103</v>
      </c>
      <c r="J73" s="483">
        <v>1</v>
      </c>
      <c r="K73" s="373">
        <v>17697</v>
      </c>
      <c r="L73" s="484">
        <v>33</v>
      </c>
      <c r="M73" s="359">
        <f t="shared" si="11"/>
        <v>1.8333333333333333</v>
      </c>
      <c r="N73" s="483" t="s">
        <v>218</v>
      </c>
      <c r="O73" s="489">
        <v>4.75</v>
      </c>
      <c r="P73" s="489"/>
      <c r="Q73" s="438">
        <f t="shared" si="12"/>
        <v>154111.375</v>
      </c>
      <c r="R73" s="439"/>
      <c r="S73" s="373"/>
      <c r="T73" s="373">
        <v>0.1</v>
      </c>
      <c r="U73" s="438">
        <f>Q73*T73</f>
        <v>15411.137500000001</v>
      </c>
      <c r="V73" s="372"/>
      <c r="W73" s="373"/>
      <c r="X73" s="437">
        <f t="shared" si="13"/>
        <v>169522.51250000001</v>
      </c>
      <c r="Y73" s="437">
        <f>V73+R73</f>
        <v>0</v>
      </c>
      <c r="Z73" s="437">
        <f>W73+S73</f>
        <v>0</v>
      </c>
    </row>
    <row r="74" spans="1:26" s="377" customFormat="1" ht="17.25" customHeight="1">
      <c r="A74" s="379">
        <v>17</v>
      </c>
      <c r="B74" s="366" t="s">
        <v>391</v>
      </c>
      <c r="C74" s="366" t="s">
        <v>99</v>
      </c>
      <c r="D74" s="382" t="s">
        <v>75</v>
      </c>
      <c r="E74" s="356" t="s">
        <v>433</v>
      </c>
      <c r="F74" s="379" t="s">
        <v>77</v>
      </c>
      <c r="G74" s="426">
        <v>1</v>
      </c>
      <c r="H74" s="382" t="s">
        <v>102</v>
      </c>
      <c r="I74" s="382" t="s">
        <v>118</v>
      </c>
      <c r="J74" s="457">
        <v>4</v>
      </c>
      <c r="K74" s="373">
        <v>17697</v>
      </c>
      <c r="L74" s="521">
        <v>33</v>
      </c>
      <c r="M74" s="359">
        <f t="shared" si="11"/>
        <v>1.8333333333333333</v>
      </c>
      <c r="N74" s="526" t="s">
        <v>385</v>
      </c>
      <c r="O74" s="530">
        <v>3.41</v>
      </c>
      <c r="P74" s="530"/>
      <c r="Q74" s="438">
        <f t="shared" si="12"/>
        <v>110635.745</v>
      </c>
      <c r="R74" s="439"/>
      <c r="S74" s="373"/>
      <c r="T74" s="373">
        <v>0.1</v>
      </c>
      <c r="U74" s="438">
        <f>Q74*T74</f>
        <v>11063.574500000001</v>
      </c>
      <c r="V74" s="372"/>
      <c r="W74" s="373"/>
      <c r="X74" s="437">
        <f t="shared" si="13"/>
        <v>121699.3195</v>
      </c>
      <c r="Y74" s="437">
        <f>V74+R74</f>
        <v>0</v>
      </c>
      <c r="Z74" s="437">
        <f>W74+S74</f>
        <v>0</v>
      </c>
    </row>
    <row r="75" spans="1:26" s="377" customFormat="1" ht="17.25" customHeight="1">
      <c r="A75" s="395">
        <v>18</v>
      </c>
      <c r="B75" s="440" t="s">
        <v>447</v>
      </c>
      <c r="C75" s="441" t="s">
        <v>99</v>
      </c>
      <c r="D75" s="382" t="s">
        <v>75</v>
      </c>
      <c r="E75" s="470" t="s">
        <v>440</v>
      </c>
      <c r="F75" s="470" t="s">
        <v>159</v>
      </c>
      <c r="G75" s="426">
        <v>1</v>
      </c>
      <c r="H75" s="20" t="s">
        <v>102</v>
      </c>
      <c r="I75" s="20" t="s">
        <v>118</v>
      </c>
      <c r="J75" s="49">
        <v>4</v>
      </c>
      <c r="K75" s="359">
        <v>17697</v>
      </c>
      <c r="L75" s="506">
        <v>4</v>
      </c>
      <c r="M75" s="359">
        <f t="shared" si="11"/>
        <v>0.22222222222222221</v>
      </c>
      <c r="N75" s="485" t="s">
        <v>385</v>
      </c>
      <c r="O75" s="485">
        <v>3.32</v>
      </c>
      <c r="P75" s="485"/>
      <c r="Q75" s="438">
        <f t="shared" si="12"/>
        <v>13056.453333333331</v>
      </c>
      <c r="R75" s="439"/>
      <c r="S75" s="373"/>
      <c r="T75" s="373">
        <v>0.1</v>
      </c>
      <c r="U75" s="438">
        <f>T75*Q75</f>
        <v>1305.6453333333332</v>
      </c>
      <c r="V75" s="372"/>
      <c r="W75" s="373"/>
      <c r="X75" s="437">
        <f t="shared" si="13"/>
        <v>14362.098666666665</v>
      </c>
      <c r="Y75" s="437"/>
      <c r="Z75" s="437"/>
    </row>
    <row r="76" spans="1:26" s="377" customFormat="1" ht="17.25" customHeight="1">
      <c r="A76" s="379">
        <v>18</v>
      </c>
      <c r="B76" s="479" t="s">
        <v>250</v>
      </c>
      <c r="C76" s="441" t="s">
        <v>99</v>
      </c>
      <c r="D76" s="382" t="s">
        <v>64</v>
      </c>
      <c r="E76" s="464" t="s">
        <v>251</v>
      </c>
      <c r="F76" s="464" t="s">
        <v>252</v>
      </c>
      <c r="G76" s="481">
        <v>1</v>
      </c>
      <c r="H76" s="466" t="s">
        <v>102</v>
      </c>
      <c r="I76" s="466" t="s">
        <v>118</v>
      </c>
      <c r="J76" s="467">
        <v>3</v>
      </c>
      <c r="K76" s="359">
        <v>17697</v>
      </c>
      <c r="L76" s="468">
        <v>22</v>
      </c>
      <c r="M76" s="359">
        <f t="shared" si="11"/>
        <v>1.2222222222222223</v>
      </c>
      <c r="N76" s="467">
        <v>2</v>
      </c>
      <c r="O76" s="408">
        <v>3.97</v>
      </c>
      <c r="P76" s="489"/>
      <c r="Q76" s="438">
        <f t="shared" si="12"/>
        <v>85869.776666666672</v>
      </c>
      <c r="R76" s="439"/>
      <c r="S76" s="373"/>
      <c r="T76" s="373">
        <v>0.1</v>
      </c>
      <c r="U76" s="438">
        <f>Q76*T76</f>
        <v>8586.9776666666676</v>
      </c>
      <c r="V76" s="372"/>
      <c r="W76" s="373"/>
      <c r="X76" s="437">
        <f t="shared" si="13"/>
        <v>94456.754333333345</v>
      </c>
      <c r="Y76" s="437"/>
      <c r="Z76" s="437"/>
    </row>
    <row r="77" spans="1:26" s="377" customFormat="1" ht="17.25" customHeight="1">
      <c r="A77" s="395">
        <v>18</v>
      </c>
      <c r="B77" s="354" t="s">
        <v>392</v>
      </c>
      <c r="C77" s="354" t="s">
        <v>99</v>
      </c>
      <c r="D77" s="382" t="s">
        <v>189</v>
      </c>
      <c r="E77" s="356" t="s">
        <v>444</v>
      </c>
      <c r="F77" s="379" t="s">
        <v>434</v>
      </c>
      <c r="G77" s="379">
        <v>1</v>
      </c>
      <c r="H77" s="382" t="s">
        <v>102</v>
      </c>
      <c r="I77" s="382" t="s">
        <v>103</v>
      </c>
      <c r="J77" s="425">
        <v>2</v>
      </c>
      <c r="K77" s="359">
        <v>17697</v>
      </c>
      <c r="L77" s="521">
        <v>14</v>
      </c>
      <c r="M77" s="359">
        <f t="shared" si="11"/>
        <v>0.77777777777777779</v>
      </c>
      <c r="N77" s="526" t="s">
        <v>104</v>
      </c>
      <c r="O77" s="530">
        <v>4.4400000000000004</v>
      </c>
      <c r="P77" s="530"/>
      <c r="Q77" s="438">
        <f t="shared" si="12"/>
        <v>61113.64</v>
      </c>
      <c r="R77" s="439"/>
      <c r="S77" s="373"/>
      <c r="T77" s="373">
        <v>0.1</v>
      </c>
      <c r="U77" s="438">
        <f>Q77*T77</f>
        <v>6111.3640000000005</v>
      </c>
      <c r="V77" s="372"/>
      <c r="W77" s="373"/>
      <c r="X77" s="437">
        <f t="shared" si="13"/>
        <v>67225.004000000001</v>
      </c>
      <c r="Y77" s="437"/>
      <c r="Z77" s="437"/>
    </row>
    <row r="78" spans="1:26" s="377" customFormat="1" ht="28.5">
      <c r="A78" s="379">
        <v>19</v>
      </c>
      <c r="B78" s="434" t="s">
        <v>294</v>
      </c>
      <c r="C78" s="392" t="s">
        <v>86</v>
      </c>
      <c r="D78" s="382" t="s">
        <v>25</v>
      </c>
      <c r="E78" s="435">
        <v>0</v>
      </c>
      <c r="F78" s="435" t="s">
        <v>159</v>
      </c>
      <c r="G78" s="428">
        <v>1</v>
      </c>
      <c r="H78" s="379" t="s">
        <v>56</v>
      </c>
      <c r="I78" s="379" t="s">
        <v>56</v>
      </c>
      <c r="J78" s="405" t="s">
        <v>57</v>
      </c>
      <c r="K78" s="359">
        <v>17697</v>
      </c>
      <c r="L78" s="359"/>
      <c r="M78" s="406">
        <v>1</v>
      </c>
      <c r="N78" s="359"/>
      <c r="O78" s="359">
        <v>4.0999999999999996</v>
      </c>
      <c r="P78" s="359"/>
      <c r="Q78" s="360">
        <f>O78*K78*M78</f>
        <v>72557.7</v>
      </c>
      <c r="R78" s="388"/>
      <c r="S78" s="359"/>
      <c r="T78" s="359">
        <v>0.1</v>
      </c>
      <c r="U78" s="360">
        <f>ROUND(Q78*T78,2)</f>
        <v>7255.77</v>
      </c>
      <c r="V78" s="383"/>
      <c r="W78" s="359"/>
      <c r="X78" s="406">
        <f>Q78+S78+U78</f>
        <v>79813.47</v>
      </c>
      <c r="Y78" s="406">
        <f t="shared" ref="Y78:Y86" si="14">V78+R78</f>
        <v>0</v>
      </c>
      <c r="Z78" s="406">
        <f t="shared" ref="Z78:Z86" si="15">W78+S78</f>
        <v>0</v>
      </c>
    </row>
    <row r="79" spans="1:26" s="377" customFormat="1" ht="17.25" customHeight="1">
      <c r="A79" s="379">
        <v>19</v>
      </c>
      <c r="B79" s="384" t="s">
        <v>147</v>
      </c>
      <c r="C79" s="392" t="s">
        <v>148</v>
      </c>
      <c r="D79" s="382" t="s">
        <v>25</v>
      </c>
      <c r="E79" s="470" t="s">
        <v>149</v>
      </c>
      <c r="F79" s="470" t="s">
        <v>51</v>
      </c>
      <c r="G79" s="379">
        <v>1</v>
      </c>
      <c r="H79" s="382" t="s">
        <v>102</v>
      </c>
      <c r="I79" s="382" t="s">
        <v>103</v>
      </c>
      <c r="J79" s="471">
        <v>3</v>
      </c>
      <c r="K79" s="359">
        <v>17697</v>
      </c>
      <c r="L79" s="472">
        <v>36</v>
      </c>
      <c r="M79" s="359">
        <f>L79/18</f>
        <v>2</v>
      </c>
      <c r="N79" s="473" t="s">
        <v>109</v>
      </c>
      <c r="O79" s="473">
        <v>4.43</v>
      </c>
      <c r="P79" s="473"/>
      <c r="Q79" s="360">
        <f>O79*K79/18*L79</f>
        <v>156795.41999999998</v>
      </c>
      <c r="R79" s="388"/>
      <c r="S79" s="359"/>
      <c r="T79" s="359">
        <v>0.1</v>
      </c>
      <c r="U79" s="360">
        <f>T79*Q79</f>
        <v>15679.541999999999</v>
      </c>
      <c r="V79" s="383"/>
      <c r="W79" s="359"/>
      <c r="X79" s="406">
        <f>U79+Q79</f>
        <v>172474.96199999997</v>
      </c>
      <c r="Y79" s="406">
        <f t="shared" si="14"/>
        <v>0</v>
      </c>
      <c r="Z79" s="406">
        <f t="shared" si="15"/>
        <v>0</v>
      </c>
    </row>
    <row r="80" spans="1:26" s="377" customFormat="1" ht="17.25" customHeight="1">
      <c r="A80" s="379">
        <v>19</v>
      </c>
      <c r="B80" s="463" t="s">
        <v>253</v>
      </c>
      <c r="C80" s="392" t="s">
        <v>148</v>
      </c>
      <c r="D80" s="382" t="s">
        <v>25</v>
      </c>
      <c r="E80" s="464" t="s">
        <v>254</v>
      </c>
      <c r="F80" s="464" t="s">
        <v>242</v>
      </c>
      <c r="G80" s="465">
        <v>1</v>
      </c>
      <c r="H80" s="466" t="s">
        <v>102</v>
      </c>
      <c r="I80" s="466" t="s">
        <v>103</v>
      </c>
      <c r="J80" s="467">
        <v>2</v>
      </c>
      <c r="K80" s="359">
        <v>17697</v>
      </c>
      <c r="L80" s="468">
        <v>35</v>
      </c>
      <c r="M80" s="359">
        <f>L80/18</f>
        <v>1.9444444444444444</v>
      </c>
      <c r="N80" s="467">
        <v>1</v>
      </c>
      <c r="O80" s="408">
        <v>4.51</v>
      </c>
      <c r="P80" s="408"/>
      <c r="Q80" s="360">
        <f>O80*K80/18*L80</f>
        <v>155192.85833333334</v>
      </c>
      <c r="R80" s="388"/>
      <c r="S80" s="359"/>
      <c r="T80" s="359">
        <v>0.1</v>
      </c>
      <c r="U80" s="360">
        <f>Q80*T80</f>
        <v>15519.285833333335</v>
      </c>
      <c r="V80" s="383"/>
      <c r="W80" s="359"/>
      <c r="X80" s="406">
        <f>U80+Q80</f>
        <v>170712.14416666667</v>
      </c>
      <c r="Y80" s="406">
        <f t="shared" si="14"/>
        <v>0</v>
      </c>
      <c r="Z80" s="406">
        <f t="shared" si="15"/>
        <v>0</v>
      </c>
    </row>
    <row r="81" spans="1:26" s="377" customFormat="1" ht="17.25" customHeight="1">
      <c r="A81" s="379">
        <v>20</v>
      </c>
      <c r="B81" s="384" t="s">
        <v>91</v>
      </c>
      <c r="C81" s="392" t="s">
        <v>99</v>
      </c>
      <c r="D81" s="382" t="s">
        <v>25</v>
      </c>
      <c r="E81" s="516" t="s">
        <v>92</v>
      </c>
      <c r="F81" s="470" t="s">
        <v>93</v>
      </c>
      <c r="G81" s="379">
        <v>1</v>
      </c>
      <c r="H81" s="382" t="s">
        <v>102</v>
      </c>
      <c r="I81" s="382" t="s">
        <v>103</v>
      </c>
      <c r="J81" s="474">
        <v>1</v>
      </c>
      <c r="K81" s="359">
        <v>17697</v>
      </c>
      <c r="L81" s="472">
        <v>36</v>
      </c>
      <c r="M81" s="359">
        <f>L81/18</f>
        <v>2</v>
      </c>
      <c r="N81" s="475" t="s">
        <v>129</v>
      </c>
      <c r="O81" s="473">
        <v>4.62</v>
      </c>
      <c r="P81" s="473"/>
      <c r="Q81" s="360">
        <f>O81*K81/18*L81</f>
        <v>163520.27999999997</v>
      </c>
      <c r="R81" s="388"/>
      <c r="S81" s="359"/>
      <c r="T81" s="359">
        <v>0.1</v>
      </c>
      <c r="U81" s="360">
        <f>T81*Q81</f>
        <v>16352.027999999998</v>
      </c>
      <c r="V81" s="383"/>
      <c r="W81" s="359"/>
      <c r="X81" s="406">
        <f>U81+Q81</f>
        <v>179872.30799999996</v>
      </c>
      <c r="Y81" s="406">
        <f t="shared" si="14"/>
        <v>0</v>
      </c>
      <c r="Z81" s="406">
        <f t="shared" si="15"/>
        <v>0</v>
      </c>
    </row>
    <row r="82" spans="1:26" s="377" customFormat="1" ht="17.25" customHeight="1">
      <c r="A82" s="379">
        <v>20</v>
      </c>
      <c r="B82" s="463" t="s">
        <v>255</v>
      </c>
      <c r="C82" s="392" t="s">
        <v>99</v>
      </c>
      <c r="D82" s="382" t="s">
        <v>25</v>
      </c>
      <c r="E82" s="464" t="s">
        <v>256</v>
      </c>
      <c r="F82" s="464" t="s">
        <v>40</v>
      </c>
      <c r="G82" s="465">
        <v>1</v>
      </c>
      <c r="H82" s="466" t="s">
        <v>102</v>
      </c>
      <c r="I82" s="466" t="s">
        <v>103</v>
      </c>
      <c r="J82" s="467">
        <v>1</v>
      </c>
      <c r="K82" s="359">
        <v>17697</v>
      </c>
      <c r="L82" s="468">
        <v>35</v>
      </c>
      <c r="M82" s="359">
        <f>L82/18</f>
        <v>1.9444444444444444</v>
      </c>
      <c r="N82" s="467" t="s">
        <v>218</v>
      </c>
      <c r="O82" s="473">
        <v>4.75</v>
      </c>
      <c r="P82" s="473"/>
      <c r="Q82" s="360">
        <f>O82*K82/18*L82</f>
        <v>163451.45833333334</v>
      </c>
      <c r="R82" s="388"/>
      <c r="S82" s="359"/>
      <c r="T82" s="359">
        <v>0.1</v>
      </c>
      <c r="U82" s="360">
        <f>Q82*T82</f>
        <v>16345.145833333336</v>
      </c>
      <c r="V82" s="383"/>
      <c r="W82" s="359"/>
      <c r="X82" s="406">
        <f>U82+Q82</f>
        <v>179796.60416666669</v>
      </c>
      <c r="Y82" s="406">
        <f t="shared" si="14"/>
        <v>0</v>
      </c>
      <c r="Z82" s="406">
        <f t="shared" si="15"/>
        <v>0</v>
      </c>
    </row>
    <row r="83" spans="1:26" s="377" customFormat="1" ht="17.25" customHeight="1">
      <c r="A83" s="379">
        <v>21</v>
      </c>
      <c r="B83" s="384" t="s">
        <v>373</v>
      </c>
      <c r="C83" s="392" t="s">
        <v>95</v>
      </c>
      <c r="D83" s="379" t="s">
        <v>25</v>
      </c>
      <c r="E83" s="359" t="s">
        <v>415</v>
      </c>
      <c r="F83" s="379" t="s">
        <v>376</v>
      </c>
      <c r="G83" s="379">
        <v>0.5</v>
      </c>
      <c r="H83" s="379" t="s">
        <v>56</v>
      </c>
      <c r="I83" s="379" t="s">
        <v>56</v>
      </c>
      <c r="J83" s="405" t="s">
        <v>57</v>
      </c>
      <c r="K83" s="359">
        <v>17697</v>
      </c>
      <c r="L83" s="359"/>
      <c r="M83" s="359">
        <v>0.5</v>
      </c>
      <c r="N83" s="361"/>
      <c r="O83" s="359">
        <v>4.1900000000000004</v>
      </c>
      <c r="P83" s="359"/>
      <c r="Q83" s="360">
        <f>O83*K83*M83</f>
        <v>37075.215000000004</v>
      </c>
      <c r="R83" s="388"/>
      <c r="S83" s="359"/>
      <c r="T83" s="359">
        <v>0.1</v>
      </c>
      <c r="U83" s="360">
        <f>ROUND(Q83*T83,2)</f>
        <v>3707.52</v>
      </c>
      <c r="V83" s="383"/>
      <c r="W83" s="359"/>
      <c r="X83" s="406">
        <f>Q83+S83+U83</f>
        <v>40782.735000000001</v>
      </c>
      <c r="Y83" s="406">
        <f t="shared" si="14"/>
        <v>0</v>
      </c>
      <c r="Z83" s="406">
        <f t="shared" si="15"/>
        <v>0</v>
      </c>
    </row>
    <row r="84" spans="1:26" s="377" customFormat="1" ht="17.25" customHeight="1">
      <c r="A84" s="379">
        <v>21</v>
      </c>
      <c r="B84" s="384" t="s">
        <v>150</v>
      </c>
      <c r="C84" s="392" t="s">
        <v>99</v>
      </c>
      <c r="D84" s="382" t="s">
        <v>25</v>
      </c>
      <c r="E84" s="470" t="s">
        <v>151</v>
      </c>
      <c r="F84" s="470" t="s">
        <v>34</v>
      </c>
      <c r="G84" s="379">
        <v>1</v>
      </c>
      <c r="H84" s="382" t="s">
        <v>102</v>
      </c>
      <c r="I84" s="382" t="s">
        <v>103</v>
      </c>
      <c r="J84" s="474">
        <v>1</v>
      </c>
      <c r="K84" s="359">
        <v>17697</v>
      </c>
      <c r="L84" s="472">
        <v>35</v>
      </c>
      <c r="M84" s="359">
        <f>L84/18</f>
        <v>1.9444444444444444</v>
      </c>
      <c r="N84" s="473" t="s">
        <v>152</v>
      </c>
      <c r="O84" s="473">
        <v>4.75</v>
      </c>
      <c r="P84" s="473"/>
      <c r="Q84" s="360">
        <f>O84*K84/18*L84</f>
        <v>163451.45833333334</v>
      </c>
      <c r="R84" s="388"/>
      <c r="S84" s="359"/>
      <c r="T84" s="359">
        <v>0.1</v>
      </c>
      <c r="U84" s="360">
        <f>T84*Q84</f>
        <v>16345.145833333336</v>
      </c>
      <c r="V84" s="383"/>
      <c r="W84" s="359"/>
      <c r="X84" s="406">
        <f>U84+Q84</f>
        <v>179796.60416666669</v>
      </c>
      <c r="Y84" s="406">
        <f t="shared" si="14"/>
        <v>0</v>
      </c>
      <c r="Z84" s="406">
        <f t="shared" si="15"/>
        <v>0</v>
      </c>
    </row>
    <row r="85" spans="1:26" s="377" customFormat="1" ht="17.25" customHeight="1">
      <c r="A85" s="379">
        <v>21</v>
      </c>
      <c r="B85" s="463" t="s">
        <v>257</v>
      </c>
      <c r="C85" s="392" t="s">
        <v>99</v>
      </c>
      <c r="D85" s="382" t="s">
        <v>25</v>
      </c>
      <c r="E85" s="464" t="s">
        <v>258</v>
      </c>
      <c r="F85" s="464" t="s">
        <v>259</v>
      </c>
      <c r="G85" s="465">
        <v>1</v>
      </c>
      <c r="H85" s="466" t="s">
        <v>102</v>
      </c>
      <c r="I85" s="466" t="s">
        <v>103</v>
      </c>
      <c r="J85" s="467">
        <v>2</v>
      </c>
      <c r="K85" s="359">
        <v>17697</v>
      </c>
      <c r="L85" s="468">
        <v>30</v>
      </c>
      <c r="M85" s="359">
        <f>L85/18</f>
        <v>1.6666666666666667</v>
      </c>
      <c r="N85" s="467">
        <v>1</v>
      </c>
      <c r="O85" s="408">
        <v>4.16</v>
      </c>
      <c r="P85" s="408"/>
      <c r="Q85" s="360">
        <f>O85*K85/18*L85</f>
        <v>122699.2</v>
      </c>
      <c r="R85" s="388"/>
      <c r="S85" s="359"/>
      <c r="T85" s="359">
        <v>0.1</v>
      </c>
      <c r="U85" s="360">
        <f>Q85*T85</f>
        <v>12269.92</v>
      </c>
      <c r="V85" s="383"/>
      <c r="W85" s="359"/>
      <c r="X85" s="406">
        <f>U85+Q85</f>
        <v>134969.12</v>
      </c>
      <c r="Y85" s="406">
        <f t="shared" si="14"/>
        <v>0</v>
      </c>
      <c r="Z85" s="406">
        <f t="shared" si="15"/>
        <v>0</v>
      </c>
    </row>
    <row r="86" spans="1:26" s="377" customFormat="1" ht="17.25" customHeight="1">
      <c r="A86" s="379">
        <v>22</v>
      </c>
      <c r="B86" s="384" t="s">
        <v>399</v>
      </c>
      <c r="C86" s="392" t="s">
        <v>95</v>
      </c>
      <c r="D86" s="379" t="s">
        <v>25</v>
      </c>
      <c r="E86" s="359" t="s">
        <v>419</v>
      </c>
      <c r="F86" s="379" t="s">
        <v>403</v>
      </c>
      <c r="G86" s="379">
        <v>0.5</v>
      </c>
      <c r="H86" s="379" t="s">
        <v>56</v>
      </c>
      <c r="I86" s="379" t="s">
        <v>56</v>
      </c>
      <c r="J86" s="405" t="s">
        <v>57</v>
      </c>
      <c r="K86" s="359">
        <v>17697</v>
      </c>
      <c r="L86" s="359"/>
      <c r="M86" s="359">
        <v>0.5</v>
      </c>
      <c r="N86" s="359"/>
      <c r="O86" s="359">
        <v>4.43</v>
      </c>
      <c r="P86" s="359"/>
      <c r="Q86" s="360">
        <f>O86*K86*M86</f>
        <v>39198.854999999996</v>
      </c>
      <c r="R86" s="388"/>
      <c r="S86" s="359"/>
      <c r="T86" s="359">
        <v>0.1</v>
      </c>
      <c r="U86" s="360">
        <f>ROUND(Q86*T86,2)</f>
        <v>3919.89</v>
      </c>
      <c r="V86" s="383"/>
      <c r="W86" s="359"/>
      <c r="X86" s="406">
        <f>Q86+S86+U86</f>
        <v>43118.744999999995</v>
      </c>
      <c r="Y86" s="406">
        <f t="shared" si="14"/>
        <v>0</v>
      </c>
      <c r="Z86" s="406">
        <f t="shared" si="15"/>
        <v>0</v>
      </c>
    </row>
    <row r="87" spans="1:26" s="377" customFormat="1" ht="17.25" customHeight="1">
      <c r="A87" s="379">
        <v>22</v>
      </c>
      <c r="B87" s="507" t="s">
        <v>386</v>
      </c>
      <c r="C87" s="507" t="s">
        <v>99</v>
      </c>
      <c r="D87" s="508" t="s">
        <v>25</v>
      </c>
      <c r="E87" s="515" t="s">
        <v>387</v>
      </c>
      <c r="F87" s="515" t="s">
        <v>34</v>
      </c>
      <c r="G87" s="509" t="s">
        <v>156</v>
      </c>
      <c r="H87" s="382" t="s">
        <v>102</v>
      </c>
      <c r="I87" s="382" t="s">
        <v>103</v>
      </c>
      <c r="J87" s="474">
        <v>1</v>
      </c>
      <c r="K87" s="359">
        <v>17697</v>
      </c>
      <c r="L87" s="472">
        <v>18</v>
      </c>
      <c r="M87" s="359">
        <f t="shared" ref="M87:M118" si="16">L87/18</f>
        <v>1</v>
      </c>
      <c r="N87" s="473" t="s">
        <v>104</v>
      </c>
      <c r="O87" s="473">
        <v>4.75</v>
      </c>
      <c r="P87" s="473"/>
      <c r="Q87" s="360">
        <f t="shared" ref="Q87:Q118" si="17">O87*K87/18*L87</f>
        <v>84060.75</v>
      </c>
      <c r="R87" s="388"/>
      <c r="S87" s="359"/>
      <c r="T87" s="359">
        <v>0.1</v>
      </c>
      <c r="U87" s="360">
        <f>T87*Q87</f>
        <v>8406.0750000000007</v>
      </c>
      <c r="V87" s="383"/>
      <c r="W87" s="359"/>
      <c r="X87" s="406">
        <f t="shared" ref="X87:X118" si="18">U87+Q87</f>
        <v>92466.824999999997</v>
      </c>
      <c r="Y87" s="406"/>
      <c r="Z87" s="406"/>
    </row>
    <row r="88" spans="1:26" s="377" customFormat="1" ht="17.25" customHeight="1">
      <c r="A88" s="379">
        <v>22</v>
      </c>
      <c r="B88" s="463" t="s">
        <v>439</v>
      </c>
      <c r="C88" s="392" t="s">
        <v>99</v>
      </c>
      <c r="D88" s="382"/>
      <c r="E88" s="464" t="s">
        <v>440</v>
      </c>
      <c r="F88" s="464" t="s">
        <v>159</v>
      </c>
      <c r="G88" s="465">
        <v>1</v>
      </c>
      <c r="H88" s="466" t="s">
        <v>102</v>
      </c>
      <c r="I88" s="466" t="s">
        <v>118</v>
      </c>
      <c r="J88" s="467">
        <v>4</v>
      </c>
      <c r="K88" s="359">
        <v>17697</v>
      </c>
      <c r="L88" s="468">
        <v>6</v>
      </c>
      <c r="M88" s="359">
        <f t="shared" si="16"/>
        <v>0.33333333333333331</v>
      </c>
      <c r="N88" s="467" t="s">
        <v>385</v>
      </c>
      <c r="O88" s="408">
        <v>3.32</v>
      </c>
      <c r="P88" s="408"/>
      <c r="Q88" s="360">
        <f t="shared" si="17"/>
        <v>19584.679999999997</v>
      </c>
      <c r="R88" s="388"/>
      <c r="S88" s="359"/>
      <c r="T88" s="359">
        <v>0.1</v>
      </c>
      <c r="U88" s="360">
        <f>Q88*T88</f>
        <v>1958.4679999999998</v>
      </c>
      <c r="V88" s="383"/>
      <c r="W88" s="359"/>
      <c r="X88" s="406">
        <f t="shared" si="18"/>
        <v>21543.147999999997</v>
      </c>
      <c r="Y88" s="406">
        <f t="shared" ref="Y88:Z91" si="19">V88+R88</f>
        <v>0</v>
      </c>
      <c r="Z88" s="406">
        <f t="shared" si="19"/>
        <v>0</v>
      </c>
    </row>
    <row r="89" spans="1:26" s="377" customFormat="1" ht="17.25" customHeight="1">
      <c r="A89" s="379">
        <v>23</v>
      </c>
      <c r="B89" s="384" t="s">
        <v>157</v>
      </c>
      <c r="C89" s="392" t="s">
        <v>99</v>
      </c>
      <c r="D89" s="382" t="s">
        <v>25</v>
      </c>
      <c r="E89" s="470" t="s">
        <v>158</v>
      </c>
      <c r="F89" s="470" t="s">
        <v>159</v>
      </c>
      <c r="G89" s="379">
        <v>1</v>
      </c>
      <c r="H89" s="382" t="s">
        <v>102</v>
      </c>
      <c r="I89" s="382" t="s">
        <v>118</v>
      </c>
      <c r="J89" s="474">
        <v>4</v>
      </c>
      <c r="K89" s="359">
        <v>17697</v>
      </c>
      <c r="L89" s="472">
        <v>18</v>
      </c>
      <c r="M89" s="359">
        <f t="shared" si="16"/>
        <v>1</v>
      </c>
      <c r="N89" s="467" t="s">
        <v>112</v>
      </c>
      <c r="O89" s="473">
        <v>3.36</v>
      </c>
      <c r="P89" s="473"/>
      <c r="Q89" s="360">
        <f t="shared" si="17"/>
        <v>59461.919999999998</v>
      </c>
      <c r="R89" s="388"/>
      <c r="S89" s="359"/>
      <c r="T89" s="359">
        <v>0.1</v>
      </c>
      <c r="U89" s="360">
        <f>T89*Q89</f>
        <v>5946.192</v>
      </c>
      <c r="V89" s="383"/>
      <c r="W89" s="359"/>
      <c r="X89" s="406">
        <f t="shared" si="18"/>
        <v>65408.112000000001</v>
      </c>
      <c r="Y89" s="406">
        <f t="shared" si="19"/>
        <v>0</v>
      </c>
      <c r="Z89" s="406">
        <f t="shared" si="19"/>
        <v>0</v>
      </c>
    </row>
    <row r="90" spans="1:26" s="377" customFormat="1" ht="17.25" customHeight="1">
      <c r="A90" s="379">
        <v>23</v>
      </c>
      <c r="B90" s="463" t="s">
        <v>388</v>
      </c>
      <c r="C90" s="392" t="s">
        <v>99</v>
      </c>
      <c r="D90" s="382" t="s">
        <v>189</v>
      </c>
      <c r="E90" s="464" t="s">
        <v>390</v>
      </c>
      <c r="F90" s="464" t="s">
        <v>34</v>
      </c>
      <c r="G90" s="465">
        <v>1</v>
      </c>
      <c r="H90" s="466" t="s">
        <v>102</v>
      </c>
      <c r="I90" s="466" t="s">
        <v>103</v>
      </c>
      <c r="J90" s="467">
        <v>1</v>
      </c>
      <c r="K90" s="359">
        <v>17697</v>
      </c>
      <c r="L90" s="468">
        <v>9</v>
      </c>
      <c r="M90" s="359">
        <f t="shared" si="16"/>
        <v>0.5</v>
      </c>
      <c r="N90" s="467" t="s">
        <v>389</v>
      </c>
      <c r="O90" s="408">
        <v>4.75</v>
      </c>
      <c r="P90" s="408"/>
      <c r="Q90" s="360">
        <f t="shared" si="17"/>
        <v>42030.375</v>
      </c>
      <c r="R90" s="388"/>
      <c r="S90" s="359"/>
      <c r="T90" s="359">
        <v>0.1</v>
      </c>
      <c r="U90" s="360">
        <f>Q90*T90</f>
        <v>4203.0375000000004</v>
      </c>
      <c r="V90" s="383"/>
      <c r="W90" s="359"/>
      <c r="X90" s="406">
        <f t="shared" si="18"/>
        <v>46233.412499999999</v>
      </c>
      <c r="Y90" s="406">
        <f t="shared" si="19"/>
        <v>0</v>
      </c>
      <c r="Z90" s="406">
        <f t="shared" si="19"/>
        <v>0</v>
      </c>
    </row>
    <row r="91" spans="1:26" s="377" customFormat="1" ht="17.25" customHeight="1">
      <c r="A91" s="379">
        <v>24</v>
      </c>
      <c r="B91" s="384" t="s">
        <v>160</v>
      </c>
      <c r="C91" s="392" t="s">
        <v>148</v>
      </c>
      <c r="D91" s="382" t="s">
        <v>25</v>
      </c>
      <c r="E91" s="470" t="s">
        <v>161</v>
      </c>
      <c r="F91" s="470" t="s">
        <v>34</v>
      </c>
      <c r="G91" s="379">
        <v>1</v>
      </c>
      <c r="H91" s="382" t="s">
        <v>102</v>
      </c>
      <c r="I91" s="382" t="s">
        <v>103</v>
      </c>
      <c r="J91" s="471">
        <v>2</v>
      </c>
      <c r="K91" s="359">
        <v>17697</v>
      </c>
      <c r="L91" s="472">
        <v>23</v>
      </c>
      <c r="M91" s="359">
        <f t="shared" si="16"/>
        <v>1.2777777777777777</v>
      </c>
      <c r="N91" s="473" t="s">
        <v>109</v>
      </c>
      <c r="O91" s="473">
        <v>4.51</v>
      </c>
      <c r="P91" s="473"/>
      <c r="Q91" s="360">
        <f t="shared" si="17"/>
        <v>101983.87833333334</v>
      </c>
      <c r="R91" s="388"/>
      <c r="S91" s="359"/>
      <c r="T91" s="359">
        <v>0.1</v>
      </c>
      <c r="U91" s="360">
        <f t="shared" ref="U91:U118" si="20">T91*Q91</f>
        <v>10198.387833333334</v>
      </c>
      <c r="V91" s="383"/>
      <c r="W91" s="359"/>
      <c r="X91" s="406">
        <f t="shared" si="18"/>
        <v>112182.26616666667</v>
      </c>
      <c r="Y91" s="406">
        <f t="shared" si="19"/>
        <v>0</v>
      </c>
      <c r="Z91" s="406">
        <f t="shared" si="19"/>
        <v>0</v>
      </c>
    </row>
    <row r="92" spans="1:26" s="377" customFormat="1" ht="17.25" customHeight="1">
      <c r="A92" s="379">
        <v>25</v>
      </c>
      <c r="B92" s="384" t="s">
        <v>162</v>
      </c>
      <c r="C92" s="392" t="s">
        <v>99</v>
      </c>
      <c r="D92" s="382" t="s">
        <v>64</v>
      </c>
      <c r="E92" s="470" t="s">
        <v>163</v>
      </c>
      <c r="F92" s="470" t="s">
        <v>164</v>
      </c>
      <c r="G92" s="379">
        <v>1</v>
      </c>
      <c r="H92" s="382" t="s">
        <v>102</v>
      </c>
      <c r="I92" s="382" t="s">
        <v>103</v>
      </c>
      <c r="J92" s="474">
        <v>4</v>
      </c>
      <c r="K92" s="359">
        <v>17697</v>
      </c>
      <c r="L92" s="472">
        <v>10</v>
      </c>
      <c r="M92" s="359">
        <f t="shared" si="16"/>
        <v>0.55555555555555558</v>
      </c>
      <c r="N92" s="459" t="s">
        <v>165</v>
      </c>
      <c r="O92" s="473">
        <v>3.71</v>
      </c>
      <c r="P92" s="473"/>
      <c r="Q92" s="360">
        <f t="shared" si="17"/>
        <v>36475.48333333333</v>
      </c>
      <c r="R92" s="388"/>
      <c r="S92" s="359"/>
      <c r="T92" s="359">
        <v>0.1</v>
      </c>
      <c r="U92" s="360">
        <f t="shared" si="20"/>
        <v>3647.5483333333332</v>
      </c>
      <c r="V92" s="383"/>
      <c r="W92" s="359"/>
      <c r="X92" s="406">
        <f t="shared" si="18"/>
        <v>40123.031666666662</v>
      </c>
      <c r="Y92" s="406"/>
      <c r="Z92" s="406"/>
    </row>
    <row r="93" spans="1:26" s="377" customFormat="1" ht="17.25" customHeight="1">
      <c r="A93" s="379">
        <v>26</v>
      </c>
      <c r="B93" s="384" t="s">
        <v>166</v>
      </c>
      <c r="C93" s="392" t="s">
        <v>99</v>
      </c>
      <c r="D93" s="382" t="s">
        <v>25</v>
      </c>
      <c r="E93" s="470" t="s">
        <v>167</v>
      </c>
      <c r="F93" s="470" t="s">
        <v>73</v>
      </c>
      <c r="G93" s="379">
        <v>1</v>
      </c>
      <c r="H93" s="382" t="s">
        <v>102</v>
      </c>
      <c r="I93" s="382" t="s">
        <v>103</v>
      </c>
      <c r="J93" s="474">
        <v>1</v>
      </c>
      <c r="K93" s="359">
        <v>17697</v>
      </c>
      <c r="L93" s="472">
        <v>33</v>
      </c>
      <c r="M93" s="359">
        <f t="shared" si="16"/>
        <v>1.8333333333333333</v>
      </c>
      <c r="N93" s="473" t="s">
        <v>109</v>
      </c>
      <c r="O93" s="473">
        <v>4.42</v>
      </c>
      <c r="P93" s="473"/>
      <c r="Q93" s="360">
        <f t="shared" si="17"/>
        <v>143404.69000000003</v>
      </c>
      <c r="R93" s="388"/>
      <c r="S93" s="359"/>
      <c r="T93" s="359">
        <v>0.1</v>
      </c>
      <c r="U93" s="360">
        <f t="shared" si="20"/>
        <v>14340.469000000005</v>
      </c>
      <c r="V93" s="383"/>
      <c r="W93" s="359"/>
      <c r="X93" s="406">
        <f t="shared" si="18"/>
        <v>157745.15900000004</v>
      </c>
      <c r="Y93" s="406">
        <f t="shared" ref="Y93:Z98" si="21">V93+R93</f>
        <v>0</v>
      </c>
      <c r="Z93" s="406">
        <f t="shared" si="21"/>
        <v>0</v>
      </c>
    </row>
    <row r="94" spans="1:26" s="377" customFormat="1" ht="17.25" customHeight="1">
      <c r="A94" s="379">
        <v>27</v>
      </c>
      <c r="B94" s="384" t="s">
        <v>168</v>
      </c>
      <c r="C94" s="392" t="s">
        <v>99</v>
      </c>
      <c r="D94" s="382" t="s">
        <v>25</v>
      </c>
      <c r="E94" s="470" t="s">
        <v>169</v>
      </c>
      <c r="F94" s="470" t="s">
        <v>73</v>
      </c>
      <c r="G94" s="379">
        <v>1</v>
      </c>
      <c r="H94" s="382" t="s">
        <v>102</v>
      </c>
      <c r="I94" s="382" t="s">
        <v>103</v>
      </c>
      <c r="J94" s="474">
        <v>3</v>
      </c>
      <c r="K94" s="359">
        <v>17697</v>
      </c>
      <c r="L94" s="472">
        <v>29</v>
      </c>
      <c r="M94" s="359">
        <f t="shared" si="16"/>
        <v>1.6111111111111112</v>
      </c>
      <c r="N94" s="473" t="s">
        <v>109</v>
      </c>
      <c r="O94" s="473">
        <v>4.1399999999999997</v>
      </c>
      <c r="P94" s="473"/>
      <c r="Q94" s="360">
        <f t="shared" si="17"/>
        <v>118038.98999999999</v>
      </c>
      <c r="R94" s="388"/>
      <c r="S94" s="359"/>
      <c r="T94" s="359">
        <v>0.1</v>
      </c>
      <c r="U94" s="360">
        <f t="shared" si="20"/>
        <v>11803.898999999999</v>
      </c>
      <c r="V94" s="383"/>
      <c r="W94" s="359"/>
      <c r="X94" s="406">
        <f t="shared" si="18"/>
        <v>129842.889</v>
      </c>
      <c r="Y94" s="406">
        <f t="shared" si="21"/>
        <v>0</v>
      </c>
      <c r="Z94" s="406">
        <f t="shared" si="21"/>
        <v>0</v>
      </c>
    </row>
    <row r="95" spans="1:26" s="377" customFormat="1" ht="17.25" customHeight="1">
      <c r="A95" s="379">
        <v>28</v>
      </c>
      <c r="B95" s="384" t="s">
        <v>89</v>
      </c>
      <c r="C95" s="392" t="s">
        <v>170</v>
      </c>
      <c r="D95" s="382" t="s">
        <v>25</v>
      </c>
      <c r="E95" s="470"/>
      <c r="F95" s="470"/>
      <c r="G95" s="379">
        <v>1</v>
      </c>
      <c r="H95" s="382" t="s">
        <v>102</v>
      </c>
      <c r="I95" s="382" t="s">
        <v>103</v>
      </c>
      <c r="J95" s="474">
        <v>3</v>
      </c>
      <c r="K95" s="359">
        <v>17697</v>
      </c>
      <c r="L95" s="472">
        <v>22</v>
      </c>
      <c r="M95" s="359">
        <f t="shared" si="16"/>
        <v>1.2222222222222223</v>
      </c>
      <c r="N95" s="473" t="s">
        <v>109</v>
      </c>
      <c r="O95" s="473">
        <v>4.1399999999999997</v>
      </c>
      <c r="P95" s="473"/>
      <c r="Q95" s="360">
        <f t="shared" si="17"/>
        <v>89546.819999999992</v>
      </c>
      <c r="R95" s="388"/>
      <c r="S95" s="359"/>
      <c r="T95" s="359">
        <v>0.1</v>
      </c>
      <c r="U95" s="360">
        <f t="shared" si="20"/>
        <v>8954.6819999999989</v>
      </c>
      <c r="V95" s="383"/>
      <c r="W95" s="359"/>
      <c r="X95" s="406">
        <f t="shared" si="18"/>
        <v>98501.501999999993</v>
      </c>
      <c r="Y95" s="406">
        <f t="shared" si="21"/>
        <v>0</v>
      </c>
      <c r="Z95" s="406">
        <f t="shared" si="21"/>
        <v>0</v>
      </c>
    </row>
    <row r="96" spans="1:26" s="377" customFormat="1" ht="17.25" customHeight="1">
      <c r="A96" s="379">
        <v>29</v>
      </c>
      <c r="B96" s="384" t="s">
        <v>171</v>
      </c>
      <c r="C96" s="392" t="s">
        <v>99</v>
      </c>
      <c r="D96" s="382" t="s">
        <v>25</v>
      </c>
      <c r="E96" s="470" t="s">
        <v>172</v>
      </c>
      <c r="F96" s="470" t="s">
        <v>34</v>
      </c>
      <c r="G96" s="379">
        <v>1</v>
      </c>
      <c r="H96" s="382" t="s">
        <v>102</v>
      </c>
      <c r="I96" s="382" t="s">
        <v>103</v>
      </c>
      <c r="J96" s="474">
        <v>1</v>
      </c>
      <c r="K96" s="359">
        <v>17697</v>
      </c>
      <c r="L96" s="472">
        <v>36</v>
      </c>
      <c r="M96" s="359">
        <f t="shared" si="16"/>
        <v>2</v>
      </c>
      <c r="N96" s="473" t="s">
        <v>129</v>
      </c>
      <c r="O96" s="473">
        <v>4.75</v>
      </c>
      <c r="P96" s="473"/>
      <c r="Q96" s="360">
        <f t="shared" si="17"/>
        <v>168121.5</v>
      </c>
      <c r="R96" s="388"/>
      <c r="S96" s="359"/>
      <c r="T96" s="359">
        <v>0.1</v>
      </c>
      <c r="U96" s="360">
        <f t="shared" si="20"/>
        <v>16812.150000000001</v>
      </c>
      <c r="V96" s="383"/>
      <c r="W96" s="359"/>
      <c r="X96" s="406">
        <f t="shared" si="18"/>
        <v>184933.65</v>
      </c>
      <c r="Y96" s="406">
        <f t="shared" si="21"/>
        <v>0</v>
      </c>
      <c r="Z96" s="406">
        <f t="shared" si="21"/>
        <v>0</v>
      </c>
    </row>
    <row r="97" spans="1:26" s="377" customFormat="1" ht="17.25" customHeight="1">
      <c r="A97" s="379">
        <v>30</v>
      </c>
      <c r="B97" s="440" t="s">
        <v>173</v>
      </c>
      <c r="C97" s="441" t="s">
        <v>99</v>
      </c>
      <c r="D97" s="370" t="s">
        <v>25</v>
      </c>
      <c r="E97" s="504" t="s">
        <v>174</v>
      </c>
      <c r="F97" s="504" t="s">
        <v>101</v>
      </c>
      <c r="G97" s="426">
        <v>1</v>
      </c>
      <c r="H97" s="370" t="s">
        <v>102</v>
      </c>
      <c r="I97" s="370" t="s">
        <v>103</v>
      </c>
      <c r="J97" s="505">
        <v>1</v>
      </c>
      <c r="K97" s="373">
        <v>17697</v>
      </c>
      <c r="L97" s="506">
        <v>34.5</v>
      </c>
      <c r="M97" s="359">
        <f t="shared" si="16"/>
        <v>1.9166666666666667</v>
      </c>
      <c r="N97" s="485" t="s">
        <v>152</v>
      </c>
      <c r="O97" s="529">
        <v>4.55</v>
      </c>
      <c r="P97" s="529"/>
      <c r="Q97" s="438">
        <f t="shared" si="17"/>
        <v>154332.58749999999</v>
      </c>
      <c r="R97" s="439"/>
      <c r="S97" s="373"/>
      <c r="T97" s="373">
        <v>0.1</v>
      </c>
      <c r="U97" s="438">
        <f t="shared" si="20"/>
        <v>15433.258750000001</v>
      </c>
      <c r="V97" s="372"/>
      <c r="W97" s="373"/>
      <c r="X97" s="437">
        <f t="shared" si="18"/>
        <v>169765.84625</v>
      </c>
      <c r="Y97" s="437">
        <f t="shared" si="21"/>
        <v>0</v>
      </c>
      <c r="Z97" s="437">
        <f t="shared" si="21"/>
        <v>0</v>
      </c>
    </row>
    <row r="98" spans="1:26" s="486" customFormat="1" ht="17.25" customHeight="1">
      <c r="A98" s="379">
        <v>31</v>
      </c>
      <c r="B98" s="384" t="s">
        <v>175</v>
      </c>
      <c r="C98" s="392" t="s">
        <v>99</v>
      </c>
      <c r="D98" s="382" t="s">
        <v>25</v>
      </c>
      <c r="E98" s="470" t="s">
        <v>176</v>
      </c>
      <c r="F98" s="470" t="s">
        <v>114</v>
      </c>
      <c r="G98" s="379">
        <v>1</v>
      </c>
      <c r="H98" s="382" t="s">
        <v>102</v>
      </c>
      <c r="I98" s="382" t="s">
        <v>103</v>
      </c>
      <c r="J98" s="474">
        <v>1</v>
      </c>
      <c r="K98" s="359">
        <v>17697</v>
      </c>
      <c r="L98" s="472">
        <v>9</v>
      </c>
      <c r="M98" s="359">
        <f t="shared" si="16"/>
        <v>0.5</v>
      </c>
      <c r="N98" s="473" t="s">
        <v>152</v>
      </c>
      <c r="O98" s="473">
        <v>4.75</v>
      </c>
      <c r="P98" s="473"/>
      <c r="Q98" s="360">
        <f t="shared" si="17"/>
        <v>42030.375</v>
      </c>
      <c r="R98" s="388"/>
      <c r="S98" s="359"/>
      <c r="T98" s="359">
        <v>0.1</v>
      </c>
      <c r="U98" s="360">
        <f t="shared" si="20"/>
        <v>4203.0375000000004</v>
      </c>
      <c r="V98" s="383"/>
      <c r="W98" s="359"/>
      <c r="X98" s="406">
        <f t="shared" si="18"/>
        <v>46233.412499999999</v>
      </c>
      <c r="Y98" s="406">
        <f t="shared" si="21"/>
        <v>0</v>
      </c>
      <c r="Z98" s="406">
        <f t="shared" si="21"/>
        <v>0</v>
      </c>
    </row>
    <row r="99" spans="1:26" s="375" customFormat="1" ht="17.25" customHeight="1">
      <c r="A99" s="379">
        <v>32</v>
      </c>
      <c r="B99" s="384" t="s">
        <v>177</v>
      </c>
      <c r="C99" s="392" t="s">
        <v>99</v>
      </c>
      <c r="D99" s="382" t="s">
        <v>178</v>
      </c>
      <c r="E99" s="470" t="s">
        <v>179</v>
      </c>
      <c r="F99" s="470" t="s">
        <v>93</v>
      </c>
      <c r="G99" s="379">
        <v>1</v>
      </c>
      <c r="H99" s="382" t="s">
        <v>102</v>
      </c>
      <c r="I99" s="382" t="s">
        <v>103</v>
      </c>
      <c r="J99" s="474">
        <v>2</v>
      </c>
      <c r="K99" s="359">
        <v>17697</v>
      </c>
      <c r="L99" s="472">
        <v>26</v>
      </c>
      <c r="M99" s="359">
        <f t="shared" si="16"/>
        <v>1.4444444444444444</v>
      </c>
      <c r="N99" s="473" t="s">
        <v>109</v>
      </c>
      <c r="O99" s="473">
        <v>4.4400000000000004</v>
      </c>
      <c r="P99" s="473"/>
      <c r="Q99" s="360">
        <f t="shared" si="17"/>
        <v>113496.76000000001</v>
      </c>
      <c r="R99" s="388"/>
      <c r="S99" s="359"/>
      <c r="T99" s="359">
        <v>0.1</v>
      </c>
      <c r="U99" s="360">
        <f t="shared" si="20"/>
        <v>11349.676000000001</v>
      </c>
      <c r="V99" s="383"/>
      <c r="W99" s="359"/>
      <c r="X99" s="406">
        <f t="shared" si="18"/>
        <v>124846.43600000002</v>
      </c>
      <c r="Y99" s="406"/>
      <c r="Z99" s="406"/>
    </row>
    <row r="100" spans="1:26" s="375" customFormat="1" ht="17.25" customHeight="1">
      <c r="A100" s="379">
        <v>33</v>
      </c>
      <c r="B100" s="492" t="s">
        <v>448</v>
      </c>
      <c r="C100" s="392" t="s">
        <v>99</v>
      </c>
      <c r="D100" s="382" t="s">
        <v>75</v>
      </c>
      <c r="E100" s="470" t="s">
        <v>449</v>
      </c>
      <c r="F100" s="470" t="s">
        <v>159</v>
      </c>
      <c r="G100" s="379">
        <v>1</v>
      </c>
      <c r="H100" s="382" t="s">
        <v>102</v>
      </c>
      <c r="I100" s="382" t="s">
        <v>118</v>
      </c>
      <c r="J100" s="474">
        <v>4</v>
      </c>
      <c r="K100" s="359">
        <v>17697</v>
      </c>
      <c r="L100" s="472">
        <v>14</v>
      </c>
      <c r="M100" s="359">
        <f t="shared" si="16"/>
        <v>0.77777777777777779</v>
      </c>
      <c r="N100" s="473" t="s">
        <v>385</v>
      </c>
      <c r="O100" s="473">
        <v>3.32</v>
      </c>
      <c r="P100" s="473"/>
      <c r="Q100" s="360">
        <f t="shared" si="17"/>
        <v>45697.586666666655</v>
      </c>
      <c r="R100" s="388"/>
      <c r="S100" s="359"/>
      <c r="T100" s="359">
        <v>0.1</v>
      </c>
      <c r="U100" s="360">
        <f t="shared" si="20"/>
        <v>4569.7586666666657</v>
      </c>
      <c r="V100" s="383"/>
      <c r="W100" s="359"/>
      <c r="X100" s="406">
        <f t="shared" si="18"/>
        <v>50267.345333333324</v>
      </c>
      <c r="Y100" s="406">
        <f t="shared" ref="Y100:Z107" si="22">V100+R100</f>
        <v>0</v>
      </c>
      <c r="Z100" s="406">
        <f t="shared" si="22"/>
        <v>0</v>
      </c>
    </row>
    <row r="101" spans="1:26" s="377" customFormat="1" ht="17.25" customHeight="1">
      <c r="A101" s="395">
        <v>34</v>
      </c>
      <c r="B101" s="394" t="s">
        <v>182</v>
      </c>
      <c r="C101" s="487" t="s">
        <v>99</v>
      </c>
      <c r="D101" s="399" t="s">
        <v>25</v>
      </c>
      <c r="E101" s="516" t="s">
        <v>183</v>
      </c>
      <c r="F101" s="516" t="s">
        <v>93</v>
      </c>
      <c r="G101" s="395">
        <v>1</v>
      </c>
      <c r="H101" s="399" t="s">
        <v>102</v>
      </c>
      <c r="I101" s="399" t="s">
        <v>103</v>
      </c>
      <c r="J101" s="519">
        <v>1</v>
      </c>
      <c r="K101" s="361">
        <v>17697</v>
      </c>
      <c r="L101" s="488">
        <v>35</v>
      </c>
      <c r="M101" s="361">
        <f t="shared" si="16"/>
        <v>1.9444444444444444</v>
      </c>
      <c r="N101" s="475" t="s">
        <v>152</v>
      </c>
      <c r="O101" s="475">
        <v>4.6900000000000004</v>
      </c>
      <c r="P101" s="475"/>
      <c r="Q101" s="456">
        <f t="shared" si="17"/>
        <v>161386.80833333335</v>
      </c>
      <c r="R101" s="402"/>
      <c r="S101" s="361"/>
      <c r="T101" s="361">
        <v>0.1</v>
      </c>
      <c r="U101" s="456">
        <f t="shared" si="20"/>
        <v>16138.680833333336</v>
      </c>
      <c r="V101" s="403"/>
      <c r="W101" s="361"/>
      <c r="X101" s="363">
        <f t="shared" si="18"/>
        <v>177525.4891666667</v>
      </c>
      <c r="Y101" s="363">
        <f t="shared" si="22"/>
        <v>0</v>
      </c>
      <c r="Z101" s="363">
        <f t="shared" si="22"/>
        <v>0</v>
      </c>
    </row>
    <row r="102" spans="1:26" s="377" customFormat="1" ht="17.25" customHeight="1">
      <c r="A102" s="395">
        <v>35</v>
      </c>
      <c r="B102" s="384" t="s">
        <v>184</v>
      </c>
      <c r="C102" s="392" t="s">
        <v>99</v>
      </c>
      <c r="D102" s="382" t="s">
        <v>25</v>
      </c>
      <c r="E102" s="470" t="s">
        <v>185</v>
      </c>
      <c r="F102" s="470" t="s">
        <v>27</v>
      </c>
      <c r="G102" s="379">
        <v>1</v>
      </c>
      <c r="H102" s="382" t="s">
        <v>102</v>
      </c>
      <c r="I102" s="382" t="s">
        <v>103</v>
      </c>
      <c r="J102" s="474">
        <v>1</v>
      </c>
      <c r="K102" s="359">
        <v>17697</v>
      </c>
      <c r="L102" s="472">
        <v>31</v>
      </c>
      <c r="M102" s="359">
        <f t="shared" si="16"/>
        <v>1.7222222222222223</v>
      </c>
      <c r="N102" s="473" t="s">
        <v>129</v>
      </c>
      <c r="O102" s="473">
        <v>4.75</v>
      </c>
      <c r="P102" s="473"/>
      <c r="Q102" s="360">
        <f t="shared" si="17"/>
        <v>144771.29166666669</v>
      </c>
      <c r="R102" s="388"/>
      <c r="S102" s="359"/>
      <c r="T102" s="359">
        <v>0.1</v>
      </c>
      <c r="U102" s="360">
        <f t="shared" si="20"/>
        <v>14477.129166666669</v>
      </c>
      <c r="V102" s="383"/>
      <c r="W102" s="359"/>
      <c r="X102" s="406">
        <f t="shared" si="18"/>
        <v>159248.42083333337</v>
      </c>
      <c r="Y102" s="406">
        <f t="shared" si="22"/>
        <v>0</v>
      </c>
      <c r="Z102" s="406">
        <f t="shared" si="22"/>
        <v>0</v>
      </c>
    </row>
    <row r="103" spans="1:26" s="377" customFormat="1" ht="16.5" customHeight="1">
      <c r="A103" s="395">
        <v>36</v>
      </c>
      <c r="B103" s="384" t="s">
        <v>186</v>
      </c>
      <c r="C103" s="392" t="s">
        <v>99</v>
      </c>
      <c r="D103" s="382" t="s">
        <v>25</v>
      </c>
      <c r="E103" s="470" t="s">
        <v>187</v>
      </c>
      <c r="F103" s="470" t="s">
        <v>27</v>
      </c>
      <c r="G103" s="379">
        <v>1</v>
      </c>
      <c r="H103" s="382" t="s">
        <v>102</v>
      </c>
      <c r="I103" s="382" t="s">
        <v>103</v>
      </c>
      <c r="J103" s="474">
        <v>1</v>
      </c>
      <c r="K103" s="359">
        <v>17697</v>
      </c>
      <c r="L103" s="472">
        <v>23</v>
      </c>
      <c r="M103" s="359">
        <f t="shared" si="16"/>
        <v>1.2777777777777777</v>
      </c>
      <c r="N103" s="473" t="s">
        <v>129</v>
      </c>
      <c r="O103" s="473">
        <v>4.75</v>
      </c>
      <c r="P103" s="473"/>
      <c r="Q103" s="360">
        <f t="shared" si="17"/>
        <v>107410.95833333334</v>
      </c>
      <c r="R103" s="388"/>
      <c r="S103" s="359"/>
      <c r="T103" s="359">
        <v>0.1</v>
      </c>
      <c r="U103" s="360">
        <f t="shared" si="20"/>
        <v>10741.095833333335</v>
      </c>
      <c r="V103" s="383"/>
      <c r="W103" s="359"/>
      <c r="X103" s="406">
        <f t="shared" si="18"/>
        <v>118152.05416666668</v>
      </c>
      <c r="Y103" s="406">
        <f t="shared" si="22"/>
        <v>0</v>
      </c>
      <c r="Z103" s="406">
        <f t="shared" si="22"/>
        <v>0</v>
      </c>
    </row>
    <row r="104" spans="1:26" s="377" customFormat="1" ht="17.25" customHeight="1">
      <c r="A104" s="395">
        <v>37</v>
      </c>
      <c r="B104" s="430" t="s">
        <v>188</v>
      </c>
      <c r="C104" s="493" t="s">
        <v>99</v>
      </c>
      <c r="D104" s="494" t="s">
        <v>25</v>
      </c>
      <c r="E104" s="495" t="s">
        <v>190</v>
      </c>
      <c r="F104" s="496" t="s">
        <v>51</v>
      </c>
      <c r="G104" s="431">
        <v>1</v>
      </c>
      <c r="H104" s="494" t="s">
        <v>102</v>
      </c>
      <c r="I104" s="494" t="s">
        <v>103</v>
      </c>
      <c r="J104" s="474">
        <v>1</v>
      </c>
      <c r="K104" s="446">
        <v>17697</v>
      </c>
      <c r="L104" s="497">
        <v>36</v>
      </c>
      <c r="M104" s="359">
        <f t="shared" si="16"/>
        <v>2</v>
      </c>
      <c r="N104" s="498" t="s">
        <v>453</v>
      </c>
      <c r="O104" s="498">
        <v>4.6900000000000004</v>
      </c>
      <c r="P104" s="498"/>
      <c r="Q104" s="499">
        <f t="shared" si="17"/>
        <v>165997.86000000002</v>
      </c>
      <c r="R104" s="500"/>
      <c r="S104" s="446"/>
      <c r="T104" s="446">
        <v>0.1</v>
      </c>
      <c r="U104" s="499">
        <f t="shared" si="20"/>
        <v>16599.786000000004</v>
      </c>
      <c r="V104" s="501"/>
      <c r="W104" s="446"/>
      <c r="X104" s="502">
        <f t="shared" si="18"/>
        <v>182597.64600000001</v>
      </c>
      <c r="Y104" s="406">
        <f t="shared" si="22"/>
        <v>0</v>
      </c>
      <c r="Z104" s="406">
        <f t="shared" si="22"/>
        <v>0</v>
      </c>
    </row>
    <row r="105" spans="1:26" s="377" customFormat="1" ht="17.25" customHeight="1">
      <c r="A105" s="395">
        <v>38</v>
      </c>
      <c r="B105" s="430" t="s">
        <v>450</v>
      </c>
      <c r="C105" s="493" t="s">
        <v>99</v>
      </c>
      <c r="D105" s="494" t="s">
        <v>25</v>
      </c>
      <c r="E105" s="495" t="s">
        <v>451</v>
      </c>
      <c r="F105" s="496" t="s">
        <v>34</v>
      </c>
      <c r="G105" s="431">
        <v>1</v>
      </c>
      <c r="H105" s="494" t="s">
        <v>102</v>
      </c>
      <c r="I105" s="494" t="s">
        <v>103</v>
      </c>
      <c r="J105" s="474">
        <v>1</v>
      </c>
      <c r="K105" s="446">
        <v>17697</v>
      </c>
      <c r="L105" s="497">
        <v>21</v>
      </c>
      <c r="M105" s="359">
        <f t="shared" si="16"/>
        <v>1.1666666666666667</v>
      </c>
      <c r="N105" s="498" t="s">
        <v>452</v>
      </c>
      <c r="O105" s="498">
        <v>4.75</v>
      </c>
      <c r="P105" s="498"/>
      <c r="Q105" s="499">
        <f t="shared" si="17"/>
        <v>98070.875</v>
      </c>
      <c r="R105" s="500"/>
      <c r="S105" s="446"/>
      <c r="T105" s="446">
        <v>0.1</v>
      </c>
      <c r="U105" s="499">
        <f t="shared" si="20"/>
        <v>9807.0874999999996</v>
      </c>
      <c r="V105" s="501"/>
      <c r="W105" s="446"/>
      <c r="X105" s="502">
        <f t="shared" si="18"/>
        <v>107877.96249999999</v>
      </c>
      <c r="Y105" s="406">
        <f t="shared" si="22"/>
        <v>0</v>
      </c>
      <c r="Z105" s="406">
        <f t="shared" si="22"/>
        <v>0</v>
      </c>
    </row>
    <row r="106" spans="1:26" s="377" customFormat="1" ht="17.25" customHeight="1">
      <c r="A106" s="395">
        <v>39</v>
      </c>
      <c r="B106" s="430" t="s">
        <v>454</v>
      </c>
      <c r="C106" s="493" t="s">
        <v>99</v>
      </c>
      <c r="D106" s="494" t="s">
        <v>189</v>
      </c>
      <c r="E106" s="495"/>
      <c r="F106" s="496"/>
      <c r="G106" s="431"/>
      <c r="H106" s="494" t="s">
        <v>102</v>
      </c>
      <c r="I106" s="494" t="s">
        <v>103</v>
      </c>
      <c r="J106" s="474">
        <v>4</v>
      </c>
      <c r="K106" s="446">
        <v>17697</v>
      </c>
      <c r="L106" s="497">
        <v>34</v>
      </c>
      <c r="M106" s="359">
        <f t="shared" si="16"/>
        <v>1.8888888888888888</v>
      </c>
      <c r="N106" s="498"/>
      <c r="O106" s="498">
        <v>3.64</v>
      </c>
      <c r="P106" s="498"/>
      <c r="Q106" s="499">
        <f t="shared" si="17"/>
        <v>121676.70666666668</v>
      </c>
      <c r="R106" s="500"/>
      <c r="S106" s="446"/>
      <c r="T106" s="446">
        <v>0.1</v>
      </c>
      <c r="U106" s="499">
        <f t="shared" si="20"/>
        <v>12167.670666666669</v>
      </c>
      <c r="V106" s="501"/>
      <c r="W106" s="446"/>
      <c r="X106" s="502">
        <f t="shared" si="18"/>
        <v>133844.37733333334</v>
      </c>
      <c r="Y106" s="406">
        <f t="shared" si="22"/>
        <v>0</v>
      </c>
      <c r="Z106" s="406">
        <f t="shared" si="22"/>
        <v>0</v>
      </c>
    </row>
    <row r="107" spans="1:26" s="377" customFormat="1" ht="17.25" customHeight="1">
      <c r="A107" s="395">
        <v>40</v>
      </c>
      <c r="B107" s="384" t="s">
        <v>191</v>
      </c>
      <c r="C107" s="392" t="s">
        <v>99</v>
      </c>
      <c r="D107" s="382" t="s">
        <v>25</v>
      </c>
      <c r="E107" s="476" t="s">
        <v>192</v>
      </c>
      <c r="F107" s="470" t="s">
        <v>73</v>
      </c>
      <c r="G107" s="379">
        <v>1</v>
      </c>
      <c r="H107" s="382" t="s">
        <v>102</v>
      </c>
      <c r="I107" s="382" t="s">
        <v>103</v>
      </c>
      <c r="J107" s="474">
        <v>2</v>
      </c>
      <c r="K107" s="359">
        <v>17697</v>
      </c>
      <c r="L107" s="472">
        <v>20</v>
      </c>
      <c r="M107" s="359">
        <f t="shared" si="16"/>
        <v>1.1111111111111112</v>
      </c>
      <c r="N107" s="473" t="s">
        <v>104</v>
      </c>
      <c r="O107" s="473">
        <v>4.16</v>
      </c>
      <c r="P107" s="473"/>
      <c r="Q107" s="360">
        <f t="shared" si="17"/>
        <v>81799.466666666674</v>
      </c>
      <c r="R107" s="388"/>
      <c r="S107" s="359"/>
      <c r="T107" s="359">
        <v>0.1</v>
      </c>
      <c r="U107" s="360">
        <f t="shared" si="20"/>
        <v>8179.9466666666676</v>
      </c>
      <c r="V107" s="383"/>
      <c r="W107" s="359"/>
      <c r="X107" s="502">
        <f t="shared" si="18"/>
        <v>89979.413333333345</v>
      </c>
      <c r="Y107" s="406">
        <f t="shared" si="22"/>
        <v>0</v>
      </c>
      <c r="Z107" s="406">
        <f t="shared" si="22"/>
        <v>0</v>
      </c>
    </row>
    <row r="108" spans="1:26" s="377" customFormat="1" ht="17.25" customHeight="1">
      <c r="A108" s="395">
        <v>41</v>
      </c>
      <c r="B108" s="384" t="s">
        <v>193</v>
      </c>
      <c r="C108" s="392" t="s">
        <v>99</v>
      </c>
      <c r="D108" s="382" t="s">
        <v>64</v>
      </c>
      <c r="E108" s="476" t="s">
        <v>194</v>
      </c>
      <c r="F108" s="470" t="s">
        <v>140</v>
      </c>
      <c r="G108" s="379">
        <v>1</v>
      </c>
      <c r="H108" s="382" t="s">
        <v>102</v>
      </c>
      <c r="I108" s="382" t="s">
        <v>118</v>
      </c>
      <c r="J108" s="474">
        <v>3</v>
      </c>
      <c r="K108" s="359">
        <v>17697</v>
      </c>
      <c r="L108" s="472">
        <v>31</v>
      </c>
      <c r="M108" s="359">
        <f t="shared" si="16"/>
        <v>1.7222222222222223</v>
      </c>
      <c r="N108" s="473" t="s">
        <v>109</v>
      </c>
      <c r="O108" s="473">
        <v>3.97</v>
      </c>
      <c r="P108" s="473"/>
      <c r="Q108" s="360">
        <f t="shared" si="17"/>
        <v>120998.32166666667</v>
      </c>
      <c r="R108" s="388"/>
      <c r="S108" s="359"/>
      <c r="T108" s="359">
        <v>0.1</v>
      </c>
      <c r="U108" s="360">
        <f t="shared" si="20"/>
        <v>12099.832166666667</v>
      </c>
      <c r="V108" s="383"/>
      <c r="W108" s="359"/>
      <c r="X108" s="406">
        <f t="shared" si="18"/>
        <v>133098.15383333334</v>
      </c>
      <c r="Y108" s="406"/>
      <c r="Z108" s="406"/>
    </row>
    <row r="109" spans="1:26" s="377" customFormat="1" ht="17.25" customHeight="1">
      <c r="A109" s="395">
        <v>42</v>
      </c>
      <c r="B109" s="384" t="s">
        <v>197</v>
      </c>
      <c r="C109" s="392" t="s">
        <v>99</v>
      </c>
      <c r="D109" s="382" t="s">
        <v>25</v>
      </c>
      <c r="E109" s="476" t="s">
        <v>198</v>
      </c>
      <c r="F109" s="470" t="s">
        <v>34</v>
      </c>
      <c r="G109" s="379">
        <v>1</v>
      </c>
      <c r="H109" s="382" t="s">
        <v>102</v>
      </c>
      <c r="I109" s="382" t="s">
        <v>103</v>
      </c>
      <c r="J109" s="474">
        <v>1</v>
      </c>
      <c r="K109" s="359">
        <v>17697</v>
      </c>
      <c r="L109" s="472">
        <v>28</v>
      </c>
      <c r="M109" s="359">
        <f t="shared" si="16"/>
        <v>1.5555555555555556</v>
      </c>
      <c r="N109" s="473" t="s">
        <v>129</v>
      </c>
      <c r="O109" s="473">
        <v>4.75</v>
      </c>
      <c r="P109" s="473"/>
      <c r="Q109" s="360">
        <f t="shared" si="17"/>
        <v>130761.16666666667</v>
      </c>
      <c r="R109" s="388"/>
      <c r="S109" s="359"/>
      <c r="T109" s="359">
        <v>0.1</v>
      </c>
      <c r="U109" s="360">
        <f t="shared" si="20"/>
        <v>13076.116666666669</v>
      </c>
      <c r="V109" s="383"/>
      <c r="W109" s="359"/>
      <c r="X109" s="406">
        <f t="shared" si="18"/>
        <v>143837.28333333333</v>
      </c>
      <c r="Y109" s="406">
        <f t="shared" ref="Y109:Z111" si="23">V109+R109</f>
        <v>0</v>
      </c>
      <c r="Z109" s="406">
        <f t="shared" si="23"/>
        <v>0</v>
      </c>
    </row>
    <row r="110" spans="1:26" s="377" customFormat="1" ht="17.25" customHeight="1">
      <c r="A110" s="395">
        <v>43</v>
      </c>
      <c r="B110" s="384" t="s">
        <v>199</v>
      </c>
      <c r="C110" s="392" t="s">
        <v>99</v>
      </c>
      <c r="D110" s="382" t="s">
        <v>25</v>
      </c>
      <c r="E110" s="476" t="s">
        <v>158</v>
      </c>
      <c r="F110" s="470" t="s">
        <v>159</v>
      </c>
      <c r="G110" s="379">
        <v>1</v>
      </c>
      <c r="H110" s="382" t="s">
        <v>102</v>
      </c>
      <c r="I110" s="382" t="s">
        <v>118</v>
      </c>
      <c r="J110" s="474">
        <v>4</v>
      </c>
      <c r="K110" s="359">
        <v>17697</v>
      </c>
      <c r="L110" s="472">
        <v>14</v>
      </c>
      <c r="M110" s="359">
        <f t="shared" si="16"/>
        <v>0.77777777777777779</v>
      </c>
      <c r="N110" s="467" t="s">
        <v>112</v>
      </c>
      <c r="O110" s="473">
        <v>3.36</v>
      </c>
      <c r="P110" s="473"/>
      <c r="Q110" s="360">
        <f t="shared" si="17"/>
        <v>46248.160000000003</v>
      </c>
      <c r="R110" s="388"/>
      <c r="S110" s="359"/>
      <c r="T110" s="359">
        <v>0.1</v>
      </c>
      <c r="U110" s="360">
        <f t="shared" si="20"/>
        <v>4624.8160000000007</v>
      </c>
      <c r="V110" s="383"/>
      <c r="W110" s="359"/>
      <c r="X110" s="406">
        <f t="shared" si="18"/>
        <v>50872.976000000002</v>
      </c>
      <c r="Y110" s="406">
        <f t="shared" si="23"/>
        <v>0</v>
      </c>
      <c r="Z110" s="406">
        <f t="shared" si="23"/>
        <v>0</v>
      </c>
    </row>
    <row r="111" spans="1:26" s="377" customFormat="1" ht="17.25" customHeight="1">
      <c r="A111" s="395">
        <v>44</v>
      </c>
      <c r="B111" s="384" t="s">
        <v>200</v>
      </c>
      <c r="C111" s="392" t="s">
        <v>99</v>
      </c>
      <c r="D111" s="382" t="s">
        <v>25</v>
      </c>
      <c r="E111" s="476" t="s">
        <v>201</v>
      </c>
      <c r="F111" s="470" t="s">
        <v>34</v>
      </c>
      <c r="G111" s="379">
        <v>1</v>
      </c>
      <c r="H111" s="382" t="s">
        <v>102</v>
      </c>
      <c r="I111" s="382" t="s">
        <v>103</v>
      </c>
      <c r="J111" s="474">
        <v>2</v>
      </c>
      <c r="K111" s="359">
        <v>17697</v>
      </c>
      <c r="L111" s="472">
        <v>18</v>
      </c>
      <c r="M111" s="359">
        <f t="shared" si="16"/>
        <v>1</v>
      </c>
      <c r="N111" s="473" t="s">
        <v>104</v>
      </c>
      <c r="O111" s="473">
        <v>4.51</v>
      </c>
      <c r="P111" s="473"/>
      <c r="Q111" s="360">
        <f t="shared" si="17"/>
        <v>79813.47</v>
      </c>
      <c r="R111" s="388"/>
      <c r="S111" s="359"/>
      <c r="T111" s="359">
        <v>0.1</v>
      </c>
      <c r="U111" s="360">
        <f t="shared" si="20"/>
        <v>7981.3470000000007</v>
      </c>
      <c r="V111" s="383"/>
      <c r="W111" s="359"/>
      <c r="X111" s="406">
        <f t="shared" si="18"/>
        <v>87794.816999999995</v>
      </c>
      <c r="Y111" s="406">
        <f t="shared" si="23"/>
        <v>0</v>
      </c>
      <c r="Z111" s="406">
        <f t="shared" si="23"/>
        <v>0</v>
      </c>
    </row>
    <row r="112" spans="1:26" s="377" customFormat="1" ht="17.25" customHeight="1">
      <c r="A112" s="395">
        <v>45</v>
      </c>
      <c r="B112" s="384" t="s">
        <v>202</v>
      </c>
      <c r="C112" s="392" t="s">
        <v>99</v>
      </c>
      <c r="D112" s="382" t="s">
        <v>75</v>
      </c>
      <c r="E112" s="476" t="s">
        <v>203</v>
      </c>
      <c r="F112" s="470" t="s">
        <v>66</v>
      </c>
      <c r="G112" s="379">
        <v>1</v>
      </c>
      <c r="H112" s="382" t="s">
        <v>102</v>
      </c>
      <c r="I112" s="382" t="s">
        <v>103</v>
      </c>
      <c r="J112" s="474">
        <v>3</v>
      </c>
      <c r="K112" s="359">
        <v>17697</v>
      </c>
      <c r="L112" s="472">
        <v>32</v>
      </c>
      <c r="M112" s="359">
        <f t="shared" si="16"/>
        <v>1.7777777777777777</v>
      </c>
      <c r="N112" s="473" t="s">
        <v>109</v>
      </c>
      <c r="O112" s="473">
        <v>4.28</v>
      </c>
      <c r="P112" s="473"/>
      <c r="Q112" s="360">
        <f t="shared" si="17"/>
        <v>134654.50666666668</v>
      </c>
      <c r="R112" s="388"/>
      <c r="S112" s="359"/>
      <c r="T112" s="359">
        <v>0.1</v>
      </c>
      <c r="U112" s="360">
        <f t="shared" si="20"/>
        <v>13465.450666666669</v>
      </c>
      <c r="V112" s="383"/>
      <c r="W112" s="359"/>
      <c r="X112" s="406">
        <f t="shared" si="18"/>
        <v>148119.95733333335</v>
      </c>
      <c r="Y112" s="406"/>
      <c r="Z112" s="406"/>
    </row>
    <row r="113" spans="1:44" s="80" customFormat="1" ht="17.25" customHeight="1">
      <c r="A113" s="395">
        <v>46</v>
      </c>
      <c r="B113" s="384" t="s">
        <v>455</v>
      </c>
      <c r="C113" s="392" t="s">
        <v>99</v>
      </c>
      <c r="D113" s="382" t="s">
        <v>25</v>
      </c>
      <c r="E113" s="476"/>
      <c r="F113" s="470" t="s">
        <v>34</v>
      </c>
      <c r="G113" s="379"/>
      <c r="H113" s="382" t="s">
        <v>102</v>
      </c>
      <c r="I113" s="382" t="s">
        <v>103</v>
      </c>
      <c r="J113" s="474">
        <v>1</v>
      </c>
      <c r="K113" s="359">
        <v>17697</v>
      </c>
      <c r="L113" s="472">
        <v>8</v>
      </c>
      <c r="M113" s="359">
        <f t="shared" si="16"/>
        <v>0.44444444444444442</v>
      </c>
      <c r="N113" s="473" t="s">
        <v>452</v>
      </c>
      <c r="O113" s="473">
        <v>4.75</v>
      </c>
      <c r="P113" s="473"/>
      <c r="Q113" s="360">
        <f t="shared" si="17"/>
        <v>37360.333333333336</v>
      </c>
      <c r="R113" s="388"/>
      <c r="S113" s="359"/>
      <c r="T113" s="359">
        <v>0.1</v>
      </c>
      <c r="U113" s="360">
        <f t="shared" si="20"/>
        <v>3736.0333333333338</v>
      </c>
      <c r="V113" s="383"/>
      <c r="W113" s="359"/>
      <c r="X113" s="406">
        <f t="shared" si="18"/>
        <v>41096.366666666669</v>
      </c>
      <c r="Y113" s="274"/>
      <c r="Z113" s="274"/>
    </row>
    <row r="114" spans="1:44" s="80" customFormat="1" ht="17.25" customHeight="1">
      <c r="A114" s="395">
        <v>47</v>
      </c>
      <c r="B114" s="384" t="s">
        <v>204</v>
      </c>
      <c r="C114" s="392" t="s">
        <v>99</v>
      </c>
      <c r="D114" s="382" t="s">
        <v>25</v>
      </c>
      <c r="E114" s="470" t="s">
        <v>205</v>
      </c>
      <c r="F114" s="470" t="s">
        <v>206</v>
      </c>
      <c r="G114" s="379">
        <v>1</v>
      </c>
      <c r="H114" s="382" t="s">
        <v>102</v>
      </c>
      <c r="I114" s="382" t="s">
        <v>103</v>
      </c>
      <c r="J114" s="474">
        <v>3</v>
      </c>
      <c r="K114" s="359">
        <v>17697</v>
      </c>
      <c r="L114" s="472">
        <v>6</v>
      </c>
      <c r="M114" s="359">
        <f t="shared" si="16"/>
        <v>0.33333333333333331</v>
      </c>
      <c r="N114" s="473" t="s">
        <v>109</v>
      </c>
      <c r="O114" s="473">
        <v>4</v>
      </c>
      <c r="P114" s="473"/>
      <c r="Q114" s="360">
        <f t="shared" si="17"/>
        <v>23596</v>
      </c>
      <c r="R114" s="388"/>
      <c r="S114" s="359"/>
      <c r="T114" s="359">
        <v>0.1</v>
      </c>
      <c r="U114" s="360">
        <f t="shared" si="20"/>
        <v>2359.6</v>
      </c>
      <c r="V114" s="383"/>
      <c r="W114" s="359"/>
      <c r="X114" s="406">
        <f t="shared" si="18"/>
        <v>25955.599999999999</v>
      </c>
      <c r="Y114" s="274">
        <f t="shared" ref="Y114:Z118" si="24">V114+R114</f>
        <v>0</v>
      </c>
      <c r="Z114" s="274">
        <f t="shared" si="24"/>
        <v>0</v>
      </c>
    </row>
    <row r="115" spans="1:44" s="377" customFormat="1" ht="17.25" customHeight="1">
      <c r="A115" s="395">
        <v>48</v>
      </c>
      <c r="B115" s="384" t="s">
        <v>207</v>
      </c>
      <c r="C115" s="392" t="s">
        <v>99</v>
      </c>
      <c r="D115" s="382" t="s">
        <v>25</v>
      </c>
      <c r="E115" s="470" t="s">
        <v>208</v>
      </c>
      <c r="F115" s="470" t="s">
        <v>209</v>
      </c>
      <c r="G115" s="379">
        <v>1</v>
      </c>
      <c r="H115" s="382" t="s">
        <v>102</v>
      </c>
      <c r="I115" s="382" t="s">
        <v>103</v>
      </c>
      <c r="J115" s="474">
        <v>2</v>
      </c>
      <c r="K115" s="359">
        <v>17697</v>
      </c>
      <c r="L115" s="472">
        <v>4</v>
      </c>
      <c r="M115" s="359">
        <f t="shared" si="16"/>
        <v>0.22222222222222221</v>
      </c>
      <c r="N115" s="473" t="s">
        <v>109</v>
      </c>
      <c r="O115" s="473">
        <v>4.2300000000000004</v>
      </c>
      <c r="P115" s="473"/>
      <c r="Q115" s="360">
        <f t="shared" si="17"/>
        <v>16635.180000000004</v>
      </c>
      <c r="R115" s="388"/>
      <c r="S115" s="359"/>
      <c r="T115" s="359">
        <v>0.1</v>
      </c>
      <c r="U115" s="360">
        <f t="shared" si="20"/>
        <v>1663.5180000000005</v>
      </c>
      <c r="V115" s="383"/>
      <c r="W115" s="359"/>
      <c r="X115" s="406">
        <f t="shared" si="18"/>
        <v>18298.698000000004</v>
      </c>
      <c r="Y115" s="406">
        <f t="shared" si="24"/>
        <v>0</v>
      </c>
      <c r="Z115" s="406">
        <f t="shared" si="24"/>
        <v>0</v>
      </c>
    </row>
    <row r="116" spans="1:44" s="377" customFormat="1" ht="17.25" customHeight="1">
      <c r="A116" s="395">
        <v>49</v>
      </c>
      <c r="B116" s="384" t="s">
        <v>135</v>
      </c>
      <c r="C116" s="392" t="s">
        <v>99</v>
      </c>
      <c r="D116" s="382"/>
      <c r="E116" s="470"/>
      <c r="F116" s="470"/>
      <c r="G116" s="379"/>
      <c r="H116" s="382" t="s">
        <v>102</v>
      </c>
      <c r="I116" s="382" t="s">
        <v>103</v>
      </c>
      <c r="J116" s="474">
        <v>1</v>
      </c>
      <c r="K116" s="359">
        <v>17697</v>
      </c>
      <c r="L116" s="472">
        <v>21</v>
      </c>
      <c r="M116" s="359">
        <f t="shared" si="16"/>
        <v>1.1666666666666667</v>
      </c>
      <c r="N116" s="473" t="s">
        <v>152</v>
      </c>
      <c r="O116" s="473">
        <v>4.75</v>
      </c>
      <c r="P116" s="473"/>
      <c r="Q116" s="360">
        <f t="shared" si="17"/>
        <v>98070.875</v>
      </c>
      <c r="R116" s="388"/>
      <c r="S116" s="359"/>
      <c r="T116" s="359">
        <v>0.1</v>
      </c>
      <c r="U116" s="360">
        <f t="shared" si="20"/>
        <v>9807.0874999999996</v>
      </c>
      <c r="V116" s="383"/>
      <c r="W116" s="359"/>
      <c r="X116" s="406">
        <f t="shared" si="18"/>
        <v>107877.96249999999</v>
      </c>
      <c r="Y116" s="406">
        <f t="shared" si="24"/>
        <v>0</v>
      </c>
      <c r="Z116" s="406">
        <f t="shared" si="24"/>
        <v>0</v>
      </c>
    </row>
    <row r="117" spans="1:44" s="377" customFormat="1" ht="17.25" customHeight="1">
      <c r="A117" s="395">
        <v>50</v>
      </c>
      <c r="B117" s="384" t="s">
        <v>456</v>
      </c>
      <c r="C117" s="392" t="s">
        <v>99</v>
      </c>
      <c r="D117" s="382"/>
      <c r="E117" s="470"/>
      <c r="F117" s="470"/>
      <c r="G117" s="379"/>
      <c r="H117" s="382" t="s">
        <v>102</v>
      </c>
      <c r="I117" s="382" t="s">
        <v>103</v>
      </c>
      <c r="J117" s="474">
        <v>2</v>
      </c>
      <c r="K117" s="359">
        <v>17697</v>
      </c>
      <c r="L117" s="472">
        <v>10</v>
      </c>
      <c r="M117" s="359">
        <f t="shared" si="16"/>
        <v>0.55555555555555558</v>
      </c>
      <c r="N117" s="473" t="s">
        <v>104</v>
      </c>
      <c r="O117" s="473">
        <v>4.51</v>
      </c>
      <c r="P117" s="473"/>
      <c r="Q117" s="360">
        <f t="shared" si="17"/>
        <v>44340.816666666666</v>
      </c>
      <c r="R117" s="388"/>
      <c r="S117" s="359"/>
      <c r="T117" s="359">
        <v>0.1</v>
      </c>
      <c r="U117" s="360">
        <f t="shared" si="20"/>
        <v>4434.0816666666669</v>
      </c>
      <c r="V117" s="383"/>
      <c r="W117" s="359"/>
      <c r="X117" s="406">
        <f t="shared" si="18"/>
        <v>48774.898333333331</v>
      </c>
      <c r="Y117" s="406">
        <f t="shared" si="24"/>
        <v>0</v>
      </c>
      <c r="Z117" s="406">
        <f t="shared" si="24"/>
        <v>0</v>
      </c>
    </row>
    <row r="118" spans="1:44" s="377" customFormat="1" ht="17.25" customHeight="1">
      <c r="A118" s="395">
        <v>51</v>
      </c>
      <c r="B118" s="463" t="s">
        <v>439</v>
      </c>
      <c r="C118" s="392" t="s">
        <v>99</v>
      </c>
      <c r="D118" s="382"/>
      <c r="E118" s="464" t="s">
        <v>440</v>
      </c>
      <c r="F118" s="464" t="s">
        <v>159</v>
      </c>
      <c r="G118" s="465">
        <v>1</v>
      </c>
      <c r="H118" s="466" t="s">
        <v>102</v>
      </c>
      <c r="I118" s="466" t="s">
        <v>118</v>
      </c>
      <c r="J118" s="467">
        <v>4</v>
      </c>
      <c r="K118" s="359">
        <v>17697</v>
      </c>
      <c r="L118" s="472">
        <v>25</v>
      </c>
      <c r="M118" s="359">
        <f t="shared" si="16"/>
        <v>1.3888888888888888</v>
      </c>
      <c r="N118" s="473"/>
      <c r="O118" s="473">
        <v>3.32</v>
      </c>
      <c r="P118" s="473"/>
      <c r="Q118" s="360">
        <f t="shared" si="17"/>
        <v>81602.833333333314</v>
      </c>
      <c r="R118" s="388"/>
      <c r="S118" s="359"/>
      <c r="T118" s="359">
        <v>0.1</v>
      </c>
      <c r="U118" s="360">
        <f t="shared" si="20"/>
        <v>8160.2833333333319</v>
      </c>
      <c r="V118" s="383"/>
      <c r="W118" s="359"/>
      <c r="X118" s="406">
        <f t="shared" si="18"/>
        <v>89763.11666666664</v>
      </c>
      <c r="Y118" s="406">
        <f t="shared" si="24"/>
        <v>0</v>
      </c>
      <c r="Z118" s="406">
        <f t="shared" si="24"/>
        <v>0</v>
      </c>
    </row>
    <row r="119" spans="1:44" s="80" customFormat="1" ht="17.25" customHeight="1">
      <c r="A119" s="5">
        <v>126</v>
      </c>
      <c r="B119" s="175" t="s">
        <v>291</v>
      </c>
      <c r="C119" s="176" t="s">
        <v>292</v>
      </c>
      <c r="D119" s="16" t="s">
        <v>25</v>
      </c>
      <c r="E119" s="16" t="s">
        <v>293</v>
      </c>
      <c r="F119" s="16" t="s">
        <v>40</v>
      </c>
      <c r="G119" s="177">
        <v>1</v>
      </c>
      <c r="H119" s="177" t="s">
        <v>102</v>
      </c>
      <c r="I119" s="177" t="s">
        <v>103</v>
      </c>
      <c r="J119" s="178">
        <v>1</v>
      </c>
      <c r="K119" s="7">
        <v>17697</v>
      </c>
      <c r="L119" s="188">
        <f>1.5*18</f>
        <v>27</v>
      </c>
      <c r="M119" s="18">
        <v>1.5</v>
      </c>
      <c r="N119" s="179" t="s">
        <v>129</v>
      </c>
      <c r="O119" s="200">
        <v>4.75</v>
      </c>
      <c r="P119" s="18"/>
      <c r="Q119" s="18">
        <f t="shared" ref="Q119:Q126" si="25">K119*O119/18*L119</f>
        <v>126091.12500000001</v>
      </c>
      <c r="R119" s="19">
        <v>0.25</v>
      </c>
      <c r="S119" s="7">
        <f t="shared" ref="S119:S126" si="26">R119*Q119</f>
        <v>31522.781250000004</v>
      </c>
      <c r="T119" s="7">
        <v>0.1</v>
      </c>
      <c r="U119" s="18">
        <f t="shared" ref="U119:U126" si="27">(Q119+S119)*10%</f>
        <v>15761.390625000004</v>
      </c>
      <c r="V119" s="9"/>
      <c r="W119" s="7"/>
      <c r="X119" s="203">
        <f t="shared" ref="X119:Z126" si="28">U119+S119+Q119</f>
        <v>173375.29687500003</v>
      </c>
      <c r="Y119" s="10">
        <f t="shared" si="28"/>
        <v>0.35</v>
      </c>
      <c r="Z119" s="10">
        <f t="shared" si="28"/>
        <v>47284.171875000007</v>
      </c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</row>
    <row r="120" spans="1:44" s="80" customFormat="1" ht="16.5" customHeight="1">
      <c r="A120" s="5">
        <v>127</v>
      </c>
      <c r="B120" s="176" t="s">
        <v>298</v>
      </c>
      <c r="C120" s="176" t="s">
        <v>299</v>
      </c>
      <c r="D120" s="16" t="s">
        <v>300</v>
      </c>
      <c r="E120" s="16" t="s">
        <v>301</v>
      </c>
      <c r="F120" s="176" t="s">
        <v>40</v>
      </c>
      <c r="G120" s="177">
        <v>1</v>
      </c>
      <c r="H120" s="177" t="s">
        <v>102</v>
      </c>
      <c r="I120" s="177" t="s">
        <v>118</v>
      </c>
      <c r="J120" s="178">
        <v>2</v>
      </c>
      <c r="K120" s="7">
        <v>17697</v>
      </c>
      <c r="L120" s="188">
        <v>13</v>
      </c>
      <c r="M120" s="18">
        <v>0.72</v>
      </c>
      <c r="N120" s="173" t="s">
        <v>104</v>
      </c>
      <c r="O120" s="263">
        <v>4.3899999999999997</v>
      </c>
      <c r="P120" s="16"/>
      <c r="Q120" s="18">
        <f t="shared" si="25"/>
        <v>56109.321666666656</v>
      </c>
      <c r="R120" s="19">
        <v>0.25</v>
      </c>
      <c r="S120" s="7">
        <f t="shared" si="26"/>
        <v>14027.330416666664</v>
      </c>
      <c r="T120" s="7">
        <v>0.1</v>
      </c>
      <c r="U120" s="18">
        <f t="shared" si="27"/>
        <v>7013.665208333332</v>
      </c>
      <c r="V120" s="9"/>
      <c r="W120" s="7"/>
      <c r="X120" s="203">
        <f t="shared" si="28"/>
        <v>77150.317291666652</v>
      </c>
      <c r="Y120" s="10">
        <f t="shared" si="28"/>
        <v>0.35</v>
      </c>
      <c r="Z120" s="10">
        <f t="shared" si="28"/>
        <v>21040.995624999996</v>
      </c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</row>
    <row r="121" spans="1:44" s="80" customFormat="1" ht="17.25" customHeight="1">
      <c r="A121" s="5">
        <v>128</v>
      </c>
      <c r="B121" s="175" t="s">
        <v>38</v>
      </c>
      <c r="C121" s="176" t="s">
        <v>303</v>
      </c>
      <c r="D121" s="16" t="s">
        <v>25</v>
      </c>
      <c r="E121" s="16" t="s">
        <v>305</v>
      </c>
      <c r="F121" s="176" t="s">
        <v>40</v>
      </c>
      <c r="G121" s="177">
        <v>1</v>
      </c>
      <c r="H121" s="177" t="s">
        <v>102</v>
      </c>
      <c r="I121" s="177" t="s">
        <v>103</v>
      </c>
      <c r="J121" s="178">
        <v>1</v>
      </c>
      <c r="K121" s="7">
        <v>17697</v>
      </c>
      <c r="L121" s="188">
        <v>9</v>
      </c>
      <c r="M121" s="18">
        <v>0.5</v>
      </c>
      <c r="N121" s="179" t="s">
        <v>129</v>
      </c>
      <c r="O121" s="200">
        <v>4.75</v>
      </c>
      <c r="P121" s="18"/>
      <c r="Q121" s="18">
        <f t="shared" si="25"/>
        <v>42030.375</v>
      </c>
      <c r="R121" s="19">
        <v>0.25</v>
      </c>
      <c r="S121" s="7">
        <f t="shared" si="26"/>
        <v>10507.59375</v>
      </c>
      <c r="T121" s="7">
        <v>0.1</v>
      </c>
      <c r="U121" s="18">
        <f t="shared" si="27"/>
        <v>5253.796875</v>
      </c>
      <c r="V121" s="9"/>
      <c r="W121" s="7"/>
      <c r="X121" s="203">
        <f t="shared" si="28"/>
        <v>57791.765625</v>
      </c>
      <c r="Y121" s="10">
        <f t="shared" si="28"/>
        <v>0.35</v>
      </c>
      <c r="Z121" s="10">
        <f t="shared" si="28"/>
        <v>15761.390625</v>
      </c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</row>
    <row r="122" spans="1:44" s="80" customFormat="1" ht="17.25" customHeight="1">
      <c r="A122" s="5">
        <v>129</v>
      </c>
      <c r="B122" s="180" t="s">
        <v>306</v>
      </c>
      <c r="C122" s="176" t="s">
        <v>303</v>
      </c>
      <c r="D122" s="16" t="s">
        <v>25</v>
      </c>
      <c r="E122" s="181" t="s">
        <v>307</v>
      </c>
      <c r="F122" s="180" t="s">
        <v>308</v>
      </c>
      <c r="G122" s="182">
        <v>1</v>
      </c>
      <c r="H122" s="177" t="s">
        <v>102</v>
      </c>
      <c r="I122" s="177" t="s">
        <v>103</v>
      </c>
      <c r="J122" s="182">
        <v>4</v>
      </c>
      <c r="K122" s="7">
        <v>17697</v>
      </c>
      <c r="L122" s="188">
        <v>20</v>
      </c>
      <c r="M122" s="18">
        <v>1.22</v>
      </c>
      <c r="N122" s="173" t="s">
        <v>165</v>
      </c>
      <c r="O122" s="263">
        <v>3.52</v>
      </c>
      <c r="P122" s="16"/>
      <c r="Q122" s="18">
        <f t="shared" si="25"/>
        <v>69214.933333333334</v>
      </c>
      <c r="R122" s="19">
        <v>0.25</v>
      </c>
      <c r="S122" s="7">
        <f t="shared" si="26"/>
        <v>17303.733333333334</v>
      </c>
      <c r="T122" s="7">
        <v>0.1</v>
      </c>
      <c r="U122" s="18">
        <f t="shared" si="27"/>
        <v>8651.8666666666668</v>
      </c>
      <c r="V122" s="9"/>
      <c r="W122" s="7"/>
      <c r="X122" s="203">
        <f t="shared" si="28"/>
        <v>95170.533333333326</v>
      </c>
      <c r="Y122" s="10">
        <f t="shared" si="28"/>
        <v>0.35</v>
      </c>
      <c r="Z122" s="10">
        <f t="shared" si="28"/>
        <v>25955.599999999999</v>
      </c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</row>
    <row r="123" spans="1:44" s="80" customFormat="1" ht="17.25" customHeight="1">
      <c r="A123" s="5">
        <v>130</v>
      </c>
      <c r="B123" s="175" t="s">
        <v>309</v>
      </c>
      <c r="C123" s="176" t="s">
        <v>310</v>
      </c>
      <c r="D123" s="16" t="s">
        <v>25</v>
      </c>
      <c r="E123" s="16" t="s">
        <v>311</v>
      </c>
      <c r="F123" s="176" t="s">
        <v>40</v>
      </c>
      <c r="G123" s="177">
        <v>1</v>
      </c>
      <c r="H123" s="177" t="s">
        <v>102</v>
      </c>
      <c r="I123" s="177" t="s">
        <v>103</v>
      </c>
      <c r="J123" s="178">
        <v>1</v>
      </c>
      <c r="K123" s="7">
        <v>17697</v>
      </c>
      <c r="L123" s="188">
        <v>18</v>
      </c>
      <c r="M123" s="18">
        <v>1</v>
      </c>
      <c r="N123" s="179" t="s">
        <v>129</v>
      </c>
      <c r="O123" s="200">
        <v>4.75</v>
      </c>
      <c r="P123" s="18"/>
      <c r="Q123" s="18">
        <f t="shared" si="25"/>
        <v>84060.75</v>
      </c>
      <c r="R123" s="19">
        <v>0.25</v>
      </c>
      <c r="S123" s="7">
        <f t="shared" si="26"/>
        <v>21015.1875</v>
      </c>
      <c r="T123" s="7">
        <v>0.1</v>
      </c>
      <c r="U123" s="18">
        <f t="shared" si="27"/>
        <v>10507.59375</v>
      </c>
      <c r="V123" s="9"/>
      <c r="W123" s="7"/>
      <c r="X123" s="203">
        <f t="shared" si="28"/>
        <v>115583.53125</v>
      </c>
      <c r="Y123" s="10">
        <f t="shared" si="28"/>
        <v>0.35</v>
      </c>
      <c r="Z123" s="10">
        <f t="shared" si="28"/>
        <v>31522.78125</v>
      </c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</row>
    <row r="124" spans="1:44" s="80" customFormat="1" ht="17.25" customHeight="1">
      <c r="A124" s="5">
        <v>131</v>
      </c>
      <c r="B124" s="176" t="s">
        <v>316</v>
      </c>
      <c r="C124" s="176" t="s">
        <v>295</v>
      </c>
      <c r="D124" s="16" t="s">
        <v>300</v>
      </c>
      <c r="E124" s="16" t="s">
        <v>317</v>
      </c>
      <c r="F124" s="176" t="s">
        <v>315</v>
      </c>
      <c r="G124" s="177">
        <v>1</v>
      </c>
      <c r="H124" s="177" t="s">
        <v>232</v>
      </c>
      <c r="I124" s="177" t="s">
        <v>318</v>
      </c>
      <c r="J124" s="178">
        <v>4</v>
      </c>
      <c r="K124" s="7">
        <v>17697</v>
      </c>
      <c r="L124" s="188">
        <v>25</v>
      </c>
      <c r="M124" s="18">
        <v>1.38</v>
      </c>
      <c r="N124" s="173" t="s">
        <v>165</v>
      </c>
      <c r="O124" s="263">
        <v>3.36</v>
      </c>
      <c r="P124" s="16"/>
      <c r="Q124" s="18">
        <f t="shared" si="25"/>
        <v>82586</v>
      </c>
      <c r="R124" s="19">
        <v>0.25</v>
      </c>
      <c r="S124" s="7">
        <f t="shared" si="26"/>
        <v>20646.5</v>
      </c>
      <c r="T124" s="7">
        <v>0.1</v>
      </c>
      <c r="U124" s="18">
        <f t="shared" si="27"/>
        <v>10323.25</v>
      </c>
      <c r="V124" s="9"/>
      <c r="W124" s="7"/>
      <c r="X124" s="203">
        <f t="shared" si="28"/>
        <v>113555.75</v>
      </c>
      <c r="Y124" s="10">
        <f t="shared" si="28"/>
        <v>0.35</v>
      </c>
      <c r="Z124" s="10">
        <f t="shared" si="28"/>
        <v>30969.75</v>
      </c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</row>
    <row r="125" spans="1:44" s="80" customFormat="1" ht="17.25" customHeight="1">
      <c r="A125" s="5">
        <v>132</v>
      </c>
      <c r="B125" s="176" t="s">
        <v>319</v>
      </c>
      <c r="C125" s="176" t="s">
        <v>295</v>
      </c>
      <c r="D125" s="16" t="s">
        <v>25</v>
      </c>
      <c r="E125" s="16" t="s">
        <v>320</v>
      </c>
      <c r="F125" s="176" t="s">
        <v>249</v>
      </c>
      <c r="G125" s="177">
        <v>1</v>
      </c>
      <c r="H125" s="177" t="s">
        <v>232</v>
      </c>
      <c r="I125" s="177" t="s">
        <v>233</v>
      </c>
      <c r="J125" s="178">
        <v>3</v>
      </c>
      <c r="K125" s="7">
        <v>17697</v>
      </c>
      <c r="L125" s="188">
        <v>29</v>
      </c>
      <c r="M125" s="18">
        <v>1</v>
      </c>
      <c r="N125" s="173" t="s">
        <v>109</v>
      </c>
      <c r="O125" s="263">
        <v>4.1399999999999997</v>
      </c>
      <c r="P125" s="16"/>
      <c r="Q125" s="18">
        <f t="shared" si="25"/>
        <v>118038.98999999999</v>
      </c>
      <c r="R125" s="19">
        <v>0.25</v>
      </c>
      <c r="S125" s="7">
        <f t="shared" si="26"/>
        <v>29509.747499999998</v>
      </c>
      <c r="T125" s="7">
        <v>0.1</v>
      </c>
      <c r="U125" s="18">
        <f t="shared" si="27"/>
        <v>14754.873749999999</v>
      </c>
      <c r="V125" s="9"/>
      <c r="W125" s="7"/>
      <c r="X125" s="203">
        <f t="shared" si="28"/>
        <v>162303.61124999999</v>
      </c>
      <c r="Y125" s="10">
        <f t="shared" si="28"/>
        <v>0.35</v>
      </c>
      <c r="Z125" s="10">
        <f t="shared" si="28"/>
        <v>44264.621249999997</v>
      </c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</row>
    <row r="126" spans="1:44" s="80" customFormat="1" ht="17.25" customHeight="1">
      <c r="A126" s="5">
        <v>133</v>
      </c>
      <c r="B126" s="175" t="s">
        <v>324</v>
      </c>
      <c r="C126" s="176" t="s">
        <v>303</v>
      </c>
      <c r="D126" s="16" t="s">
        <v>25</v>
      </c>
      <c r="E126" s="16" t="s">
        <v>325</v>
      </c>
      <c r="F126" s="176" t="s">
        <v>40</v>
      </c>
      <c r="G126" s="177">
        <v>1</v>
      </c>
      <c r="H126" s="177" t="s">
        <v>102</v>
      </c>
      <c r="I126" s="177" t="s">
        <v>103</v>
      </c>
      <c r="J126" s="178">
        <v>1</v>
      </c>
      <c r="K126" s="7">
        <v>17697</v>
      </c>
      <c r="L126" s="188">
        <v>18</v>
      </c>
      <c r="M126" s="18">
        <v>0.67</v>
      </c>
      <c r="N126" s="179" t="s">
        <v>129</v>
      </c>
      <c r="O126" s="200">
        <v>4.75</v>
      </c>
      <c r="P126" s="18"/>
      <c r="Q126" s="18">
        <f t="shared" si="25"/>
        <v>84060.75</v>
      </c>
      <c r="R126" s="19">
        <v>0.25</v>
      </c>
      <c r="S126" s="7">
        <f t="shared" si="26"/>
        <v>21015.1875</v>
      </c>
      <c r="T126" s="7">
        <v>0.1</v>
      </c>
      <c r="U126" s="18">
        <f t="shared" si="27"/>
        <v>10507.59375</v>
      </c>
      <c r="V126" s="9"/>
      <c r="W126" s="7"/>
      <c r="X126" s="203">
        <f t="shared" si="28"/>
        <v>115583.53125</v>
      </c>
      <c r="Y126" s="10">
        <f t="shared" si="28"/>
        <v>0.35</v>
      </c>
      <c r="Z126" s="10">
        <f t="shared" si="28"/>
        <v>31522.78125</v>
      </c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</row>
    <row r="127" spans="1:44" s="390" customFormat="1" ht="18" customHeight="1">
      <c r="A127" s="352">
        <v>141</v>
      </c>
      <c r="B127" s="394" t="s">
        <v>368</v>
      </c>
      <c r="C127" s="354" t="s">
        <v>338</v>
      </c>
      <c r="D127" s="395" t="s">
        <v>64</v>
      </c>
      <c r="E127" s="396"/>
      <c r="F127" s="397"/>
      <c r="G127" s="398" t="s">
        <v>409</v>
      </c>
      <c r="H127" s="399"/>
      <c r="I127" s="400"/>
      <c r="J127" s="399">
        <v>2</v>
      </c>
      <c r="K127" s="361">
        <v>17697</v>
      </c>
      <c r="L127" s="361"/>
      <c r="M127" s="401">
        <v>1.5</v>
      </c>
      <c r="N127" s="361"/>
      <c r="O127" s="361">
        <v>2.81</v>
      </c>
      <c r="P127" s="361"/>
      <c r="Q127" s="360">
        <f t="shared" ref="Q127:Q153" si="29">K127*O127*M127</f>
        <v>74592.854999999996</v>
      </c>
      <c r="R127" s="361">
        <f>K127*Q128*N127</f>
        <v>0</v>
      </c>
      <c r="S127" s="402"/>
      <c r="T127" s="362">
        <v>0.1</v>
      </c>
      <c r="U127" s="361">
        <f t="shared" ref="U127:U153" si="30">T127*Q127</f>
        <v>7459.2855</v>
      </c>
      <c r="V127" s="361"/>
      <c r="W127" s="403"/>
      <c r="X127" s="363">
        <f t="shared" ref="X127:X153" si="31">Q127+U127+W127</f>
        <v>82052.140499999994</v>
      </c>
      <c r="Y127" s="363">
        <f t="shared" ref="Y127:Y153" si="32">R127+V127+X127</f>
        <v>82052.140499999994</v>
      </c>
      <c r="Z127" s="363">
        <f t="shared" ref="Z127:Z153" si="33">S127+W127+Y127</f>
        <v>82052.140499999994</v>
      </c>
      <c r="AA127" s="389"/>
      <c r="AB127" s="389"/>
      <c r="AC127" s="389"/>
      <c r="AD127" s="389"/>
      <c r="AE127" s="389"/>
      <c r="AF127" s="389"/>
      <c r="AG127" s="389"/>
      <c r="AH127" s="389"/>
      <c r="AI127" s="389"/>
      <c r="AJ127" s="389"/>
      <c r="AK127" s="389"/>
      <c r="AL127" s="389"/>
      <c r="AM127" s="389"/>
      <c r="AN127" s="389"/>
    </row>
    <row r="128" spans="1:44" s="390" customFormat="1" ht="15.75" customHeight="1">
      <c r="A128" s="378">
        <v>142</v>
      </c>
      <c r="B128" s="384" t="s">
        <v>332</v>
      </c>
      <c r="C128" s="354" t="s">
        <v>338</v>
      </c>
      <c r="D128" s="379" t="s">
        <v>64</v>
      </c>
      <c r="E128" s="393"/>
      <c r="F128" s="385"/>
      <c r="G128" s="381" t="s">
        <v>404</v>
      </c>
      <c r="H128" s="382"/>
      <c r="I128" s="386"/>
      <c r="J128" s="382">
        <v>2</v>
      </c>
      <c r="K128" s="359">
        <v>17697</v>
      </c>
      <c r="L128" s="359"/>
      <c r="M128" s="361">
        <v>0.5</v>
      </c>
      <c r="N128" s="359"/>
      <c r="O128" s="361">
        <v>2.81</v>
      </c>
      <c r="P128" s="361"/>
      <c r="Q128" s="360">
        <f t="shared" si="29"/>
        <v>24864.285</v>
      </c>
      <c r="R128" s="361">
        <f>K128*Q129*N128</f>
        <v>0</v>
      </c>
      <c r="S128" s="388"/>
      <c r="T128" s="362">
        <v>0.1</v>
      </c>
      <c r="U128" s="361">
        <f t="shared" si="30"/>
        <v>2486.4285</v>
      </c>
      <c r="V128" s="359"/>
      <c r="W128" s="359"/>
      <c r="X128" s="363">
        <f t="shared" si="31"/>
        <v>27350.713499999998</v>
      </c>
      <c r="Y128" s="363">
        <f t="shared" si="32"/>
        <v>27350.713499999998</v>
      </c>
      <c r="Z128" s="363">
        <f t="shared" si="33"/>
        <v>27350.713499999998</v>
      </c>
      <c r="AA128" s="389"/>
      <c r="AB128" s="389"/>
      <c r="AC128" s="389"/>
      <c r="AD128" s="389"/>
      <c r="AE128" s="389"/>
      <c r="AF128" s="389"/>
      <c r="AG128" s="389"/>
      <c r="AH128" s="389"/>
      <c r="AI128" s="389"/>
      <c r="AJ128" s="389"/>
      <c r="AK128" s="389"/>
      <c r="AL128" s="389"/>
      <c r="AM128" s="389"/>
      <c r="AN128" s="389"/>
    </row>
    <row r="129" spans="1:40" s="377" customFormat="1" ht="15">
      <c r="A129" s="352">
        <v>143</v>
      </c>
      <c r="B129" s="384" t="s">
        <v>350</v>
      </c>
      <c r="C129" s="354" t="s">
        <v>338</v>
      </c>
      <c r="D129" s="379" t="s">
        <v>64</v>
      </c>
      <c r="E129" s="393"/>
      <c r="F129" s="379"/>
      <c r="G129" s="381" t="s">
        <v>404</v>
      </c>
      <c r="H129" s="382"/>
      <c r="I129" s="386"/>
      <c r="J129" s="382">
        <v>2</v>
      </c>
      <c r="K129" s="359">
        <v>17697</v>
      </c>
      <c r="L129" s="359"/>
      <c r="M129" s="359">
        <v>0.5</v>
      </c>
      <c r="N129" s="359"/>
      <c r="O129" s="359">
        <v>2.81</v>
      </c>
      <c r="P129" s="359"/>
      <c r="Q129" s="360">
        <f t="shared" si="29"/>
        <v>24864.285</v>
      </c>
      <c r="R129" s="361">
        <f>K129*Q130*N129</f>
        <v>0</v>
      </c>
      <c r="S129" s="359"/>
      <c r="T129" s="362">
        <v>0.1</v>
      </c>
      <c r="U129" s="361">
        <f t="shared" si="30"/>
        <v>2486.4285</v>
      </c>
      <c r="V129" s="359"/>
      <c r="W129" s="359"/>
      <c r="X129" s="363">
        <f t="shared" si="31"/>
        <v>27350.713499999998</v>
      </c>
      <c r="Y129" s="363">
        <f t="shared" si="32"/>
        <v>27350.713499999998</v>
      </c>
      <c r="Z129" s="363">
        <f t="shared" si="33"/>
        <v>27350.713499999998</v>
      </c>
    </row>
    <row r="130" spans="1:40" s="377" customFormat="1" ht="15">
      <c r="A130" s="378">
        <v>144</v>
      </c>
      <c r="B130" s="384" t="s">
        <v>335</v>
      </c>
      <c r="C130" s="392" t="s">
        <v>336</v>
      </c>
      <c r="D130" s="379" t="s">
        <v>64</v>
      </c>
      <c r="E130" s="393"/>
      <c r="F130" s="379"/>
      <c r="G130" s="381" t="s">
        <v>409</v>
      </c>
      <c r="H130" s="382"/>
      <c r="I130" s="386"/>
      <c r="J130" s="382">
        <v>4</v>
      </c>
      <c r="K130" s="359">
        <v>17697</v>
      </c>
      <c r="L130" s="359"/>
      <c r="M130" s="359">
        <v>1.5</v>
      </c>
      <c r="N130" s="359"/>
      <c r="O130" s="359">
        <v>2.89</v>
      </c>
      <c r="P130" s="359"/>
      <c r="Q130" s="360">
        <f t="shared" si="29"/>
        <v>76716.494999999995</v>
      </c>
      <c r="R130" s="361">
        <f>K130*Q131*N130</f>
        <v>0</v>
      </c>
      <c r="S130" s="359"/>
      <c r="T130" s="362">
        <v>0.1</v>
      </c>
      <c r="U130" s="361">
        <f t="shared" si="30"/>
        <v>7671.6494999999995</v>
      </c>
      <c r="V130" s="359"/>
      <c r="W130" s="359"/>
      <c r="X130" s="363">
        <f t="shared" si="31"/>
        <v>84388.144499999995</v>
      </c>
      <c r="Y130" s="363">
        <f t="shared" si="32"/>
        <v>84388.144499999995</v>
      </c>
      <c r="Z130" s="363">
        <f t="shared" si="33"/>
        <v>84388.144499999995</v>
      </c>
    </row>
    <row r="131" spans="1:40" s="364" customFormat="1" ht="15.75">
      <c r="A131" s="352">
        <v>145</v>
      </c>
      <c r="B131" s="353" t="s">
        <v>337</v>
      </c>
      <c r="C131" s="354" t="s">
        <v>338</v>
      </c>
      <c r="D131" s="356" t="s">
        <v>64</v>
      </c>
      <c r="E131" s="380"/>
      <c r="F131" s="356"/>
      <c r="G131" s="356">
        <v>0.5</v>
      </c>
      <c r="H131" s="357"/>
      <c r="I131" s="358"/>
      <c r="J131" s="356">
        <v>2</v>
      </c>
      <c r="K131" s="358">
        <v>17697</v>
      </c>
      <c r="L131" s="358"/>
      <c r="M131" s="359">
        <v>0.5</v>
      </c>
      <c r="N131" s="359"/>
      <c r="O131" s="361">
        <v>2.81</v>
      </c>
      <c r="P131" s="361"/>
      <c r="Q131" s="360">
        <f t="shared" si="29"/>
        <v>24864.285</v>
      </c>
      <c r="R131" s="361">
        <f>K131*Q132*N131</f>
        <v>0</v>
      </c>
      <c r="S131" s="359"/>
      <c r="T131" s="362">
        <v>0.1</v>
      </c>
      <c r="U131" s="361">
        <f t="shared" si="30"/>
        <v>2486.4285</v>
      </c>
      <c r="V131" s="359"/>
      <c r="W131" s="359"/>
      <c r="X131" s="363">
        <f t="shared" si="31"/>
        <v>27350.713499999998</v>
      </c>
      <c r="Y131" s="363">
        <f t="shared" si="32"/>
        <v>27350.713499999998</v>
      </c>
      <c r="Z131" s="363">
        <f t="shared" si="33"/>
        <v>27350.713499999998</v>
      </c>
    </row>
    <row r="132" spans="1:40" s="364" customFormat="1" ht="15.75">
      <c r="A132" s="378">
        <v>146</v>
      </c>
      <c r="B132" s="353" t="s">
        <v>382</v>
      </c>
      <c r="C132" s="354" t="s">
        <v>338</v>
      </c>
      <c r="D132" s="379" t="s">
        <v>64</v>
      </c>
      <c r="E132" s="380"/>
      <c r="F132" s="353"/>
      <c r="G132" s="356">
        <v>0.5</v>
      </c>
      <c r="H132" s="357"/>
      <c r="I132" s="358"/>
      <c r="J132" s="356">
        <v>2</v>
      </c>
      <c r="K132" s="358">
        <v>17697</v>
      </c>
      <c r="L132" s="358"/>
      <c r="M132" s="359">
        <v>0.5</v>
      </c>
      <c r="N132" s="359"/>
      <c r="O132" s="361">
        <v>2.81</v>
      </c>
      <c r="P132" s="361"/>
      <c r="Q132" s="360">
        <f t="shared" si="29"/>
        <v>24864.285</v>
      </c>
      <c r="R132" s="361">
        <f>K132*Q134*N132</f>
        <v>0</v>
      </c>
      <c r="S132" s="359"/>
      <c r="T132" s="362">
        <v>0.1</v>
      </c>
      <c r="U132" s="361">
        <f t="shared" si="30"/>
        <v>2486.4285</v>
      </c>
      <c r="V132" s="359"/>
      <c r="W132" s="359"/>
      <c r="X132" s="363">
        <f t="shared" si="31"/>
        <v>27350.713499999998</v>
      </c>
      <c r="Y132" s="363">
        <f t="shared" si="32"/>
        <v>27350.713499999998</v>
      </c>
      <c r="Z132" s="363">
        <f t="shared" si="33"/>
        <v>27350.713499999998</v>
      </c>
    </row>
    <row r="133" spans="1:40" s="364" customFormat="1" ht="15.75">
      <c r="A133" s="352">
        <v>147</v>
      </c>
      <c r="B133" s="353" t="s">
        <v>383</v>
      </c>
      <c r="C133" s="354" t="s">
        <v>338</v>
      </c>
      <c r="D133" s="379" t="s">
        <v>75</v>
      </c>
      <c r="E133" s="380"/>
      <c r="F133" s="391"/>
      <c r="G133" s="356">
        <v>1</v>
      </c>
      <c r="H133" s="357"/>
      <c r="I133" s="358"/>
      <c r="J133" s="356">
        <v>2</v>
      </c>
      <c r="K133" s="358">
        <v>17697</v>
      </c>
      <c r="L133" s="358"/>
      <c r="M133" s="359">
        <v>1</v>
      </c>
      <c r="N133" s="359"/>
      <c r="O133" s="361">
        <v>2.81</v>
      </c>
      <c r="P133" s="361"/>
      <c r="Q133" s="360">
        <f t="shared" si="29"/>
        <v>49728.57</v>
      </c>
      <c r="R133" s="361">
        <f>K133*Q135*N133</f>
        <v>0</v>
      </c>
      <c r="S133" s="359"/>
      <c r="T133" s="362">
        <v>0.1</v>
      </c>
      <c r="U133" s="361">
        <f t="shared" si="30"/>
        <v>4972.857</v>
      </c>
      <c r="V133" s="359"/>
      <c r="W133" s="359"/>
      <c r="X133" s="363">
        <f t="shared" si="31"/>
        <v>54701.426999999996</v>
      </c>
      <c r="Y133" s="363">
        <f t="shared" si="32"/>
        <v>54701.426999999996</v>
      </c>
      <c r="Z133" s="363">
        <f t="shared" si="33"/>
        <v>54701.426999999996</v>
      </c>
    </row>
    <row r="134" spans="1:40" s="390" customFormat="1" ht="15">
      <c r="A134" s="352">
        <v>148</v>
      </c>
      <c r="B134" s="384" t="s">
        <v>339</v>
      </c>
      <c r="C134" s="354" t="s">
        <v>340</v>
      </c>
      <c r="D134" s="379" t="s">
        <v>64</v>
      </c>
      <c r="E134" s="382"/>
      <c r="F134" s="385"/>
      <c r="G134" s="381">
        <v>1</v>
      </c>
      <c r="H134" s="382"/>
      <c r="I134" s="386"/>
      <c r="J134" s="382">
        <v>2</v>
      </c>
      <c r="K134" s="359">
        <v>17697</v>
      </c>
      <c r="L134" s="359"/>
      <c r="M134" s="359">
        <v>1</v>
      </c>
      <c r="N134" s="359"/>
      <c r="O134" s="361">
        <v>2.81</v>
      </c>
      <c r="P134" s="361"/>
      <c r="Q134" s="360">
        <f t="shared" si="29"/>
        <v>49728.57</v>
      </c>
      <c r="R134" s="361">
        <f t="shared" ref="R134:R153" si="34">K134*Q135*N134</f>
        <v>0</v>
      </c>
      <c r="S134" s="388"/>
      <c r="T134" s="362">
        <v>0.1</v>
      </c>
      <c r="U134" s="361">
        <f t="shared" si="30"/>
        <v>4972.857</v>
      </c>
      <c r="V134" s="383">
        <v>0.3</v>
      </c>
      <c r="W134" s="359">
        <f t="shared" ref="W134:W140" si="35">V134*K134</f>
        <v>5309.0999999999995</v>
      </c>
      <c r="X134" s="363">
        <f t="shared" si="31"/>
        <v>60010.526999999995</v>
      </c>
      <c r="Y134" s="363">
        <f t="shared" si="32"/>
        <v>60010.826999999997</v>
      </c>
      <c r="Z134" s="363">
        <f t="shared" si="33"/>
        <v>65319.926999999996</v>
      </c>
      <c r="AA134" s="389"/>
      <c r="AB134" s="389"/>
      <c r="AC134" s="389"/>
      <c r="AD134" s="389"/>
      <c r="AE134" s="389"/>
      <c r="AF134" s="389"/>
      <c r="AG134" s="389"/>
      <c r="AH134" s="389"/>
      <c r="AI134" s="389"/>
      <c r="AJ134" s="389"/>
      <c r="AK134" s="389"/>
      <c r="AL134" s="389"/>
      <c r="AM134" s="389"/>
      <c r="AN134" s="389"/>
    </row>
    <row r="135" spans="1:40" s="390" customFormat="1" ht="15">
      <c r="A135" s="378">
        <v>149</v>
      </c>
      <c r="B135" s="384" t="s">
        <v>341</v>
      </c>
      <c r="C135" s="354" t="s">
        <v>340</v>
      </c>
      <c r="D135" s="379" t="s">
        <v>64</v>
      </c>
      <c r="E135" s="382"/>
      <c r="F135" s="385"/>
      <c r="G135" s="381">
        <v>1</v>
      </c>
      <c r="H135" s="382"/>
      <c r="I135" s="386"/>
      <c r="J135" s="382">
        <v>2</v>
      </c>
      <c r="K135" s="359">
        <v>17697</v>
      </c>
      <c r="L135" s="359"/>
      <c r="M135" s="359">
        <v>1</v>
      </c>
      <c r="N135" s="359"/>
      <c r="O135" s="361">
        <v>2.81</v>
      </c>
      <c r="P135" s="361"/>
      <c r="Q135" s="360">
        <f t="shared" si="29"/>
        <v>49728.57</v>
      </c>
      <c r="R135" s="361">
        <f t="shared" si="34"/>
        <v>0</v>
      </c>
      <c r="S135" s="388"/>
      <c r="T135" s="362">
        <v>0.1</v>
      </c>
      <c r="U135" s="361">
        <f t="shared" si="30"/>
        <v>4972.857</v>
      </c>
      <c r="V135" s="383">
        <v>0.3</v>
      </c>
      <c r="W135" s="359">
        <f t="shared" si="35"/>
        <v>5309.0999999999995</v>
      </c>
      <c r="X135" s="363">
        <f t="shared" si="31"/>
        <v>60010.526999999995</v>
      </c>
      <c r="Y135" s="363">
        <f t="shared" si="32"/>
        <v>60010.826999999997</v>
      </c>
      <c r="Z135" s="363">
        <f t="shared" si="33"/>
        <v>65319.926999999996</v>
      </c>
      <c r="AA135" s="389"/>
      <c r="AB135" s="389"/>
      <c r="AC135" s="389"/>
      <c r="AD135" s="389"/>
      <c r="AE135" s="389"/>
      <c r="AF135" s="389"/>
      <c r="AG135" s="389"/>
      <c r="AH135" s="389"/>
      <c r="AI135" s="389"/>
      <c r="AJ135" s="389"/>
      <c r="AK135" s="389"/>
      <c r="AL135" s="389"/>
      <c r="AM135" s="389"/>
      <c r="AN135" s="389"/>
    </row>
    <row r="136" spans="1:40" s="390" customFormat="1" ht="15">
      <c r="A136" s="352">
        <v>150</v>
      </c>
      <c r="B136" s="384" t="s">
        <v>342</v>
      </c>
      <c r="C136" s="354" t="s">
        <v>340</v>
      </c>
      <c r="D136" s="379" t="s">
        <v>64</v>
      </c>
      <c r="E136" s="382"/>
      <c r="F136" s="385"/>
      <c r="G136" s="381">
        <v>1</v>
      </c>
      <c r="H136" s="382"/>
      <c r="I136" s="386"/>
      <c r="J136" s="382">
        <v>2</v>
      </c>
      <c r="K136" s="359">
        <v>17697</v>
      </c>
      <c r="L136" s="359"/>
      <c r="M136" s="359">
        <v>1</v>
      </c>
      <c r="N136" s="359"/>
      <c r="O136" s="361">
        <v>2.81</v>
      </c>
      <c r="P136" s="361"/>
      <c r="Q136" s="360">
        <f t="shared" si="29"/>
        <v>49728.57</v>
      </c>
      <c r="R136" s="361">
        <f t="shared" si="34"/>
        <v>0</v>
      </c>
      <c r="S136" s="388"/>
      <c r="T136" s="362">
        <v>0.1</v>
      </c>
      <c r="U136" s="361">
        <f t="shared" si="30"/>
        <v>4972.857</v>
      </c>
      <c r="V136" s="383">
        <v>0.3</v>
      </c>
      <c r="W136" s="359">
        <f t="shared" si="35"/>
        <v>5309.0999999999995</v>
      </c>
      <c r="X136" s="363">
        <f t="shared" si="31"/>
        <v>60010.526999999995</v>
      </c>
      <c r="Y136" s="363">
        <f t="shared" si="32"/>
        <v>60010.826999999997</v>
      </c>
      <c r="Z136" s="363">
        <f t="shared" si="33"/>
        <v>65319.926999999996</v>
      </c>
      <c r="AA136" s="389"/>
      <c r="AB136" s="389"/>
      <c r="AC136" s="389"/>
      <c r="AD136" s="389"/>
      <c r="AE136" s="389"/>
      <c r="AF136" s="389"/>
      <c r="AG136" s="389"/>
      <c r="AH136" s="389"/>
      <c r="AI136" s="389"/>
      <c r="AJ136" s="389"/>
      <c r="AK136" s="389"/>
      <c r="AL136" s="389"/>
      <c r="AM136" s="389"/>
      <c r="AN136" s="389"/>
    </row>
    <row r="137" spans="1:40" s="390" customFormat="1" ht="15">
      <c r="A137" s="378">
        <v>151</v>
      </c>
      <c r="B137" s="384" t="s">
        <v>343</v>
      </c>
      <c r="C137" s="354" t="s">
        <v>340</v>
      </c>
      <c r="D137" s="379" t="s">
        <v>64</v>
      </c>
      <c r="E137" s="382"/>
      <c r="F137" s="385"/>
      <c r="G137" s="381">
        <v>1</v>
      </c>
      <c r="H137" s="382"/>
      <c r="I137" s="386"/>
      <c r="J137" s="382">
        <v>2</v>
      </c>
      <c r="K137" s="359">
        <v>17697</v>
      </c>
      <c r="L137" s="359"/>
      <c r="M137" s="359">
        <v>1</v>
      </c>
      <c r="N137" s="359"/>
      <c r="O137" s="361">
        <v>2.81</v>
      </c>
      <c r="P137" s="361"/>
      <c r="Q137" s="360">
        <f t="shared" si="29"/>
        <v>49728.57</v>
      </c>
      <c r="R137" s="361">
        <f t="shared" si="34"/>
        <v>0</v>
      </c>
      <c r="S137" s="388"/>
      <c r="T137" s="362">
        <v>0.1</v>
      </c>
      <c r="U137" s="361">
        <f t="shared" si="30"/>
        <v>4972.857</v>
      </c>
      <c r="V137" s="383">
        <v>0.3</v>
      </c>
      <c r="W137" s="359">
        <f t="shared" si="35"/>
        <v>5309.0999999999995</v>
      </c>
      <c r="X137" s="363">
        <f t="shared" si="31"/>
        <v>60010.526999999995</v>
      </c>
      <c r="Y137" s="363">
        <f t="shared" si="32"/>
        <v>60010.826999999997</v>
      </c>
      <c r="Z137" s="363">
        <f t="shared" si="33"/>
        <v>65319.926999999996</v>
      </c>
      <c r="AA137" s="389"/>
      <c r="AB137" s="389"/>
      <c r="AC137" s="389"/>
      <c r="AD137" s="389"/>
      <c r="AE137" s="389"/>
      <c r="AF137" s="389"/>
      <c r="AG137" s="389"/>
      <c r="AH137" s="389"/>
      <c r="AI137" s="389"/>
      <c r="AJ137" s="389"/>
      <c r="AK137" s="389"/>
      <c r="AL137" s="389"/>
      <c r="AM137" s="389"/>
      <c r="AN137" s="389"/>
    </row>
    <row r="138" spans="1:40" s="377" customFormat="1" ht="15">
      <c r="A138" s="352">
        <v>152</v>
      </c>
      <c r="B138" s="384" t="s">
        <v>405</v>
      </c>
      <c r="C138" s="354" t="s">
        <v>340</v>
      </c>
      <c r="D138" s="379" t="s">
        <v>64</v>
      </c>
      <c r="E138" s="382"/>
      <c r="F138" s="387"/>
      <c r="G138" s="381">
        <v>1</v>
      </c>
      <c r="H138" s="382"/>
      <c r="I138" s="386"/>
      <c r="J138" s="382">
        <v>2</v>
      </c>
      <c r="K138" s="359">
        <v>17697</v>
      </c>
      <c r="L138" s="359"/>
      <c r="M138" s="359">
        <v>1</v>
      </c>
      <c r="N138" s="359"/>
      <c r="O138" s="361">
        <v>2.81</v>
      </c>
      <c r="P138" s="361"/>
      <c r="Q138" s="360">
        <f t="shared" si="29"/>
        <v>49728.57</v>
      </c>
      <c r="R138" s="361">
        <f t="shared" si="34"/>
        <v>0</v>
      </c>
      <c r="S138" s="359"/>
      <c r="T138" s="362">
        <v>0.1</v>
      </c>
      <c r="U138" s="361">
        <f t="shared" si="30"/>
        <v>4972.857</v>
      </c>
      <c r="V138" s="383">
        <v>0.3</v>
      </c>
      <c r="W138" s="359">
        <f t="shared" si="35"/>
        <v>5309.0999999999995</v>
      </c>
      <c r="X138" s="363">
        <f t="shared" si="31"/>
        <v>60010.526999999995</v>
      </c>
      <c r="Y138" s="363">
        <f t="shared" si="32"/>
        <v>60010.826999999997</v>
      </c>
      <c r="Z138" s="363">
        <f t="shared" si="33"/>
        <v>65319.926999999996</v>
      </c>
    </row>
    <row r="139" spans="1:40" s="377" customFormat="1" ht="15">
      <c r="A139" s="378">
        <v>153</v>
      </c>
      <c r="B139" s="384" t="s">
        <v>378</v>
      </c>
      <c r="C139" s="354" t="s">
        <v>340</v>
      </c>
      <c r="D139" s="379" t="s">
        <v>64</v>
      </c>
      <c r="E139" s="382"/>
      <c r="F139" s="385"/>
      <c r="G139" s="381">
        <v>1</v>
      </c>
      <c r="H139" s="382"/>
      <c r="I139" s="386"/>
      <c r="J139" s="382">
        <v>2</v>
      </c>
      <c r="K139" s="359">
        <v>17697</v>
      </c>
      <c r="L139" s="359"/>
      <c r="M139" s="359">
        <v>1</v>
      </c>
      <c r="N139" s="359"/>
      <c r="O139" s="361">
        <v>2.81</v>
      </c>
      <c r="P139" s="361"/>
      <c r="Q139" s="360">
        <f t="shared" si="29"/>
        <v>49728.57</v>
      </c>
      <c r="R139" s="361">
        <f t="shared" si="34"/>
        <v>0</v>
      </c>
      <c r="S139" s="359"/>
      <c r="T139" s="362">
        <v>0.1</v>
      </c>
      <c r="U139" s="361">
        <f t="shared" si="30"/>
        <v>4972.857</v>
      </c>
      <c r="V139" s="383">
        <v>0.3</v>
      </c>
      <c r="W139" s="359">
        <f t="shared" si="35"/>
        <v>5309.0999999999995</v>
      </c>
      <c r="X139" s="363">
        <f t="shared" si="31"/>
        <v>60010.526999999995</v>
      </c>
      <c r="Y139" s="363">
        <f t="shared" si="32"/>
        <v>60010.826999999997</v>
      </c>
      <c r="Z139" s="363">
        <f t="shared" si="33"/>
        <v>65319.926999999996</v>
      </c>
    </row>
    <row r="140" spans="1:40" s="377" customFormat="1" ht="15">
      <c r="A140" s="352">
        <v>154</v>
      </c>
      <c r="B140" s="384" t="s">
        <v>406</v>
      </c>
      <c r="C140" s="354" t="s">
        <v>340</v>
      </c>
      <c r="D140" s="379" t="s">
        <v>64</v>
      </c>
      <c r="E140" s="382"/>
      <c r="F140" s="385"/>
      <c r="G140" s="381">
        <v>1</v>
      </c>
      <c r="H140" s="382"/>
      <c r="I140" s="386"/>
      <c r="J140" s="382">
        <v>2</v>
      </c>
      <c r="K140" s="359">
        <v>17697</v>
      </c>
      <c r="L140" s="359"/>
      <c r="M140" s="359">
        <v>1</v>
      </c>
      <c r="N140" s="359"/>
      <c r="O140" s="361">
        <v>2.81</v>
      </c>
      <c r="P140" s="361"/>
      <c r="Q140" s="360">
        <f t="shared" si="29"/>
        <v>49728.57</v>
      </c>
      <c r="R140" s="361">
        <f t="shared" si="34"/>
        <v>0</v>
      </c>
      <c r="S140" s="359"/>
      <c r="T140" s="362">
        <v>0.1</v>
      </c>
      <c r="U140" s="361">
        <f t="shared" si="30"/>
        <v>4972.857</v>
      </c>
      <c r="V140" s="383">
        <v>0.3</v>
      </c>
      <c r="W140" s="359">
        <f t="shared" si="35"/>
        <v>5309.0999999999995</v>
      </c>
      <c r="X140" s="363">
        <f t="shared" si="31"/>
        <v>60010.526999999995</v>
      </c>
      <c r="Y140" s="363">
        <f t="shared" si="32"/>
        <v>60010.826999999997</v>
      </c>
      <c r="Z140" s="363">
        <f t="shared" si="33"/>
        <v>65319.926999999996</v>
      </c>
    </row>
    <row r="141" spans="1:40" s="364" customFormat="1" ht="15.75">
      <c r="A141" s="378">
        <v>155</v>
      </c>
      <c r="B141" s="353" t="s">
        <v>407</v>
      </c>
      <c r="C141" s="354" t="s">
        <v>340</v>
      </c>
      <c r="D141" s="379" t="s">
        <v>64</v>
      </c>
      <c r="E141" s="380"/>
      <c r="F141" s="356"/>
      <c r="G141" s="381">
        <v>1</v>
      </c>
      <c r="H141" s="357"/>
      <c r="I141" s="358"/>
      <c r="J141" s="382">
        <v>2</v>
      </c>
      <c r="K141" s="358">
        <v>17697</v>
      </c>
      <c r="L141" s="358"/>
      <c r="M141" s="359">
        <v>1.3</v>
      </c>
      <c r="N141" s="359"/>
      <c r="O141" s="361">
        <v>2.81</v>
      </c>
      <c r="P141" s="361"/>
      <c r="Q141" s="360">
        <f t="shared" si="29"/>
        <v>64647.141000000003</v>
      </c>
      <c r="R141" s="361">
        <f t="shared" si="34"/>
        <v>0</v>
      </c>
      <c r="S141" s="359"/>
      <c r="T141" s="362">
        <v>0.1</v>
      </c>
      <c r="U141" s="361">
        <f t="shared" si="30"/>
        <v>6464.7141000000011</v>
      </c>
      <c r="V141" s="383">
        <v>0.3</v>
      </c>
      <c r="W141" s="359">
        <f>V141*K141/1*1.3</f>
        <v>6901.83</v>
      </c>
      <c r="X141" s="363">
        <f t="shared" si="31"/>
        <v>78013.685100000002</v>
      </c>
      <c r="Y141" s="363">
        <f t="shared" si="32"/>
        <v>78013.985100000005</v>
      </c>
      <c r="Z141" s="363">
        <f t="shared" si="33"/>
        <v>84915.815100000007</v>
      </c>
    </row>
    <row r="142" spans="1:40" s="377" customFormat="1" ht="15">
      <c r="A142" s="352">
        <v>156</v>
      </c>
      <c r="B142" s="365" t="s">
        <v>408</v>
      </c>
      <c r="C142" s="366" t="s">
        <v>340</v>
      </c>
      <c r="D142" s="367" t="s">
        <v>75</v>
      </c>
      <c r="E142" s="367"/>
      <c r="F142" s="368"/>
      <c r="G142" s="367">
        <v>1</v>
      </c>
      <c r="H142" s="369"/>
      <c r="I142" s="369"/>
      <c r="J142" s="370">
        <v>2</v>
      </c>
      <c r="K142" s="371">
        <v>17697</v>
      </c>
      <c r="L142" s="371"/>
      <c r="M142" s="359">
        <v>1</v>
      </c>
      <c r="N142" s="371"/>
      <c r="O142" s="361">
        <v>2.81</v>
      </c>
      <c r="P142" s="361"/>
      <c r="Q142" s="360">
        <f t="shared" si="29"/>
        <v>49728.57</v>
      </c>
      <c r="R142" s="361">
        <f t="shared" si="34"/>
        <v>0</v>
      </c>
      <c r="S142" s="371"/>
      <c r="T142" s="362">
        <v>0.1</v>
      </c>
      <c r="U142" s="361">
        <f t="shared" si="30"/>
        <v>4972.857</v>
      </c>
      <c r="V142" s="372">
        <v>0.3</v>
      </c>
      <c r="W142" s="373">
        <f>V142*K142</f>
        <v>5309.0999999999995</v>
      </c>
      <c r="X142" s="363">
        <f t="shared" si="31"/>
        <v>60010.526999999995</v>
      </c>
      <c r="Y142" s="363">
        <f t="shared" si="32"/>
        <v>60010.826999999997</v>
      </c>
      <c r="Z142" s="363">
        <f t="shared" si="33"/>
        <v>65319.926999999996</v>
      </c>
      <c r="AA142" s="374"/>
      <c r="AB142" s="374"/>
      <c r="AC142" s="375"/>
      <c r="AD142" s="375"/>
      <c r="AE142" s="376"/>
      <c r="AF142" s="374"/>
      <c r="AG142" s="375"/>
    </row>
    <row r="143" spans="1:40" s="390" customFormat="1" ht="15">
      <c r="A143" s="378">
        <v>156</v>
      </c>
      <c r="B143" s="384" t="s">
        <v>345</v>
      </c>
      <c r="C143" s="392" t="s">
        <v>346</v>
      </c>
      <c r="D143" s="379" t="s">
        <v>64</v>
      </c>
      <c r="E143" s="382"/>
      <c r="F143" s="385"/>
      <c r="G143" s="381">
        <v>1</v>
      </c>
      <c r="H143" s="382"/>
      <c r="I143" s="386"/>
      <c r="J143" s="382">
        <v>1</v>
      </c>
      <c r="K143" s="359">
        <v>17697</v>
      </c>
      <c r="L143" s="359"/>
      <c r="M143" s="371">
        <v>1</v>
      </c>
      <c r="N143" s="359"/>
      <c r="O143" s="359">
        <v>2.77</v>
      </c>
      <c r="P143" s="359"/>
      <c r="Q143" s="360">
        <f t="shared" si="29"/>
        <v>49020.69</v>
      </c>
      <c r="R143" s="361">
        <f t="shared" si="34"/>
        <v>0</v>
      </c>
      <c r="S143" s="388"/>
      <c r="T143" s="362">
        <v>0.1</v>
      </c>
      <c r="U143" s="361">
        <f t="shared" si="30"/>
        <v>4902.0690000000004</v>
      </c>
      <c r="V143" s="449">
        <v>0.5</v>
      </c>
      <c r="W143" s="446">
        <v>12439.34</v>
      </c>
      <c r="X143" s="363">
        <f t="shared" si="31"/>
        <v>66362.099000000002</v>
      </c>
      <c r="Y143" s="363">
        <f t="shared" si="32"/>
        <v>66362.599000000002</v>
      </c>
      <c r="Z143" s="363">
        <f t="shared" si="33"/>
        <v>78801.938999999998</v>
      </c>
      <c r="AA143" s="389"/>
      <c r="AB143" s="389"/>
      <c r="AC143" s="389"/>
      <c r="AD143" s="389"/>
      <c r="AE143" s="389"/>
      <c r="AF143" s="389"/>
      <c r="AG143" s="389"/>
      <c r="AH143" s="389"/>
      <c r="AI143" s="389"/>
      <c r="AJ143" s="389"/>
      <c r="AK143" s="389"/>
      <c r="AL143" s="389"/>
      <c r="AM143" s="389"/>
      <c r="AN143" s="389"/>
    </row>
    <row r="144" spans="1:40" s="390" customFormat="1" ht="15">
      <c r="A144" s="352">
        <v>157</v>
      </c>
      <c r="B144" s="384" t="s">
        <v>347</v>
      </c>
      <c r="C144" s="392" t="s">
        <v>346</v>
      </c>
      <c r="D144" s="379" t="s">
        <v>25</v>
      </c>
      <c r="E144" s="382"/>
      <c r="F144" s="379"/>
      <c r="G144" s="381">
        <v>1</v>
      </c>
      <c r="H144" s="382"/>
      <c r="I144" s="386"/>
      <c r="J144" s="382">
        <v>1</v>
      </c>
      <c r="K144" s="359">
        <v>17697</v>
      </c>
      <c r="L144" s="359"/>
      <c r="M144" s="359">
        <v>1</v>
      </c>
      <c r="N144" s="359"/>
      <c r="O144" s="359">
        <v>2.77</v>
      </c>
      <c r="P144" s="359"/>
      <c r="Q144" s="360">
        <f t="shared" si="29"/>
        <v>49020.69</v>
      </c>
      <c r="R144" s="361">
        <f t="shared" si="34"/>
        <v>0</v>
      </c>
      <c r="S144" s="388"/>
      <c r="T144" s="362">
        <v>0.1</v>
      </c>
      <c r="U144" s="361">
        <f t="shared" si="30"/>
        <v>4902.0690000000004</v>
      </c>
      <c r="V144" s="449">
        <v>0.5</v>
      </c>
      <c r="W144" s="446">
        <v>12439.34</v>
      </c>
      <c r="X144" s="363">
        <f t="shared" si="31"/>
        <v>66362.099000000002</v>
      </c>
      <c r="Y144" s="363">
        <f t="shared" si="32"/>
        <v>66362.599000000002</v>
      </c>
      <c r="Z144" s="363">
        <f t="shared" si="33"/>
        <v>78801.938999999998</v>
      </c>
      <c r="AA144" s="389"/>
      <c r="AB144" s="389"/>
      <c r="AC144" s="389"/>
      <c r="AD144" s="389"/>
      <c r="AE144" s="389"/>
      <c r="AF144" s="389"/>
      <c r="AG144" s="389"/>
      <c r="AH144" s="389"/>
      <c r="AI144" s="389"/>
      <c r="AJ144" s="389"/>
      <c r="AK144" s="389"/>
      <c r="AL144" s="389"/>
      <c r="AM144" s="389"/>
      <c r="AN144" s="389"/>
    </row>
    <row r="145" spans="1:44" s="390" customFormat="1" ht="15">
      <c r="A145" s="378">
        <v>158</v>
      </c>
      <c r="B145" s="384" t="s">
        <v>348</v>
      </c>
      <c r="C145" s="392" t="s">
        <v>346</v>
      </c>
      <c r="D145" s="379" t="s">
        <v>64</v>
      </c>
      <c r="E145" s="382"/>
      <c r="F145" s="379"/>
      <c r="G145" s="381">
        <v>1</v>
      </c>
      <c r="H145" s="382"/>
      <c r="I145" s="386"/>
      <c r="J145" s="382">
        <v>1</v>
      </c>
      <c r="K145" s="359">
        <v>17697</v>
      </c>
      <c r="L145" s="359"/>
      <c r="M145" s="359">
        <v>1</v>
      </c>
      <c r="N145" s="359"/>
      <c r="O145" s="359">
        <v>2.77</v>
      </c>
      <c r="P145" s="359"/>
      <c r="Q145" s="360">
        <f t="shared" si="29"/>
        <v>49020.69</v>
      </c>
      <c r="R145" s="361">
        <f t="shared" si="34"/>
        <v>0</v>
      </c>
      <c r="S145" s="388"/>
      <c r="T145" s="362">
        <v>0.1</v>
      </c>
      <c r="U145" s="361">
        <f t="shared" si="30"/>
        <v>4902.0690000000004</v>
      </c>
      <c r="V145" s="449">
        <v>0.5</v>
      </c>
      <c r="W145" s="446">
        <v>12439.34</v>
      </c>
      <c r="X145" s="363">
        <f t="shared" si="31"/>
        <v>66362.099000000002</v>
      </c>
      <c r="Y145" s="363">
        <f t="shared" si="32"/>
        <v>66362.599000000002</v>
      </c>
      <c r="Z145" s="363">
        <f t="shared" si="33"/>
        <v>78801.938999999998</v>
      </c>
      <c r="AA145" s="389"/>
      <c r="AB145" s="389"/>
      <c r="AC145" s="389"/>
      <c r="AD145" s="389"/>
      <c r="AE145" s="389"/>
      <c r="AF145" s="389"/>
      <c r="AG145" s="389"/>
      <c r="AH145" s="389"/>
      <c r="AI145" s="389"/>
      <c r="AJ145" s="389"/>
      <c r="AK145" s="389"/>
      <c r="AL145" s="389"/>
      <c r="AM145" s="389"/>
      <c r="AN145" s="389"/>
    </row>
    <row r="146" spans="1:44" s="377" customFormat="1" ht="15">
      <c r="A146" s="352">
        <v>159</v>
      </c>
      <c r="B146" s="384" t="s">
        <v>416</v>
      </c>
      <c r="C146" s="448" t="s">
        <v>346</v>
      </c>
      <c r="D146" s="379" t="s">
        <v>64</v>
      </c>
      <c r="E146" s="382"/>
      <c r="F146" s="379"/>
      <c r="G146" s="381">
        <v>1</v>
      </c>
      <c r="H146" s="382"/>
      <c r="I146" s="386"/>
      <c r="J146" s="382">
        <v>1</v>
      </c>
      <c r="K146" s="359">
        <v>17697</v>
      </c>
      <c r="L146" s="359"/>
      <c r="M146" s="359">
        <v>1</v>
      </c>
      <c r="N146" s="359"/>
      <c r="O146" s="359">
        <v>2.77</v>
      </c>
      <c r="P146" s="359"/>
      <c r="Q146" s="360">
        <f t="shared" si="29"/>
        <v>49020.69</v>
      </c>
      <c r="R146" s="361">
        <f t="shared" si="34"/>
        <v>0</v>
      </c>
      <c r="S146" s="359"/>
      <c r="T146" s="362">
        <v>0.1</v>
      </c>
      <c r="U146" s="361">
        <f t="shared" si="30"/>
        <v>4902.0690000000004</v>
      </c>
      <c r="V146" s="449">
        <v>0.5</v>
      </c>
      <c r="W146" s="446">
        <v>12439.34</v>
      </c>
      <c r="X146" s="363">
        <f t="shared" si="31"/>
        <v>66362.099000000002</v>
      </c>
      <c r="Y146" s="363">
        <f t="shared" si="32"/>
        <v>66362.599000000002</v>
      </c>
      <c r="Z146" s="363">
        <f t="shared" si="33"/>
        <v>78801.938999999998</v>
      </c>
    </row>
    <row r="147" spans="1:44" s="377" customFormat="1" ht="15">
      <c r="A147" s="378">
        <v>160</v>
      </c>
      <c r="B147" s="384" t="s">
        <v>333</v>
      </c>
      <c r="C147" s="448" t="s">
        <v>346</v>
      </c>
      <c r="D147" s="379" t="s">
        <v>64</v>
      </c>
      <c r="E147" s="382"/>
      <c r="F147" s="379"/>
      <c r="G147" s="381">
        <v>1</v>
      </c>
      <c r="H147" s="382"/>
      <c r="I147" s="386"/>
      <c r="J147" s="382">
        <v>1</v>
      </c>
      <c r="K147" s="359">
        <v>17697</v>
      </c>
      <c r="L147" s="359"/>
      <c r="M147" s="359">
        <v>1</v>
      </c>
      <c r="N147" s="359"/>
      <c r="O147" s="359">
        <v>2.77</v>
      </c>
      <c r="P147" s="359"/>
      <c r="Q147" s="360">
        <f t="shared" si="29"/>
        <v>49020.69</v>
      </c>
      <c r="R147" s="361">
        <f t="shared" si="34"/>
        <v>0</v>
      </c>
      <c r="S147" s="359"/>
      <c r="T147" s="362">
        <v>0.1</v>
      </c>
      <c r="U147" s="361">
        <f t="shared" si="30"/>
        <v>4902.0690000000004</v>
      </c>
      <c r="V147" s="449">
        <v>0.5</v>
      </c>
      <c r="W147" s="446">
        <v>12439.34</v>
      </c>
      <c r="X147" s="363">
        <f t="shared" si="31"/>
        <v>66362.099000000002</v>
      </c>
      <c r="Y147" s="363">
        <f t="shared" si="32"/>
        <v>66362.599000000002</v>
      </c>
      <c r="Z147" s="363">
        <f t="shared" si="33"/>
        <v>78801.938999999998</v>
      </c>
    </row>
    <row r="148" spans="1:44" s="377" customFormat="1" ht="15">
      <c r="A148" s="352">
        <v>161</v>
      </c>
      <c r="B148" s="384" t="s">
        <v>350</v>
      </c>
      <c r="C148" s="448" t="s">
        <v>346</v>
      </c>
      <c r="D148" s="379" t="s">
        <v>64</v>
      </c>
      <c r="E148" s="382"/>
      <c r="F148" s="379"/>
      <c r="G148" s="381">
        <v>1</v>
      </c>
      <c r="H148" s="382"/>
      <c r="I148" s="386"/>
      <c r="J148" s="382">
        <v>1</v>
      </c>
      <c r="K148" s="359">
        <v>17697</v>
      </c>
      <c r="L148" s="359"/>
      <c r="M148" s="359">
        <v>1</v>
      </c>
      <c r="N148" s="359"/>
      <c r="O148" s="359">
        <v>2.77</v>
      </c>
      <c r="P148" s="359"/>
      <c r="Q148" s="360">
        <f t="shared" si="29"/>
        <v>49020.69</v>
      </c>
      <c r="R148" s="361">
        <f t="shared" si="34"/>
        <v>0</v>
      </c>
      <c r="S148" s="359"/>
      <c r="T148" s="362">
        <v>0.1</v>
      </c>
      <c r="U148" s="361">
        <f t="shared" si="30"/>
        <v>4902.0690000000004</v>
      </c>
      <c r="V148" s="449">
        <v>0.5</v>
      </c>
      <c r="W148" s="446">
        <v>12439.34</v>
      </c>
      <c r="X148" s="363">
        <f t="shared" si="31"/>
        <v>66362.099000000002</v>
      </c>
      <c r="Y148" s="363">
        <f t="shared" si="32"/>
        <v>66362.599000000002</v>
      </c>
      <c r="Z148" s="363">
        <f t="shared" si="33"/>
        <v>78801.938999999998</v>
      </c>
    </row>
    <row r="149" spans="1:44" s="377" customFormat="1" ht="15">
      <c r="A149" s="378">
        <v>162</v>
      </c>
      <c r="B149" s="413" t="s">
        <v>351</v>
      </c>
      <c r="C149" s="443" t="s">
        <v>352</v>
      </c>
      <c r="D149" s="355" t="s">
        <v>75</v>
      </c>
      <c r="E149" s="355"/>
      <c r="F149" s="444"/>
      <c r="G149" s="355">
        <v>1</v>
      </c>
      <c r="H149" s="445"/>
      <c r="I149" s="445"/>
      <c r="J149" s="355">
        <v>1</v>
      </c>
      <c r="K149" s="360">
        <v>17697</v>
      </c>
      <c r="L149" s="360"/>
      <c r="M149" s="359">
        <v>1</v>
      </c>
      <c r="N149" s="360"/>
      <c r="O149" s="359">
        <v>2.77</v>
      </c>
      <c r="P149" s="359"/>
      <c r="Q149" s="360">
        <f t="shared" si="29"/>
        <v>49020.69</v>
      </c>
      <c r="R149" s="361">
        <f t="shared" si="34"/>
        <v>0</v>
      </c>
      <c r="S149" s="360"/>
      <c r="T149" s="362">
        <v>0.1</v>
      </c>
      <c r="U149" s="361">
        <f t="shared" si="30"/>
        <v>4902.0690000000004</v>
      </c>
      <c r="V149" s="360">
        <v>0</v>
      </c>
      <c r="W149" s="446">
        <v>12439.34</v>
      </c>
      <c r="X149" s="363">
        <f t="shared" si="31"/>
        <v>66362.099000000002</v>
      </c>
      <c r="Y149" s="363">
        <f t="shared" si="32"/>
        <v>66362.099000000002</v>
      </c>
      <c r="Z149" s="363">
        <f t="shared" si="33"/>
        <v>78801.438999999998</v>
      </c>
      <c r="AA149" s="374"/>
      <c r="AB149" s="374"/>
      <c r="AC149" s="375"/>
      <c r="AD149" s="375"/>
      <c r="AE149" s="376"/>
      <c r="AF149" s="374"/>
      <c r="AG149" s="375"/>
    </row>
    <row r="150" spans="1:44" s="377" customFormat="1" ht="15">
      <c r="A150" s="352">
        <v>163</v>
      </c>
      <c r="B150" s="413" t="s">
        <v>353</v>
      </c>
      <c r="C150" s="443" t="s">
        <v>352</v>
      </c>
      <c r="D150" s="355" t="s">
        <v>75</v>
      </c>
      <c r="E150" s="355"/>
      <c r="F150" s="444"/>
      <c r="G150" s="355">
        <v>1</v>
      </c>
      <c r="H150" s="445"/>
      <c r="I150" s="445"/>
      <c r="J150" s="355">
        <v>1</v>
      </c>
      <c r="K150" s="360">
        <v>17697</v>
      </c>
      <c r="L150" s="360"/>
      <c r="M150" s="359">
        <v>1</v>
      </c>
      <c r="N150" s="360"/>
      <c r="O150" s="359">
        <v>2.77</v>
      </c>
      <c r="P150" s="359"/>
      <c r="Q150" s="360">
        <f t="shared" si="29"/>
        <v>49020.69</v>
      </c>
      <c r="R150" s="361">
        <f t="shared" si="34"/>
        <v>0</v>
      </c>
      <c r="S150" s="360"/>
      <c r="T150" s="362">
        <v>0.1</v>
      </c>
      <c r="U150" s="361">
        <f t="shared" si="30"/>
        <v>4902.0690000000004</v>
      </c>
      <c r="V150" s="360">
        <v>0</v>
      </c>
      <c r="W150" s="446">
        <v>12439.34</v>
      </c>
      <c r="X150" s="363">
        <f t="shared" si="31"/>
        <v>66362.099000000002</v>
      </c>
      <c r="Y150" s="363">
        <f t="shared" si="32"/>
        <v>66362.099000000002</v>
      </c>
      <c r="Z150" s="363">
        <f t="shared" si="33"/>
        <v>78801.438999999998</v>
      </c>
      <c r="AA150" s="374"/>
      <c r="AB150" s="374"/>
      <c r="AC150" s="375"/>
      <c r="AD150" s="375"/>
      <c r="AE150" s="376"/>
      <c r="AF150" s="374"/>
      <c r="AG150" s="375"/>
    </row>
    <row r="151" spans="1:44" s="377" customFormat="1" ht="15">
      <c r="A151" s="378">
        <v>164</v>
      </c>
      <c r="B151" s="447" t="s">
        <v>354</v>
      </c>
      <c r="C151" s="443" t="s">
        <v>352</v>
      </c>
      <c r="D151" s="355" t="s">
        <v>75</v>
      </c>
      <c r="E151" s="355"/>
      <c r="F151" s="444"/>
      <c r="G151" s="355">
        <v>1</v>
      </c>
      <c r="H151" s="445"/>
      <c r="I151" s="445"/>
      <c r="J151" s="355">
        <v>1</v>
      </c>
      <c r="K151" s="360">
        <v>17697</v>
      </c>
      <c r="L151" s="360"/>
      <c r="M151" s="359">
        <v>1</v>
      </c>
      <c r="N151" s="360"/>
      <c r="O151" s="359">
        <v>2.77</v>
      </c>
      <c r="P151" s="359"/>
      <c r="Q151" s="360">
        <f t="shared" si="29"/>
        <v>49020.69</v>
      </c>
      <c r="R151" s="361">
        <f t="shared" si="34"/>
        <v>0</v>
      </c>
      <c r="S151" s="360"/>
      <c r="T151" s="362">
        <v>0.1</v>
      </c>
      <c r="U151" s="361">
        <f t="shared" si="30"/>
        <v>4902.0690000000004</v>
      </c>
      <c r="V151" s="360">
        <v>0</v>
      </c>
      <c r="W151" s="446">
        <v>12439.34</v>
      </c>
      <c r="X151" s="363">
        <f t="shared" si="31"/>
        <v>66362.099000000002</v>
      </c>
      <c r="Y151" s="363">
        <f t="shared" si="32"/>
        <v>66362.099000000002</v>
      </c>
      <c r="Z151" s="363">
        <f t="shared" si="33"/>
        <v>78801.438999999998</v>
      </c>
      <c r="AA151" s="374"/>
      <c r="AB151" s="374"/>
      <c r="AC151" s="375"/>
      <c r="AD151" s="375"/>
      <c r="AE151" s="376"/>
      <c r="AF151" s="374"/>
      <c r="AG151" s="375"/>
    </row>
    <row r="152" spans="1:44" s="364" customFormat="1" ht="15.75">
      <c r="A152" s="352">
        <v>165</v>
      </c>
      <c r="B152" s="353" t="s">
        <v>355</v>
      </c>
      <c r="C152" s="354" t="s">
        <v>356</v>
      </c>
      <c r="D152" s="355" t="s">
        <v>75</v>
      </c>
      <c r="E152" s="353"/>
      <c r="F152" s="353"/>
      <c r="G152" s="356">
        <v>1</v>
      </c>
      <c r="H152" s="357"/>
      <c r="I152" s="358"/>
      <c r="J152" s="356">
        <v>1</v>
      </c>
      <c r="K152" s="358">
        <v>17697</v>
      </c>
      <c r="L152" s="358"/>
      <c r="M152" s="359">
        <v>1</v>
      </c>
      <c r="N152" s="359"/>
      <c r="O152" s="359">
        <v>2.77</v>
      </c>
      <c r="P152" s="359"/>
      <c r="Q152" s="360">
        <f t="shared" si="29"/>
        <v>49020.69</v>
      </c>
      <c r="R152" s="361">
        <f t="shared" si="34"/>
        <v>0</v>
      </c>
      <c r="S152" s="359"/>
      <c r="T152" s="362">
        <v>0.1</v>
      </c>
      <c r="U152" s="361">
        <f t="shared" si="30"/>
        <v>4902.0690000000004</v>
      </c>
      <c r="V152" s="360">
        <v>0</v>
      </c>
      <c r="W152" s="360">
        <v>0</v>
      </c>
      <c r="X152" s="363">
        <f t="shared" si="31"/>
        <v>53922.759000000005</v>
      </c>
      <c r="Y152" s="363">
        <f t="shared" si="32"/>
        <v>53922.759000000005</v>
      </c>
      <c r="Z152" s="363">
        <f t="shared" si="33"/>
        <v>53922.759000000005</v>
      </c>
    </row>
    <row r="153" spans="1:44" s="364" customFormat="1" ht="15.75">
      <c r="A153" s="378">
        <v>166</v>
      </c>
      <c r="B153" s="353" t="s">
        <v>357</v>
      </c>
      <c r="C153" s="392" t="s">
        <v>358</v>
      </c>
      <c r="D153" s="379" t="s">
        <v>64</v>
      </c>
      <c r="E153" s="353"/>
      <c r="F153" s="353"/>
      <c r="G153" s="356">
        <v>1</v>
      </c>
      <c r="H153" s="357"/>
      <c r="I153" s="358"/>
      <c r="J153" s="356">
        <v>1</v>
      </c>
      <c r="K153" s="358">
        <v>17697</v>
      </c>
      <c r="L153" s="358"/>
      <c r="M153" s="359">
        <v>1</v>
      </c>
      <c r="N153" s="359"/>
      <c r="O153" s="359">
        <v>2.77</v>
      </c>
      <c r="P153" s="359"/>
      <c r="Q153" s="360">
        <f t="shared" si="29"/>
        <v>49020.69</v>
      </c>
      <c r="R153" s="361">
        <f t="shared" si="34"/>
        <v>0</v>
      </c>
      <c r="S153" s="359"/>
      <c r="T153" s="362">
        <v>0.1</v>
      </c>
      <c r="U153" s="361">
        <f t="shared" si="30"/>
        <v>4902.0690000000004</v>
      </c>
      <c r="V153" s="360">
        <v>0</v>
      </c>
      <c r="W153" s="360">
        <v>0</v>
      </c>
      <c r="X153" s="363">
        <f t="shared" si="31"/>
        <v>53922.759000000005</v>
      </c>
      <c r="Y153" s="363">
        <f t="shared" si="32"/>
        <v>53922.759000000005</v>
      </c>
      <c r="Z153" s="363">
        <f t="shared" si="33"/>
        <v>53922.759000000005</v>
      </c>
    </row>
    <row r="154" spans="1:44" s="84" customFormat="1" ht="22.5" customHeight="1">
      <c r="A154" s="2257" t="s">
        <v>359</v>
      </c>
      <c r="B154" s="2257"/>
      <c r="C154" s="2257"/>
      <c r="D154" s="2257"/>
      <c r="E154" s="350"/>
      <c r="F154" s="350"/>
      <c r="G154" s="140"/>
      <c r="H154" s="350"/>
      <c r="I154" s="350"/>
      <c r="J154" s="350"/>
      <c r="K154" s="350"/>
      <c r="L154" s="249"/>
      <c r="M154" s="141">
        <v>170.63</v>
      </c>
      <c r="N154" s="141"/>
      <c r="O154" s="141"/>
      <c r="P154" s="141"/>
      <c r="Q154" s="141">
        <f>SUM(Q6:Q153)</f>
        <v>12070370.594333334</v>
      </c>
      <c r="R154" s="141"/>
      <c r="S154" s="141">
        <f>SUM(S6:S153)</f>
        <v>191075.98375000001</v>
      </c>
      <c r="T154" s="141"/>
      <c r="U154" s="141">
        <f>SUM(U6:U153)</f>
        <v>1223591.888058333</v>
      </c>
      <c r="V154" s="141"/>
      <c r="W154" s="141">
        <f>SUM(W6:W153)</f>
        <v>164868.08999999997</v>
      </c>
      <c r="X154" s="203">
        <f>SUM(X6:X153)</f>
        <v>13649906.556141675</v>
      </c>
      <c r="Y154" s="141">
        <f>SUM(Y6:Y153)</f>
        <v>1687771.2722666666</v>
      </c>
      <c r="Z154" s="141">
        <f>SUM(Z6:Z153)</f>
        <v>2320621.3088083328</v>
      </c>
      <c r="AA154" s="262"/>
      <c r="AB154" s="262"/>
      <c r="AC154" s="262"/>
      <c r="AD154" s="262"/>
      <c r="AE154" s="262"/>
      <c r="AF154" s="262"/>
      <c r="AG154" s="262"/>
      <c r="AH154" s="262"/>
      <c r="AI154" s="262"/>
      <c r="AJ154" s="262"/>
      <c r="AK154" s="262"/>
      <c r="AL154" s="262"/>
      <c r="AM154" s="262"/>
      <c r="AN154" s="262"/>
      <c r="AO154" s="262"/>
      <c r="AP154" s="262"/>
      <c r="AQ154" s="262"/>
      <c r="AR154" s="262"/>
    </row>
    <row r="155" spans="1:44">
      <c r="M155" s="85"/>
      <c r="N155" s="86"/>
      <c r="O155" s="23"/>
      <c r="P155" s="23"/>
      <c r="Q155" s="87"/>
      <c r="R155" s="88"/>
    </row>
    <row r="156" spans="1:44" s="24" customFormat="1">
      <c r="A156" s="1"/>
      <c r="B156" s="1"/>
      <c r="C156" s="351"/>
      <c r="D156" s="1"/>
      <c r="E156" s="1"/>
      <c r="F156" s="1"/>
      <c r="G156" s="1"/>
      <c r="H156" s="1"/>
      <c r="I156" s="1"/>
      <c r="J156" s="1"/>
      <c r="K156" s="1"/>
      <c r="L156" s="1"/>
      <c r="N156" s="89"/>
      <c r="R156" s="1"/>
      <c r="S156" s="1"/>
      <c r="T156" s="1"/>
      <c r="U156" s="1"/>
      <c r="V156" s="1"/>
      <c r="W156" s="1"/>
      <c r="X156" s="3"/>
      <c r="Y156" s="3"/>
      <c r="Z156" s="3"/>
    </row>
    <row r="157" spans="1:44" s="24" customFormat="1">
      <c r="A157" s="1"/>
      <c r="B157" s="1"/>
      <c r="C157" s="351"/>
      <c r="D157" s="1"/>
      <c r="E157" s="1"/>
      <c r="F157" s="1"/>
      <c r="G157" s="1"/>
      <c r="H157" s="1"/>
      <c r="I157" s="1"/>
      <c r="J157" s="1"/>
      <c r="K157" s="1"/>
      <c r="L157" s="1"/>
      <c r="M157" s="3">
        <v>2283</v>
      </c>
      <c r="N157" s="351"/>
      <c r="O157" s="1"/>
      <c r="P157" s="1"/>
      <c r="Q157" s="1"/>
      <c r="R157" s="1"/>
      <c r="S157" s="1"/>
      <c r="T157" s="1"/>
      <c r="U157" s="1"/>
      <c r="V157" s="3"/>
      <c r="W157" s="3"/>
      <c r="X157" s="3"/>
      <c r="Y157" s="3"/>
      <c r="Z157" s="3"/>
    </row>
    <row r="158" spans="1:44" s="24" customFormat="1">
      <c r="A158" s="1"/>
      <c r="B158" s="1"/>
      <c r="C158" s="351"/>
      <c r="D158" s="1"/>
      <c r="E158" s="1"/>
      <c r="F158" s="1"/>
      <c r="G158" s="1"/>
      <c r="H158" s="1"/>
      <c r="I158" s="1"/>
      <c r="J158" s="1"/>
      <c r="K158" s="3"/>
      <c r="L158" s="1"/>
      <c r="M158" s="3">
        <f>SUM(M127:M153)</f>
        <v>26.3</v>
      </c>
      <c r="N158" s="351"/>
      <c r="O158" s="1"/>
      <c r="P158" s="1"/>
      <c r="Q158" s="1"/>
      <c r="R158" s="90"/>
      <c r="S158" s="90"/>
      <c r="T158" s="1"/>
      <c r="U158" s="1"/>
      <c r="V158" s="1"/>
      <c r="W158" s="1"/>
      <c r="X158" s="1"/>
      <c r="Y158" s="1"/>
      <c r="Z158" s="1"/>
    </row>
    <row r="159" spans="1:44" s="24" customFormat="1">
      <c r="A159" s="1"/>
      <c r="B159" s="1"/>
      <c r="C159" s="351"/>
      <c r="D159" s="1"/>
      <c r="E159" s="1"/>
      <c r="F159" s="1"/>
      <c r="G159" s="1"/>
      <c r="H159" s="1"/>
      <c r="I159" s="1"/>
      <c r="J159" s="1"/>
      <c r="K159" s="3"/>
      <c r="L159" s="1"/>
      <c r="M159" s="3">
        <f>SUM(M6:M26)</f>
        <v>23.277777777777779</v>
      </c>
      <c r="N159" s="35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44" s="24" customFormat="1">
      <c r="A160" s="1"/>
      <c r="B160" s="1"/>
      <c r="C160" s="351"/>
      <c r="D160" s="1"/>
      <c r="E160" s="1"/>
      <c r="F160" s="1"/>
      <c r="G160" s="1"/>
      <c r="H160" s="1"/>
      <c r="I160" s="3"/>
      <c r="J160" s="1"/>
      <c r="K160" s="3"/>
      <c r="L160" s="1"/>
      <c r="M160" s="3">
        <f>SUM(M157:M159)</f>
        <v>2332.577777777778</v>
      </c>
      <c r="N160" s="35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5" spans="1:26" s="24" customFormat="1">
      <c r="A165" s="1"/>
      <c r="B165" s="1"/>
      <c r="C165" s="351"/>
      <c r="D165" s="1"/>
      <c r="E165" s="1"/>
      <c r="F165" s="1"/>
      <c r="G165" s="1"/>
      <c r="H165" s="1"/>
      <c r="I165" s="1"/>
      <c r="J165" s="1"/>
      <c r="K165" s="1"/>
      <c r="L165" s="1"/>
      <c r="M165" s="3"/>
      <c r="N165" s="35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</sheetData>
  <sortState ref="A6:AR153">
    <sortCondition ref="A6"/>
  </sortState>
  <mergeCells count="26">
    <mergeCell ref="A2:X2"/>
    <mergeCell ref="A3:X3"/>
    <mergeCell ref="A4:A5"/>
    <mergeCell ref="B4:B5"/>
    <mergeCell ref="C4:C5"/>
    <mergeCell ref="D4:D5"/>
    <mergeCell ref="E4:E5"/>
    <mergeCell ref="F4:F5"/>
    <mergeCell ref="G4:G5"/>
    <mergeCell ref="H4:H5"/>
    <mergeCell ref="X4:X5"/>
    <mergeCell ref="Y4:Y5"/>
    <mergeCell ref="Z4:Z5"/>
    <mergeCell ref="A154:D154"/>
    <mergeCell ref="O4:O5"/>
    <mergeCell ref="P4:P5"/>
    <mergeCell ref="Q4:Q5"/>
    <mergeCell ref="R4:S4"/>
    <mergeCell ref="T4:U4"/>
    <mergeCell ref="V4:W4"/>
    <mergeCell ref="I4:I5"/>
    <mergeCell ref="J4:J5"/>
    <mergeCell ref="K4:K5"/>
    <mergeCell ref="L4:L5"/>
    <mergeCell ref="M4:M5"/>
    <mergeCell ref="N4:N5"/>
  </mergeCells>
  <pageMargins left="0" right="0" top="0.64" bottom="0" header="0.43" footer="0.31496062992125984"/>
  <pageSetup paperSize="9" scale="53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0"/>
  <dimension ref="C6:E6"/>
  <sheetViews>
    <sheetView workbookViewId="0">
      <selection activeCell="E7" sqref="E7"/>
    </sheetView>
  </sheetViews>
  <sheetFormatPr defaultRowHeight="15"/>
  <sheetData>
    <row r="6" spans="3:5">
      <c r="C6">
        <v>82999</v>
      </c>
      <c r="D6">
        <v>75389</v>
      </c>
      <c r="E6">
        <f>(C6-D6)*100/82999</f>
        <v>9.1687851660863391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1">
    <tabColor rgb="FFFFFF00"/>
  </sheetPr>
  <dimension ref="A1:AC58"/>
  <sheetViews>
    <sheetView view="pageBreakPreview" zoomScaleNormal="100" zoomScaleSheetLayoutView="100" workbookViewId="0">
      <selection sqref="A1:Q50"/>
    </sheetView>
  </sheetViews>
  <sheetFormatPr defaultRowHeight="12.75"/>
  <cols>
    <col min="1" max="1" width="5" style="745" customWidth="1"/>
    <col min="2" max="2" width="29.85546875" style="749" customWidth="1"/>
    <col min="3" max="3" width="6" style="749" customWidth="1"/>
    <col min="4" max="4" width="5.7109375" style="749" customWidth="1"/>
    <col min="5" max="5" width="5.85546875" style="745" customWidth="1"/>
    <col min="6" max="6" width="12.42578125" style="807" customWidth="1"/>
    <col min="7" max="7" width="6.140625" style="807" customWidth="1"/>
    <col min="8" max="8" width="9.42578125" style="807" customWidth="1"/>
    <col min="9" max="9" width="12.5703125" style="807" customWidth="1"/>
    <col min="10" max="10" width="6.28515625" style="807" customWidth="1"/>
    <col min="11" max="11" width="13.7109375" style="807" customWidth="1"/>
    <col min="12" max="12" width="6.85546875" style="807" customWidth="1"/>
    <col min="13" max="13" width="12.140625" style="807" customWidth="1"/>
    <col min="14" max="14" width="5.7109375" style="807" customWidth="1"/>
    <col min="15" max="15" width="11.140625" style="807" customWidth="1"/>
    <col min="16" max="16" width="15.42578125" style="807" customWidth="1"/>
    <col min="17" max="17" width="16.28515625" style="745" customWidth="1"/>
    <col min="18" max="18" width="13.42578125" style="745" customWidth="1"/>
    <col min="19" max="19" width="15" style="745" customWidth="1"/>
    <col min="20" max="20" width="25.28515625" style="745" customWidth="1"/>
    <col min="21" max="21" width="25.7109375" style="745" customWidth="1"/>
    <col min="22" max="256" width="9.140625" style="745"/>
    <col min="257" max="257" width="5" style="745" customWidth="1"/>
    <col min="258" max="258" width="29.85546875" style="745" customWidth="1"/>
    <col min="259" max="259" width="6" style="745" customWidth="1"/>
    <col min="260" max="260" width="5.7109375" style="745" customWidth="1"/>
    <col min="261" max="261" width="5.85546875" style="745" customWidth="1"/>
    <col min="262" max="262" width="12.42578125" style="745" customWidth="1"/>
    <col min="263" max="263" width="6.140625" style="745" customWidth="1"/>
    <col min="264" max="264" width="9.42578125" style="745" customWidth="1"/>
    <col min="265" max="265" width="12.5703125" style="745" customWidth="1"/>
    <col min="266" max="266" width="6.28515625" style="745" customWidth="1"/>
    <col min="267" max="267" width="11.42578125" style="745" customWidth="1"/>
    <col min="268" max="268" width="6.85546875" style="745" customWidth="1"/>
    <col min="269" max="269" width="12.140625" style="745" customWidth="1"/>
    <col min="270" max="270" width="5.7109375" style="745" customWidth="1"/>
    <col min="271" max="271" width="11.140625" style="745" customWidth="1"/>
    <col min="272" max="272" width="15.42578125" style="745" customWidth="1"/>
    <col min="273" max="273" width="14.7109375" style="745" customWidth="1"/>
    <col min="274" max="274" width="13.42578125" style="745" customWidth="1"/>
    <col min="275" max="275" width="15" style="745" customWidth="1"/>
    <col min="276" max="276" width="25.28515625" style="745" customWidth="1"/>
    <col min="277" max="277" width="25.7109375" style="745" customWidth="1"/>
    <col min="278" max="512" width="9.140625" style="745"/>
    <col min="513" max="513" width="5" style="745" customWidth="1"/>
    <col min="514" max="514" width="29.85546875" style="745" customWidth="1"/>
    <col min="515" max="515" width="6" style="745" customWidth="1"/>
    <col min="516" max="516" width="5.7109375" style="745" customWidth="1"/>
    <col min="517" max="517" width="5.85546875" style="745" customWidth="1"/>
    <col min="518" max="518" width="12.42578125" style="745" customWidth="1"/>
    <col min="519" max="519" width="6.140625" style="745" customWidth="1"/>
    <col min="520" max="520" width="9.42578125" style="745" customWidth="1"/>
    <col min="521" max="521" width="12.5703125" style="745" customWidth="1"/>
    <col min="522" max="522" width="6.28515625" style="745" customWidth="1"/>
    <col min="523" max="523" width="11.42578125" style="745" customWidth="1"/>
    <col min="524" max="524" width="6.85546875" style="745" customWidth="1"/>
    <col min="525" max="525" width="12.140625" style="745" customWidth="1"/>
    <col min="526" max="526" width="5.7109375" style="745" customWidth="1"/>
    <col min="527" max="527" width="11.140625" style="745" customWidth="1"/>
    <col min="528" max="528" width="15.42578125" style="745" customWidth="1"/>
    <col min="529" max="529" width="14.7109375" style="745" customWidth="1"/>
    <col min="530" max="530" width="13.42578125" style="745" customWidth="1"/>
    <col min="531" max="531" width="15" style="745" customWidth="1"/>
    <col min="532" max="532" width="25.28515625" style="745" customWidth="1"/>
    <col min="533" max="533" width="25.7109375" style="745" customWidth="1"/>
    <col min="534" max="768" width="9.140625" style="745"/>
    <col min="769" max="769" width="5" style="745" customWidth="1"/>
    <col min="770" max="770" width="29.85546875" style="745" customWidth="1"/>
    <col min="771" max="771" width="6" style="745" customWidth="1"/>
    <col min="772" max="772" width="5.7109375" style="745" customWidth="1"/>
    <col min="773" max="773" width="5.85546875" style="745" customWidth="1"/>
    <col min="774" max="774" width="12.42578125" style="745" customWidth="1"/>
    <col min="775" max="775" width="6.140625" style="745" customWidth="1"/>
    <col min="776" max="776" width="9.42578125" style="745" customWidth="1"/>
    <col min="777" max="777" width="12.5703125" style="745" customWidth="1"/>
    <col min="778" max="778" width="6.28515625" style="745" customWidth="1"/>
    <col min="779" max="779" width="11.42578125" style="745" customWidth="1"/>
    <col min="780" max="780" width="6.85546875" style="745" customWidth="1"/>
    <col min="781" max="781" width="12.140625" style="745" customWidth="1"/>
    <col min="782" max="782" width="5.7109375" style="745" customWidth="1"/>
    <col min="783" max="783" width="11.140625" style="745" customWidth="1"/>
    <col min="784" max="784" width="15.42578125" style="745" customWidth="1"/>
    <col min="785" max="785" width="14.7109375" style="745" customWidth="1"/>
    <col min="786" max="786" width="13.42578125" style="745" customWidth="1"/>
    <col min="787" max="787" width="15" style="745" customWidth="1"/>
    <col min="788" max="788" width="25.28515625" style="745" customWidth="1"/>
    <col min="789" max="789" width="25.7109375" style="745" customWidth="1"/>
    <col min="790" max="1024" width="9.140625" style="745"/>
    <col min="1025" max="1025" width="5" style="745" customWidth="1"/>
    <col min="1026" max="1026" width="29.85546875" style="745" customWidth="1"/>
    <col min="1027" max="1027" width="6" style="745" customWidth="1"/>
    <col min="1028" max="1028" width="5.7109375" style="745" customWidth="1"/>
    <col min="1029" max="1029" width="5.85546875" style="745" customWidth="1"/>
    <col min="1030" max="1030" width="12.42578125" style="745" customWidth="1"/>
    <col min="1031" max="1031" width="6.140625" style="745" customWidth="1"/>
    <col min="1032" max="1032" width="9.42578125" style="745" customWidth="1"/>
    <col min="1033" max="1033" width="12.5703125" style="745" customWidth="1"/>
    <col min="1034" max="1034" width="6.28515625" style="745" customWidth="1"/>
    <col min="1035" max="1035" width="11.42578125" style="745" customWidth="1"/>
    <col min="1036" max="1036" width="6.85546875" style="745" customWidth="1"/>
    <col min="1037" max="1037" width="12.140625" style="745" customWidth="1"/>
    <col min="1038" max="1038" width="5.7109375" style="745" customWidth="1"/>
    <col min="1039" max="1039" width="11.140625" style="745" customWidth="1"/>
    <col min="1040" max="1040" width="15.42578125" style="745" customWidth="1"/>
    <col min="1041" max="1041" width="14.7109375" style="745" customWidth="1"/>
    <col min="1042" max="1042" width="13.42578125" style="745" customWidth="1"/>
    <col min="1043" max="1043" width="15" style="745" customWidth="1"/>
    <col min="1044" max="1044" width="25.28515625" style="745" customWidth="1"/>
    <col min="1045" max="1045" width="25.7109375" style="745" customWidth="1"/>
    <col min="1046" max="1280" width="9.140625" style="745"/>
    <col min="1281" max="1281" width="5" style="745" customWidth="1"/>
    <col min="1282" max="1282" width="29.85546875" style="745" customWidth="1"/>
    <col min="1283" max="1283" width="6" style="745" customWidth="1"/>
    <col min="1284" max="1284" width="5.7109375" style="745" customWidth="1"/>
    <col min="1285" max="1285" width="5.85546875" style="745" customWidth="1"/>
    <col min="1286" max="1286" width="12.42578125" style="745" customWidth="1"/>
    <col min="1287" max="1287" width="6.140625" style="745" customWidth="1"/>
    <col min="1288" max="1288" width="9.42578125" style="745" customWidth="1"/>
    <col min="1289" max="1289" width="12.5703125" style="745" customWidth="1"/>
    <col min="1290" max="1290" width="6.28515625" style="745" customWidth="1"/>
    <col min="1291" max="1291" width="11.42578125" style="745" customWidth="1"/>
    <col min="1292" max="1292" width="6.85546875" style="745" customWidth="1"/>
    <col min="1293" max="1293" width="12.140625" style="745" customWidth="1"/>
    <col min="1294" max="1294" width="5.7109375" style="745" customWidth="1"/>
    <col min="1295" max="1295" width="11.140625" style="745" customWidth="1"/>
    <col min="1296" max="1296" width="15.42578125" style="745" customWidth="1"/>
    <col min="1297" max="1297" width="14.7109375" style="745" customWidth="1"/>
    <col min="1298" max="1298" width="13.42578125" style="745" customWidth="1"/>
    <col min="1299" max="1299" width="15" style="745" customWidth="1"/>
    <col min="1300" max="1300" width="25.28515625" style="745" customWidth="1"/>
    <col min="1301" max="1301" width="25.7109375" style="745" customWidth="1"/>
    <col min="1302" max="1536" width="9.140625" style="745"/>
    <col min="1537" max="1537" width="5" style="745" customWidth="1"/>
    <col min="1538" max="1538" width="29.85546875" style="745" customWidth="1"/>
    <col min="1539" max="1539" width="6" style="745" customWidth="1"/>
    <col min="1540" max="1540" width="5.7109375" style="745" customWidth="1"/>
    <col min="1541" max="1541" width="5.85546875" style="745" customWidth="1"/>
    <col min="1542" max="1542" width="12.42578125" style="745" customWidth="1"/>
    <col min="1543" max="1543" width="6.140625" style="745" customWidth="1"/>
    <col min="1544" max="1544" width="9.42578125" style="745" customWidth="1"/>
    <col min="1545" max="1545" width="12.5703125" style="745" customWidth="1"/>
    <col min="1546" max="1546" width="6.28515625" style="745" customWidth="1"/>
    <col min="1547" max="1547" width="11.42578125" style="745" customWidth="1"/>
    <col min="1548" max="1548" width="6.85546875" style="745" customWidth="1"/>
    <col min="1549" max="1549" width="12.140625" style="745" customWidth="1"/>
    <col min="1550" max="1550" width="5.7109375" style="745" customWidth="1"/>
    <col min="1551" max="1551" width="11.140625" style="745" customWidth="1"/>
    <col min="1552" max="1552" width="15.42578125" style="745" customWidth="1"/>
    <col min="1553" max="1553" width="14.7109375" style="745" customWidth="1"/>
    <col min="1554" max="1554" width="13.42578125" style="745" customWidth="1"/>
    <col min="1555" max="1555" width="15" style="745" customWidth="1"/>
    <col min="1556" max="1556" width="25.28515625" style="745" customWidth="1"/>
    <col min="1557" max="1557" width="25.7109375" style="745" customWidth="1"/>
    <col min="1558" max="1792" width="9.140625" style="745"/>
    <col min="1793" max="1793" width="5" style="745" customWidth="1"/>
    <col min="1794" max="1794" width="29.85546875" style="745" customWidth="1"/>
    <col min="1795" max="1795" width="6" style="745" customWidth="1"/>
    <col min="1796" max="1796" width="5.7109375" style="745" customWidth="1"/>
    <col min="1797" max="1797" width="5.85546875" style="745" customWidth="1"/>
    <col min="1798" max="1798" width="12.42578125" style="745" customWidth="1"/>
    <col min="1799" max="1799" width="6.140625" style="745" customWidth="1"/>
    <col min="1800" max="1800" width="9.42578125" style="745" customWidth="1"/>
    <col min="1801" max="1801" width="12.5703125" style="745" customWidth="1"/>
    <col min="1802" max="1802" width="6.28515625" style="745" customWidth="1"/>
    <col min="1803" max="1803" width="11.42578125" style="745" customWidth="1"/>
    <col min="1804" max="1804" width="6.85546875" style="745" customWidth="1"/>
    <col min="1805" max="1805" width="12.140625" style="745" customWidth="1"/>
    <col min="1806" max="1806" width="5.7109375" style="745" customWidth="1"/>
    <col min="1807" max="1807" width="11.140625" style="745" customWidth="1"/>
    <col min="1808" max="1808" width="15.42578125" style="745" customWidth="1"/>
    <col min="1809" max="1809" width="14.7109375" style="745" customWidth="1"/>
    <col min="1810" max="1810" width="13.42578125" style="745" customWidth="1"/>
    <col min="1811" max="1811" width="15" style="745" customWidth="1"/>
    <col min="1812" max="1812" width="25.28515625" style="745" customWidth="1"/>
    <col min="1813" max="1813" width="25.7109375" style="745" customWidth="1"/>
    <col min="1814" max="2048" width="9.140625" style="745"/>
    <col min="2049" max="2049" width="5" style="745" customWidth="1"/>
    <col min="2050" max="2050" width="29.85546875" style="745" customWidth="1"/>
    <col min="2051" max="2051" width="6" style="745" customWidth="1"/>
    <col min="2052" max="2052" width="5.7109375" style="745" customWidth="1"/>
    <col min="2053" max="2053" width="5.85546875" style="745" customWidth="1"/>
    <col min="2054" max="2054" width="12.42578125" style="745" customWidth="1"/>
    <col min="2055" max="2055" width="6.140625" style="745" customWidth="1"/>
    <col min="2056" max="2056" width="9.42578125" style="745" customWidth="1"/>
    <col min="2057" max="2057" width="12.5703125" style="745" customWidth="1"/>
    <col min="2058" max="2058" width="6.28515625" style="745" customWidth="1"/>
    <col min="2059" max="2059" width="11.42578125" style="745" customWidth="1"/>
    <col min="2060" max="2060" width="6.85546875" style="745" customWidth="1"/>
    <col min="2061" max="2061" width="12.140625" style="745" customWidth="1"/>
    <col min="2062" max="2062" width="5.7109375" style="745" customWidth="1"/>
    <col min="2063" max="2063" width="11.140625" style="745" customWidth="1"/>
    <col min="2064" max="2064" width="15.42578125" style="745" customWidth="1"/>
    <col min="2065" max="2065" width="14.7109375" style="745" customWidth="1"/>
    <col min="2066" max="2066" width="13.42578125" style="745" customWidth="1"/>
    <col min="2067" max="2067" width="15" style="745" customWidth="1"/>
    <col min="2068" max="2068" width="25.28515625" style="745" customWidth="1"/>
    <col min="2069" max="2069" width="25.7109375" style="745" customWidth="1"/>
    <col min="2070" max="2304" width="9.140625" style="745"/>
    <col min="2305" max="2305" width="5" style="745" customWidth="1"/>
    <col min="2306" max="2306" width="29.85546875" style="745" customWidth="1"/>
    <col min="2307" max="2307" width="6" style="745" customWidth="1"/>
    <col min="2308" max="2308" width="5.7109375" style="745" customWidth="1"/>
    <col min="2309" max="2309" width="5.85546875" style="745" customWidth="1"/>
    <col min="2310" max="2310" width="12.42578125" style="745" customWidth="1"/>
    <col min="2311" max="2311" width="6.140625" style="745" customWidth="1"/>
    <col min="2312" max="2312" width="9.42578125" style="745" customWidth="1"/>
    <col min="2313" max="2313" width="12.5703125" style="745" customWidth="1"/>
    <col min="2314" max="2314" width="6.28515625" style="745" customWidth="1"/>
    <col min="2315" max="2315" width="11.42578125" style="745" customWidth="1"/>
    <col min="2316" max="2316" width="6.85546875" style="745" customWidth="1"/>
    <col min="2317" max="2317" width="12.140625" style="745" customWidth="1"/>
    <col min="2318" max="2318" width="5.7109375" style="745" customWidth="1"/>
    <col min="2319" max="2319" width="11.140625" style="745" customWidth="1"/>
    <col min="2320" max="2320" width="15.42578125" style="745" customWidth="1"/>
    <col min="2321" max="2321" width="14.7109375" style="745" customWidth="1"/>
    <col min="2322" max="2322" width="13.42578125" style="745" customWidth="1"/>
    <col min="2323" max="2323" width="15" style="745" customWidth="1"/>
    <col min="2324" max="2324" width="25.28515625" style="745" customWidth="1"/>
    <col min="2325" max="2325" width="25.7109375" style="745" customWidth="1"/>
    <col min="2326" max="2560" width="9.140625" style="745"/>
    <col min="2561" max="2561" width="5" style="745" customWidth="1"/>
    <col min="2562" max="2562" width="29.85546875" style="745" customWidth="1"/>
    <col min="2563" max="2563" width="6" style="745" customWidth="1"/>
    <col min="2564" max="2564" width="5.7109375" style="745" customWidth="1"/>
    <col min="2565" max="2565" width="5.85546875" style="745" customWidth="1"/>
    <col min="2566" max="2566" width="12.42578125" style="745" customWidth="1"/>
    <col min="2567" max="2567" width="6.140625" style="745" customWidth="1"/>
    <col min="2568" max="2568" width="9.42578125" style="745" customWidth="1"/>
    <col min="2569" max="2569" width="12.5703125" style="745" customWidth="1"/>
    <col min="2570" max="2570" width="6.28515625" style="745" customWidth="1"/>
    <col min="2571" max="2571" width="11.42578125" style="745" customWidth="1"/>
    <col min="2572" max="2572" width="6.85546875" style="745" customWidth="1"/>
    <col min="2573" max="2573" width="12.140625" style="745" customWidth="1"/>
    <col min="2574" max="2574" width="5.7109375" style="745" customWidth="1"/>
    <col min="2575" max="2575" width="11.140625" style="745" customWidth="1"/>
    <col min="2576" max="2576" width="15.42578125" style="745" customWidth="1"/>
    <col min="2577" max="2577" width="14.7109375" style="745" customWidth="1"/>
    <col min="2578" max="2578" width="13.42578125" style="745" customWidth="1"/>
    <col min="2579" max="2579" width="15" style="745" customWidth="1"/>
    <col min="2580" max="2580" width="25.28515625" style="745" customWidth="1"/>
    <col min="2581" max="2581" width="25.7109375" style="745" customWidth="1"/>
    <col min="2582" max="2816" width="9.140625" style="745"/>
    <col min="2817" max="2817" width="5" style="745" customWidth="1"/>
    <col min="2818" max="2818" width="29.85546875" style="745" customWidth="1"/>
    <col min="2819" max="2819" width="6" style="745" customWidth="1"/>
    <col min="2820" max="2820" width="5.7109375" style="745" customWidth="1"/>
    <col min="2821" max="2821" width="5.85546875" style="745" customWidth="1"/>
    <col min="2822" max="2822" width="12.42578125" style="745" customWidth="1"/>
    <col min="2823" max="2823" width="6.140625" style="745" customWidth="1"/>
    <col min="2824" max="2824" width="9.42578125" style="745" customWidth="1"/>
    <col min="2825" max="2825" width="12.5703125" style="745" customWidth="1"/>
    <col min="2826" max="2826" width="6.28515625" style="745" customWidth="1"/>
    <col min="2827" max="2827" width="11.42578125" style="745" customWidth="1"/>
    <col min="2828" max="2828" width="6.85546875" style="745" customWidth="1"/>
    <col min="2829" max="2829" width="12.140625" style="745" customWidth="1"/>
    <col min="2830" max="2830" width="5.7109375" style="745" customWidth="1"/>
    <col min="2831" max="2831" width="11.140625" style="745" customWidth="1"/>
    <col min="2832" max="2832" width="15.42578125" style="745" customWidth="1"/>
    <col min="2833" max="2833" width="14.7109375" style="745" customWidth="1"/>
    <col min="2834" max="2834" width="13.42578125" style="745" customWidth="1"/>
    <col min="2835" max="2835" width="15" style="745" customWidth="1"/>
    <col min="2836" max="2836" width="25.28515625" style="745" customWidth="1"/>
    <col min="2837" max="2837" width="25.7109375" style="745" customWidth="1"/>
    <col min="2838" max="3072" width="9.140625" style="745"/>
    <col min="3073" max="3073" width="5" style="745" customWidth="1"/>
    <col min="3074" max="3074" width="29.85546875" style="745" customWidth="1"/>
    <col min="3075" max="3075" width="6" style="745" customWidth="1"/>
    <col min="3076" max="3076" width="5.7109375" style="745" customWidth="1"/>
    <col min="3077" max="3077" width="5.85546875" style="745" customWidth="1"/>
    <col min="3078" max="3078" width="12.42578125" style="745" customWidth="1"/>
    <col min="3079" max="3079" width="6.140625" style="745" customWidth="1"/>
    <col min="3080" max="3080" width="9.42578125" style="745" customWidth="1"/>
    <col min="3081" max="3081" width="12.5703125" style="745" customWidth="1"/>
    <col min="3082" max="3082" width="6.28515625" style="745" customWidth="1"/>
    <col min="3083" max="3083" width="11.42578125" style="745" customWidth="1"/>
    <col min="3084" max="3084" width="6.85546875" style="745" customWidth="1"/>
    <col min="3085" max="3085" width="12.140625" style="745" customWidth="1"/>
    <col min="3086" max="3086" width="5.7109375" style="745" customWidth="1"/>
    <col min="3087" max="3087" width="11.140625" style="745" customWidth="1"/>
    <col min="3088" max="3088" width="15.42578125" style="745" customWidth="1"/>
    <col min="3089" max="3089" width="14.7109375" style="745" customWidth="1"/>
    <col min="3090" max="3090" width="13.42578125" style="745" customWidth="1"/>
    <col min="3091" max="3091" width="15" style="745" customWidth="1"/>
    <col min="3092" max="3092" width="25.28515625" style="745" customWidth="1"/>
    <col min="3093" max="3093" width="25.7109375" style="745" customWidth="1"/>
    <col min="3094" max="3328" width="9.140625" style="745"/>
    <col min="3329" max="3329" width="5" style="745" customWidth="1"/>
    <col min="3330" max="3330" width="29.85546875" style="745" customWidth="1"/>
    <col min="3331" max="3331" width="6" style="745" customWidth="1"/>
    <col min="3332" max="3332" width="5.7109375" style="745" customWidth="1"/>
    <col min="3333" max="3333" width="5.85546875" style="745" customWidth="1"/>
    <col min="3334" max="3334" width="12.42578125" style="745" customWidth="1"/>
    <col min="3335" max="3335" width="6.140625" style="745" customWidth="1"/>
    <col min="3336" max="3336" width="9.42578125" style="745" customWidth="1"/>
    <col min="3337" max="3337" width="12.5703125" style="745" customWidth="1"/>
    <col min="3338" max="3338" width="6.28515625" style="745" customWidth="1"/>
    <col min="3339" max="3339" width="11.42578125" style="745" customWidth="1"/>
    <col min="3340" max="3340" width="6.85546875" style="745" customWidth="1"/>
    <col min="3341" max="3341" width="12.140625" style="745" customWidth="1"/>
    <col min="3342" max="3342" width="5.7109375" style="745" customWidth="1"/>
    <col min="3343" max="3343" width="11.140625" style="745" customWidth="1"/>
    <col min="3344" max="3344" width="15.42578125" style="745" customWidth="1"/>
    <col min="3345" max="3345" width="14.7109375" style="745" customWidth="1"/>
    <col min="3346" max="3346" width="13.42578125" style="745" customWidth="1"/>
    <col min="3347" max="3347" width="15" style="745" customWidth="1"/>
    <col min="3348" max="3348" width="25.28515625" style="745" customWidth="1"/>
    <col min="3349" max="3349" width="25.7109375" style="745" customWidth="1"/>
    <col min="3350" max="3584" width="9.140625" style="745"/>
    <col min="3585" max="3585" width="5" style="745" customWidth="1"/>
    <col min="3586" max="3586" width="29.85546875" style="745" customWidth="1"/>
    <col min="3587" max="3587" width="6" style="745" customWidth="1"/>
    <col min="3588" max="3588" width="5.7109375" style="745" customWidth="1"/>
    <col min="3589" max="3589" width="5.85546875" style="745" customWidth="1"/>
    <col min="3590" max="3590" width="12.42578125" style="745" customWidth="1"/>
    <col min="3591" max="3591" width="6.140625" style="745" customWidth="1"/>
    <col min="3592" max="3592" width="9.42578125" style="745" customWidth="1"/>
    <col min="3593" max="3593" width="12.5703125" style="745" customWidth="1"/>
    <col min="3594" max="3594" width="6.28515625" style="745" customWidth="1"/>
    <col min="3595" max="3595" width="11.42578125" style="745" customWidth="1"/>
    <col min="3596" max="3596" width="6.85546875" style="745" customWidth="1"/>
    <col min="3597" max="3597" width="12.140625" style="745" customWidth="1"/>
    <col min="3598" max="3598" width="5.7109375" style="745" customWidth="1"/>
    <col min="3599" max="3599" width="11.140625" style="745" customWidth="1"/>
    <col min="3600" max="3600" width="15.42578125" style="745" customWidth="1"/>
    <col min="3601" max="3601" width="14.7109375" style="745" customWidth="1"/>
    <col min="3602" max="3602" width="13.42578125" style="745" customWidth="1"/>
    <col min="3603" max="3603" width="15" style="745" customWidth="1"/>
    <col min="3604" max="3604" width="25.28515625" style="745" customWidth="1"/>
    <col min="3605" max="3605" width="25.7109375" style="745" customWidth="1"/>
    <col min="3606" max="3840" width="9.140625" style="745"/>
    <col min="3841" max="3841" width="5" style="745" customWidth="1"/>
    <col min="3842" max="3842" width="29.85546875" style="745" customWidth="1"/>
    <col min="3843" max="3843" width="6" style="745" customWidth="1"/>
    <col min="3844" max="3844" width="5.7109375" style="745" customWidth="1"/>
    <col min="3845" max="3845" width="5.85546875" style="745" customWidth="1"/>
    <col min="3846" max="3846" width="12.42578125" style="745" customWidth="1"/>
    <col min="3847" max="3847" width="6.140625" style="745" customWidth="1"/>
    <col min="3848" max="3848" width="9.42578125" style="745" customWidth="1"/>
    <col min="3849" max="3849" width="12.5703125" style="745" customWidth="1"/>
    <col min="3850" max="3850" width="6.28515625" style="745" customWidth="1"/>
    <col min="3851" max="3851" width="11.42578125" style="745" customWidth="1"/>
    <col min="3852" max="3852" width="6.85546875" style="745" customWidth="1"/>
    <col min="3853" max="3853" width="12.140625" style="745" customWidth="1"/>
    <col min="3854" max="3854" width="5.7109375" style="745" customWidth="1"/>
    <col min="3855" max="3855" width="11.140625" style="745" customWidth="1"/>
    <col min="3856" max="3856" width="15.42578125" style="745" customWidth="1"/>
    <col min="3857" max="3857" width="14.7109375" style="745" customWidth="1"/>
    <col min="3858" max="3858" width="13.42578125" style="745" customWidth="1"/>
    <col min="3859" max="3859" width="15" style="745" customWidth="1"/>
    <col min="3860" max="3860" width="25.28515625" style="745" customWidth="1"/>
    <col min="3861" max="3861" width="25.7109375" style="745" customWidth="1"/>
    <col min="3862" max="4096" width="9.140625" style="745"/>
    <col min="4097" max="4097" width="5" style="745" customWidth="1"/>
    <col min="4098" max="4098" width="29.85546875" style="745" customWidth="1"/>
    <col min="4099" max="4099" width="6" style="745" customWidth="1"/>
    <col min="4100" max="4100" width="5.7109375" style="745" customWidth="1"/>
    <col min="4101" max="4101" width="5.85546875" style="745" customWidth="1"/>
    <col min="4102" max="4102" width="12.42578125" style="745" customWidth="1"/>
    <col min="4103" max="4103" width="6.140625" style="745" customWidth="1"/>
    <col min="4104" max="4104" width="9.42578125" style="745" customWidth="1"/>
    <col min="4105" max="4105" width="12.5703125" style="745" customWidth="1"/>
    <col min="4106" max="4106" width="6.28515625" style="745" customWidth="1"/>
    <col min="4107" max="4107" width="11.42578125" style="745" customWidth="1"/>
    <col min="4108" max="4108" width="6.85546875" style="745" customWidth="1"/>
    <col min="4109" max="4109" width="12.140625" style="745" customWidth="1"/>
    <col min="4110" max="4110" width="5.7109375" style="745" customWidth="1"/>
    <col min="4111" max="4111" width="11.140625" style="745" customWidth="1"/>
    <col min="4112" max="4112" width="15.42578125" style="745" customWidth="1"/>
    <col min="4113" max="4113" width="14.7109375" style="745" customWidth="1"/>
    <col min="4114" max="4114" width="13.42578125" style="745" customWidth="1"/>
    <col min="4115" max="4115" width="15" style="745" customWidth="1"/>
    <col min="4116" max="4116" width="25.28515625" style="745" customWidth="1"/>
    <col min="4117" max="4117" width="25.7109375" style="745" customWidth="1"/>
    <col min="4118" max="4352" width="9.140625" style="745"/>
    <col min="4353" max="4353" width="5" style="745" customWidth="1"/>
    <col min="4354" max="4354" width="29.85546875" style="745" customWidth="1"/>
    <col min="4355" max="4355" width="6" style="745" customWidth="1"/>
    <col min="4356" max="4356" width="5.7109375" style="745" customWidth="1"/>
    <col min="4357" max="4357" width="5.85546875" style="745" customWidth="1"/>
    <col min="4358" max="4358" width="12.42578125" style="745" customWidth="1"/>
    <col min="4359" max="4359" width="6.140625" style="745" customWidth="1"/>
    <col min="4360" max="4360" width="9.42578125" style="745" customWidth="1"/>
    <col min="4361" max="4361" width="12.5703125" style="745" customWidth="1"/>
    <col min="4362" max="4362" width="6.28515625" style="745" customWidth="1"/>
    <col min="4363" max="4363" width="11.42578125" style="745" customWidth="1"/>
    <col min="4364" max="4364" width="6.85546875" style="745" customWidth="1"/>
    <col min="4365" max="4365" width="12.140625" style="745" customWidth="1"/>
    <col min="4366" max="4366" width="5.7109375" style="745" customWidth="1"/>
    <col min="4367" max="4367" width="11.140625" style="745" customWidth="1"/>
    <col min="4368" max="4368" width="15.42578125" style="745" customWidth="1"/>
    <col min="4369" max="4369" width="14.7109375" style="745" customWidth="1"/>
    <col min="4370" max="4370" width="13.42578125" style="745" customWidth="1"/>
    <col min="4371" max="4371" width="15" style="745" customWidth="1"/>
    <col min="4372" max="4372" width="25.28515625" style="745" customWidth="1"/>
    <col min="4373" max="4373" width="25.7109375" style="745" customWidth="1"/>
    <col min="4374" max="4608" width="9.140625" style="745"/>
    <col min="4609" max="4609" width="5" style="745" customWidth="1"/>
    <col min="4610" max="4610" width="29.85546875" style="745" customWidth="1"/>
    <col min="4611" max="4611" width="6" style="745" customWidth="1"/>
    <col min="4612" max="4612" width="5.7109375" style="745" customWidth="1"/>
    <col min="4613" max="4613" width="5.85546875" style="745" customWidth="1"/>
    <col min="4614" max="4614" width="12.42578125" style="745" customWidth="1"/>
    <col min="4615" max="4615" width="6.140625" style="745" customWidth="1"/>
    <col min="4616" max="4616" width="9.42578125" style="745" customWidth="1"/>
    <col min="4617" max="4617" width="12.5703125" style="745" customWidth="1"/>
    <col min="4618" max="4618" width="6.28515625" style="745" customWidth="1"/>
    <col min="4619" max="4619" width="11.42578125" style="745" customWidth="1"/>
    <col min="4620" max="4620" width="6.85546875" style="745" customWidth="1"/>
    <col min="4621" max="4621" width="12.140625" style="745" customWidth="1"/>
    <col min="4622" max="4622" width="5.7109375" style="745" customWidth="1"/>
    <col min="4623" max="4623" width="11.140625" style="745" customWidth="1"/>
    <col min="4624" max="4624" width="15.42578125" style="745" customWidth="1"/>
    <col min="4625" max="4625" width="14.7109375" style="745" customWidth="1"/>
    <col min="4626" max="4626" width="13.42578125" style="745" customWidth="1"/>
    <col min="4627" max="4627" width="15" style="745" customWidth="1"/>
    <col min="4628" max="4628" width="25.28515625" style="745" customWidth="1"/>
    <col min="4629" max="4629" width="25.7109375" style="745" customWidth="1"/>
    <col min="4630" max="4864" width="9.140625" style="745"/>
    <col min="4865" max="4865" width="5" style="745" customWidth="1"/>
    <col min="4866" max="4866" width="29.85546875" style="745" customWidth="1"/>
    <col min="4867" max="4867" width="6" style="745" customWidth="1"/>
    <col min="4868" max="4868" width="5.7109375" style="745" customWidth="1"/>
    <col min="4869" max="4869" width="5.85546875" style="745" customWidth="1"/>
    <col min="4870" max="4870" width="12.42578125" style="745" customWidth="1"/>
    <col min="4871" max="4871" width="6.140625" style="745" customWidth="1"/>
    <col min="4872" max="4872" width="9.42578125" style="745" customWidth="1"/>
    <col min="4873" max="4873" width="12.5703125" style="745" customWidth="1"/>
    <col min="4874" max="4874" width="6.28515625" style="745" customWidth="1"/>
    <col min="4875" max="4875" width="11.42578125" style="745" customWidth="1"/>
    <col min="4876" max="4876" width="6.85546875" style="745" customWidth="1"/>
    <col min="4877" max="4877" width="12.140625" style="745" customWidth="1"/>
    <col min="4878" max="4878" width="5.7109375" style="745" customWidth="1"/>
    <col min="4879" max="4879" width="11.140625" style="745" customWidth="1"/>
    <col min="4880" max="4880" width="15.42578125" style="745" customWidth="1"/>
    <col min="4881" max="4881" width="14.7109375" style="745" customWidth="1"/>
    <col min="4882" max="4882" width="13.42578125" style="745" customWidth="1"/>
    <col min="4883" max="4883" width="15" style="745" customWidth="1"/>
    <col min="4884" max="4884" width="25.28515625" style="745" customWidth="1"/>
    <col min="4885" max="4885" width="25.7109375" style="745" customWidth="1"/>
    <col min="4886" max="5120" width="9.140625" style="745"/>
    <col min="5121" max="5121" width="5" style="745" customWidth="1"/>
    <col min="5122" max="5122" width="29.85546875" style="745" customWidth="1"/>
    <col min="5123" max="5123" width="6" style="745" customWidth="1"/>
    <col min="5124" max="5124" width="5.7109375" style="745" customWidth="1"/>
    <col min="5125" max="5125" width="5.85546875" style="745" customWidth="1"/>
    <col min="5126" max="5126" width="12.42578125" style="745" customWidth="1"/>
    <col min="5127" max="5127" width="6.140625" style="745" customWidth="1"/>
    <col min="5128" max="5128" width="9.42578125" style="745" customWidth="1"/>
    <col min="5129" max="5129" width="12.5703125" style="745" customWidth="1"/>
    <col min="5130" max="5130" width="6.28515625" style="745" customWidth="1"/>
    <col min="5131" max="5131" width="11.42578125" style="745" customWidth="1"/>
    <col min="5132" max="5132" width="6.85546875" style="745" customWidth="1"/>
    <col min="5133" max="5133" width="12.140625" style="745" customWidth="1"/>
    <col min="5134" max="5134" width="5.7109375" style="745" customWidth="1"/>
    <col min="5135" max="5135" width="11.140625" style="745" customWidth="1"/>
    <col min="5136" max="5136" width="15.42578125" style="745" customWidth="1"/>
    <col min="5137" max="5137" width="14.7109375" style="745" customWidth="1"/>
    <col min="5138" max="5138" width="13.42578125" style="745" customWidth="1"/>
    <col min="5139" max="5139" width="15" style="745" customWidth="1"/>
    <col min="5140" max="5140" width="25.28515625" style="745" customWidth="1"/>
    <col min="5141" max="5141" width="25.7109375" style="745" customWidth="1"/>
    <col min="5142" max="5376" width="9.140625" style="745"/>
    <col min="5377" max="5377" width="5" style="745" customWidth="1"/>
    <col min="5378" max="5378" width="29.85546875" style="745" customWidth="1"/>
    <col min="5379" max="5379" width="6" style="745" customWidth="1"/>
    <col min="5380" max="5380" width="5.7109375" style="745" customWidth="1"/>
    <col min="5381" max="5381" width="5.85546875" style="745" customWidth="1"/>
    <col min="5382" max="5382" width="12.42578125" style="745" customWidth="1"/>
    <col min="5383" max="5383" width="6.140625" style="745" customWidth="1"/>
    <col min="5384" max="5384" width="9.42578125" style="745" customWidth="1"/>
    <col min="5385" max="5385" width="12.5703125" style="745" customWidth="1"/>
    <col min="5386" max="5386" width="6.28515625" style="745" customWidth="1"/>
    <col min="5387" max="5387" width="11.42578125" style="745" customWidth="1"/>
    <col min="5388" max="5388" width="6.85546875" style="745" customWidth="1"/>
    <col min="5389" max="5389" width="12.140625" style="745" customWidth="1"/>
    <col min="5390" max="5390" width="5.7109375" style="745" customWidth="1"/>
    <col min="5391" max="5391" width="11.140625" style="745" customWidth="1"/>
    <col min="5392" max="5392" width="15.42578125" style="745" customWidth="1"/>
    <col min="5393" max="5393" width="14.7109375" style="745" customWidth="1"/>
    <col min="5394" max="5394" width="13.42578125" style="745" customWidth="1"/>
    <col min="5395" max="5395" width="15" style="745" customWidth="1"/>
    <col min="5396" max="5396" width="25.28515625" style="745" customWidth="1"/>
    <col min="5397" max="5397" width="25.7109375" style="745" customWidth="1"/>
    <col min="5398" max="5632" width="9.140625" style="745"/>
    <col min="5633" max="5633" width="5" style="745" customWidth="1"/>
    <col min="5634" max="5634" width="29.85546875" style="745" customWidth="1"/>
    <col min="5635" max="5635" width="6" style="745" customWidth="1"/>
    <col min="5636" max="5636" width="5.7109375" style="745" customWidth="1"/>
    <col min="5637" max="5637" width="5.85546875" style="745" customWidth="1"/>
    <col min="5638" max="5638" width="12.42578125" style="745" customWidth="1"/>
    <col min="5639" max="5639" width="6.140625" style="745" customWidth="1"/>
    <col min="5640" max="5640" width="9.42578125" style="745" customWidth="1"/>
    <col min="5641" max="5641" width="12.5703125" style="745" customWidth="1"/>
    <col min="5642" max="5642" width="6.28515625" style="745" customWidth="1"/>
    <col min="5643" max="5643" width="11.42578125" style="745" customWidth="1"/>
    <col min="5644" max="5644" width="6.85546875" style="745" customWidth="1"/>
    <col min="5645" max="5645" width="12.140625" style="745" customWidth="1"/>
    <col min="5646" max="5646" width="5.7109375" style="745" customWidth="1"/>
    <col min="5647" max="5647" width="11.140625" style="745" customWidth="1"/>
    <col min="5648" max="5648" width="15.42578125" style="745" customWidth="1"/>
    <col min="5649" max="5649" width="14.7109375" style="745" customWidth="1"/>
    <col min="5650" max="5650" width="13.42578125" style="745" customWidth="1"/>
    <col min="5651" max="5651" width="15" style="745" customWidth="1"/>
    <col min="5652" max="5652" width="25.28515625" style="745" customWidth="1"/>
    <col min="5653" max="5653" width="25.7109375" style="745" customWidth="1"/>
    <col min="5654" max="5888" width="9.140625" style="745"/>
    <col min="5889" max="5889" width="5" style="745" customWidth="1"/>
    <col min="5890" max="5890" width="29.85546875" style="745" customWidth="1"/>
    <col min="5891" max="5891" width="6" style="745" customWidth="1"/>
    <col min="5892" max="5892" width="5.7109375" style="745" customWidth="1"/>
    <col min="5893" max="5893" width="5.85546875" style="745" customWidth="1"/>
    <col min="5894" max="5894" width="12.42578125" style="745" customWidth="1"/>
    <col min="5895" max="5895" width="6.140625" style="745" customWidth="1"/>
    <col min="5896" max="5896" width="9.42578125" style="745" customWidth="1"/>
    <col min="5897" max="5897" width="12.5703125" style="745" customWidth="1"/>
    <col min="5898" max="5898" width="6.28515625" style="745" customWidth="1"/>
    <col min="5899" max="5899" width="11.42578125" style="745" customWidth="1"/>
    <col min="5900" max="5900" width="6.85546875" style="745" customWidth="1"/>
    <col min="5901" max="5901" width="12.140625" style="745" customWidth="1"/>
    <col min="5902" max="5902" width="5.7109375" style="745" customWidth="1"/>
    <col min="5903" max="5903" width="11.140625" style="745" customWidth="1"/>
    <col min="5904" max="5904" width="15.42578125" style="745" customWidth="1"/>
    <col min="5905" max="5905" width="14.7109375" style="745" customWidth="1"/>
    <col min="5906" max="5906" width="13.42578125" style="745" customWidth="1"/>
    <col min="5907" max="5907" width="15" style="745" customWidth="1"/>
    <col min="5908" max="5908" width="25.28515625" style="745" customWidth="1"/>
    <col min="5909" max="5909" width="25.7109375" style="745" customWidth="1"/>
    <col min="5910" max="6144" width="9.140625" style="745"/>
    <col min="6145" max="6145" width="5" style="745" customWidth="1"/>
    <col min="6146" max="6146" width="29.85546875" style="745" customWidth="1"/>
    <col min="6147" max="6147" width="6" style="745" customWidth="1"/>
    <col min="6148" max="6148" width="5.7109375" style="745" customWidth="1"/>
    <col min="6149" max="6149" width="5.85546875" style="745" customWidth="1"/>
    <col min="6150" max="6150" width="12.42578125" style="745" customWidth="1"/>
    <col min="6151" max="6151" width="6.140625" style="745" customWidth="1"/>
    <col min="6152" max="6152" width="9.42578125" style="745" customWidth="1"/>
    <col min="6153" max="6153" width="12.5703125" style="745" customWidth="1"/>
    <col min="6154" max="6154" width="6.28515625" style="745" customWidth="1"/>
    <col min="6155" max="6155" width="11.42578125" style="745" customWidth="1"/>
    <col min="6156" max="6156" width="6.85546875" style="745" customWidth="1"/>
    <col min="6157" max="6157" width="12.140625" style="745" customWidth="1"/>
    <col min="6158" max="6158" width="5.7109375" style="745" customWidth="1"/>
    <col min="6159" max="6159" width="11.140625" style="745" customWidth="1"/>
    <col min="6160" max="6160" width="15.42578125" style="745" customWidth="1"/>
    <col min="6161" max="6161" width="14.7109375" style="745" customWidth="1"/>
    <col min="6162" max="6162" width="13.42578125" style="745" customWidth="1"/>
    <col min="6163" max="6163" width="15" style="745" customWidth="1"/>
    <col min="6164" max="6164" width="25.28515625" style="745" customWidth="1"/>
    <col min="6165" max="6165" width="25.7109375" style="745" customWidth="1"/>
    <col min="6166" max="6400" width="9.140625" style="745"/>
    <col min="6401" max="6401" width="5" style="745" customWidth="1"/>
    <col min="6402" max="6402" width="29.85546875" style="745" customWidth="1"/>
    <col min="6403" max="6403" width="6" style="745" customWidth="1"/>
    <col min="6404" max="6404" width="5.7109375" style="745" customWidth="1"/>
    <col min="6405" max="6405" width="5.85546875" style="745" customWidth="1"/>
    <col min="6406" max="6406" width="12.42578125" style="745" customWidth="1"/>
    <col min="6407" max="6407" width="6.140625" style="745" customWidth="1"/>
    <col min="6408" max="6408" width="9.42578125" style="745" customWidth="1"/>
    <col min="6409" max="6409" width="12.5703125" style="745" customWidth="1"/>
    <col min="6410" max="6410" width="6.28515625" style="745" customWidth="1"/>
    <col min="6411" max="6411" width="11.42578125" style="745" customWidth="1"/>
    <col min="6412" max="6412" width="6.85546875" style="745" customWidth="1"/>
    <col min="6413" max="6413" width="12.140625" style="745" customWidth="1"/>
    <col min="6414" max="6414" width="5.7109375" style="745" customWidth="1"/>
    <col min="6415" max="6415" width="11.140625" style="745" customWidth="1"/>
    <col min="6416" max="6416" width="15.42578125" style="745" customWidth="1"/>
    <col min="6417" max="6417" width="14.7109375" style="745" customWidth="1"/>
    <col min="6418" max="6418" width="13.42578125" style="745" customWidth="1"/>
    <col min="6419" max="6419" width="15" style="745" customWidth="1"/>
    <col min="6420" max="6420" width="25.28515625" style="745" customWidth="1"/>
    <col min="6421" max="6421" width="25.7109375" style="745" customWidth="1"/>
    <col min="6422" max="6656" width="9.140625" style="745"/>
    <col min="6657" max="6657" width="5" style="745" customWidth="1"/>
    <col min="6658" max="6658" width="29.85546875" style="745" customWidth="1"/>
    <col min="6659" max="6659" width="6" style="745" customWidth="1"/>
    <col min="6660" max="6660" width="5.7109375" style="745" customWidth="1"/>
    <col min="6661" max="6661" width="5.85546875" style="745" customWidth="1"/>
    <col min="6662" max="6662" width="12.42578125" style="745" customWidth="1"/>
    <col min="6663" max="6663" width="6.140625" style="745" customWidth="1"/>
    <col min="6664" max="6664" width="9.42578125" style="745" customWidth="1"/>
    <col min="6665" max="6665" width="12.5703125" style="745" customWidth="1"/>
    <col min="6666" max="6666" width="6.28515625" style="745" customWidth="1"/>
    <col min="6667" max="6667" width="11.42578125" style="745" customWidth="1"/>
    <col min="6668" max="6668" width="6.85546875" style="745" customWidth="1"/>
    <col min="6669" max="6669" width="12.140625" style="745" customWidth="1"/>
    <col min="6670" max="6670" width="5.7109375" style="745" customWidth="1"/>
    <col min="6671" max="6671" width="11.140625" style="745" customWidth="1"/>
    <col min="6672" max="6672" width="15.42578125" style="745" customWidth="1"/>
    <col min="6673" max="6673" width="14.7109375" style="745" customWidth="1"/>
    <col min="6674" max="6674" width="13.42578125" style="745" customWidth="1"/>
    <col min="6675" max="6675" width="15" style="745" customWidth="1"/>
    <col min="6676" max="6676" width="25.28515625" style="745" customWidth="1"/>
    <col min="6677" max="6677" width="25.7109375" style="745" customWidth="1"/>
    <col min="6678" max="6912" width="9.140625" style="745"/>
    <col min="6913" max="6913" width="5" style="745" customWidth="1"/>
    <col min="6914" max="6914" width="29.85546875" style="745" customWidth="1"/>
    <col min="6915" max="6915" width="6" style="745" customWidth="1"/>
    <col min="6916" max="6916" width="5.7109375" style="745" customWidth="1"/>
    <col min="6917" max="6917" width="5.85546875" style="745" customWidth="1"/>
    <col min="6918" max="6918" width="12.42578125" style="745" customWidth="1"/>
    <col min="6919" max="6919" width="6.140625" style="745" customWidth="1"/>
    <col min="6920" max="6920" width="9.42578125" style="745" customWidth="1"/>
    <col min="6921" max="6921" width="12.5703125" style="745" customWidth="1"/>
    <col min="6922" max="6922" width="6.28515625" style="745" customWidth="1"/>
    <col min="6923" max="6923" width="11.42578125" style="745" customWidth="1"/>
    <col min="6924" max="6924" width="6.85546875" style="745" customWidth="1"/>
    <col min="6925" max="6925" width="12.140625" style="745" customWidth="1"/>
    <col min="6926" max="6926" width="5.7109375" style="745" customWidth="1"/>
    <col min="6927" max="6927" width="11.140625" style="745" customWidth="1"/>
    <col min="6928" max="6928" width="15.42578125" style="745" customWidth="1"/>
    <col min="6929" max="6929" width="14.7109375" style="745" customWidth="1"/>
    <col min="6930" max="6930" width="13.42578125" style="745" customWidth="1"/>
    <col min="6931" max="6931" width="15" style="745" customWidth="1"/>
    <col min="6932" max="6932" width="25.28515625" style="745" customWidth="1"/>
    <col min="6933" max="6933" width="25.7109375" style="745" customWidth="1"/>
    <col min="6934" max="7168" width="9.140625" style="745"/>
    <col min="7169" max="7169" width="5" style="745" customWidth="1"/>
    <col min="7170" max="7170" width="29.85546875" style="745" customWidth="1"/>
    <col min="7171" max="7171" width="6" style="745" customWidth="1"/>
    <col min="7172" max="7172" width="5.7109375" style="745" customWidth="1"/>
    <col min="7173" max="7173" width="5.85546875" style="745" customWidth="1"/>
    <col min="7174" max="7174" width="12.42578125" style="745" customWidth="1"/>
    <col min="7175" max="7175" width="6.140625" style="745" customWidth="1"/>
    <col min="7176" max="7176" width="9.42578125" style="745" customWidth="1"/>
    <col min="7177" max="7177" width="12.5703125" style="745" customWidth="1"/>
    <col min="7178" max="7178" width="6.28515625" style="745" customWidth="1"/>
    <col min="7179" max="7179" width="11.42578125" style="745" customWidth="1"/>
    <col min="7180" max="7180" width="6.85546875" style="745" customWidth="1"/>
    <col min="7181" max="7181" width="12.140625" style="745" customWidth="1"/>
    <col min="7182" max="7182" width="5.7109375" style="745" customWidth="1"/>
    <col min="7183" max="7183" width="11.140625" style="745" customWidth="1"/>
    <col min="7184" max="7184" width="15.42578125" style="745" customWidth="1"/>
    <col min="7185" max="7185" width="14.7109375" style="745" customWidth="1"/>
    <col min="7186" max="7186" width="13.42578125" style="745" customWidth="1"/>
    <col min="7187" max="7187" width="15" style="745" customWidth="1"/>
    <col min="7188" max="7188" width="25.28515625" style="745" customWidth="1"/>
    <col min="7189" max="7189" width="25.7109375" style="745" customWidth="1"/>
    <col min="7190" max="7424" width="9.140625" style="745"/>
    <col min="7425" max="7425" width="5" style="745" customWidth="1"/>
    <col min="7426" max="7426" width="29.85546875" style="745" customWidth="1"/>
    <col min="7427" max="7427" width="6" style="745" customWidth="1"/>
    <col min="7428" max="7428" width="5.7109375" style="745" customWidth="1"/>
    <col min="7429" max="7429" width="5.85546875" style="745" customWidth="1"/>
    <col min="7430" max="7430" width="12.42578125" style="745" customWidth="1"/>
    <col min="7431" max="7431" width="6.140625" style="745" customWidth="1"/>
    <col min="7432" max="7432" width="9.42578125" style="745" customWidth="1"/>
    <col min="7433" max="7433" width="12.5703125" style="745" customWidth="1"/>
    <col min="7434" max="7434" width="6.28515625" style="745" customWidth="1"/>
    <col min="7435" max="7435" width="11.42578125" style="745" customWidth="1"/>
    <col min="7436" max="7436" width="6.85546875" style="745" customWidth="1"/>
    <col min="7437" max="7437" width="12.140625" style="745" customWidth="1"/>
    <col min="7438" max="7438" width="5.7109375" style="745" customWidth="1"/>
    <col min="7439" max="7439" width="11.140625" style="745" customWidth="1"/>
    <col min="7440" max="7440" width="15.42578125" style="745" customWidth="1"/>
    <col min="7441" max="7441" width="14.7109375" style="745" customWidth="1"/>
    <col min="7442" max="7442" width="13.42578125" style="745" customWidth="1"/>
    <col min="7443" max="7443" width="15" style="745" customWidth="1"/>
    <col min="7444" max="7444" width="25.28515625" style="745" customWidth="1"/>
    <col min="7445" max="7445" width="25.7109375" style="745" customWidth="1"/>
    <col min="7446" max="7680" width="9.140625" style="745"/>
    <col min="7681" max="7681" width="5" style="745" customWidth="1"/>
    <col min="7682" max="7682" width="29.85546875" style="745" customWidth="1"/>
    <col min="7683" max="7683" width="6" style="745" customWidth="1"/>
    <col min="7684" max="7684" width="5.7109375" style="745" customWidth="1"/>
    <col min="7685" max="7685" width="5.85546875" style="745" customWidth="1"/>
    <col min="7686" max="7686" width="12.42578125" style="745" customWidth="1"/>
    <col min="7687" max="7687" width="6.140625" style="745" customWidth="1"/>
    <col min="7688" max="7688" width="9.42578125" style="745" customWidth="1"/>
    <col min="7689" max="7689" width="12.5703125" style="745" customWidth="1"/>
    <col min="7690" max="7690" width="6.28515625" style="745" customWidth="1"/>
    <col min="7691" max="7691" width="11.42578125" style="745" customWidth="1"/>
    <col min="7692" max="7692" width="6.85546875" style="745" customWidth="1"/>
    <col min="7693" max="7693" width="12.140625" style="745" customWidth="1"/>
    <col min="7694" max="7694" width="5.7109375" style="745" customWidth="1"/>
    <col min="7695" max="7695" width="11.140625" style="745" customWidth="1"/>
    <col min="7696" max="7696" width="15.42578125" style="745" customWidth="1"/>
    <col min="7697" max="7697" width="14.7109375" style="745" customWidth="1"/>
    <col min="7698" max="7698" width="13.42578125" style="745" customWidth="1"/>
    <col min="7699" max="7699" width="15" style="745" customWidth="1"/>
    <col min="7700" max="7700" width="25.28515625" style="745" customWidth="1"/>
    <col min="7701" max="7701" width="25.7109375" style="745" customWidth="1"/>
    <col min="7702" max="7936" width="9.140625" style="745"/>
    <col min="7937" max="7937" width="5" style="745" customWidth="1"/>
    <col min="7938" max="7938" width="29.85546875" style="745" customWidth="1"/>
    <col min="7939" max="7939" width="6" style="745" customWidth="1"/>
    <col min="7940" max="7940" width="5.7109375" style="745" customWidth="1"/>
    <col min="7941" max="7941" width="5.85546875" style="745" customWidth="1"/>
    <col min="7942" max="7942" width="12.42578125" style="745" customWidth="1"/>
    <col min="7943" max="7943" width="6.140625" style="745" customWidth="1"/>
    <col min="7944" max="7944" width="9.42578125" style="745" customWidth="1"/>
    <col min="7945" max="7945" width="12.5703125" style="745" customWidth="1"/>
    <col min="7946" max="7946" width="6.28515625" style="745" customWidth="1"/>
    <col min="7947" max="7947" width="11.42578125" style="745" customWidth="1"/>
    <col min="7948" max="7948" width="6.85546875" style="745" customWidth="1"/>
    <col min="7949" max="7949" width="12.140625" style="745" customWidth="1"/>
    <col min="7950" max="7950" width="5.7109375" style="745" customWidth="1"/>
    <col min="7951" max="7951" width="11.140625" style="745" customWidth="1"/>
    <col min="7952" max="7952" width="15.42578125" style="745" customWidth="1"/>
    <col min="7953" max="7953" width="14.7109375" style="745" customWidth="1"/>
    <col min="7954" max="7954" width="13.42578125" style="745" customWidth="1"/>
    <col min="7955" max="7955" width="15" style="745" customWidth="1"/>
    <col min="7956" max="7956" width="25.28515625" style="745" customWidth="1"/>
    <col min="7957" max="7957" width="25.7109375" style="745" customWidth="1"/>
    <col min="7958" max="8192" width="9.140625" style="745"/>
    <col min="8193" max="8193" width="5" style="745" customWidth="1"/>
    <col min="8194" max="8194" width="29.85546875" style="745" customWidth="1"/>
    <col min="8195" max="8195" width="6" style="745" customWidth="1"/>
    <col min="8196" max="8196" width="5.7109375" style="745" customWidth="1"/>
    <col min="8197" max="8197" width="5.85546875" style="745" customWidth="1"/>
    <col min="8198" max="8198" width="12.42578125" style="745" customWidth="1"/>
    <col min="8199" max="8199" width="6.140625" style="745" customWidth="1"/>
    <col min="8200" max="8200" width="9.42578125" style="745" customWidth="1"/>
    <col min="8201" max="8201" width="12.5703125" style="745" customWidth="1"/>
    <col min="8202" max="8202" width="6.28515625" style="745" customWidth="1"/>
    <col min="8203" max="8203" width="11.42578125" style="745" customWidth="1"/>
    <col min="8204" max="8204" width="6.85546875" style="745" customWidth="1"/>
    <col min="8205" max="8205" width="12.140625" style="745" customWidth="1"/>
    <col min="8206" max="8206" width="5.7109375" style="745" customWidth="1"/>
    <col min="8207" max="8207" width="11.140625" style="745" customWidth="1"/>
    <col min="8208" max="8208" width="15.42578125" style="745" customWidth="1"/>
    <col min="8209" max="8209" width="14.7109375" style="745" customWidth="1"/>
    <col min="8210" max="8210" width="13.42578125" style="745" customWidth="1"/>
    <col min="8211" max="8211" width="15" style="745" customWidth="1"/>
    <col min="8212" max="8212" width="25.28515625" style="745" customWidth="1"/>
    <col min="8213" max="8213" width="25.7109375" style="745" customWidth="1"/>
    <col min="8214" max="8448" width="9.140625" style="745"/>
    <col min="8449" max="8449" width="5" style="745" customWidth="1"/>
    <col min="8450" max="8450" width="29.85546875" style="745" customWidth="1"/>
    <col min="8451" max="8451" width="6" style="745" customWidth="1"/>
    <col min="8452" max="8452" width="5.7109375" style="745" customWidth="1"/>
    <col min="8453" max="8453" width="5.85546875" style="745" customWidth="1"/>
    <col min="8454" max="8454" width="12.42578125" style="745" customWidth="1"/>
    <col min="8455" max="8455" width="6.140625" style="745" customWidth="1"/>
    <col min="8456" max="8456" width="9.42578125" style="745" customWidth="1"/>
    <col min="8457" max="8457" width="12.5703125" style="745" customWidth="1"/>
    <col min="8458" max="8458" width="6.28515625" style="745" customWidth="1"/>
    <col min="8459" max="8459" width="11.42578125" style="745" customWidth="1"/>
    <col min="8460" max="8460" width="6.85546875" style="745" customWidth="1"/>
    <col min="8461" max="8461" width="12.140625" style="745" customWidth="1"/>
    <col min="8462" max="8462" width="5.7109375" style="745" customWidth="1"/>
    <col min="8463" max="8463" width="11.140625" style="745" customWidth="1"/>
    <col min="8464" max="8464" width="15.42578125" style="745" customWidth="1"/>
    <col min="8465" max="8465" width="14.7109375" style="745" customWidth="1"/>
    <col min="8466" max="8466" width="13.42578125" style="745" customWidth="1"/>
    <col min="8467" max="8467" width="15" style="745" customWidth="1"/>
    <col min="8468" max="8468" width="25.28515625" style="745" customWidth="1"/>
    <col min="8469" max="8469" width="25.7109375" style="745" customWidth="1"/>
    <col min="8470" max="8704" width="9.140625" style="745"/>
    <col min="8705" max="8705" width="5" style="745" customWidth="1"/>
    <col min="8706" max="8706" width="29.85546875" style="745" customWidth="1"/>
    <col min="8707" max="8707" width="6" style="745" customWidth="1"/>
    <col min="8708" max="8708" width="5.7109375" style="745" customWidth="1"/>
    <col min="8709" max="8709" width="5.85546875" style="745" customWidth="1"/>
    <col min="8710" max="8710" width="12.42578125" style="745" customWidth="1"/>
    <col min="8711" max="8711" width="6.140625" style="745" customWidth="1"/>
    <col min="8712" max="8712" width="9.42578125" style="745" customWidth="1"/>
    <col min="8713" max="8713" width="12.5703125" style="745" customWidth="1"/>
    <col min="8714" max="8714" width="6.28515625" style="745" customWidth="1"/>
    <col min="8715" max="8715" width="11.42578125" style="745" customWidth="1"/>
    <col min="8716" max="8716" width="6.85546875" style="745" customWidth="1"/>
    <col min="8717" max="8717" width="12.140625" style="745" customWidth="1"/>
    <col min="8718" max="8718" width="5.7109375" style="745" customWidth="1"/>
    <col min="8719" max="8719" width="11.140625" style="745" customWidth="1"/>
    <col min="8720" max="8720" width="15.42578125" style="745" customWidth="1"/>
    <col min="8721" max="8721" width="14.7109375" style="745" customWidth="1"/>
    <col min="8722" max="8722" width="13.42578125" style="745" customWidth="1"/>
    <col min="8723" max="8723" width="15" style="745" customWidth="1"/>
    <col min="8724" max="8724" width="25.28515625" style="745" customWidth="1"/>
    <col min="8725" max="8725" width="25.7109375" style="745" customWidth="1"/>
    <col min="8726" max="8960" width="9.140625" style="745"/>
    <col min="8961" max="8961" width="5" style="745" customWidth="1"/>
    <col min="8962" max="8962" width="29.85546875" style="745" customWidth="1"/>
    <col min="8963" max="8963" width="6" style="745" customWidth="1"/>
    <col min="8964" max="8964" width="5.7109375" style="745" customWidth="1"/>
    <col min="8965" max="8965" width="5.85546875" style="745" customWidth="1"/>
    <col min="8966" max="8966" width="12.42578125" style="745" customWidth="1"/>
    <col min="8967" max="8967" width="6.140625" style="745" customWidth="1"/>
    <col min="8968" max="8968" width="9.42578125" style="745" customWidth="1"/>
    <col min="8969" max="8969" width="12.5703125" style="745" customWidth="1"/>
    <col min="8970" max="8970" width="6.28515625" style="745" customWidth="1"/>
    <col min="8971" max="8971" width="11.42578125" style="745" customWidth="1"/>
    <col min="8972" max="8972" width="6.85546875" style="745" customWidth="1"/>
    <col min="8973" max="8973" width="12.140625" style="745" customWidth="1"/>
    <col min="8974" max="8974" width="5.7109375" style="745" customWidth="1"/>
    <col min="8975" max="8975" width="11.140625" style="745" customWidth="1"/>
    <col min="8976" max="8976" width="15.42578125" style="745" customWidth="1"/>
    <col min="8977" max="8977" width="14.7109375" style="745" customWidth="1"/>
    <col min="8978" max="8978" width="13.42578125" style="745" customWidth="1"/>
    <col min="8979" max="8979" width="15" style="745" customWidth="1"/>
    <col min="8980" max="8980" width="25.28515625" style="745" customWidth="1"/>
    <col min="8981" max="8981" width="25.7109375" style="745" customWidth="1"/>
    <col min="8982" max="9216" width="9.140625" style="745"/>
    <col min="9217" max="9217" width="5" style="745" customWidth="1"/>
    <col min="9218" max="9218" width="29.85546875" style="745" customWidth="1"/>
    <col min="9219" max="9219" width="6" style="745" customWidth="1"/>
    <col min="9220" max="9220" width="5.7109375" style="745" customWidth="1"/>
    <col min="9221" max="9221" width="5.85546875" style="745" customWidth="1"/>
    <col min="9222" max="9222" width="12.42578125" style="745" customWidth="1"/>
    <col min="9223" max="9223" width="6.140625" style="745" customWidth="1"/>
    <col min="9224" max="9224" width="9.42578125" style="745" customWidth="1"/>
    <col min="9225" max="9225" width="12.5703125" style="745" customWidth="1"/>
    <col min="9226" max="9226" width="6.28515625" style="745" customWidth="1"/>
    <col min="9227" max="9227" width="11.42578125" style="745" customWidth="1"/>
    <col min="9228" max="9228" width="6.85546875" style="745" customWidth="1"/>
    <col min="9229" max="9229" width="12.140625" style="745" customWidth="1"/>
    <col min="9230" max="9230" width="5.7109375" style="745" customWidth="1"/>
    <col min="9231" max="9231" width="11.140625" style="745" customWidth="1"/>
    <col min="9232" max="9232" width="15.42578125" style="745" customWidth="1"/>
    <col min="9233" max="9233" width="14.7109375" style="745" customWidth="1"/>
    <col min="9234" max="9234" width="13.42578125" style="745" customWidth="1"/>
    <col min="9235" max="9235" width="15" style="745" customWidth="1"/>
    <col min="9236" max="9236" width="25.28515625" style="745" customWidth="1"/>
    <col min="9237" max="9237" width="25.7109375" style="745" customWidth="1"/>
    <col min="9238" max="9472" width="9.140625" style="745"/>
    <col min="9473" max="9473" width="5" style="745" customWidth="1"/>
    <col min="9474" max="9474" width="29.85546875" style="745" customWidth="1"/>
    <col min="9475" max="9475" width="6" style="745" customWidth="1"/>
    <col min="9476" max="9476" width="5.7109375" style="745" customWidth="1"/>
    <col min="9477" max="9477" width="5.85546875" style="745" customWidth="1"/>
    <col min="9478" max="9478" width="12.42578125" style="745" customWidth="1"/>
    <col min="9479" max="9479" width="6.140625" style="745" customWidth="1"/>
    <col min="9480" max="9480" width="9.42578125" style="745" customWidth="1"/>
    <col min="9481" max="9481" width="12.5703125" style="745" customWidth="1"/>
    <col min="9482" max="9482" width="6.28515625" style="745" customWidth="1"/>
    <col min="9483" max="9483" width="11.42578125" style="745" customWidth="1"/>
    <col min="9484" max="9484" width="6.85546875" style="745" customWidth="1"/>
    <col min="9485" max="9485" width="12.140625" style="745" customWidth="1"/>
    <col min="9486" max="9486" width="5.7109375" style="745" customWidth="1"/>
    <col min="9487" max="9487" width="11.140625" style="745" customWidth="1"/>
    <col min="9488" max="9488" width="15.42578125" style="745" customWidth="1"/>
    <col min="9489" max="9489" width="14.7109375" style="745" customWidth="1"/>
    <col min="9490" max="9490" width="13.42578125" style="745" customWidth="1"/>
    <col min="9491" max="9491" width="15" style="745" customWidth="1"/>
    <col min="9492" max="9492" width="25.28515625" style="745" customWidth="1"/>
    <col min="9493" max="9493" width="25.7109375" style="745" customWidth="1"/>
    <col min="9494" max="9728" width="9.140625" style="745"/>
    <col min="9729" max="9729" width="5" style="745" customWidth="1"/>
    <col min="9730" max="9730" width="29.85546875" style="745" customWidth="1"/>
    <col min="9731" max="9731" width="6" style="745" customWidth="1"/>
    <col min="9732" max="9732" width="5.7109375" style="745" customWidth="1"/>
    <col min="9733" max="9733" width="5.85546875" style="745" customWidth="1"/>
    <col min="9734" max="9734" width="12.42578125" style="745" customWidth="1"/>
    <col min="9735" max="9735" width="6.140625" style="745" customWidth="1"/>
    <col min="9736" max="9736" width="9.42578125" style="745" customWidth="1"/>
    <col min="9737" max="9737" width="12.5703125" style="745" customWidth="1"/>
    <col min="9738" max="9738" width="6.28515625" style="745" customWidth="1"/>
    <col min="9739" max="9739" width="11.42578125" style="745" customWidth="1"/>
    <col min="9740" max="9740" width="6.85546875" style="745" customWidth="1"/>
    <col min="9741" max="9741" width="12.140625" style="745" customWidth="1"/>
    <col min="9742" max="9742" width="5.7109375" style="745" customWidth="1"/>
    <col min="9743" max="9743" width="11.140625" style="745" customWidth="1"/>
    <col min="9744" max="9744" width="15.42578125" style="745" customWidth="1"/>
    <col min="9745" max="9745" width="14.7109375" style="745" customWidth="1"/>
    <col min="9746" max="9746" width="13.42578125" style="745" customWidth="1"/>
    <col min="9747" max="9747" width="15" style="745" customWidth="1"/>
    <col min="9748" max="9748" width="25.28515625" style="745" customWidth="1"/>
    <col min="9749" max="9749" width="25.7109375" style="745" customWidth="1"/>
    <col min="9750" max="9984" width="9.140625" style="745"/>
    <col min="9985" max="9985" width="5" style="745" customWidth="1"/>
    <col min="9986" max="9986" width="29.85546875" style="745" customWidth="1"/>
    <col min="9987" max="9987" width="6" style="745" customWidth="1"/>
    <col min="9988" max="9988" width="5.7109375" style="745" customWidth="1"/>
    <col min="9989" max="9989" width="5.85546875" style="745" customWidth="1"/>
    <col min="9990" max="9990" width="12.42578125" style="745" customWidth="1"/>
    <col min="9991" max="9991" width="6.140625" style="745" customWidth="1"/>
    <col min="9992" max="9992" width="9.42578125" style="745" customWidth="1"/>
    <col min="9993" max="9993" width="12.5703125" style="745" customWidth="1"/>
    <col min="9994" max="9994" width="6.28515625" style="745" customWidth="1"/>
    <col min="9995" max="9995" width="11.42578125" style="745" customWidth="1"/>
    <col min="9996" max="9996" width="6.85546875" style="745" customWidth="1"/>
    <col min="9997" max="9997" width="12.140625" style="745" customWidth="1"/>
    <col min="9998" max="9998" width="5.7109375" style="745" customWidth="1"/>
    <col min="9999" max="9999" width="11.140625" style="745" customWidth="1"/>
    <col min="10000" max="10000" width="15.42578125" style="745" customWidth="1"/>
    <col min="10001" max="10001" width="14.7109375" style="745" customWidth="1"/>
    <col min="10002" max="10002" width="13.42578125" style="745" customWidth="1"/>
    <col min="10003" max="10003" width="15" style="745" customWidth="1"/>
    <col min="10004" max="10004" width="25.28515625" style="745" customWidth="1"/>
    <col min="10005" max="10005" width="25.7109375" style="745" customWidth="1"/>
    <col min="10006" max="10240" width="9.140625" style="745"/>
    <col min="10241" max="10241" width="5" style="745" customWidth="1"/>
    <col min="10242" max="10242" width="29.85546875" style="745" customWidth="1"/>
    <col min="10243" max="10243" width="6" style="745" customWidth="1"/>
    <col min="10244" max="10244" width="5.7109375" style="745" customWidth="1"/>
    <col min="10245" max="10245" width="5.85546875" style="745" customWidth="1"/>
    <col min="10246" max="10246" width="12.42578125" style="745" customWidth="1"/>
    <col min="10247" max="10247" width="6.140625" style="745" customWidth="1"/>
    <col min="10248" max="10248" width="9.42578125" style="745" customWidth="1"/>
    <col min="10249" max="10249" width="12.5703125" style="745" customWidth="1"/>
    <col min="10250" max="10250" width="6.28515625" style="745" customWidth="1"/>
    <col min="10251" max="10251" width="11.42578125" style="745" customWidth="1"/>
    <col min="10252" max="10252" width="6.85546875" style="745" customWidth="1"/>
    <col min="10253" max="10253" width="12.140625" style="745" customWidth="1"/>
    <col min="10254" max="10254" width="5.7109375" style="745" customWidth="1"/>
    <col min="10255" max="10255" width="11.140625" style="745" customWidth="1"/>
    <col min="10256" max="10256" width="15.42578125" style="745" customWidth="1"/>
    <col min="10257" max="10257" width="14.7109375" style="745" customWidth="1"/>
    <col min="10258" max="10258" width="13.42578125" style="745" customWidth="1"/>
    <col min="10259" max="10259" width="15" style="745" customWidth="1"/>
    <col min="10260" max="10260" width="25.28515625" style="745" customWidth="1"/>
    <col min="10261" max="10261" width="25.7109375" style="745" customWidth="1"/>
    <col min="10262" max="10496" width="9.140625" style="745"/>
    <col min="10497" max="10497" width="5" style="745" customWidth="1"/>
    <col min="10498" max="10498" width="29.85546875" style="745" customWidth="1"/>
    <col min="10499" max="10499" width="6" style="745" customWidth="1"/>
    <col min="10500" max="10500" width="5.7109375" style="745" customWidth="1"/>
    <col min="10501" max="10501" width="5.85546875" style="745" customWidth="1"/>
    <col min="10502" max="10502" width="12.42578125" style="745" customWidth="1"/>
    <col min="10503" max="10503" width="6.140625" style="745" customWidth="1"/>
    <col min="10504" max="10504" width="9.42578125" style="745" customWidth="1"/>
    <col min="10505" max="10505" width="12.5703125" style="745" customWidth="1"/>
    <col min="10506" max="10506" width="6.28515625" style="745" customWidth="1"/>
    <col min="10507" max="10507" width="11.42578125" style="745" customWidth="1"/>
    <col min="10508" max="10508" width="6.85546875" style="745" customWidth="1"/>
    <col min="10509" max="10509" width="12.140625" style="745" customWidth="1"/>
    <col min="10510" max="10510" width="5.7109375" style="745" customWidth="1"/>
    <col min="10511" max="10511" width="11.140625" style="745" customWidth="1"/>
    <col min="10512" max="10512" width="15.42578125" style="745" customWidth="1"/>
    <col min="10513" max="10513" width="14.7109375" style="745" customWidth="1"/>
    <col min="10514" max="10514" width="13.42578125" style="745" customWidth="1"/>
    <col min="10515" max="10515" width="15" style="745" customWidth="1"/>
    <col min="10516" max="10516" width="25.28515625" style="745" customWidth="1"/>
    <col min="10517" max="10517" width="25.7109375" style="745" customWidth="1"/>
    <col min="10518" max="10752" width="9.140625" style="745"/>
    <col min="10753" max="10753" width="5" style="745" customWidth="1"/>
    <col min="10754" max="10754" width="29.85546875" style="745" customWidth="1"/>
    <col min="10755" max="10755" width="6" style="745" customWidth="1"/>
    <col min="10756" max="10756" width="5.7109375" style="745" customWidth="1"/>
    <col min="10757" max="10757" width="5.85546875" style="745" customWidth="1"/>
    <col min="10758" max="10758" width="12.42578125" style="745" customWidth="1"/>
    <col min="10759" max="10759" width="6.140625" style="745" customWidth="1"/>
    <col min="10760" max="10760" width="9.42578125" style="745" customWidth="1"/>
    <col min="10761" max="10761" width="12.5703125" style="745" customWidth="1"/>
    <col min="10762" max="10762" width="6.28515625" style="745" customWidth="1"/>
    <col min="10763" max="10763" width="11.42578125" style="745" customWidth="1"/>
    <col min="10764" max="10764" width="6.85546875" style="745" customWidth="1"/>
    <col min="10765" max="10765" width="12.140625" style="745" customWidth="1"/>
    <col min="10766" max="10766" width="5.7109375" style="745" customWidth="1"/>
    <col min="10767" max="10767" width="11.140625" style="745" customWidth="1"/>
    <col min="10768" max="10768" width="15.42578125" style="745" customWidth="1"/>
    <col min="10769" max="10769" width="14.7109375" style="745" customWidth="1"/>
    <col min="10770" max="10770" width="13.42578125" style="745" customWidth="1"/>
    <col min="10771" max="10771" width="15" style="745" customWidth="1"/>
    <col min="10772" max="10772" width="25.28515625" style="745" customWidth="1"/>
    <col min="10773" max="10773" width="25.7109375" style="745" customWidth="1"/>
    <col min="10774" max="11008" width="9.140625" style="745"/>
    <col min="11009" max="11009" width="5" style="745" customWidth="1"/>
    <col min="11010" max="11010" width="29.85546875" style="745" customWidth="1"/>
    <col min="11011" max="11011" width="6" style="745" customWidth="1"/>
    <col min="11012" max="11012" width="5.7109375" style="745" customWidth="1"/>
    <col min="11013" max="11013" width="5.85546875" style="745" customWidth="1"/>
    <col min="11014" max="11014" width="12.42578125" style="745" customWidth="1"/>
    <col min="11015" max="11015" width="6.140625" style="745" customWidth="1"/>
    <col min="11016" max="11016" width="9.42578125" style="745" customWidth="1"/>
    <col min="11017" max="11017" width="12.5703125" style="745" customWidth="1"/>
    <col min="11018" max="11018" width="6.28515625" style="745" customWidth="1"/>
    <col min="11019" max="11019" width="11.42578125" style="745" customWidth="1"/>
    <col min="11020" max="11020" width="6.85546875" style="745" customWidth="1"/>
    <col min="11021" max="11021" width="12.140625" style="745" customWidth="1"/>
    <col min="11022" max="11022" width="5.7109375" style="745" customWidth="1"/>
    <col min="11023" max="11023" width="11.140625" style="745" customWidth="1"/>
    <col min="11024" max="11024" width="15.42578125" style="745" customWidth="1"/>
    <col min="11025" max="11025" width="14.7109375" style="745" customWidth="1"/>
    <col min="11026" max="11026" width="13.42578125" style="745" customWidth="1"/>
    <col min="11027" max="11027" width="15" style="745" customWidth="1"/>
    <col min="11028" max="11028" width="25.28515625" style="745" customWidth="1"/>
    <col min="11029" max="11029" width="25.7109375" style="745" customWidth="1"/>
    <col min="11030" max="11264" width="9.140625" style="745"/>
    <col min="11265" max="11265" width="5" style="745" customWidth="1"/>
    <col min="11266" max="11266" width="29.85546875" style="745" customWidth="1"/>
    <col min="11267" max="11267" width="6" style="745" customWidth="1"/>
    <col min="11268" max="11268" width="5.7109375" style="745" customWidth="1"/>
    <col min="11269" max="11269" width="5.85546875" style="745" customWidth="1"/>
    <col min="11270" max="11270" width="12.42578125" style="745" customWidth="1"/>
    <col min="11271" max="11271" width="6.140625" style="745" customWidth="1"/>
    <col min="11272" max="11272" width="9.42578125" style="745" customWidth="1"/>
    <col min="11273" max="11273" width="12.5703125" style="745" customWidth="1"/>
    <col min="11274" max="11274" width="6.28515625" style="745" customWidth="1"/>
    <col min="11275" max="11275" width="11.42578125" style="745" customWidth="1"/>
    <col min="11276" max="11276" width="6.85546875" style="745" customWidth="1"/>
    <col min="11277" max="11277" width="12.140625" style="745" customWidth="1"/>
    <col min="11278" max="11278" width="5.7109375" style="745" customWidth="1"/>
    <col min="11279" max="11279" width="11.140625" style="745" customWidth="1"/>
    <col min="11280" max="11280" width="15.42578125" style="745" customWidth="1"/>
    <col min="11281" max="11281" width="14.7109375" style="745" customWidth="1"/>
    <col min="11282" max="11282" width="13.42578125" style="745" customWidth="1"/>
    <col min="11283" max="11283" width="15" style="745" customWidth="1"/>
    <col min="11284" max="11284" width="25.28515625" style="745" customWidth="1"/>
    <col min="11285" max="11285" width="25.7109375" style="745" customWidth="1"/>
    <col min="11286" max="11520" width="9.140625" style="745"/>
    <col min="11521" max="11521" width="5" style="745" customWidth="1"/>
    <col min="11522" max="11522" width="29.85546875" style="745" customWidth="1"/>
    <col min="11523" max="11523" width="6" style="745" customWidth="1"/>
    <col min="11524" max="11524" width="5.7109375" style="745" customWidth="1"/>
    <col min="11525" max="11525" width="5.85546875" style="745" customWidth="1"/>
    <col min="11526" max="11526" width="12.42578125" style="745" customWidth="1"/>
    <col min="11527" max="11527" width="6.140625" style="745" customWidth="1"/>
    <col min="11528" max="11528" width="9.42578125" style="745" customWidth="1"/>
    <col min="11529" max="11529" width="12.5703125" style="745" customWidth="1"/>
    <col min="11530" max="11530" width="6.28515625" style="745" customWidth="1"/>
    <col min="11531" max="11531" width="11.42578125" style="745" customWidth="1"/>
    <col min="11532" max="11532" width="6.85546875" style="745" customWidth="1"/>
    <col min="11533" max="11533" width="12.140625" style="745" customWidth="1"/>
    <col min="11534" max="11534" width="5.7109375" style="745" customWidth="1"/>
    <col min="11535" max="11535" width="11.140625" style="745" customWidth="1"/>
    <col min="11536" max="11536" width="15.42578125" style="745" customWidth="1"/>
    <col min="11537" max="11537" width="14.7109375" style="745" customWidth="1"/>
    <col min="11538" max="11538" width="13.42578125" style="745" customWidth="1"/>
    <col min="11539" max="11539" width="15" style="745" customWidth="1"/>
    <col min="11540" max="11540" width="25.28515625" style="745" customWidth="1"/>
    <col min="11541" max="11541" width="25.7109375" style="745" customWidth="1"/>
    <col min="11542" max="11776" width="9.140625" style="745"/>
    <col min="11777" max="11777" width="5" style="745" customWidth="1"/>
    <col min="11778" max="11778" width="29.85546875" style="745" customWidth="1"/>
    <col min="11779" max="11779" width="6" style="745" customWidth="1"/>
    <col min="11780" max="11780" width="5.7109375" style="745" customWidth="1"/>
    <col min="11781" max="11781" width="5.85546875" style="745" customWidth="1"/>
    <col min="11782" max="11782" width="12.42578125" style="745" customWidth="1"/>
    <col min="11783" max="11783" width="6.140625" style="745" customWidth="1"/>
    <col min="11784" max="11784" width="9.42578125" style="745" customWidth="1"/>
    <col min="11785" max="11785" width="12.5703125" style="745" customWidth="1"/>
    <col min="11786" max="11786" width="6.28515625" style="745" customWidth="1"/>
    <col min="11787" max="11787" width="11.42578125" style="745" customWidth="1"/>
    <col min="11788" max="11788" width="6.85546875" style="745" customWidth="1"/>
    <col min="11789" max="11789" width="12.140625" style="745" customWidth="1"/>
    <col min="11790" max="11790" width="5.7109375" style="745" customWidth="1"/>
    <col min="11791" max="11791" width="11.140625" style="745" customWidth="1"/>
    <col min="11792" max="11792" width="15.42578125" style="745" customWidth="1"/>
    <col min="11793" max="11793" width="14.7109375" style="745" customWidth="1"/>
    <col min="11794" max="11794" width="13.42578125" style="745" customWidth="1"/>
    <col min="11795" max="11795" width="15" style="745" customWidth="1"/>
    <col min="11796" max="11796" width="25.28515625" style="745" customWidth="1"/>
    <col min="11797" max="11797" width="25.7109375" style="745" customWidth="1"/>
    <col min="11798" max="12032" width="9.140625" style="745"/>
    <col min="12033" max="12033" width="5" style="745" customWidth="1"/>
    <col min="12034" max="12034" width="29.85546875" style="745" customWidth="1"/>
    <col min="12035" max="12035" width="6" style="745" customWidth="1"/>
    <col min="12036" max="12036" width="5.7109375" style="745" customWidth="1"/>
    <col min="12037" max="12037" width="5.85546875" style="745" customWidth="1"/>
    <col min="12038" max="12038" width="12.42578125" style="745" customWidth="1"/>
    <col min="12039" max="12039" width="6.140625" style="745" customWidth="1"/>
    <col min="12040" max="12040" width="9.42578125" style="745" customWidth="1"/>
    <col min="12041" max="12041" width="12.5703125" style="745" customWidth="1"/>
    <col min="12042" max="12042" width="6.28515625" style="745" customWidth="1"/>
    <col min="12043" max="12043" width="11.42578125" style="745" customWidth="1"/>
    <col min="12044" max="12044" width="6.85546875" style="745" customWidth="1"/>
    <col min="12045" max="12045" width="12.140625" style="745" customWidth="1"/>
    <col min="12046" max="12046" width="5.7109375" style="745" customWidth="1"/>
    <col min="12047" max="12047" width="11.140625" style="745" customWidth="1"/>
    <col min="12048" max="12048" width="15.42578125" style="745" customWidth="1"/>
    <col min="12049" max="12049" width="14.7109375" style="745" customWidth="1"/>
    <col min="12050" max="12050" width="13.42578125" style="745" customWidth="1"/>
    <col min="12051" max="12051" width="15" style="745" customWidth="1"/>
    <col min="12052" max="12052" width="25.28515625" style="745" customWidth="1"/>
    <col min="12053" max="12053" width="25.7109375" style="745" customWidth="1"/>
    <col min="12054" max="12288" width="9.140625" style="745"/>
    <col min="12289" max="12289" width="5" style="745" customWidth="1"/>
    <col min="12290" max="12290" width="29.85546875" style="745" customWidth="1"/>
    <col min="12291" max="12291" width="6" style="745" customWidth="1"/>
    <col min="12292" max="12292" width="5.7109375" style="745" customWidth="1"/>
    <col min="12293" max="12293" width="5.85546875" style="745" customWidth="1"/>
    <col min="12294" max="12294" width="12.42578125" style="745" customWidth="1"/>
    <col min="12295" max="12295" width="6.140625" style="745" customWidth="1"/>
    <col min="12296" max="12296" width="9.42578125" style="745" customWidth="1"/>
    <col min="12297" max="12297" width="12.5703125" style="745" customWidth="1"/>
    <col min="12298" max="12298" width="6.28515625" style="745" customWidth="1"/>
    <col min="12299" max="12299" width="11.42578125" style="745" customWidth="1"/>
    <col min="12300" max="12300" width="6.85546875" style="745" customWidth="1"/>
    <col min="12301" max="12301" width="12.140625" style="745" customWidth="1"/>
    <col min="12302" max="12302" width="5.7109375" style="745" customWidth="1"/>
    <col min="12303" max="12303" width="11.140625" style="745" customWidth="1"/>
    <col min="12304" max="12304" width="15.42578125" style="745" customWidth="1"/>
    <col min="12305" max="12305" width="14.7109375" style="745" customWidth="1"/>
    <col min="12306" max="12306" width="13.42578125" style="745" customWidth="1"/>
    <col min="12307" max="12307" width="15" style="745" customWidth="1"/>
    <col min="12308" max="12308" width="25.28515625" style="745" customWidth="1"/>
    <col min="12309" max="12309" width="25.7109375" style="745" customWidth="1"/>
    <col min="12310" max="12544" width="9.140625" style="745"/>
    <col min="12545" max="12545" width="5" style="745" customWidth="1"/>
    <col min="12546" max="12546" width="29.85546875" style="745" customWidth="1"/>
    <col min="12547" max="12547" width="6" style="745" customWidth="1"/>
    <col min="12548" max="12548" width="5.7109375" style="745" customWidth="1"/>
    <col min="12549" max="12549" width="5.85546875" style="745" customWidth="1"/>
    <col min="12550" max="12550" width="12.42578125" style="745" customWidth="1"/>
    <col min="12551" max="12551" width="6.140625" style="745" customWidth="1"/>
    <col min="12552" max="12552" width="9.42578125" style="745" customWidth="1"/>
    <col min="12553" max="12553" width="12.5703125" style="745" customWidth="1"/>
    <col min="12554" max="12554" width="6.28515625" style="745" customWidth="1"/>
    <col min="12555" max="12555" width="11.42578125" style="745" customWidth="1"/>
    <col min="12556" max="12556" width="6.85546875" style="745" customWidth="1"/>
    <col min="12557" max="12557" width="12.140625" style="745" customWidth="1"/>
    <col min="12558" max="12558" width="5.7109375" style="745" customWidth="1"/>
    <col min="12559" max="12559" width="11.140625" style="745" customWidth="1"/>
    <col min="12560" max="12560" width="15.42578125" style="745" customWidth="1"/>
    <col min="12561" max="12561" width="14.7109375" style="745" customWidth="1"/>
    <col min="12562" max="12562" width="13.42578125" style="745" customWidth="1"/>
    <col min="12563" max="12563" width="15" style="745" customWidth="1"/>
    <col min="12564" max="12564" width="25.28515625" style="745" customWidth="1"/>
    <col min="12565" max="12565" width="25.7109375" style="745" customWidth="1"/>
    <col min="12566" max="12800" width="9.140625" style="745"/>
    <col min="12801" max="12801" width="5" style="745" customWidth="1"/>
    <col min="12802" max="12802" width="29.85546875" style="745" customWidth="1"/>
    <col min="12803" max="12803" width="6" style="745" customWidth="1"/>
    <col min="12804" max="12804" width="5.7109375" style="745" customWidth="1"/>
    <col min="12805" max="12805" width="5.85546875" style="745" customWidth="1"/>
    <col min="12806" max="12806" width="12.42578125" style="745" customWidth="1"/>
    <col min="12807" max="12807" width="6.140625" style="745" customWidth="1"/>
    <col min="12808" max="12808" width="9.42578125" style="745" customWidth="1"/>
    <col min="12809" max="12809" width="12.5703125" style="745" customWidth="1"/>
    <col min="12810" max="12810" width="6.28515625" style="745" customWidth="1"/>
    <col min="12811" max="12811" width="11.42578125" style="745" customWidth="1"/>
    <col min="12812" max="12812" width="6.85546875" style="745" customWidth="1"/>
    <col min="12813" max="12813" width="12.140625" style="745" customWidth="1"/>
    <col min="12814" max="12814" width="5.7109375" style="745" customWidth="1"/>
    <col min="12815" max="12815" width="11.140625" style="745" customWidth="1"/>
    <col min="12816" max="12816" width="15.42578125" style="745" customWidth="1"/>
    <col min="12817" max="12817" width="14.7109375" style="745" customWidth="1"/>
    <col min="12818" max="12818" width="13.42578125" style="745" customWidth="1"/>
    <col min="12819" max="12819" width="15" style="745" customWidth="1"/>
    <col min="12820" max="12820" width="25.28515625" style="745" customWidth="1"/>
    <col min="12821" max="12821" width="25.7109375" style="745" customWidth="1"/>
    <col min="12822" max="13056" width="9.140625" style="745"/>
    <col min="13057" max="13057" width="5" style="745" customWidth="1"/>
    <col min="13058" max="13058" width="29.85546875" style="745" customWidth="1"/>
    <col min="13059" max="13059" width="6" style="745" customWidth="1"/>
    <col min="13060" max="13060" width="5.7109375" style="745" customWidth="1"/>
    <col min="13061" max="13061" width="5.85546875" style="745" customWidth="1"/>
    <col min="13062" max="13062" width="12.42578125" style="745" customWidth="1"/>
    <col min="13063" max="13063" width="6.140625" style="745" customWidth="1"/>
    <col min="13064" max="13064" width="9.42578125" style="745" customWidth="1"/>
    <col min="13065" max="13065" width="12.5703125" style="745" customWidth="1"/>
    <col min="13066" max="13066" width="6.28515625" style="745" customWidth="1"/>
    <col min="13067" max="13067" width="11.42578125" style="745" customWidth="1"/>
    <col min="13068" max="13068" width="6.85546875" style="745" customWidth="1"/>
    <col min="13069" max="13069" width="12.140625" style="745" customWidth="1"/>
    <col min="13070" max="13070" width="5.7109375" style="745" customWidth="1"/>
    <col min="13071" max="13071" width="11.140625" style="745" customWidth="1"/>
    <col min="13072" max="13072" width="15.42578125" style="745" customWidth="1"/>
    <col min="13073" max="13073" width="14.7109375" style="745" customWidth="1"/>
    <col min="13074" max="13074" width="13.42578125" style="745" customWidth="1"/>
    <col min="13075" max="13075" width="15" style="745" customWidth="1"/>
    <col min="13076" max="13076" width="25.28515625" style="745" customWidth="1"/>
    <col min="13077" max="13077" width="25.7109375" style="745" customWidth="1"/>
    <col min="13078" max="13312" width="9.140625" style="745"/>
    <col min="13313" max="13313" width="5" style="745" customWidth="1"/>
    <col min="13314" max="13314" width="29.85546875" style="745" customWidth="1"/>
    <col min="13315" max="13315" width="6" style="745" customWidth="1"/>
    <col min="13316" max="13316" width="5.7109375" style="745" customWidth="1"/>
    <col min="13317" max="13317" width="5.85546875" style="745" customWidth="1"/>
    <col min="13318" max="13318" width="12.42578125" style="745" customWidth="1"/>
    <col min="13319" max="13319" width="6.140625" style="745" customWidth="1"/>
    <col min="13320" max="13320" width="9.42578125" style="745" customWidth="1"/>
    <col min="13321" max="13321" width="12.5703125" style="745" customWidth="1"/>
    <col min="13322" max="13322" width="6.28515625" style="745" customWidth="1"/>
    <col min="13323" max="13323" width="11.42578125" style="745" customWidth="1"/>
    <col min="13324" max="13324" width="6.85546875" style="745" customWidth="1"/>
    <col min="13325" max="13325" width="12.140625" style="745" customWidth="1"/>
    <col min="13326" max="13326" width="5.7109375" style="745" customWidth="1"/>
    <col min="13327" max="13327" width="11.140625" style="745" customWidth="1"/>
    <col min="13328" max="13328" width="15.42578125" style="745" customWidth="1"/>
    <col min="13329" max="13329" width="14.7109375" style="745" customWidth="1"/>
    <col min="13330" max="13330" width="13.42578125" style="745" customWidth="1"/>
    <col min="13331" max="13331" width="15" style="745" customWidth="1"/>
    <col min="13332" max="13332" width="25.28515625" style="745" customWidth="1"/>
    <col min="13333" max="13333" width="25.7109375" style="745" customWidth="1"/>
    <col min="13334" max="13568" width="9.140625" style="745"/>
    <col min="13569" max="13569" width="5" style="745" customWidth="1"/>
    <col min="13570" max="13570" width="29.85546875" style="745" customWidth="1"/>
    <col min="13571" max="13571" width="6" style="745" customWidth="1"/>
    <col min="13572" max="13572" width="5.7109375" style="745" customWidth="1"/>
    <col min="13573" max="13573" width="5.85546875" style="745" customWidth="1"/>
    <col min="13574" max="13574" width="12.42578125" style="745" customWidth="1"/>
    <col min="13575" max="13575" width="6.140625" style="745" customWidth="1"/>
    <col min="13576" max="13576" width="9.42578125" style="745" customWidth="1"/>
    <col min="13577" max="13577" width="12.5703125" style="745" customWidth="1"/>
    <col min="13578" max="13578" width="6.28515625" style="745" customWidth="1"/>
    <col min="13579" max="13579" width="11.42578125" style="745" customWidth="1"/>
    <col min="13580" max="13580" width="6.85546875" style="745" customWidth="1"/>
    <col min="13581" max="13581" width="12.140625" style="745" customWidth="1"/>
    <col min="13582" max="13582" width="5.7109375" style="745" customWidth="1"/>
    <col min="13583" max="13583" width="11.140625" style="745" customWidth="1"/>
    <col min="13584" max="13584" width="15.42578125" style="745" customWidth="1"/>
    <col min="13585" max="13585" width="14.7109375" style="745" customWidth="1"/>
    <col min="13586" max="13586" width="13.42578125" style="745" customWidth="1"/>
    <col min="13587" max="13587" width="15" style="745" customWidth="1"/>
    <col min="13588" max="13588" width="25.28515625" style="745" customWidth="1"/>
    <col min="13589" max="13589" width="25.7109375" style="745" customWidth="1"/>
    <col min="13590" max="13824" width="9.140625" style="745"/>
    <col min="13825" max="13825" width="5" style="745" customWidth="1"/>
    <col min="13826" max="13826" width="29.85546875" style="745" customWidth="1"/>
    <col min="13827" max="13827" width="6" style="745" customWidth="1"/>
    <col min="13828" max="13828" width="5.7109375" style="745" customWidth="1"/>
    <col min="13829" max="13829" width="5.85546875" style="745" customWidth="1"/>
    <col min="13830" max="13830" width="12.42578125" style="745" customWidth="1"/>
    <col min="13831" max="13831" width="6.140625" style="745" customWidth="1"/>
    <col min="13832" max="13832" width="9.42578125" style="745" customWidth="1"/>
    <col min="13833" max="13833" width="12.5703125" style="745" customWidth="1"/>
    <col min="13834" max="13834" width="6.28515625" style="745" customWidth="1"/>
    <col min="13835" max="13835" width="11.42578125" style="745" customWidth="1"/>
    <col min="13836" max="13836" width="6.85546875" style="745" customWidth="1"/>
    <col min="13837" max="13837" width="12.140625" style="745" customWidth="1"/>
    <col min="13838" max="13838" width="5.7109375" style="745" customWidth="1"/>
    <col min="13839" max="13839" width="11.140625" style="745" customWidth="1"/>
    <col min="13840" max="13840" width="15.42578125" style="745" customWidth="1"/>
    <col min="13841" max="13841" width="14.7109375" style="745" customWidth="1"/>
    <col min="13842" max="13842" width="13.42578125" style="745" customWidth="1"/>
    <col min="13843" max="13843" width="15" style="745" customWidth="1"/>
    <col min="13844" max="13844" width="25.28515625" style="745" customWidth="1"/>
    <col min="13845" max="13845" width="25.7109375" style="745" customWidth="1"/>
    <col min="13846" max="14080" width="9.140625" style="745"/>
    <col min="14081" max="14081" width="5" style="745" customWidth="1"/>
    <col min="14082" max="14082" width="29.85546875" style="745" customWidth="1"/>
    <col min="14083" max="14083" width="6" style="745" customWidth="1"/>
    <col min="14084" max="14084" width="5.7109375" style="745" customWidth="1"/>
    <col min="14085" max="14085" width="5.85546875" style="745" customWidth="1"/>
    <col min="14086" max="14086" width="12.42578125" style="745" customWidth="1"/>
    <col min="14087" max="14087" width="6.140625" style="745" customWidth="1"/>
    <col min="14088" max="14088" width="9.42578125" style="745" customWidth="1"/>
    <col min="14089" max="14089" width="12.5703125" style="745" customWidth="1"/>
    <col min="14090" max="14090" width="6.28515625" style="745" customWidth="1"/>
    <col min="14091" max="14091" width="11.42578125" style="745" customWidth="1"/>
    <col min="14092" max="14092" width="6.85546875" style="745" customWidth="1"/>
    <col min="14093" max="14093" width="12.140625" style="745" customWidth="1"/>
    <col min="14094" max="14094" width="5.7109375" style="745" customWidth="1"/>
    <col min="14095" max="14095" width="11.140625" style="745" customWidth="1"/>
    <col min="14096" max="14096" width="15.42578125" style="745" customWidth="1"/>
    <col min="14097" max="14097" width="14.7109375" style="745" customWidth="1"/>
    <col min="14098" max="14098" width="13.42578125" style="745" customWidth="1"/>
    <col min="14099" max="14099" width="15" style="745" customWidth="1"/>
    <col min="14100" max="14100" width="25.28515625" style="745" customWidth="1"/>
    <col min="14101" max="14101" width="25.7109375" style="745" customWidth="1"/>
    <col min="14102" max="14336" width="9.140625" style="745"/>
    <col min="14337" max="14337" width="5" style="745" customWidth="1"/>
    <col min="14338" max="14338" width="29.85546875" style="745" customWidth="1"/>
    <col min="14339" max="14339" width="6" style="745" customWidth="1"/>
    <col min="14340" max="14340" width="5.7109375" style="745" customWidth="1"/>
    <col min="14341" max="14341" width="5.85546875" style="745" customWidth="1"/>
    <col min="14342" max="14342" width="12.42578125" style="745" customWidth="1"/>
    <col min="14343" max="14343" width="6.140625" style="745" customWidth="1"/>
    <col min="14344" max="14344" width="9.42578125" style="745" customWidth="1"/>
    <col min="14345" max="14345" width="12.5703125" style="745" customWidth="1"/>
    <col min="14346" max="14346" width="6.28515625" style="745" customWidth="1"/>
    <col min="14347" max="14347" width="11.42578125" style="745" customWidth="1"/>
    <col min="14348" max="14348" width="6.85546875" style="745" customWidth="1"/>
    <col min="14349" max="14349" width="12.140625" style="745" customWidth="1"/>
    <col min="14350" max="14350" width="5.7109375" style="745" customWidth="1"/>
    <col min="14351" max="14351" width="11.140625" style="745" customWidth="1"/>
    <col min="14352" max="14352" width="15.42578125" style="745" customWidth="1"/>
    <col min="14353" max="14353" width="14.7109375" style="745" customWidth="1"/>
    <col min="14354" max="14354" width="13.42578125" style="745" customWidth="1"/>
    <col min="14355" max="14355" width="15" style="745" customWidth="1"/>
    <col min="14356" max="14356" width="25.28515625" style="745" customWidth="1"/>
    <col min="14357" max="14357" width="25.7109375" style="745" customWidth="1"/>
    <col min="14358" max="14592" width="9.140625" style="745"/>
    <col min="14593" max="14593" width="5" style="745" customWidth="1"/>
    <col min="14594" max="14594" width="29.85546875" style="745" customWidth="1"/>
    <col min="14595" max="14595" width="6" style="745" customWidth="1"/>
    <col min="14596" max="14596" width="5.7109375" style="745" customWidth="1"/>
    <col min="14597" max="14597" width="5.85546875" style="745" customWidth="1"/>
    <col min="14598" max="14598" width="12.42578125" style="745" customWidth="1"/>
    <col min="14599" max="14599" width="6.140625" style="745" customWidth="1"/>
    <col min="14600" max="14600" width="9.42578125" style="745" customWidth="1"/>
    <col min="14601" max="14601" width="12.5703125" style="745" customWidth="1"/>
    <col min="14602" max="14602" width="6.28515625" style="745" customWidth="1"/>
    <col min="14603" max="14603" width="11.42578125" style="745" customWidth="1"/>
    <col min="14604" max="14604" width="6.85546875" style="745" customWidth="1"/>
    <col min="14605" max="14605" width="12.140625" style="745" customWidth="1"/>
    <col min="14606" max="14606" width="5.7109375" style="745" customWidth="1"/>
    <col min="14607" max="14607" width="11.140625" style="745" customWidth="1"/>
    <col min="14608" max="14608" width="15.42578125" style="745" customWidth="1"/>
    <col min="14609" max="14609" width="14.7109375" style="745" customWidth="1"/>
    <col min="14610" max="14610" width="13.42578125" style="745" customWidth="1"/>
    <col min="14611" max="14611" width="15" style="745" customWidth="1"/>
    <col min="14612" max="14612" width="25.28515625" style="745" customWidth="1"/>
    <col min="14613" max="14613" width="25.7109375" style="745" customWidth="1"/>
    <col min="14614" max="14848" width="9.140625" style="745"/>
    <col min="14849" max="14849" width="5" style="745" customWidth="1"/>
    <col min="14850" max="14850" width="29.85546875" style="745" customWidth="1"/>
    <col min="14851" max="14851" width="6" style="745" customWidth="1"/>
    <col min="14852" max="14852" width="5.7109375" style="745" customWidth="1"/>
    <col min="14853" max="14853" width="5.85546875" style="745" customWidth="1"/>
    <col min="14854" max="14854" width="12.42578125" style="745" customWidth="1"/>
    <col min="14855" max="14855" width="6.140625" style="745" customWidth="1"/>
    <col min="14856" max="14856" width="9.42578125" style="745" customWidth="1"/>
    <col min="14857" max="14857" width="12.5703125" style="745" customWidth="1"/>
    <col min="14858" max="14858" width="6.28515625" style="745" customWidth="1"/>
    <col min="14859" max="14859" width="11.42578125" style="745" customWidth="1"/>
    <col min="14860" max="14860" width="6.85546875" style="745" customWidth="1"/>
    <col min="14861" max="14861" width="12.140625" style="745" customWidth="1"/>
    <col min="14862" max="14862" width="5.7109375" style="745" customWidth="1"/>
    <col min="14863" max="14863" width="11.140625" style="745" customWidth="1"/>
    <col min="14864" max="14864" width="15.42578125" style="745" customWidth="1"/>
    <col min="14865" max="14865" width="14.7109375" style="745" customWidth="1"/>
    <col min="14866" max="14866" width="13.42578125" style="745" customWidth="1"/>
    <col min="14867" max="14867" width="15" style="745" customWidth="1"/>
    <col min="14868" max="14868" width="25.28515625" style="745" customWidth="1"/>
    <col min="14869" max="14869" width="25.7109375" style="745" customWidth="1"/>
    <col min="14870" max="15104" width="9.140625" style="745"/>
    <col min="15105" max="15105" width="5" style="745" customWidth="1"/>
    <col min="15106" max="15106" width="29.85546875" style="745" customWidth="1"/>
    <col min="15107" max="15107" width="6" style="745" customWidth="1"/>
    <col min="15108" max="15108" width="5.7109375" style="745" customWidth="1"/>
    <col min="15109" max="15109" width="5.85546875" style="745" customWidth="1"/>
    <col min="15110" max="15110" width="12.42578125" style="745" customWidth="1"/>
    <col min="15111" max="15111" width="6.140625" style="745" customWidth="1"/>
    <col min="15112" max="15112" width="9.42578125" style="745" customWidth="1"/>
    <col min="15113" max="15113" width="12.5703125" style="745" customWidth="1"/>
    <col min="15114" max="15114" width="6.28515625" style="745" customWidth="1"/>
    <col min="15115" max="15115" width="11.42578125" style="745" customWidth="1"/>
    <col min="15116" max="15116" width="6.85546875" style="745" customWidth="1"/>
    <col min="15117" max="15117" width="12.140625" style="745" customWidth="1"/>
    <col min="15118" max="15118" width="5.7109375" style="745" customWidth="1"/>
    <col min="15119" max="15119" width="11.140625" style="745" customWidth="1"/>
    <col min="15120" max="15120" width="15.42578125" style="745" customWidth="1"/>
    <col min="15121" max="15121" width="14.7109375" style="745" customWidth="1"/>
    <col min="15122" max="15122" width="13.42578125" style="745" customWidth="1"/>
    <col min="15123" max="15123" width="15" style="745" customWidth="1"/>
    <col min="15124" max="15124" width="25.28515625" style="745" customWidth="1"/>
    <col min="15125" max="15125" width="25.7109375" style="745" customWidth="1"/>
    <col min="15126" max="15360" width="9.140625" style="745"/>
    <col min="15361" max="15361" width="5" style="745" customWidth="1"/>
    <col min="15362" max="15362" width="29.85546875" style="745" customWidth="1"/>
    <col min="15363" max="15363" width="6" style="745" customWidth="1"/>
    <col min="15364" max="15364" width="5.7109375" style="745" customWidth="1"/>
    <col min="15365" max="15365" width="5.85546875" style="745" customWidth="1"/>
    <col min="15366" max="15366" width="12.42578125" style="745" customWidth="1"/>
    <col min="15367" max="15367" width="6.140625" style="745" customWidth="1"/>
    <col min="15368" max="15368" width="9.42578125" style="745" customWidth="1"/>
    <col min="15369" max="15369" width="12.5703125" style="745" customWidth="1"/>
    <col min="15370" max="15370" width="6.28515625" style="745" customWidth="1"/>
    <col min="15371" max="15371" width="11.42578125" style="745" customWidth="1"/>
    <col min="15372" max="15372" width="6.85546875" style="745" customWidth="1"/>
    <col min="15373" max="15373" width="12.140625" style="745" customWidth="1"/>
    <col min="15374" max="15374" width="5.7109375" style="745" customWidth="1"/>
    <col min="15375" max="15375" width="11.140625" style="745" customWidth="1"/>
    <col min="15376" max="15376" width="15.42578125" style="745" customWidth="1"/>
    <col min="15377" max="15377" width="14.7109375" style="745" customWidth="1"/>
    <col min="15378" max="15378" width="13.42578125" style="745" customWidth="1"/>
    <col min="15379" max="15379" width="15" style="745" customWidth="1"/>
    <col min="15380" max="15380" width="25.28515625" style="745" customWidth="1"/>
    <col min="15381" max="15381" width="25.7109375" style="745" customWidth="1"/>
    <col min="15382" max="15616" width="9.140625" style="745"/>
    <col min="15617" max="15617" width="5" style="745" customWidth="1"/>
    <col min="15618" max="15618" width="29.85546875" style="745" customWidth="1"/>
    <col min="15619" max="15619" width="6" style="745" customWidth="1"/>
    <col min="15620" max="15620" width="5.7109375" style="745" customWidth="1"/>
    <col min="15621" max="15621" width="5.85546875" style="745" customWidth="1"/>
    <col min="15622" max="15622" width="12.42578125" style="745" customWidth="1"/>
    <col min="15623" max="15623" width="6.140625" style="745" customWidth="1"/>
    <col min="15624" max="15624" width="9.42578125" style="745" customWidth="1"/>
    <col min="15625" max="15625" width="12.5703125" style="745" customWidth="1"/>
    <col min="15626" max="15626" width="6.28515625" style="745" customWidth="1"/>
    <col min="15627" max="15627" width="11.42578125" style="745" customWidth="1"/>
    <col min="15628" max="15628" width="6.85546875" style="745" customWidth="1"/>
    <col min="15629" max="15629" width="12.140625" style="745" customWidth="1"/>
    <col min="15630" max="15630" width="5.7109375" style="745" customWidth="1"/>
    <col min="15631" max="15631" width="11.140625" style="745" customWidth="1"/>
    <col min="15632" max="15632" width="15.42578125" style="745" customWidth="1"/>
    <col min="15633" max="15633" width="14.7109375" style="745" customWidth="1"/>
    <col min="15634" max="15634" width="13.42578125" style="745" customWidth="1"/>
    <col min="15635" max="15635" width="15" style="745" customWidth="1"/>
    <col min="15636" max="15636" width="25.28515625" style="745" customWidth="1"/>
    <col min="15637" max="15637" width="25.7109375" style="745" customWidth="1"/>
    <col min="15638" max="15872" width="9.140625" style="745"/>
    <col min="15873" max="15873" width="5" style="745" customWidth="1"/>
    <col min="15874" max="15874" width="29.85546875" style="745" customWidth="1"/>
    <col min="15875" max="15875" width="6" style="745" customWidth="1"/>
    <col min="15876" max="15876" width="5.7109375" style="745" customWidth="1"/>
    <col min="15877" max="15877" width="5.85546875" style="745" customWidth="1"/>
    <col min="15878" max="15878" width="12.42578125" style="745" customWidth="1"/>
    <col min="15879" max="15879" width="6.140625" style="745" customWidth="1"/>
    <col min="15880" max="15880" width="9.42578125" style="745" customWidth="1"/>
    <col min="15881" max="15881" width="12.5703125" style="745" customWidth="1"/>
    <col min="15882" max="15882" width="6.28515625" style="745" customWidth="1"/>
    <col min="15883" max="15883" width="11.42578125" style="745" customWidth="1"/>
    <col min="15884" max="15884" width="6.85546875" style="745" customWidth="1"/>
    <col min="15885" max="15885" width="12.140625" style="745" customWidth="1"/>
    <col min="15886" max="15886" width="5.7109375" style="745" customWidth="1"/>
    <col min="15887" max="15887" width="11.140625" style="745" customWidth="1"/>
    <col min="15888" max="15888" width="15.42578125" style="745" customWidth="1"/>
    <col min="15889" max="15889" width="14.7109375" style="745" customWidth="1"/>
    <col min="15890" max="15890" width="13.42578125" style="745" customWidth="1"/>
    <col min="15891" max="15891" width="15" style="745" customWidth="1"/>
    <col min="15892" max="15892" width="25.28515625" style="745" customWidth="1"/>
    <col min="15893" max="15893" width="25.7109375" style="745" customWidth="1"/>
    <col min="15894" max="16128" width="9.140625" style="745"/>
    <col min="16129" max="16129" width="5" style="745" customWidth="1"/>
    <col min="16130" max="16130" width="29.85546875" style="745" customWidth="1"/>
    <col min="16131" max="16131" width="6" style="745" customWidth="1"/>
    <col min="16132" max="16132" width="5.7109375" style="745" customWidth="1"/>
    <col min="16133" max="16133" width="5.85546875" style="745" customWidth="1"/>
    <col min="16134" max="16134" width="12.42578125" style="745" customWidth="1"/>
    <col min="16135" max="16135" width="6.140625" style="745" customWidth="1"/>
    <col min="16136" max="16136" width="9.42578125" style="745" customWidth="1"/>
    <col min="16137" max="16137" width="12.5703125" style="745" customWidth="1"/>
    <col min="16138" max="16138" width="6.28515625" style="745" customWidth="1"/>
    <col min="16139" max="16139" width="11.42578125" style="745" customWidth="1"/>
    <col min="16140" max="16140" width="6.85546875" style="745" customWidth="1"/>
    <col min="16141" max="16141" width="12.140625" style="745" customWidth="1"/>
    <col min="16142" max="16142" width="5.7109375" style="745" customWidth="1"/>
    <col min="16143" max="16143" width="11.140625" style="745" customWidth="1"/>
    <col min="16144" max="16144" width="15.42578125" style="745" customWidth="1"/>
    <col min="16145" max="16145" width="14.7109375" style="745" customWidth="1"/>
    <col min="16146" max="16146" width="13.42578125" style="745" customWidth="1"/>
    <col min="16147" max="16147" width="15" style="745" customWidth="1"/>
    <col min="16148" max="16148" width="25.28515625" style="745" customWidth="1"/>
    <col min="16149" max="16149" width="25.7109375" style="745" customWidth="1"/>
    <col min="16150" max="16384" width="9.140625" style="745"/>
  </cols>
  <sheetData>
    <row r="1" spans="1:29" ht="14.25" customHeight="1">
      <c r="B1" s="904"/>
      <c r="C1" s="904"/>
      <c r="D1" s="904"/>
      <c r="E1" s="747"/>
      <c r="F1" s="748"/>
      <c r="G1" s="2263" t="s">
        <v>529</v>
      </c>
      <c r="H1" s="2263"/>
      <c r="I1" s="2263"/>
      <c r="J1" s="2263"/>
      <c r="K1" s="2263"/>
      <c r="L1" s="2263"/>
      <c r="M1" s="2263"/>
      <c r="N1" s="2263"/>
      <c r="O1" s="2263"/>
      <c r="P1" s="2263"/>
      <c r="Q1" s="2263"/>
    </row>
    <row r="2" spans="1:29" ht="25.5" customHeight="1">
      <c r="B2" s="2259" t="s">
        <v>530</v>
      </c>
      <c r="C2" s="2259"/>
      <c r="D2" s="2259"/>
      <c r="E2" s="2259"/>
      <c r="F2" s="748"/>
      <c r="G2" s="2264" t="s">
        <v>562</v>
      </c>
      <c r="H2" s="2264"/>
      <c r="I2" s="2264"/>
      <c r="J2" s="2264"/>
      <c r="K2" s="2264"/>
      <c r="L2" s="2264"/>
      <c r="M2" s="2264"/>
      <c r="N2" s="2264"/>
      <c r="O2" s="2264"/>
      <c r="P2" s="2264"/>
      <c r="Q2" s="2264"/>
    </row>
    <row r="3" spans="1:29" ht="12" customHeight="1">
      <c r="E3" s="747"/>
      <c r="F3" s="748"/>
      <c r="G3" s="2264" t="s">
        <v>531</v>
      </c>
      <c r="H3" s="2264"/>
      <c r="I3" s="2264"/>
      <c r="J3" s="2264"/>
      <c r="K3" s="2264"/>
      <c r="L3" s="2264"/>
      <c r="M3" s="2264"/>
      <c r="N3" s="2264"/>
      <c r="O3" s="2265"/>
      <c r="P3" s="2265"/>
      <c r="Q3" s="750"/>
    </row>
    <row r="4" spans="1:29" ht="13.5" customHeight="1">
      <c r="E4" s="747"/>
      <c r="F4" s="748"/>
      <c r="G4" s="748"/>
      <c r="H4" s="748"/>
      <c r="I4" s="2261" t="s">
        <v>565</v>
      </c>
      <c r="J4" s="2261"/>
      <c r="K4" s="2261"/>
      <c r="L4" s="2261"/>
      <c r="M4" s="2261"/>
      <c r="N4" s="2266"/>
      <c r="O4" s="2266"/>
      <c r="P4" s="2266"/>
      <c r="Q4" s="2266"/>
    </row>
    <row r="5" spans="1:29" ht="13.5" customHeight="1">
      <c r="E5" s="747"/>
      <c r="F5" s="748"/>
      <c r="G5" s="2261" t="s">
        <v>532</v>
      </c>
      <c r="H5" s="2261"/>
      <c r="I5" s="2261"/>
      <c r="J5" s="2261"/>
      <c r="K5" s="2261"/>
      <c r="L5" s="2261"/>
      <c r="M5" s="2261"/>
      <c r="N5" s="2262"/>
      <c r="O5" s="2262"/>
      <c r="P5" s="2262"/>
      <c r="Q5" s="2262"/>
    </row>
    <row r="6" spans="1:29" ht="22.5" customHeight="1">
      <c r="E6" s="747"/>
      <c r="F6" s="2267" t="s">
        <v>574</v>
      </c>
      <c r="G6" s="2267"/>
      <c r="H6" s="2267"/>
      <c r="I6" s="2267"/>
      <c r="J6" s="2267"/>
      <c r="K6" s="2267"/>
      <c r="L6" s="2267"/>
      <c r="M6" s="2267"/>
      <c r="N6" s="2268"/>
      <c r="O6" s="2268"/>
      <c r="P6" s="2268"/>
      <c r="Q6" s="2268"/>
    </row>
    <row r="7" spans="1:29" s="751" customFormat="1" ht="11.25" customHeight="1">
      <c r="B7" s="752"/>
      <c r="C7" s="752"/>
      <c r="D7" s="752"/>
      <c r="E7" s="752"/>
      <c r="F7" s="753"/>
      <c r="G7" s="2269" t="s">
        <v>533</v>
      </c>
      <c r="H7" s="2269"/>
      <c r="I7" s="2269"/>
      <c r="J7" s="2269"/>
      <c r="K7" s="2269"/>
      <c r="L7" s="2269"/>
      <c r="M7" s="2269"/>
      <c r="N7" s="2268"/>
      <c r="O7" s="2268"/>
      <c r="P7" s="2268"/>
      <c r="Q7" s="2268"/>
    </row>
    <row r="8" spans="1:29" s="751" customFormat="1" ht="14.25" customHeight="1">
      <c r="B8" s="752"/>
      <c r="C8" s="752"/>
      <c r="D8" s="752"/>
      <c r="E8" s="752"/>
      <c r="F8" s="752"/>
      <c r="G8" s="897"/>
      <c r="H8" s="897"/>
      <c r="I8" s="897"/>
      <c r="J8" s="897"/>
      <c r="K8" s="897"/>
      <c r="L8" s="897"/>
      <c r="M8" s="897"/>
    </row>
    <row r="9" spans="1:29" ht="12.75" customHeight="1">
      <c r="B9" s="2263"/>
      <c r="C9" s="2263"/>
      <c r="D9" s="2263"/>
      <c r="E9" s="2263"/>
      <c r="F9" s="2263"/>
      <c r="G9" s="2263"/>
      <c r="H9" s="2263"/>
      <c r="I9" s="2263"/>
      <c r="J9" s="2263"/>
      <c r="K9" s="2263"/>
      <c r="L9" s="2263"/>
      <c r="M9" s="2263"/>
      <c r="N9" s="2263"/>
      <c r="O9" s="2263"/>
      <c r="P9" s="2263"/>
      <c r="Q9" s="2263"/>
    </row>
    <row r="10" spans="1:29" ht="15" customHeight="1">
      <c r="A10" s="2263" t="s">
        <v>578</v>
      </c>
      <c r="B10" s="2263"/>
      <c r="C10" s="2263"/>
      <c r="D10" s="2263"/>
      <c r="E10" s="2263"/>
      <c r="F10" s="2263"/>
      <c r="G10" s="2263"/>
      <c r="H10" s="2263"/>
      <c r="I10" s="2263"/>
      <c r="J10" s="2263"/>
      <c r="K10" s="2263"/>
      <c r="L10" s="2263"/>
      <c r="M10" s="2263"/>
      <c r="N10" s="2263"/>
      <c r="O10" s="2263"/>
      <c r="P10" s="2263"/>
      <c r="Q10" s="2263"/>
      <c r="T10" s="755"/>
    </row>
    <row r="11" spans="1:29" ht="12.75" customHeight="1">
      <c r="A11" s="2270"/>
      <c r="B11" s="2271"/>
      <c r="C11" s="2271"/>
      <c r="D11" s="2271"/>
      <c r="E11" s="2271"/>
      <c r="F11" s="2271"/>
      <c r="G11" s="2271"/>
      <c r="H11" s="2271"/>
      <c r="I11" s="2271"/>
      <c r="J11" s="2271"/>
      <c r="K11" s="2271"/>
      <c r="L11" s="2271"/>
      <c r="M11" s="2271"/>
      <c r="N11" s="2271"/>
      <c r="O11" s="2271"/>
      <c r="P11" s="2271"/>
      <c r="Q11" s="2271"/>
    </row>
    <row r="12" spans="1:29">
      <c r="A12" s="2264" t="s">
        <v>561</v>
      </c>
      <c r="B12" s="2264"/>
      <c r="C12" s="2264"/>
      <c r="D12" s="2264"/>
      <c r="E12" s="2264"/>
      <c r="F12" s="2264"/>
      <c r="G12" s="2264"/>
      <c r="H12" s="2264"/>
      <c r="I12" s="2264"/>
      <c r="J12" s="2264"/>
      <c r="K12" s="2264"/>
      <c r="L12" s="2264"/>
      <c r="M12" s="2264"/>
      <c r="N12" s="2264"/>
      <c r="O12" s="2264"/>
      <c r="P12" s="2264"/>
      <c r="Q12" s="2264"/>
      <c r="T12" s="748"/>
      <c r="U12" s="748"/>
      <c r="V12" s="748"/>
      <c r="W12" s="2263"/>
      <c r="X12" s="2263"/>
      <c r="Y12" s="2263"/>
      <c r="Z12" s="2263"/>
      <c r="AA12" s="2263"/>
      <c r="AB12" s="2263"/>
      <c r="AC12" s="2263"/>
    </row>
    <row r="13" spans="1:29" ht="13.5" thickBot="1">
      <c r="B13" s="903"/>
      <c r="C13" s="903"/>
      <c r="D13" s="903"/>
      <c r="E13" s="903"/>
      <c r="F13" s="903"/>
      <c r="G13" s="903"/>
      <c r="H13" s="903"/>
      <c r="I13" s="903"/>
      <c r="J13" s="903"/>
      <c r="K13" s="903"/>
      <c r="L13" s="903"/>
      <c r="M13" s="903"/>
      <c r="N13" s="903"/>
      <c r="O13" s="903"/>
      <c r="P13" s="903"/>
      <c r="Q13" s="745" t="s">
        <v>577</v>
      </c>
      <c r="T13" s="748"/>
      <c r="U13" s="2264"/>
      <c r="V13" s="2264"/>
      <c r="W13" s="2272"/>
      <c r="X13" s="2272"/>
      <c r="Y13" s="2272"/>
      <c r="Z13" s="2272"/>
      <c r="AA13" s="2272"/>
      <c r="AB13" s="2272"/>
      <c r="AC13" s="2272"/>
    </row>
    <row r="14" spans="1:29" s="757" customFormat="1" ht="69.75" customHeight="1" thickBot="1">
      <c r="A14" s="2276" t="s">
        <v>535</v>
      </c>
      <c r="B14" s="2276" t="s">
        <v>536</v>
      </c>
      <c r="C14" s="2276" t="s">
        <v>8</v>
      </c>
      <c r="D14" s="2276" t="s">
        <v>9</v>
      </c>
      <c r="E14" s="2276" t="s">
        <v>10</v>
      </c>
      <c r="F14" s="2276" t="s">
        <v>537</v>
      </c>
      <c r="G14" s="2276" t="s">
        <v>538</v>
      </c>
      <c r="H14" s="2276" t="s">
        <v>539</v>
      </c>
      <c r="I14" s="2276" t="s">
        <v>540</v>
      </c>
      <c r="J14" s="2278" t="s">
        <v>17</v>
      </c>
      <c r="K14" s="2279"/>
      <c r="L14" s="2278" t="s">
        <v>18</v>
      </c>
      <c r="M14" s="2279"/>
      <c r="N14" s="2278" t="s">
        <v>541</v>
      </c>
      <c r="O14" s="2279"/>
      <c r="P14" s="2276" t="s">
        <v>542</v>
      </c>
      <c r="Q14" s="2273" t="s">
        <v>543</v>
      </c>
      <c r="T14" s="748"/>
      <c r="U14" s="748"/>
      <c r="V14" s="748"/>
      <c r="W14" s="2261"/>
      <c r="X14" s="2261"/>
      <c r="Y14" s="2261"/>
      <c r="Z14" s="2261"/>
      <c r="AA14" s="2261"/>
      <c r="AB14" s="2261"/>
      <c r="AC14" s="2261"/>
    </row>
    <row r="15" spans="1:29" s="757" customFormat="1" ht="58.5" customHeight="1" thickBot="1">
      <c r="A15" s="2277"/>
      <c r="B15" s="2277"/>
      <c r="C15" s="2277"/>
      <c r="D15" s="2277"/>
      <c r="E15" s="2277"/>
      <c r="F15" s="2277"/>
      <c r="G15" s="2277"/>
      <c r="H15" s="2277"/>
      <c r="I15" s="2277"/>
      <c r="J15" s="902" t="s">
        <v>21</v>
      </c>
      <c r="K15" s="902" t="s">
        <v>22</v>
      </c>
      <c r="L15" s="902" t="s">
        <v>21</v>
      </c>
      <c r="M15" s="902" t="s">
        <v>22</v>
      </c>
      <c r="N15" s="902" t="s">
        <v>21</v>
      </c>
      <c r="O15" s="902" t="s">
        <v>544</v>
      </c>
      <c r="P15" s="2277"/>
      <c r="Q15" s="2274"/>
      <c r="T15" s="748"/>
      <c r="U15" s="2275"/>
      <c r="V15" s="2275"/>
      <c r="W15" s="2275"/>
      <c r="X15" s="2275"/>
      <c r="Y15" s="2275"/>
      <c r="Z15" s="2275"/>
      <c r="AA15" s="2275"/>
      <c r="AB15" s="2275"/>
      <c r="AC15" s="2275"/>
    </row>
    <row r="16" spans="1:29" ht="35.25" customHeight="1">
      <c r="A16" s="856"/>
      <c r="B16" s="863" t="s">
        <v>545</v>
      </c>
      <c r="C16" s="863"/>
      <c r="D16" s="863"/>
      <c r="E16" s="864"/>
      <c r="F16" s="865"/>
      <c r="G16" s="865"/>
      <c r="H16" s="865"/>
      <c r="I16" s="866"/>
      <c r="J16" s="866"/>
      <c r="K16" s="866"/>
      <c r="L16" s="866"/>
      <c r="M16" s="866"/>
      <c r="N16" s="866"/>
      <c r="O16" s="866"/>
      <c r="P16" s="867"/>
      <c r="Q16" s="868"/>
      <c r="T16" s="2280"/>
      <c r="U16" s="2280"/>
      <c r="V16" s="2280"/>
      <c r="W16" s="2280"/>
      <c r="X16" s="2280"/>
      <c r="Y16" s="2280"/>
      <c r="Z16" s="2280"/>
      <c r="AA16" s="2280"/>
      <c r="AB16" s="2280"/>
      <c r="AC16" s="2280"/>
    </row>
    <row r="17" spans="1:29" ht="12.75" customHeight="1">
      <c r="A17" s="759">
        <v>1</v>
      </c>
      <c r="B17" s="760" t="s">
        <v>546</v>
      </c>
      <c r="C17" s="761" t="s">
        <v>28</v>
      </c>
      <c r="D17" s="761" t="s">
        <v>29</v>
      </c>
      <c r="E17" s="762">
        <v>3</v>
      </c>
      <c r="F17" s="763">
        <v>1</v>
      </c>
      <c r="G17" s="764">
        <v>5.65</v>
      </c>
      <c r="H17" s="765">
        <v>17697</v>
      </c>
      <c r="I17" s="765">
        <f t="shared" ref="I17:I34" si="0">G17*H17</f>
        <v>99988.05</v>
      </c>
      <c r="J17" s="766">
        <v>0</v>
      </c>
      <c r="K17" s="767">
        <f>ROUND(I17*J17,2)+(M17*J17)</f>
        <v>0</v>
      </c>
      <c r="L17" s="766">
        <v>0.1</v>
      </c>
      <c r="M17" s="768">
        <f t="shared" ref="M17:M34" si="1">ROUND(I17*L17*F17,2)</f>
        <v>9998.81</v>
      </c>
      <c r="N17" s="766"/>
      <c r="O17" s="767">
        <f>ROUND(H17*N17,2)*2</f>
        <v>0</v>
      </c>
      <c r="P17" s="765">
        <f t="shared" ref="P17:P32" si="2">ROUND((I17*F17)+M17+K17+O17,2)</f>
        <v>109986.86</v>
      </c>
      <c r="Q17" s="769">
        <f>P17*12</f>
        <v>1319842.32</v>
      </c>
      <c r="S17" s="770"/>
      <c r="T17" s="752"/>
      <c r="U17" s="2281"/>
      <c r="V17" s="2281"/>
      <c r="W17" s="2281"/>
      <c r="X17" s="2281"/>
      <c r="Y17" s="2281"/>
      <c r="Z17" s="2281"/>
      <c r="AA17" s="2281"/>
      <c r="AB17" s="2281"/>
      <c r="AC17" s="2281"/>
    </row>
    <row r="18" spans="1:29" ht="12.75" customHeight="1">
      <c r="A18" s="759">
        <v>2</v>
      </c>
      <c r="B18" s="771" t="s">
        <v>32</v>
      </c>
      <c r="C18" s="772" t="s">
        <v>28</v>
      </c>
      <c r="D18" s="772" t="s">
        <v>29</v>
      </c>
      <c r="E18" s="773" t="s">
        <v>44</v>
      </c>
      <c r="F18" s="774">
        <v>2</v>
      </c>
      <c r="G18" s="11">
        <v>5.15</v>
      </c>
      <c r="H18" s="775">
        <v>17697</v>
      </c>
      <c r="I18" s="775">
        <f t="shared" si="0"/>
        <v>91139.55</v>
      </c>
      <c r="J18" s="776">
        <v>0</v>
      </c>
      <c r="K18" s="777">
        <f>ROUND(I18*J18,2)+(M18*J18)</f>
        <v>0</v>
      </c>
      <c r="L18" s="776">
        <v>0.1</v>
      </c>
      <c r="M18" s="778">
        <f t="shared" si="1"/>
        <v>18227.91</v>
      </c>
      <c r="N18" s="776"/>
      <c r="O18" s="777">
        <f t="shared" ref="O18:O32" si="3">ROUND(H18*N18,2)</f>
        <v>0</v>
      </c>
      <c r="P18" s="775">
        <f t="shared" si="2"/>
        <v>200507.01</v>
      </c>
      <c r="Q18" s="769">
        <f t="shared" ref="Q18:Q34" si="4">P18*12</f>
        <v>2406084.12</v>
      </c>
      <c r="R18" s="780"/>
      <c r="S18" s="770"/>
      <c r="T18" s="752"/>
      <c r="U18" s="897"/>
      <c r="V18" s="897"/>
      <c r="W18" s="897"/>
      <c r="X18" s="897"/>
      <c r="Y18" s="897"/>
      <c r="Z18" s="897"/>
      <c r="AA18" s="897"/>
      <c r="AB18" s="897"/>
      <c r="AC18" s="897"/>
    </row>
    <row r="19" spans="1:29" ht="12.75" customHeight="1">
      <c r="A19" s="759">
        <v>3</v>
      </c>
      <c r="B19" s="771" t="s">
        <v>32</v>
      </c>
      <c r="C19" s="772" t="s">
        <v>28</v>
      </c>
      <c r="D19" s="772" t="s">
        <v>29</v>
      </c>
      <c r="E19" s="773" t="s">
        <v>44</v>
      </c>
      <c r="F19" s="774">
        <v>1</v>
      </c>
      <c r="G19" s="11">
        <v>5.15</v>
      </c>
      <c r="H19" s="775">
        <v>17697</v>
      </c>
      <c r="I19" s="775">
        <f>G19*H19</f>
        <v>91139.55</v>
      </c>
      <c r="J19" s="776">
        <v>0.25</v>
      </c>
      <c r="K19" s="777">
        <f>I19*J19</f>
        <v>22784.887500000001</v>
      </c>
      <c r="L19" s="776">
        <v>0.1</v>
      </c>
      <c r="M19" s="778">
        <f>ROUND(I19*L19*F19,2)</f>
        <v>9113.9599999999991</v>
      </c>
      <c r="N19" s="776"/>
      <c r="O19" s="777">
        <f>ROUND(H19*N19,2)</f>
        <v>0</v>
      </c>
      <c r="P19" s="775">
        <f>ROUND((I19*F19)+M19+K19+O19,2)</f>
        <v>123038.39999999999</v>
      </c>
      <c r="Q19" s="769">
        <f t="shared" si="4"/>
        <v>1476460.7999999998</v>
      </c>
      <c r="R19" s="780"/>
      <c r="S19" s="770"/>
      <c r="T19" s="752"/>
      <c r="U19" s="897"/>
      <c r="V19" s="897"/>
      <c r="W19" s="897"/>
      <c r="X19" s="897"/>
      <c r="Y19" s="897"/>
      <c r="Z19" s="897"/>
      <c r="AA19" s="897"/>
      <c r="AB19" s="897"/>
      <c r="AC19" s="897"/>
    </row>
    <row r="20" spans="1:29" ht="12.75" customHeight="1">
      <c r="A20" s="759">
        <v>4</v>
      </c>
      <c r="B20" s="771" t="s">
        <v>42</v>
      </c>
      <c r="C20" s="761" t="s">
        <v>28</v>
      </c>
      <c r="D20" s="761" t="s">
        <v>29</v>
      </c>
      <c r="E20" s="781" t="s">
        <v>44</v>
      </c>
      <c r="F20" s="763">
        <v>1</v>
      </c>
      <c r="G20" s="782">
        <v>5.37</v>
      </c>
      <c r="H20" s="765">
        <v>17697</v>
      </c>
      <c r="I20" s="765">
        <f t="shared" si="0"/>
        <v>95032.89</v>
      </c>
      <c r="J20" s="766">
        <v>0</v>
      </c>
      <c r="K20" s="767">
        <f>ROUND(I20*J20,2)+(M20*J20)</f>
        <v>0</v>
      </c>
      <c r="L20" s="766">
        <v>0.1</v>
      </c>
      <c r="M20" s="768">
        <f t="shared" si="1"/>
        <v>9503.2900000000009</v>
      </c>
      <c r="N20" s="783"/>
      <c r="O20" s="767">
        <f t="shared" si="3"/>
        <v>0</v>
      </c>
      <c r="P20" s="765">
        <f>ROUND((I20*F20)+M20+K20+O20,2)</f>
        <v>104536.18</v>
      </c>
      <c r="Q20" s="769">
        <f t="shared" si="4"/>
        <v>1254434.1599999999</v>
      </c>
      <c r="R20" s="780"/>
      <c r="S20" s="770"/>
      <c r="T20" s="784"/>
      <c r="U20" s="770"/>
    </row>
    <row r="21" spans="1:29" ht="12.75" customHeight="1">
      <c r="A21" s="759">
        <v>5</v>
      </c>
      <c r="B21" s="771" t="s">
        <v>46</v>
      </c>
      <c r="C21" s="761" t="s">
        <v>28</v>
      </c>
      <c r="D21" s="761" t="s">
        <v>29</v>
      </c>
      <c r="E21" s="781" t="s">
        <v>44</v>
      </c>
      <c r="F21" s="763">
        <v>1</v>
      </c>
      <c r="G21" s="782">
        <v>5.37</v>
      </c>
      <c r="H21" s="765">
        <v>17697</v>
      </c>
      <c r="I21" s="765">
        <f t="shared" si="0"/>
        <v>95032.89</v>
      </c>
      <c r="J21" s="785">
        <v>0</v>
      </c>
      <c r="K21" s="786">
        <v>0</v>
      </c>
      <c r="L21" s="766">
        <v>0.1</v>
      </c>
      <c r="M21" s="768">
        <f t="shared" si="1"/>
        <v>9503.2900000000009</v>
      </c>
      <c r="N21" s="783"/>
      <c r="O21" s="767">
        <f t="shared" si="3"/>
        <v>0</v>
      </c>
      <c r="P21" s="765">
        <f>ROUND((I21*F21)+M21+K21+O21,2)</f>
        <v>104536.18</v>
      </c>
      <c r="Q21" s="769">
        <f t="shared" si="4"/>
        <v>1254434.1599999999</v>
      </c>
      <c r="R21" s="780"/>
      <c r="S21" s="770"/>
      <c r="T21" s="784"/>
      <c r="U21" s="770"/>
    </row>
    <row r="22" spans="1:29" ht="13.5" customHeight="1">
      <c r="A22" s="759">
        <v>6</v>
      </c>
      <c r="B22" s="760" t="s">
        <v>547</v>
      </c>
      <c r="C22" s="761" t="s">
        <v>28</v>
      </c>
      <c r="D22" s="761" t="s">
        <v>35</v>
      </c>
      <c r="E22" s="781" t="s">
        <v>30</v>
      </c>
      <c r="F22" s="763">
        <v>1</v>
      </c>
      <c r="G22" s="782">
        <v>5.01</v>
      </c>
      <c r="H22" s="765">
        <v>17697</v>
      </c>
      <c r="I22" s="765">
        <f t="shared" si="0"/>
        <v>88661.97</v>
      </c>
      <c r="J22" s="766">
        <v>0</v>
      </c>
      <c r="K22" s="767">
        <f>ROUND(I22*J22,2)</f>
        <v>0</v>
      </c>
      <c r="L22" s="766">
        <v>0.1</v>
      </c>
      <c r="M22" s="768">
        <f t="shared" si="1"/>
        <v>8866.2000000000007</v>
      </c>
      <c r="N22" s="783"/>
      <c r="O22" s="767">
        <f t="shared" si="3"/>
        <v>0</v>
      </c>
      <c r="P22" s="765">
        <f t="shared" si="2"/>
        <v>97528.17</v>
      </c>
      <c r="Q22" s="769">
        <f t="shared" si="4"/>
        <v>1170338.04</v>
      </c>
      <c r="S22" s="770"/>
      <c r="T22" s="784"/>
      <c r="U22" s="770"/>
    </row>
    <row r="23" spans="1:29" ht="13.5" customHeight="1">
      <c r="A23" s="759">
        <v>7</v>
      </c>
      <c r="B23" s="760" t="s">
        <v>548</v>
      </c>
      <c r="C23" s="761" t="s">
        <v>56</v>
      </c>
      <c r="D23" s="787" t="s">
        <v>56</v>
      </c>
      <c r="E23" s="781" t="s">
        <v>30</v>
      </c>
      <c r="F23" s="763">
        <v>1</v>
      </c>
      <c r="G23" s="782">
        <v>3.4</v>
      </c>
      <c r="H23" s="765">
        <v>17697</v>
      </c>
      <c r="I23" s="765">
        <f t="shared" si="0"/>
        <v>60169.799999999996</v>
      </c>
      <c r="J23" s="766">
        <v>0</v>
      </c>
      <c r="K23" s="767">
        <f>ROUND(I23*J23,2)</f>
        <v>0</v>
      </c>
      <c r="L23" s="766">
        <v>0.1</v>
      </c>
      <c r="M23" s="768">
        <f t="shared" si="1"/>
        <v>6016.98</v>
      </c>
      <c r="N23" s="783"/>
      <c r="O23" s="767">
        <f t="shared" si="3"/>
        <v>0</v>
      </c>
      <c r="P23" s="765">
        <f t="shared" si="2"/>
        <v>66186.78</v>
      </c>
      <c r="Q23" s="769">
        <f t="shared" si="4"/>
        <v>794241.36</v>
      </c>
      <c r="S23" s="770"/>
      <c r="T23" s="784"/>
      <c r="U23" s="770"/>
    </row>
    <row r="24" spans="1:29" ht="13.5" customHeight="1">
      <c r="A24" s="759">
        <v>8</v>
      </c>
      <c r="B24" s="760" t="s">
        <v>59</v>
      </c>
      <c r="C24" s="761" t="s">
        <v>61</v>
      </c>
      <c r="D24" s="787" t="s">
        <v>61</v>
      </c>
      <c r="E24" s="781" t="s">
        <v>156</v>
      </c>
      <c r="F24" s="763">
        <v>1</v>
      </c>
      <c r="G24" s="788">
        <v>2.54</v>
      </c>
      <c r="H24" s="765">
        <v>17697</v>
      </c>
      <c r="I24" s="765">
        <f t="shared" si="0"/>
        <v>44950.38</v>
      </c>
      <c r="J24" s="766">
        <v>0</v>
      </c>
      <c r="K24" s="767">
        <f t="shared" ref="K24:K34" si="5">ROUND(I24*J24,2)</f>
        <v>0</v>
      </c>
      <c r="L24" s="766">
        <v>0.1</v>
      </c>
      <c r="M24" s="768">
        <f t="shared" si="1"/>
        <v>4495.04</v>
      </c>
      <c r="N24" s="783"/>
      <c r="O24" s="767">
        <f t="shared" si="3"/>
        <v>0</v>
      </c>
      <c r="P24" s="765">
        <f t="shared" si="2"/>
        <v>49445.42</v>
      </c>
      <c r="Q24" s="769">
        <f t="shared" si="4"/>
        <v>593345.04</v>
      </c>
      <c r="S24" s="770"/>
      <c r="T24" s="784"/>
      <c r="U24" s="770"/>
    </row>
    <row r="25" spans="1:29" ht="13.5" customHeight="1">
      <c r="A25" s="759">
        <v>9</v>
      </c>
      <c r="B25" s="760" t="s">
        <v>549</v>
      </c>
      <c r="C25" s="789" t="s">
        <v>69</v>
      </c>
      <c r="D25" s="789" t="s">
        <v>69</v>
      </c>
      <c r="E25" s="781" t="s">
        <v>30</v>
      </c>
      <c r="F25" s="763">
        <v>1</v>
      </c>
      <c r="G25" s="790">
        <v>2.96</v>
      </c>
      <c r="H25" s="765">
        <v>17697</v>
      </c>
      <c r="I25" s="765">
        <f t="shared" si="0"/>
        <v>52383.12</v>
      </c>
      <c r="J25" s="766">
        <v>0</v>
      </c>
      <c r="K25" s="767">
        <f t="shared" si="5"/>
        <v>0</v>
      </c>
      <c r="L25" s="766">
        <v>0.1</v>
      </c>
      <c r="M25" s="768">
        <f t="shared" si="1"/>
        <v>5238.3100000000004</v>
      </c>
      <c r="N25" s="783"/>
      <c r="O25" s="767">
        <f t="shared" si="3"/>
        <v>0</v>
      </c>
      <c r="P25" s="765">
        <f t="shared" si="2"/>
        <v>57621.43</v>
      </c>
      <c r="Q25" s="769">
        <f t="shared" si="4"/>
        <v>691457.16</v>
      </c>
      <c r="S25" s="770"/>
      <c r="T25" s="784"/>
      <c r="U25" s="770"/>
    </row>
    <row r="26" spans="1:29" ht="13.5" customHeight="1">
      <c r="A26" s="759">
        <v>10</v>
      </c>
      <c r="B26" s="760" t="s">
        <v>549</v>
      </c>
      <c r="C26" s="789" t="s">
        <v>69</v>
      </c>
      <c r="D26" s="789" t="s">
        <v>69</v>
      </c>
      <c r="E26" s="781" t="s">
        <v>30</v>
      </c>
      <c r="F26" s="763">
        <v>2</v>
      </c>
      <c r="G26" s="790">
        <v>2.76</v>
      </c>
      <c r="H26" s="765">
        <v>17697</v>
      </c>
      <c r="I26" s="765">
        <f>G26*H26</f>
        <v>48843.719999999994</v>
      </c>
      <c r="J26" s="766">
        <v>0</v>
      </c>
      <c r="K26" s="767">
        <f t="shared" si="5"/>
        <v>0</v>
      </c>
      <c r="L26" s="766">
        <v>0.1</v>
      </c>
      <c r="M26" s="768">
        <f>ROUND(I26*L26*F26,2)</f>
        <v>9768.74</v>
      </c>
      <c r="N26" s="783"/>
      <c r="O26" s="767">
        <f>ROUND(H26*N26,2)</f>
        <v>0</v>
      </c>
      <c r="P26" s="765">
        <f>ROUND((I26*F26)+M26+K26+O26,2)</f>
        <v>107456.18</v>
      </c>
      <c r="Q26" s="769">
        <f t="shared" si="4"/>
        <v>1289474.1599999999</v>
      </c>
      <c r="S26" s="770"/>
      <c r="T26" s="784"/>
      <c r="U26" s="770"/>
    </row>
    <row r="27" spans="1:29" ht="13.5" customHeight="1">
      <c r="A27" s="759">
        <v>11</v>
      </c>
      <c r="B27" s="760" t="s">
        <v>86</v>
      </c>
      <c r="C27" s="787" t="s">
        <v>56</v>
      </c>
      <c r="D27" s="787" t="s">
        <v>56</v>
      </c>
      <c r="E27" s="781" t="s">
        <v>57</v>
      </c>
      <c r="F27" s="763">
        <v>1</v>
      </c>
      <c r="G27" s="788">
        <v>2.91</v>
      </c>
      <c r="H27" s="765">
        <v>17697</v>
      </c>
      <c r="I27" s="765">
        <f t="shared" si="0"/>
        <v>51498.270000000004</v>
      </c>
      <c r="J27" s="766">
        <v>0</v>
      </c>
      <c r="K27" s="767">
        <f t="shared" si="5"/>
        <v>0</v>
      </c>
      <c r="L27" s="766">
        <v>0.1</v>
      </c>
      <c r="M27" s="768">
        <f t="shared" si="1"/>
        <v>5149.83</v>
      </c>
      <c r="N27" s="783"/>
      <c r="O27" s="767">
        <f t="shared" si="3"/>
        <v>0</v>
      </c>
      <c r="P27" s="765">
        <f t="shared" si="2"/>
        <v>56648.1</v>
      </c>
      <c r="Q27" s="769">
        <f t="shared" si="4"/>
        <v>679777.2</v>
      </c>
      <c r="S27" s="770"/>
      <c r="T27" s="784"/>
      <c r="U27" s="770"/>
    </row>
    <row r="28" spans="1:29" ht="13.5" customHeight="1">
      <c r="A28" s="759">
        <v>12</v>
      </c>
      <c r="B28" s="760" t="s">
        <v>86</v>
      </c>
      <c r="C28" s="787" t="s">
        <v>56</v>
      </c>
      <c r="D28" s="787" t="s">
        <v>56</v>
      </c>
      <c r="E28" s="781" t="s">
        <v>30</v>
      </c>
      <c r="F28" s="763">
        <v>1</v>
      </c>
      <c r="G28" s="788">
        <v>3.28</v>
      </c>
      <c r="H28" s="765">
        <v>17697</v>
      </c>
      <c r="I28" s="765">
        <f>G28*H28</f>
        <v>58046.159999999996</v>
      </c>
      <c r="J28" s="766">
        <v>0</v>
      </c>
      <c r="K28" s="767">
        <f t="shared" si="5"/>
        <v>0</v>
      </c>
      <c r="L28" s="766">
        <v>0.1</v>
      </c>
      <c r="M28" s="768">
        <f>ROUND(I28*L28*F28,2)</f>
        <v>5804.62</v>
      </c>
      <c r="N28" s="783"/>
      <c r="O28" s="767">
        <f>ROUND(H28*N28,2)</f>
        <v>0</v>
      </c>
      <c r="P28" s="765">
        <f>ROUND((I28*F28)+M28+K28+O28,2)</f>
        <v>63850.78</v>
      </c>
      <c r="Q28" s="769">
        <f t="shared" si="4"/>
        <v>766209.36</v>
      </c>
      <c r="S28" s="770"/>
      <c r="T28" s="784"/>
      <c r="U28" s="770"/>
    </row>
    <row r="29" spans="1:29" ht="13.5" customHeight="1">
      <c r="A29" s="759">
        <v>13</v>
      </c>
      <c r="B29" s="760" t="s">
        <v>86</v>
      </c>
      <c r="C29" s="787" t="s">
        <v>56</v>
      </c>
      <c r="D29" s="787" t="s">
        <v>56</v>
      </c>
      <c r="E29" s="781" t="s">
        <v>30</v>
      </c>
      <c r="F29" s="763">
        <v>1</v>
      </c>
      <c r="G29" s="788">
        <v>3.4</v>
      </c>
      <c r="H29" s="765">
        <v>17697</v>
      </c>
      <c r="I29" s="765">
        <f>G29*H29</f>
        <v>60169.799999999996</v>
      </c>
      <c r="J29" s="766">
        <v>0</v>
      </c>
      <c r="K29" s="767">
        <f t="shared" si="5"/>
        <v>0</v>
      </c>
      <c r="L29" s="766">
        <v>0.1</v>
      </c>
      <c r="M29" s="768">
        <f>ROUND(I29*L29*F29,2)</f>
        <v>6016.98</v>
      </c>
      <c r="N29" s="783"/>
      <c r="O29" s="767">
        <f>ROUND(H29*N29,2)</f>
        <v>0</v>
      </c>
      <c r="P29" s="765">
        <f>ROUND((I29*F29)+M29+K29+O29,2)</f>
        <v>66186.78</v>
      </c>
      <c r="Q29" s="769">
        <f t="shared" si="4"/>
        <v>794241.36</v>
      </c>
      <c r="S29" s="770"/>
      <c r="T29" s="784"/>
      <c r="U29" s="770"/>
    </row>
    <row r="30" spans="1:29" ht="13.5" customHeight="1">
      <c r="A30" s="759">
        <v>14</v>
      </c>
      <c r="B30" s="760" t="s">
        <v>95</v>
      </c>
      <c r="C30" s="761" t="s">
        <v>56</v>
      </c>
      <c r="D30" s="787" t="s">
        <v>56</v>
      </c>
      <c r="E30" s="781" t="s">
        <v>57</v>
      </c>
      <c r="F30" s="763">
        <v>0.5</v>
      </c>
      <c r="G30" s="788">
        <v>3.34</v>
      </c>
      <c r="H30" s="765">
        <v>17697</v>
      </c>
      <c r="I30" s="765">
        <f t="shared" si="0"/>
        <v>59107.979999999996</v>
      </c>
      <c r="J30" s="766">
        <v>0</v>
      </c>
      <c r="K30" s="767">
        <f t="shared" si="5"/>
        <v>0</v>
      </c>
      <c r="L30" s="766">
        <v>0.1</v>
      </c>
      <c r="M30" s="768">
        <f t="shared" si="1"/>
        <v>2955.4</v>
      </c>
      <c r="N30" s="783"/>
      <c r="O30" s="767">
        <f t="shared" si="3"/>
        <v>0</v>
      </c>
      <c r="P30" s="765">
        <f t="shared" si="2"/>
        <v>32509.39</v>
      </c>
      <c r="Q30" s="769">
        <f t="shared" si="4"/>
        <v>390112.68</v>
      </c>
      <c r="S30" s="770"/>
      <c r="T30" s="784"/>
      <c r="U30" s="770"/>
    </row>
    <row r="31" spans="1:29" ht="13.5" customHeight="1">
      <c r="A31" s="759">
        <v>15</v>
      </c>
      <c r="B31" s="760" t="s">
        <v>95</v>
      </c>
      <c r="C31" s="761" t="s">
        <v>56</v>
      </c>
      <c r="D31" s="787" t="s">
        <v>56</v>
      </c>
      <c r="E31" s="781" t="s">
        <v>57</v>
      </c>
      <c r="F31" s="763">
        <v>0.5</v>
      </c>
      <c r="G31" s="788">
        <v>3.4</v>
      </c>
      <c r="H31" s="765">
        <v>17697</v>
      </c>
      <c r="I31" s="765">
        <f t="shared" si="0"/>
        <v>60169.799999999996</v>
      </c>
      <c r="J31" s="766">
        <v>0</v>
      </c>
      <c r="K31" s="767">
        <f t="shared" si="5"/>
        <v>0</v>
      </c>
      <c r="L31" s="766">
        <v>0.1</v>
      </c>
      <c r="M31" s="768">
        <f t="shared" si="1"/>
        <v>3008.49</v>
      </c>
      <c r="N31" s="783"/>
      <c r="O31" s="767">
        <f t="shared" si="3"/>
        <v>0</v>
      </c>
      <c r="P31" s="765">
        <f t="shared" si="2"/>
        <v>33093.39</v>
      </c>
      <c r="Q31" s="769">
        <f t="shared" si="4"/>
        <v>397120.68</v>
      </c>
      <c r="S31" s="770"/>
      <c r="T31" s="784"/>
      <c r="U31" s="770"/>
    </row>
    <row r="32" spans="1:29" ht="13.5" customHeight="1">
      <c r="A32" s="759">
        <v>16</v>
      </c>
      <c r="B32" s="791" t="s">
        <v>79</v>
      </c>
      <c r="C32" s="761" t="s">
        <v>56</v>
      </c>
      <c r="D32" s="787" t="s">
        <v>56</v>
      </c>
      <c r="E32" s="781" t="s">
        <v>57</v>
      </c>
      <c r="F32" s="782">
        <v>0.5</v>
      </c>
      <c r="G32" s="788">
        <v>3.54</v>
      </c>
      <c r="H32" s="765">
        <v>17697</v>
      </c>
      <c r="I32" s="765">
        <f t="shared" si="0"/>
        <v>62647.38</v>
      </c>
      <c r="J32" s="766">
        <v>0</v>
      </c>
      <c r="K32" s="767">
        <f t="shared" si="5"/>
        <v>0</v>
      </c>
      <c r="L32" s="766">
        <v>0.1</v>
      </c>
      <c r="M32" s="768">
        <f t="shared" si="1"/>
        <v>3132.37</v>
      </c>
      <c r="N32" s="783"/>
      <c r="O32" s="767">
        <f t="shared" si="3"/>
        <v>0</v>
      </c>
      <c r="P32" s="765">
        <f t="shared" si="2"/>
        <v>34456.06</v>
      </c>
      <c r="Q32" s="769">
        <f t="shared" si="4"/>
        <v>413472.72</v>
      </c>
      <c r="S32" s="770"/>
      <c r="T32" s="784"/>
      <c r="U32" s="770"/>
    </row>
    <row r="33" spans="1:22" ht="13.5" customHeight="1">
      <c r="A33" s="759">
        <v>17</v>
      </c>
      <c r="B33" s="792" t="s">
        <v>71</v>
      </c>
      <c r="C33" s="761" t="s">
        <v>56</v>
      </c>
      <c r="D33" s="787" t="s">
        <v>56</v>
      </c>
      <c r="E33" s="781" t="s">
        <v>57</v>
      </c>
      <c r="F33" s="782">
        <v>0.5</v>
      </c>
      <c r="G33" s="788">
        <v>2.76</v>
      </c>
      <c r="H33" s="765">
        <v>17697</v>
      </c>
      <c r="I33" s="765">
        <f t="shared" si="0"/>
        <v>48843.719999999994</v>
      </c>
      <c r="J33" s="766">
        <v>0</v>
      </c>
      <c r="K33" s="767">
        <f t="shared" si="5"/>
        <v>0</v>
      </c>
      <c r="L33" s="766">
        <v>0.1</v>
      </c>
      <c r="M33" s="768">
        <f t="shared" si="1"/>
        <v>2442.19</v>
      </c>
      <c r="N33" s="783">
        <v>0.2</v>
      </c>
      <c r="O33" s="767">
        <f>ROUND(H33*N33,2)/2</f>
        <v>1769.7</v>
      </c>
      <c r="P33" s="765">
        <f>ROUND((I33*F33)+M33+K33+O33,2)</f>
        <v>28633.75</v>
      </c>
      <c r="Q33" s="769">
        <f t="shared" si="4"/>
        <v>343605</v>
      </c>
      <c r="S33" s="770"/>
      <c r="T33" s="784"/>
      <c r="U33" s="770"/>
    </row>
    <row r="34" spans="1:22" ht="13.5" customHeight="1">
      <c r="A34" s="759">
        <v>17</v>
      </c>
      <c r="B34" s="792" t="s">
        <v>71</v>
      </c>
      <c r="C34" s="761" t="s">
        <v>56</v>
      </c>
      <c r="D34" s="787" t="s">
        <v>56</v>
      </c>
      <c r="E34" s="781" t="s">
        <v>57</v>
      </c>
      <c r="F34" s="782">
        <v>0.5</v>
      </c>
      <c r="G34" s="788">
        <v>3.54</v>
      </c>
      <c r="H34" s="765">
        <v>17697</v>
      </c>
      <c r="I34" s="765">
        <f t="shared" si="0"/>
        <v>62647.38</v>
      </c>
      <c r="J34" s="766">
        <v>0</v>
      </c>
      <c r="K34" s="767">
        <f t="shared" si="5"/>
        <v>0</v>
      </c>
      <c r="L34" s="766">
        <v>0.1</v>
      </c>
      <c r="M34" s="768">
        <f t="shared" si="1"/>
        <v>3132.37</v>
      </c>
      <c r="N34" s="783">
        <v>0.2</v>
      </c>
      <c r="O34" s="767">
        <f>ROUND(H34*N34,2)/2</f>
        <v>1769.7</v>
      </c>
      <c r="P34" s="765">
        <f>ROUND((I34*F34)+M34+K34+O34,2)</f>
        <v>36225.760000000002</v>
      </c>
      <c r="Q34" s="769">
        <f t="shared" si="4"/>
        <v>434709.12</v>
      </c>
      <c r="S34" s="770">
        <f>P35-S35</f>
        <v>0.62000000011175871</v>
      </c>
      <c r="T34" s="784"/>
      <c r="U34" s="770"/>
    </row>
    <row r="35" spans="1:22" s="793" customFormat="1" ht="14.25" customHeight="1">
      <c r="A35" s="2293" t="s">
        <v>550</v>
      </c>
      <c r="B35" s="2294"/>
      <c r="C35" s="898"/>
      <c r="D35" s="898"/>
      <c r="E35" s="849"/>
      <c r="F35" s="841">
        <f>SUM(F17:F34)</f>
        <v>17.5</v>
      </c>
      <c r="G35" s="850"/>
      <c r="H35" s="850"/>
      <c r="I35" s="841">
        <f>SUM(I17:I34)</f>
        <v>1230472.4099999999</v>
      </c>
      <c r="J35" s="850"/>
      <c r="K35" s="841">
        <f>SUM(K17:K34)</f>
        <v>22784.887500000001</v>
      </c>
      <c r="L35" s="850"/>
      <c r="M35" s="841">
        <f>SUM(M17:M34)</f>
        <v>122374.77999999998</v>
      </c>
      <c r="N35" s="850"/>
      <c r="O35" s="841">
        <f>SUM(O17:O34)</f>
        <v>3539.4</v>
      </c>
      <c r="P35" s="841">
        <f>ROUND(SUM(P17:P34),2)</f>
        <v>1372446.62</v>
      </c>
      <c r="Q35" s="851">
        <f>SUM(Q17:Q34)</f>
        <v>16469359.439999998</v>
      </c>
      <c r="S35" s="794">
        <v>1372446</v>
      </c>
      <c r="T35" s="795"/>
      <c r="U35" s="795"/>
    </row>
    <row r="36" spans="1:22" ht="21.75" customHeight="1">
      <c r="A36" s="856"/>
      <c r="B36" s="869" t="s">
        <v>551</v>
      </c>
      <c r="C36" s="870"/>
      <c r="D36" s="870"/>
      <c r="E36" s="859"/>
      <c r="F36" s="861"/>
      <c r="G36" s="861"/>
      <c r="H36" s="861"/>
      <c r="I36" s="861"/>
      <c r="J36" s="861"/>
      <c r="K36" s="861"/>
      <c r="L36" s="861"/>
      <c r="M36" s="861"/>
      <c r="N36" s="861"/>
      <c r="O36" s="861"/>
      <c r="P36" s="861"/>
      <c r="Q36" s="862"/>
      <c r="R36" s="780"/>
      <c r="S36" s="770"/>
      <c r="U36" s="770"/>
    </row>
    <row r="37" spans="1:22" s="821" customFormat="1" ht="14.25" customHeight="1">
      <c r="A37" s="796">
        <v>1</v>
      </c>
      <c r="B37" s="797" t="s">
        <v>552</v>
      </c>
      <c r="C37" s="156"/>
      <c r="D37" s="156"/>
      <c r="E37" s="55"/>
      <c r="F37" s="798">
        <v>126.88</v>
      </c>
      <c r="G37" s="11"/>
      <c r="H37" s="775">
        <v>17697</v>
      </c>
      <c r="I37" s="775">
        <v>8589750.1999999993</v>
      </c>
      <c r="J37" s="776"/>
      <c r="K37" s="799">
        <v>231157.23</v>
      </c>
      <c r="L37" s="776">
        <v>0.1</v>
      </c>
      <c r="M37" s="800">
        <v>882090.74</v>
      </c>
      <c r="N37" s="776"/>
      <c r="O37" s="799">
        <f>ROUND(H37*N37,2)</f>
        <v>0</v>
      </c>
      <c r="P37" s="775">
        <f>I37+K37+M37</f>
        <v>9702998.1699999999</v>
      </c>
      <c r="Q37" s="779">
        <f>P37*12</f>
        <v>116435978.03999999</v>
      </c>
      <c r="R37" s="938"/>
      <c r="S37" s="823"/>
      <c r="T37" s="822"/>
      <c r="U37" s="823"/>
    </row>
    <row r="38" spans="1:22" s="801" customFormat="1" ht="13.5" customHeight="1">
      <c r="A38" s="2285" t="s">
        <v>553</v>
      </c>
      <c r="B38" s="2286"/>
      <c r="C38" s="898"/>
      <c r="D38" s="898"/>
      <c r="E38" s="837"/>
      <c r="F38" s="838">
        <f>SUM(F37:F37)</f>
        <v>126.88</v>
      </c>
      <c r="G38" s="838"/>
      <c r="H38" s="838"/>
      <c r="I38" s="839">
        <f>SUM(I37:I37)</f>
        <v>8589750.1999999993</v>
      </c>
      <c r="J38" s="839"/>
      <c r="K38" s="839">
        <f>K37</f>
        <v>231157.23</v>
      </c>
      <c r="L38" s="839"/>
      <c r="M38" s="839">
        <f>SUM(M37:M37)</f>
        <v>882090.74</v>
      </c>
      <c r="N38" s="840"/>
      <c r="O38" s="839">
        <f>SUM(O37:O37)</f>
        <v>0</v>
      </c>
      <c r="P38" s="841">
        <f>SUM(P37:P37)</f>
        <v>9702998.1699999999</v>
      </c>
      <c r="Q38" s="842">
        <f>SUM(Q37:Q37)</f>
        <v>116435978.03999999</v>
      </c>
      <c r="S38" s="794"/>
      <c r="T38" s="795"/>
      <c r="U38" s="795"/>
      <c r="V38" s="794"/>
    </row>
    <row r="39" spans="1:22" ht="45.75" customHeight="1">
      <c r="A39" s="856"/>
      <c r="B39" s="857" t="s">
        <v>554</v>
      </c>
      <c r="C39" s="858"/>
      <c r="D39" s="858"/>
      <c r="E39" s="859"/>
      <c r="F39" s="860"/>
      <c r="G39" s="860"/>
      <c r="H39" s="860"/>
      <c r="I39" s="861"/>
      <c r="J39" s="861"/>
      <c r="K39" s="861"/>
      <c r="L39" s="861"/>
      <c r="M39" s="861"/>
      <c r="N39" s="861"/>
      <c r="O39" s="861"/>
      <c r="P39" s="861"/>
      <c r="Q39" s="862"/>
      <c r="R39" s="755"/>
      <c r="S39" s="784"/>
      <c r="T39" s="784"/>
      <c r="U39" s="784"/>
    </row>
    <row r="40" spans="1:22" s="821" customFormat="1" ht="15.75" customHeight="1">
      <c r="A40" s="824">
        <v>1</v>
      </c>
      <c r="B40" s="791" t="s">
        <v>555</v>
      </c>
      <c r="C40" s="825"/>
      <c r="D40" s="825"/>
      <c r="E40" s="826">
        <v>2</v>
      </c>
      <c r="F40" s="827">
        <v>9.3000000000000007</v>
      </c>
      <c r="G40" s="827">
        <v>2.44</v>
      </c>
      <c r="H40" s="828">
        <v>17697</v>
      </c>
      <c r="I40" s="828">
        <v>401580.32</v>
      </c>
      <c r="J40" s="829">
        <v>0</v>
      </c>
      <c r="K40" s="830">
        <f>ROUND(I40*J40,2)</f>
        <v>0</v>
      </c>
      <c r="L40" s="829">
        <v>0.1</v>
      </c>
      <c r="M40" s="831">
        <f>I40*L40</f>
        <v>40158.032000000007</v>
      </c>
      <c r="N40" s="829">
        <v>0.3</v>
      </c>
      <c r="O40" s="830">
        <v>49374.63</v>
      </c>
      <c r="P40" s="828">
        <f t="shared" ref="P40:P45" si="6">O40+M40+I40</f>
        <v>491112.98200000002</v>
      </c>
      <c r="Q40" s="832">
        <f t="shared" ref="Q40:Q45" si="7">P40*12</f>
        <v>5893355.784</v>
      </c>
      <c r="S40" s="823"/>
      <c r="T40" s="822"/>
      <c r="U40" s="823"/>
    </row>
    <row r="41" spans="1:22" s="821" customFormat="1" ht="30">
      <c r="A41" s="824">
        <v>2</v>
      </c>
      <c r="B41" s="771" t="s">
        <v>556</v>
      </c>
      <c r="C41" s="825"/>
      <c r="D41" s="825"/>
      <c r="E41" s="826">
        <v>4</v>
      </c>
      <c r="F41" s="827">
        <v>1.5</v>
      </c>
      <c r="G41" s="827">
        <v>2.5099999999999998</v>
      </c>
      <c r="H41" s="828">
        <v>17697</v>
      </c>
      <c r="I41" s="828">
        <f>G41*H41*1.5</f>
        <v>66629.204999999987</v>
      </c>
      <c r="J41" s="829">
        <v>0</v>
      </c>
      <c r="K41" s="830">
        <f>ROUND(I41*J41,2)</f>
        <v>0</v>
      </c>
      <c r="L41" s="829">
        <v>0.1</v>
      </c>
      <c r="M41" s="831">
        <f>I41*10%</f>
        <v>6662.9204999999993</v>
      </c>
      <c r="N41" s="829"/>
      <c r="O41" s="830">
        <f>ROUND(H41*N41,2)</f>
        <v>0</v>
      </c>
      <c r="P41" s="828">
        <f t="shared" si="6"/>
        <v>73292.12549999998</v>
      </c>
      <c r="Q41" s="832">
        <f t="shared" si="7"/>
        <v>879505.50599999982</v>
      </c>
      <c r="S41" s="822"/>
      <c r="T41" s="822"/>
      <c r="U41" s="823"/>
    </row>
    <row r="42" spans="1:22" ht="14.25" customHeight="1">
      <c r="A42" s="824">
        <v>3</v>
      </c>
      <c r="B42" s="771" t="s">
        <v>556</v>
      </c>
      <c r="C42" s="825"/>
      <c r="D42" s="825"/>
      <c r="E42" s="826">
        <v>2</v>
      </c>
      <c r="F42" s="827">
        <v>4.5</v>
      </c>
      <c r="G42" s="827">
        <v>2.44</v>
      </c>
      <c r="H42" s="828">
        <v>17697</v>
      </c>
      <c r="I42" s="828">
        <v>194313.06</v>
      </c>
      <c r="J42" s="829"/>
      <c r="K42" s="830"/>
      <c r="L42" s="829">
        <v>0.1</v>
      </c>
      <c r="M42" s="831">
        <f>I42*10%</f>
        <v>19431.306</v>
      </c>
      <c r="N42" s="829"/>
      <c r="O42" s="830">
        <f>ROUND(H42*N42,2)</f>
        <v>0</v>
      </c>
      <c r="P42" s="828">
        <f t="shared" si="6"/>
        <v>213744.36600000001</v>
      </c>
      <c r="Q42" s="832">
        <f t="shared" si="7"/>
        <v>2564932.392</v>
      </c>
      <c r="S42" s="784"/>
      <c r="T42" s="784"/>
      <c r="U42" s="770"/>
    </row>
    <row r="43" spans="1:22" s="821" customFormat="1" ht="11.25" customHeight="1">
      <c r="A43" s="824">
        <v>4</v>
      </c>
      <c r="B43" s="771" t="s">
        <v>358</v>
      </c>
      <c r="C43" s="825"/>
      <c r="D43" s="825"/>
      <c r="E43" s="826">
        <v>1</v>
      </c>
      <c r="F43" s="827">
        <v>1</v>
      </c>
      <c r="G43" s="827">
        <v>2.41</v>
      </c>
      <c r="H43" s="828">
        <v>17697</v>
      </c>
      <c r="I43" s="828">
        <f>H43*G43</f>
        <v>42649.770000000004</v>
      </c>
      <c r="J43" s="829"/>
      <c r="K43" s="830"/>
      <c r="L43" s="829">
        <v>0.1</v>
      </c>
      <c r="M43" s="831">
        <f>ROUND(I43*L43*F43,2)</f>
        <v>4264.9799999999996</v>
      </c>
      <c r="N43" s="829"/>
      <c r="O43" s="830">
        <f>ROUND(H43*N43,2)</f>
        <v>0</v>
      </c>
      <c r="P43" s="828">
        <f t="shared" si="6"/>
        <v>46914.75</v>
      </c>
      <c r="Q43" s="832">
        <f t="shared" si="7"/>
        <v>562977</v>
      </c>
      <c r="S43" s="822"/>
      <c r="T43" s="822"/>
      <c r="U43" s="823"/>
    </row>
    <row r="44" spans="1:22" s="821" customFormat="1" ht="11.25" customHeight="1">
      <c r="A44" s="824">
        <v>5</v>
      </c>
      <c r="B44" s="802" t="s">
        <v>346</v>
      </c>
      <c r="C44" s="825"/>
      <c r="D44" s="825"/>
      <c r="E44" s="826">
        <v>1</v>
      </c>
      <c r="F44" s="827">
        <v>9</v>
      </c>
      <c r="G44" s="833">
        <v>2.41</v>
      </c>
      <c r="H44" s="828">
        <v>17697</v>
      </c>
      <c r="I44" s="828">
        <v>383847.93</v>
      </c>
      <c r="J44" s="829"/>
      <c r="K44" s="830"/>
      <c r="L44" s="829">
        <v>0.1</v>
      </c>
      <c r="M44" s="831">
        <f>I44*L44</f>
        <v>38384.792999999998</v>
      </c>
      <c r="N44" s="829">
        <v>0.5</v>
      </c>
      <c r="O44" s="830">
        <v>97402.5</v>
      </c>
      <c r="P44" s="828">
        <f t="shared" si="6"/>
        <v>519635.223</v>
      </c>
      <c r="Q44" s="832">
        <f t="shared" si="7"/>
        <v>6235622.676</v>
      </c>
      <c r="S44" s="822"/>
      <c r="T44" s="822"/>
      <c r="U44" s="823"/>
    </row>
    <row r="45" spans="1:22" s="821" customFormat="1" ht="15" customHeight="1" thickBot="1">
      <c r="A45" s="920">
        <v>6</v>
      </c>
      <c r="B45" s="921" t="s">
        <v>557</v>
      </c>
      <c r="C45" s="922"/>
      <c r="D45" s="922"/>
      <c r="E45" s="923">
        <v>1</v>
      </c>
      <c r="F45" s="924">
        <v>1</v>
      </c>
      <c r="G45" s="925">
        <v>2.41</v>
      </c>
      <c r="H45" s="926">
        <v>17697</v>
      </c>
      <c r="I45" s="926">
        <f>G45*H45</f>
        <v>42649.770000000004</v>
      </c>
      <c r="J45" s="927"/>
      <c r="K45" s="928"/>
      <c r="L45" s="927">
        <v>0.1</v>
      </c>
      <c r="M45" s="929">
        <f>ROUND(I45*L45*F45,2)</f>
        <v>4264.9799999999996</v>
      </c>
      <c r="N45" s="927"/>
      <c r="O45" s="928">
        <f>ROUND(H45*N45,2)</f>
        <v>0</v>
      </c>
      <c r="P45" s="926">
        <f t="shared" si="6"/>
        <v>46914.75</v>
      </c>
      <c r="Q45" s="930">
        <f t="shared" si="7"/>
        <v>562977</v>
      </c>
      <c r="R45" s="821">
        <v>1391614</v>
      </c>
      <c r="S45" s="823">
        <f>P46-R45</f>
        <v>0.1965000000782311</v>
      </c>
      <c r="T45" s="822"/>
      <c r="U45" s="823"/>
    </row>
    <row r="46" spans="1:22" s="801" customFormat="1" ht="20.25" customHeight="1" thickBot="1">
      <c r="A46" s="2329" t="s">
        <v>359</v>
      </c>
      <c r="B46" s="2330"/>
      <c r="C46" s="931"/>
      <c r="D46" s="931"/>
      <c r="E46" s="932"/>
      <c r="F46" s="933">
        <f>SUM(F39:F45)</f>
        <v>26.3</v>
      </c>
      <c r="G46" s="934"/>
      <c r="H46" s="933"/>
      <c r="I46" s="933"/>
      <c r="J46" s="933"/>
      <c r="K46" s="933">
        <f>SUM(K39:K45)</f>
        <v>0</v>
      </c>
      <c r="L46" s="933"/>
      <c r="M46" s="935">
        <f>SUM(M39:M45)</f>
        <v>113167.01150000001</v>
      </c>
      <c r="N46" s="933"/>
      <c r="O46" s="935">
        <f>SUM(O39:O45)</f>
        <v>146777.13</v>
      </c>
      <c r="P46" s="935">
        <f>SUM(P39:P45)</f>
        <v>1391614.1965000001</v>
      </c>
      <c r="Q46" s="936">
        <f>SUM(Q39:Q45)</f>
        <v>16699370.357999999</v>
      </c>
      <c r="S46" s="804"/>
      <c r="T46" s="805"/>
      <c r="U46" s="795"/>
    </row>
    <row r="47" spans="1:22" s="801" customFormat="1" ht="19.5" customHeight="1" thickBot="1">
      <c r="A47" s="2289" t="s">
        <v>558</v>
      </c>
      <c r="B47" s="2290"/>
      <c r="C47" s="899"/>
      <c r="D47" s="899"/>
      <c r="E47" s="853"/>
      <c r="F47" s="854">
        <f>F35+F38+F46</f>
        <v>170.68</v>
      </c>
      <c r="G47" s="855"/>
      <c r="H47" s="855"/>
      <c r="I47" s="855"/>
      <c r="J47" s="855"/>
      <c r="K47" s="853">
        <f>K38+K35</f>
        <v>253942.11750000002</v>
      </c>
      <c r="L47" s="855"/>
      <c r="M47" s="853">
        <f>M35+M38+M46</f>
        <v>1117632.5315</v>
      </c>
      <c r="N47" s="855">
        <f>N35+N38+N46</f>
        <v>0</v>
      </c>
      <c r="O47" s="853">
        <f>O35+O38+O46</f>
        <v>150316.53</v>
      </c>
      <c r="P47" s="853">
        <f>P46+P35+P38+0.01</f>
        <v>12467058.9965</v>
      </c>
      <c r="Q47" s="853">
        <f>P47*12</f>
        <v>149604707.958</v>
      </c>
      <c r="R47" s="794"/>
      <c r="S47" s="806"/>
      <c r="T47" s="806"/>
      <c r="U47" s="806"/>
    </row>
    <row r="48" spans="1:22">
      <c r="S48" s="2282"/>
      <c r="T48" s="808"/>
      <c r="U48" s="808"/>
    </row>
    <row r="49" spans="1:21" ht="15" customHeight="1">
      <c r="B49" s="904" t="s">
        <v>53</v>
      </c>
      <c r="C49" s="904"/>
      <c r="D49" s="904"/>
      <c r="E49" s="900"/>
      <c r="F49" s="900"/>
      <c r="G49" s="900"/>
      <c r="H49" s="810"/>
      <c r="I49" s="2291"/>
      <c r="J49" s="2291"/>
      <c r="K49" s="2291"/>
      <c r="L49" s="2291"/>
      <c r="M49" s="2291"/>
      <c r="N49" s="2291"/>
      <c r="O49" s="2291"/>
      <c r="P49" s="811"/>
      <c r="S49" s="2282"/>
      <c r="T49" s="812"/>
      <c r="U49" s="812"/>
    </row>
    <row r="50" spans="1:21">
      <c r="F50" s="901" t="s">
        <v>559</v>
      </c>
      <c r="I50" s="2292" t="s">
        <v>560</v>
      </c>
      <c r="J50" s="2292"/>
      <c r="K50" s="2292"/>
      <c r="L50" s="2292"/>
      <c r="M50" s="2292"/>
      <c r="N50" s="2292"/>
      <c r="O50" s="2292"/>
      <c r="P50" s="811"/>
      <c r="S50" s="814"/>
      <c r="T50" s="815"/>
      <c r="U50" s="815"/>
    </row>
    <row r="51" spans="1:21">
      <c r="N51" s="816"/>
      <c r="P51" s="811"/>
      <c r="Q51" s="780"/>
      <c r="S51" s="784"/>
      <c r="T51" s="784"/>
      <c r="U51" s="784"/>
    </row>
    <row r="52" spans="1:21">
      <c r="A52" s="784"/>
      <c r="P52" s="811"/>
      <c r="S52" s="2282"/>
      <c r="T52" s="808"/>
      <c r="U52" s="808"/>
    </row>
    <row r="53" spans="1:21">
      <c r="A53" s="784"/>
      <c r="N53" s="816"/>
      <c r="S53" s="2282"/>
      <c r="T53" s="812"/>
      <c r="U53" s="812"/>
    </row>
    <row r="54" spans="1:21" s="818" customFormat="1" ht="41.25" customHeight="1">
      <c r="A54" s="817"/>
      <c r="B54" s="2283"/>
      <c r="C54" s="2283"/>
      <c r="D54" s="2283"/>
      <c r="E54" s="2284"/>
      <c r="F54" s="2284"/>
      <c r="G54" s="2284"/>
      <c r="H54" s="2284"/>
      <c r="I54" s="2284"/>
      <c r="J54" s="2284"/>
      <c r="K54" s="2284"/>
      <c r="L54" s="2284"/>
      <c r="M54" s="2284"/>
      <c r="N54" s="2284"/>
      <c r="O54" s="2284"/>
      <c r="P54" s="2284"/>
      <c r="Q54" s="2284"/>
      <c r="S54" s="817"/>
      <c r="T54" s="817"/>
      <c r="U54" s="817"/>
    </row>
    <row r="55" spans="1:21">
      <c r="A55" s="784"/>
      <c r="S55" s="2282"/>
      <c r="T55" s="808"/>
      <c r="U55" s="808"/>
    </row>
    <row r="56" spans="1:21" s="818" customFormat="1">
      <c r="A56" s="817"/>
      <c r="B56" s="2283"/>
      <c r="C56" s="2283"/>
      <c r="D56" s="2283"/>
      <c r="E56" s="2284"/>
      <c r="F56" s="2284"/>
      <c r="G56" s="2284"/>
      <c r="H56" s="2284"/>
      <c r="I56" s="2284"/>
      <c r="J56" s="2284"/>
      <c r="K56" s="2284"/>
      <c r="L56" s="2284"/>
      <c r="M56" s="2284"/>
      <c r="N56" s="819"/>
      <c r="O56" s="819"/>
      <c r="P56" s="819"/>
      <c r="S56" s="2282"/>
      <c r="T56" s="820"/>
      <c r="U56" s="820"/>
    </row>
    <row r="57" spans="1:21">
      <c r="A57" s="784"/>
    </row>
    <row r="58" spans="1:21">
      <c r="M58" s="811"/>
    </row>
  </sheetData>
  <mergeCells count="44">
    <mergeCell ref="U17:AC17"/>
    <mergeCell ref="S52:S53"/>
    <mergeCell ref="B54:Q54"/>
    <mergeCell ref="S55:S56"/>
    <mergeCell ref="B56:M56"/>
    <mergeCell ref="A38:B38"/>
    <mergeCell ref="A46:B46"/>
    <mergeCell ref="A47:B47"/>
    <mergeCell ref="S48:S49"/>
    <mergeCell ref="I49:O49"/>
    <mergeCell ref="I50:O50"/>
    <mergeCell ref="A35:B35"/>
    <mergeCell ref="F14:F15"/>
    <mergeCell ref="G14:G15"/>
    <mergeCell ref="T16:AC16"/>
    <mergeCell ref="N14:O14"/>
    <mergeCell ref="P14:P15"/>
    <mergeCell ref="W12:AC12"/>
    <mergeCell ref="U13:V13"/>
    <mergeCell ref="W13:AC13"/>
    <mergeCell ref="A12:Q12"/>
    <mergeCell ref="Q14:Q15"/>
    <mergeCell ref="W14:AC14"/>
    <mergeCell ref="U15:AC15"/>
    <mergeCell ref="H14:H15"/>
    <mergeCell ref="I14:I15"/>
    <mergeCell ref="J14:K14"/>
    <mergeCell ref="L14:M14"/>
    <mergeCell ref="A14:A15"/>
    <mergeCell ref="B14:B15"/>
    <mergeCell ref="C14:C15"/>
    <mergeCell ref="D14:D15"/>
    <mergeCell ref="E14:E15"/>
    <mergeCell ref="F6:Q6"/>
    <mergeCell ref="G7:Q7"/>
    <mergeCell ref="B9:Q9"/>
    <mergeCell ref="A10:Q10"/>
    <mergeCell ref="A11:Q11"/>
    <mergeCell ref="G5:Q5"/>
    <mergeCell ref="G1:Q1"/>
    <mergeCell ref="B2:E2"/>
    <mergeCell ref="G2:Q2"/>
    <mergeCell ref="G3:P3"/>
    <mergeCell ref="I4:Q4"/>
  </mergeCells>
  <pageMargins left="0.98425196850393704" right="0.19685039370078741" top="0.27559055118110237" bottom="0.23622047244094491" header="0.23622047244094491" footer="0.23622047244094491"/>
  <pageSetup paperSize="9" scale="65" orientation="landscape" r:id="rId1"/>
  <headerFooter alignWithMargins="0"/>
  <colBreaks count="1" manualBreakCount="1">
    <brk id="17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2">
    <tabColor rgb="FFFFFF00"/>
  </sheetPr>
  <dimension ref="A1:AQ177"/>
  <sheetViews>
    <sheetView topLeftCell="A124" zoomScale="80" zoomScaleNormal="80" zoomScaleSheetLayoutView="40" workbookViewId="0">
      <pane xSplit="3" topLeftCell="F1" activePane="topRight" state="frozen"/>
      <selection pane="topRight" activeCell="M138" sqref="M138"/>
    </sheetView>
  </sheetViews>
  <sheetFormatPr defaultRowHeight="12.75"/>
  <cols>
    <col min="1" max="1" width="6.42578125" style="1" customWidth="1"/>
    <col min="2" max="2" width="23.7109375" style="1" customWidth="1"/>
    <col min="3" max="3" width="17.7109375" style="895" customWidth="1"/>
    <col min="4" max="4" width="11.140625" style="1" customWidth="1"/>
    <col min="5" max="5" width="16.7109375" style="1" customWidth="1"/>
    <col min="6" max="6" width="13.5703125" style="1" customWidth="1"/>
    <col min="7" max="7" width="7.42578125" style="1" customWidth="1"/>
    <col min="8" max="8" width="4.7109375" style="1" customWidth="1"/>
    <col min="9" max="9" width="8.5703125" style="1" customWidth="1"/>
    <col min="10" max="10" width="5.5703125" style="1" customWidth="1"/>
    <col min="11" max="11" width="11.5703125" style="1" customWidth="1"/>
    <col min="12" max="12" width="10.42578125" style="1" customWidth="1"/>
    <col min="13" max="13" width="10.85546875" style="1" customWidth="1"/>
    <col min="14" max="14" width="9.7109375" style="895" bestFit="1" customWidth="1"/>
    <col min="15" max="15" width="8" style="1" customWidth="1"/>
    <col min="16" max="16" width="16.28515625" style="1" customWidth="1"/>
    <col min="17" max="17" width="10.5703125" style="1" customWidth="1"/>
    <col min="18" max="18" width="11.85546875" style="1" customWidth="1"/>
    <col min="19" max="19" width="10.140625" style="1" customWidth="1"/>
    <col min="20" max="20" width="15.140625" style="1" customWidth="1"/>
    <col min="21" max="21" width="8.5703125" style="1" customWidth="1"/>
    <col min="22" max="22" width="11.7109375" style="1" customWidth="1"/>
    <col min="23" max="23" width="15.28515625" style="1" customWidth="1"/>
    <col min="24" max="25" width="18.28515625" style="1" hidden="1" customWidth="1"/>
    <col min="26" max="26" width="13" style="24" bestFit="1" customWidth="1"/>
    <col min="27" max="27" width="11.7109375" style="24" bestFit="1" customWidth="1"/>
    <col min="28" max="28" width="13" style="24" bestFit="1" customWidth="1"/>
    <col min="29" max="29" width="11" style="24" bestFit="1" customWidth="1"/>
    <col min="30" max="32" width="9.140625" style="24"/>
    <col min="33" max="33" width="11.28515625" style="24" bestFit="1" customWidth="1"/>
    <col min="34" max="34" width="10.7109375" style="24" bestFit="1" customWidth="1"/>
    <col min="35" max="43" width="9.140625" style="24"/>
    <col min="44" max="256" width="9.140625" style="1"/>
    <col min="257" max="257" width="6.42578125" style="1" customWidth="1"/>
    <col min="258" max="258" width="20.7109375" style="1" customWidth="1"/>
    <col min="259" max="259" width="24.7109375" style="1" customWidth="1"/>
    <col min="260" max="260" width="11.140625" style="1" customWidth="1"/>
    <col min="261" max="261" width="12.28515625" style="1" customWidth="1"/>
    <col min="262" max="262" width="11.140625" style="1" customWidth="1"/>
    <col min="263" max="263" width="10.42578125" style="1" customWidth="1"/>
    <col min="264" max="264" width="4.7109375" style="1" customWidth="1"/>
    <col min="265" max="265" width="8.5703125" style="1" customWidth="1"/>
    <col min="266" max="266" width="5.5703125" style="1" customWidth="1"/>
    <col min="267" max="268" width="11.5703125" style="1" customWidth="1"/>
    <col min="269" max="269" width="10.85546875" style="1" customWidth="1"/>
    <col min="270" max="270" width="7.7109375" style="1" customWidth="1"/>
    <col min="271" max="271" width="8" style="1" customWidth="1"/>
    <col min="272" max="272" width="16.28515625" style="1" customWidth="1"/>
    <col min="273" max="273" width="10.5703125" style="1" customWidth="1"/>
    <col min="274" max="274" width="14.140625" style="1" customWidth="1"/>
    <col min="275" max="275" width="10.140625" style="1" customWidth="1"/>
    <col min="276" max="276" width="15.140625" style="1" customWidth="1"/>
    <col min="277" max="277" width="8.5703125" style="1" customWidth="1"/>
    <col min="278" max="278" width="14.28515625" style="1" customWidth="1"/>
    <col min="279" max="279" width="18.28515625" style="1" customWidth="1"/>
    <col min="280" max="280" width="13" style="1" bestFit="1" customWidth="1"/>
    <col min="281" max="281" width="11.7109375" style="1" bestFit="1" customWidth="1"/>
    <col min="282" max="288" width="9.140625" style="1"/>
    <col min="289" max="289" width="11.28515625" style="1" bestFit="1" customWidth="1"/>
    <col min="290" max="290" width="10.7109375" style="1" bestFit="1" customWidth="1"/>
    <col min="291" max="512" width="9.140625" style="1"/>
    <col min="513" max="513" width="6.42578125" style="1" customWidth="1"/>
    <col min="514" max="514" width="20.7109375" style="1" customWidth="1"/>
    <col min="515" max="515" width="24.7109375" style="1" customWidth="1"/>
    <col min="516" max="516" width="11.140625" style="1" customWidth="1"/>
    <col min="517" max="517" width="12.28515625" style="1" customWidth="1"/>
    <col min="518" max="518" width="11.140625" style="1" customWidth="1"/>
    <col min="519" max="519" width="10.42578125" style="1" customWidth="1"/>
    <col min="520" max="520" width="4.7109375" style="1" customWidth="1"/>
    <col min="521" max="521" width="8.5703125" style="1" customWidth="1"/>
    <col min="522" max="522" width="5.5703125" style="1" customWidth="1"/>
    <col min="523" max="524" width="11.5703125" style="1" customWidth="1"/>
    <col min="525" max="525" width="10.85546875" style="1" customWidth="1"/>
    <col min="526" max="526" width="7.7109375" style="1" customWidth="1"/>
    <col min="527" max="527" width="8" style="1" customWidth="1"/>
    <col min="528" max="528" width="16.28515625" style="1" customWidth="1"/>
    <col min="529" max="529" width="10.5703125" style="1" customWidth="1"/>
    <col min="530" max="530" width="14.140625" style="1" customWidth="1"/>
    <col min="531" max="531" width="10.140625" style="1" customWidth="1"/>
    <col min="532" max="532" width="15.140625" style="1" customWidth="1"/>
    <col min="533" max="533" width="8.5703125" style="1" customWidth="1"/>
    <col min="534" max="534" width="14.28515625" style="1" customWidth="1"/>
    <col min="535" max="535" width="18.28515625" style="1" customWidth="1"/>
    <col min="536" max="536" width="13" style="1" bestFit="1" customWidth="1"/>
    <col min="537" max="537" width="11.7109375" style="1" bestFit="1" customWidth="1"/>
    <col min="538" max="544" width="9.140625" style="1"/>
    <col min="545" max="545" width="11.28515625" style="1" bestFit="1" customWidth="1"/>
    <col min="546" max="546" width="10.7109375" style="1" bestFit="1" customWidth="1"/>
    <col min="547" max="768" width="9.140625" style="1"/>
    <col min="769" max="769" width="6.42578125" style="1" customWidth="1"/>
    <col min="770" max="770" width="20.7109375" style="1" customWidth="1"/>
    <col min="771" max="771" width="24.7109375" style="1" customWidth="1"/>
    <col min="772" max="772" width="11.140625" style="1" customWidth="1"/>
    <col min="773" max="773" width="12.28515625" style="1" customWidth="1"/>
    <col min="774" max="774" width="11.140625" style="1" customWidth="1"/>
    <col min="775" max="775" width="10.42578125" style="1" customWidth="1"/>
    <col min="776" max="776" width="4.7109375" style="1" customWidth="1"/>
    <col min="777" max="777" width="8.5703125" style="1" customWidth="1"/>
    <col min="778" max="778" width="5.5703125" style="1" customWidth="1"/>
    <col min="779" max="780" width="11.5703125" style="1" customWidth="1"/>
    <col min="781" max="781" width="10.85546875" style="1" customWidth="1"/>
    <col min="782" max="782" width="7.7109375" style="1" customWidth="1"/>
    <col min="783" max="783" width="8" style="1" customWidth="1"/>
    <col min="784" max="784" width="16.28515625" style="1" customWidth="1"/>
    <col min="785" max="785" width="10.5703125" style="1" customWidth="1"/>
    <col min="786" max="786" width="14.140625" style="1" customWidth="1"/>
    <col min="787" max="787" width="10.140625" style="1" customWidth="1"/>
    <col min="788" max="788" width="15.140625" style="1" customWidth="1"/>
    <col min="789" max="789" width="8.5703125" style="1" customWidth="1"/>
    <col min="790" max="790" width="14.28515625" style="1" customWidth="1"/>
    <col min="791" max="791" width="18.28515625" style="1" customWidth="1"/>
    <col min="792" max="792" width="13" style="1" bestFit="1" customWidth="1"/>
    <col min="793" max="793" width="11.7109375" style="1" bestFit="1" customWidth="1"/>
    <col min="794" max="800" width="9.140625" style="1"/>
    <col min="801" max="801" width="11.28515625" style="1" bestFit="1" customWidth="1"/>
    <col min="802" max="802" width="10.7109375" style="1" bestFit="1" customWidth="1"/>
    <col min="803" max="1024" width="9.140625" style="1"/>
    <col min="1025" max="1025" width="6.42578125" style="1" customWidth="1"/>
    <col min="1026" max="1026" width="20.7109375" style="1" customWidth="1"/>
    <col min="1027" max="1027" width="24.7109375" style="1" customWidth="1"/>
    <col min="1028" max="1028" width="11.140625" style="1" customWidth="1"/>
    <col min="1029" max="1029" width="12.28515625" style="1" customWidth="1"/>
    <col min="1030" max="1030" width="11.140625" style="1" customWidth="1"/>
    <col min="1031" max="1031" width="10.42578125" style="1" customWidth="1"/>
    <col min="1032" max="1032" width="4.7109375" style="1" customWidth="1"/>
    <col min="1033" max="1033" width="8.5703125" style="1" customWidth="1"/>
    <col min="1034" max="1034" width="5.5703125" style="1" customWidth="1"/>
    <col min="1035" max="1036" width="11.5703125" style="1" customWidth="1"/>
    <col min="1037" max="1037" width="10.85546875" style="1" customWidth="1"/>
    <col min="1038" max="1038" width="7.7109375" style="1" customWidth="1"/>
    <col min="1039" max="1039" width="8" style="1" customWidth="1"/>
    <col min="1040" max="1040" width="16.28515625" style="1" customWidth="1"/>
    <col min="1041" max="1041" width="10.5703125" style="1" customWidth="1"/>
    <col min="1042" max="1042" width="14.140625" style="1" customWidth="1"/>
    <col min="1043" max="1043" width="10.140625" style="1" customWidth="1"/>
    <col min="1044" max="1044" width="15.140625" style="1" customWidth="1"/>
    <col min="1045" max="1045" width="8.5703125" style="1" customWidth="1"/>
    <col min="1046" max="1046" width="14.28515625" style="1" customWidth="1"/>
    <col min="1047" max="1047" width="18.28515625" style="1" customWidth="1"/>
    <col min="1048" max="1048" width="13" style="1" bestFit="1" customWidth="1"/>
    <col min="1049" max="1049" width="11.7109375" style="1" bestFit="1" customWidth="1"/>
    <col min="1050" max="1056" width="9.140625" style="1"/>
    <col min="1057" max="1057" width="11.28515625" style="1" bestFit="1" customWidth="1"/>
    <col min="1058" max="1058" width="10.7109375" style="1" bestFit="1" customWidth="1"/>
    <col min="1059" max="1280" width="9.140625" style="1"/>
    <col min="1281" max="1281" width="6.42578125" style="1" customWidth="1"/>
    <col min="1282" max="1282" width="20.7109375" style="1" customWidth="1"/>
    <col min="1283" max="1283" width="24.7109375" style="1" customWidth="1"/>
    <col min="1284" max="1284" width="11.140625" style="1" customWidth="1"/>
    <col min="1285" max="1285" width="12.28515625" style="1" customWidth="1"/>
    <col min="1286" max="1286" width="11.140625" style="1" customWidth="1"/>
    <col min="1287" max="1287" width="10.42578125" style="1" customWidth="1"/>
    <col min="1288" max="1288" width="4.7109375" style="1" customWidth="1"/>
    <col min="1289" max="1289" width="8.5703125" style="1" customWidth="1"/>
    <col min="1290" max="1290" width="5.5703125" style="1" customWidth="1"/>
    <col min="1291" max="1292" width="11.5703125" style="1" customWidth="1"/>
    <col min="1293" max="1293" width="10.85546875" style="1" customWidth="1"/>
    <col min="1294" max="1294" width="7.7109375" style="1" customWidth="1"/>
    <col min="1295" max="1295" width="8" style="1" customWidth="1"/>
    <col min="1296" max="1296" width="16.28515625" style="1" customWidth="1"/>
    <col min="1297" max="1297" width="10.5703125" style="1" customWidth="1"/>
    <col min="1298" max="1298" width="14.140625" style="1" customWidth="1"/>
    <col min="1299" max="1299" width="10.140625" style="1" customWidth="1"/>
    <col min="1300" max="1300" width="15.140625" style="1" customWidth="1"/>
    <col min="1301" max="1301" width="8.5703125" style="1" customWidth="1"/>
    <col min="1302" max="1302" width="14.28515625" style="1" customWidth="1"/>
    <col min="1303" max="1303" width="18.28515625" style="1" customWidth="1"/>
    <col min="1304" max="1304" width="13" style="1" bestFit="1" customWidth="1"/>
    <col min="1305" max="1305" width="11.7109375" style="1" bestFit="1" customWidth="1"/>
    <col min="1306" max="1312" width="9.140625" style="1"/>
    <col min="1313" max="1313" width="11.28515625" style="1" bestFit="1" customWidth="1"/>
    <col min="1314" max="1314" width="10.7109375" style="1" bestFit="1" customWidth="1"/>
    <col min="1315" max="1536" width="9.140625" style="1"/>
    <col min="1537" max="1537" width="6.42578125" style="1" customWidth="1"/>
    <col min="1538" max="1538" width="20.7109375" style="1" customWidth="1"/>
    <col min="1539" max="1539" width="24.7109375" style="1" customWidth="1"/>
    <col min="1540" max="1540" width="11.140625" style="1" customWidth="1"/>
    <col min="1541" max="1541" width="12.28515625" style="1" customWidth="1"/>
    <col min="1542" max="1542" width="11.140625" style="1" customWidth="1"/>
    <col min="1543" max="1543" width="10.42578125" style="1" customWidth="1"/>
    <col min="1544" max="1544" width="4.7109375" style="1" customWidth="1"/>
    <col min="1545" max="1545" width="8.5703125" style="1" customWidth="1"/>
    <col min="1546" max="1546" width="5.5703125" style="1" customWidth="1"/>
    <col min="1547" max="1548" width="11.5703125" style="1" customWidth="1"/>
    <col min="1549" max="1549" width="10.85546875" style="1" customWidth="1"/>
    <col min="1550" max="1550" width="7.7109375" style="1" customWidth="1"/>
    <col min="1551" max="1551" width="8" style="1" customWidth="1"/>
    <col min="1552" max="1552" width="16.28515625" style="1" customWidth="1"/>
    <col min="1553" max="1553" width="10.5703125" style="1" customWidth="1"/>
    <col min="1554" max="1554" width="14.140625" style="1" customWidth="1"/>
    <col min="1555" max="1555" width="10.140625" style="1" customWidth="1"/>
    <col min="1556" max="1556" width="15.140625" style="1" customWidth="1"/>
    <col min="1557" max="1557" width="8.5703125" style="1" customWidth="1"/>
    <col min="1558" max="1558" width="14.28515625" style="1" customWidth="1"/>
    <col min="1559" max="1559" width="18.28515625" style="1" customWidth="1"/>
    <col min="1560" max="1560" width="13" style="1" bestFit="1" customWidth="1"/>
    <col min="1561" max="1561" width="11.7109375" style="1" bestFit="1" customWidth="1"/>
    <col min="1562" max="1568" width="9.140625" style="1"/>
    <col min="1569" max="1569" width="11.28515625" style="1" bestFit="1" customWidth="1"/>
    <col min="1570" max="1570" width="10.7109375" style="1" bestFit="1" customWidth="1"/>
    <col min="1571" max="1792" width="9.140625" style="1"/>
    <col min="1793" max="1793" width="6.42578125" style="1" customWidth="1"/>
    <col min="1794" max="1794" width="20.7109375" style="1" customWidth="1"/>
    <col min="1795" max="1795" width="24.7109375" style="1" customWidth="1"/>
    <col min="1796" max="1796" width="11.140625" style="1" customWidth="1"/>
    <col min="1797" max="1797" width="12.28515625" style="1" customWidth="1"/>
    <col min="1798" max="1798" width="11.140625" style="1" customWidth="1"/>
    <col min="1799" max="1799" width="10.42578125" style="1" customWidth="1"/>
    <col min="1800" max="1800" width="4.7109375" style="1" customWidth="1"/>
    <col min="1801" max="1801" width="8.5703125" style="1" customWidth="1"/>
    <col min="1802" max="1802" width="5.5703125" style="1" customWidth="1"/>
    <col min="1803" max="1804" width="11.5703125" style="1" customWidth="1"/>
    <col min="1805" max="1805" width="10.85546875" style="1" customWidth="1"/>
    <col min="1806" max="1806" width="7.7109375" style="1" customWidth="1"/>
    <col min="1807" max="1807" width="8" style="1" customWidth="1"/>
    <col min="1808" max="1808" width="16.28515625" style="1" customWidth="1"/>
    <col min="1809" max="1809" width="10.5703125" style="1" customWidth="1"/>
    <col min="1810" max="1810" width="14.140625" style="1" customWidth="1"/>
    <col min="1811" max="1811" width="10.140625" style="1" customWidth="1"/>
    <col min="1812" max="1812" width="15.140625" style="1" customWidth="1"/>
    <col min="1813" max="1813" width="8.5703125" style="1" customWidth="1"/>
    <col min="1814" max="1814" width="14.28515625" style="1" customWidth="1"/>
    <col min="1815" max="1815" width="18.28515625" style="1" customWidth="1"/>
    <col min="1816" max="1816" width="13" style="1" bestFit="1" customWidth="1"/>
    <col min="1817" max="1817" width="11.7109375" style="1" bestFit="1" customWidth="1"/>
    <col min="1818" max="1824" width="9.140625" style="1"/>
    <col min="1825" max="1825" width="11.28515625" style="1" bestFit="1" customWidth="1"/>
    <col min="1826" max="1826" width="10.7109375" style="1" bestFit="1" customWidth="1"/>
    <col min="1827" max="2048" width="9.140625" style="1"/>
    <col min="2049" max="2049" width="6.42578125" style="1" customWidth="1"/>
    <col min="2050" max="2050" width="20.7109375" style="1" customWidth="1"/>
    <col min="2051" max="2051" width="24.7109375" style="1" customWidth="1"/>
    <col min="2052" max="2052" width="11.140625" style="1" customWidth="1"/>
    <col min="2053" max="2053" width="12.28515625" style="1" customWidth="1"/>
    <col min="2054" max="2054" width="11.140625" style="1" customWidth="1"/>
    <col min="2055" max="2055" width="10.42578125" style="1" customWidth="1"/>
    <col min="2056" max="2056" width="4.7109375" style="1" customWidth="1"/>
    <col min="2057" max="2057" width="8.5703125" style="1" customWidth="1"/>
    <col min="2058" max="2058" width="5.5703125" style="1" customWidth="1"/>
    <col min="2059" max="2060" width="11.5703125" style="1" customWidth="1"/>
    <col min="2061" max="2061" width="10.85546875" style="1" customWidth="1"/>
    <col min="2062" max="2062" width="7.7109375" style="1" customWidth="1"/>
    <col min="2063" max="2063" width="8" style="1" customWidth="1"/>
    <col min="2064" max="2064" width="16.28515625" style="1" customWidth="1"/>
    <col min="2065" max="2065" width="10.5703125" style="1" customWidth="1"/>
    <col min="2066" max="2066" width="14.140625" style="1" customWidth="1"/>
    <col min="2067" max="2067" width="10.140625" style="1" customWidth="1"/>
    <col min="2068" max="2068" width="15.140625" style="1" customWidth="1"/>
    <col min="2069" max="2069" width="8.5703125" style="1" customWidth="1"/>
    <col min="2070" max="2070" width="14.28515625" style="1" customWidth="1"/>
    <col min="2071" max="2071" width="18.28515625" style="1" customWidth="1"/>
    <col min="2072" max="2072" width="13" style="1" bestFit="1" customWidth="1"/>
    <col min="2073" max="2073" width="11.7109375" style="1" bestFit="1" customWidth="1"/>
    <col min="2074" max="2080" width="9.140625" style="1"/>
    <col min="2081" max="2081" width="11.28515625" style="1" bestFit="1" customWidth="1"/>
    <col min="2082" max="2082" width="10.7109375" style="1" bestFit="1" customWidth="1"/>
    <col min="2083" max="2304" width="9.140625" style="1"/>
    <col min="2305" max="2305" width="6.42578125" style="1" customWidth="1"/>
    <col min="2306" max="2306" width="20.7109375" style="1" customWidth="1"/>
    <col min="2307" max="2307" width="24.7109375" style="1" customWidth="1"/>
    <col min="2308" max="2308" width="11.140625" style="1" customWidth="1"/>
    <col min="2309" max="2309" width="12.28515625" style="1" customWidth="1"/>
    <col min="2310" max="2310" width="11.140625" style="1" customWidth="1"/>
    <col min="2311" max="2311" width="10.42578125" style="1" customWidth="1"/>
    <col min="2312" max="2312" width="4.7109375" style="1" customWidth="1"/>
    <col min="2313" max="2313" width="8.5703125" style="1" customWidth="1"/>
    <col min="2314" max="2314" width="5.5703125" style="1" customWidth="1"/>
    <col min="2315" max="2316" width="11.5703125" style="1" customWidth="1"/>
    <col min="2317" max="2317" width="10.85546875" style="1" customWidth="1"/>
    <col min="2318" max="2318" width="7.7109375" style="1" customWidth="1"/>
    <col min="2319" max="2319" width="8" style="1" customWidth="1"/>
    <col min="2320" max="2320" width="16.28515625" style="1" customWidth="1"/>
    <col min="2321" max="2321" width="10.5703125" style="1" customWidth="1"/>
    <col min="2322" max="2322" width="14.140625" style="1" customWidth="1"/>
    <col min="2323" max="2323" width="10.140625" style="1" customWidth="1"/>
    <col min="2324" max="2324" width="15.140625" style="1" customWidth="1"/>
    <col min="2325" max="2325" width="8.5703125" style="1" customWidth="1"/>
    <col min="2326" max="2326" width="14.28515625" style="1" customWidth="1"/>
    <col min="2327" max="2327" width="18.28515625" style="1" customWidth="1"/>
    <col min="2328" max="2328" width="13" style="1" bestFit="1" customWidth="1"/>
    <col min="2329" max="2329" width="11.7109375" style="1" bestFit="1" customWidth="1"/>
    <col min="2330" max="2336" width="9.140625" style="1"/>
    <col min="2337" max="2337" width="11.28515625" style="1" bestFit="1" customWidth="1"/>
    <col min="2338" max="2338" width="10.7109375" style="1" bestFit="1" customWidth="1"/>
    <col min="2339" max="2560" width="9.140625" style="1"/>
    <col min="2561" max="2561" width="6.42578125" style="1" customWidth="1"/>
    <col min="2562" max="2562" width="20.7109375" style="1" customWidth="1"/>
    <col min="2563" max="2563" width="24.7109375" style="1" customWidth="1"/>
    <col min="2564" max="2564" width="11.140625" style="1" customWidth="1"/>
    <col min="2565" max="2565" width="12.28515625" style="1" customWidth="1"/>
    <col min="2566" max="2566" width="11.140625" style="1" customWidth="1"/>
    <col min="2567" max="2567" width="10.42578125" style="1" customWidth="1"/>
    <col min="2568" max="2568" width="4.7109375" style="1" customWidth="1"/>
    <col min="2569" max="2569" width="8.5703125" style="1" customWidth="1"/>
    <col min="2570" max="2570" width="5.5703125" style="1" customWidth="1"/>
    <col min="2571" max="2572" width="11.5703125" style="1" customWidth="1"/>
    <col min="2573" max="2573" width="10.85546875" style="1" customWidth="1"/>
    <col min="2574" max="2574" width="7.7109375" style="1" customWidth="1"/>
    <col min="2575" max="2575" width="8" style="1" customWidth="1"/>
    <col min="2576" max="2576" width="16.28515625" style="1" customWidth="1"/>
    <col min="2577" max="2577" width="10.5703125" style="1" customWidth="1"/>
    <col min="2578" max="2578" width="14.140625" style="1" customWidth="1"/>
    <col min="2579" max="2579" width="10.140625" style="1" customWidth="1"/>
    <col min="2580" max="2580" width="15.140625" style="1" customWidth="1"/>
    <col min="2581" max="2581" width="8.5703125" style="1" customWidth="1"/>
    <col min="2582" max="2582" width="14.28515625" style="1" customWidth="1"/>
    <col min="2583" max="2583" width="18.28515625" style="1" customWidth="1"/>
    <col min="2584" max="2584" width="13" style="1" bestFit="1" customWidth="1"/>
    <col min="2585" max="2585" width="11.7109375" style="1" bestFit="1" customWidth="1"/>
    <col min="2586" max="2592" width="9.140625" style="1"/>
    <col min="2593" max="2593" width="11.28515625" style="1" bestFit="1" customWidth="1"/>
    <col min="2594" max="2594" width="10.7109375" style="1" bestFit="1" customWidth="1"/>
    <col min="2595" max="2816" width="9.140625" style="1"/>
    <col min="2817" max="2817" width="6.42578125" style="1" customWidth="1"/>
    <col min="2818" max="2818" width="20.7109375" style="1" customWidth="1"/>
    <col min="2819" max="2819" width="24.7109375" style="1" customWidth="1"/>
    <col min="2820" max="2820" width="11.140625" style="1" customWidth="1"/>
    <col min="2821" max="2821" width="12.28515625" style="1" customWidth="1"/>
    <col min="2822" max="2822" width="11.140625" style="1" customWidth="1"/>
    <col min="2823" max="2823" width="10.42578125" style="1" customWidth="1"/>
    <col min="2824" max="2824" width="4.7109375" style="1" customWidth="1"/>
    <col min="2825" max="2825" width="8.5703125" style="1" customWidth="1"/>
    <col min="2826" max="2826" width="5.5703125" style="1" customWidth="1"/>
    <col min="2827" max="2828" width="11.5703125" style="1" customWidth="1"/>
    <col min="2829" max="2829" width="10.85546875" style="1" customWidth="1"/>
    <col min="2830" max="2830" width="7.7109375" style="1" customWidth="1"/>
    <col min="2831" max="2831" width="8" style="1" customWidth="1"/>
    <col min="2832" max="2832" width="16.28515625" style="1" customWidth="1"/>
    <col min="2833" max="2833" width="10.5703125" style="1" customWidth="1"/>
    <col min="2834" max="2834" width="14.140625" style="1" customWidth="1"/>
    <col min="2835" max="2835" width="10.140625" style="1" customWidth="1"/>
    <col min="2836" max="2836" width="15.140625" style="1" customWidth="1"/>
    <col min="2837" max="2837" width="8.5703125" style="1" customWidth="1"/>
    <col min="2838" max="2838" width="14.28515625" style="1" customWidth="1"/>
    <col min="2839" max="2839" width="18.28515625" style="1" customWidth="1"/>
    <col min="2840" max="2840" width="13" style="1" bestFit="1" customWidth="1"/>
    <col min="2841" max="2841" width="11.7109375" style="1" bestFit="1" customWidth="1"/>
    <col min="2842" max="2848" width="9.140625" style="1"/>
    <col min="2849" max="2849" width="11.28515625" style="1" bestFit="1" customWidth="1"/>
    <col min="2850" max="2850" width="10.7109375" style="1" bestFit="1" customWidth="1"/>
    <col min="2851" max="3072" width="9.140625" style="1"/>
    <col min="3073" max="3073" width="6.42578125" style="1" customWidth="1"/>
    <col min="3074" max="3074" width="20.7109375" style="1" customWidth="1"/>
    <col min="3075" max="3075" width="24.7109375" style="1" customWidth="1"/>
    <col min="3076" max="3076" width="11.140625" style="1" customWidth="1"/>
    <col min="3077" max="3077" width="12.28515625" style="1" customWidth="1"/>
    <col min="3078" max="3078" width="11.140625" style="1" customWidth="1"/>
    <col min="3079" max="3079" width="10.42578125" style="1" customWidth="1"/>
    <col min="3080" max="3080" width="4.7109375" style="1" customWidth="1"/>
    <col min="3081" max="3081" width="8.5703125" style="1" customWidth="1"/>
    <col min="3082" max="3082" width="5.5703125" style="1" customWidth="1"/>
    <col min="3083" max="3084" width="11.5703125" style="1" customWidth="1"/>
    <col min="3085" max="3085" width="10.85546875" style="1" customWidth="1"/>
    <col min="3086" max="3086" width="7.7109375" style="1" customWidth="1"/>
    <col min="3087" max="3087" width="8" style="1" customWidth="1"/>
    <col min="3088" max="3088" width="16.28515625" style="1" customWidth="1"/>
    <col min="3089" max="3089" width="10.5703125" style="1" customWidth="1"/>
    <col min="3090" max="3090" width="14.140625" style="1" customWidth="1"/>
    <col min="3091" max="3091" width="10.140625" style="1" customWidth="1"/>
    <col min="3092" max="3092" width="15.140625" style="1" customWidth="1"/>
    <col min="3093" max="3093" width="8.5703125" style="1" customWidth="1"/>
    <col min="3094" max="3094" width="14.28515625" style="1" customWidth="1"/>
    <col min="3095" max="3095" width="18.28515625" style="1" customWidth="1"/>
    <col min="3096" max="3096" width="13" style="1" bestFit="1" customWidth="1"/>
    <col min="3097" max="3097" width="11.7109375" style="1" bestFit="1" customWidth="1"/>
    <col min="3098" max="3104" width="9.140625" style="1"/>
    <col min="3105" max="3105" width="11.28515625" style="1" bestFit="1" customWidth="1"/>
    <col min="3106" max="3106" width="10.7109375" style="1" bestFit="1" customWidth="1"/>
    <col min="3107" max="3328" width="9.140625" style="1"/>
    <col min="3329" max="3329" width="6.42578125" style="1" customWidth="1"/>
    <col min="3330" max="3330" width="20.7109375" style="1" customWidth="1"/>
    <col min="3331" max="3331" width="24.7109375" style="1" customWidth="1"/>
    <col min="3332" max="3332" width="11.140625" style="1" customWidth="1"/>
    <col min="3333" max="3333" width="12.28515625" style="1" customWidth="1"/>
    <col min="3334" max="3334" width="11.140625" style="1" customWidth="1"/>
    <col min="3335" max="3335" width="10.42578125" style="1" customWidth="1"/>
    <col min="3336" max="3336" width="4.7109375" style="1" customWidth="1"/>
    <col min="3337" max="3337" width="8.5703125" style="1" customWidth="1"/>
    <col min="3338" max="3338" width="5.5703125" style="1" customWidth="1"/>
    <col min="3339" max="3340" width="11.5703125" style="1" customWidth="1"/>
    <col min="3341" max="3341" width="10.85546875" style="1" customWidth="1"/>
    <col min="3342" max="3342" width="7.7109375" style="1" customWidth="1"/>
    <col min="3343" max="3343" width="8" style="1" customWidth="1"/>
    <col min="3344" max="3344" width="16.28515625" style="1" customWidth="1"/>
    <col min="3345" max="3345" width="10.5703125" style="1" customWidth="1"/>
    <col min="3346" max="3346" width="14.140625" style="1" customWidth="1"/>
    <col min="3347" max="3347" width="10.140625" style="1" customWidth="1"/>
    <col min="3348" max="3348" width="15.140625" style="1" customWidth="1"/>
    <col min="3349" max="3349" width="8.5703125" style="1" customWidth="1"/>
    <col min="3350" max="3350" width="14.28515625" style="1" customWidth="1"/>
    <col min="3351" max="3351" width="18.28515625" style="1" customWidth="1"/>
    <col min="3352" max="3352" width="13" style="1" bestFit="1" customWidth="1"/>
    <col min="3353" max="3353" width="11.7109375" style="1" bestFit="1" customWidth="1"/>
    <col min="3354" max="3360" width="9.140625" style="1"/>
    <col min="3361" max="3361" width="11.28515625" style="1" bestFit="1" customWidth="1"/>
    <col min="3362" max="3362" width="10.7109375" style="1" bestFit="1" customWidth="1"/>
    <col min="3363" max="3584" width="9.140625" style="1"/>
    <col min="3585" max="3585" width="6.42578125" style="1" customWidth="1"/>
    <col min="3586" max="3586" width="20.7109375" style="1" customWidth="1"/>
    <col min="3587" max="3587" width="24.7109375" style="1" customWidth="1"/>
    <col min="3588" max="3588" width="11.140625" style="1" customWidth="1"/>
    <col min="3589" max="3589" width="12.28515625" style="1" customWidth="1"/>
    <col min="3590" max="3590" width="11.140625" style="1" customWidth="1"/>
    <col min="3591" max="3591" width="10.42578125" style="1" customWidth="1"/>
    <col min="3592" max="3592" width="4.7109375" style="1" customWidth="1"/>
    <col min="3593" max="3593" width="8.5703125" style="1" customWidth="1"/>
    <col min="3594" max="3594" width="5.5703125" style="1" customWidth="1"/>
    <col min="3595" max="3596" width="11.5703125" style="1" customWidth="1"/>
    <col min="3597" max="3597" width="10.85546875" style="1" customWidth="1"/>
    <col min="3598" max="3598" width="7.7109375" style="1" customWidth="1"/>
    <col min="3599" max="3599" width="8" style="1" customWidth="1"/>
    <col min="3600" max="3600" width="16.28515625" style="1" customWidth="1"/>
    <col min="3601" max="3601" width="10.5703125" style="1" customWidth="1"/>
    <col min="3602" max="3602" width="14.140625" style="1" customWidth="1"/>
    <col min="3603" max="3603" width="10.140625" style="1" customWidth="1"/>
    <col min="3604" max="3604" width="15.140625" style="1" customWidth="1"/>
    <col min="3605" max="3605" width="8.5703125" style="1" customWidth="1"/>
    <col min="3606" max="3606" width="14.28515625" style="1" customWidth="1"/>
    <col min="3607" max="3607" width="18.28515625" style="1" customWidth="1"/>
    <col min="3608" max="3608" width="13" style="1" bestFit="1" customWidth="1"/>
    <col min="3609" max="3609" width="11.7109375" style="1" bestFit="1" customWidth="1"/>
    <col min="3610" max="3616" width="9.140625" style="1"/>
    <col min="3617" max="3617" width="11.28515625" style="1" bestFit="1" customWidth="1"/>
    <col min="3618" max="3618" width="10.7109375" style="1" bestFit="1" customWidth="1"/>
    <col min="3619" max="3840" width="9.140625" style="1"/>
    <col min="3841" max="3841" width="6.42578125" style="1" customWidth="1"/>
    <col min="3842" max="3842" width="20.7109375" style="1" customWidth="1"/>
    <col min="3843" max="3843" width="24.7109375" style="1" customWidth="1"/>
    <col min="3844" max="3844" width="11.140625" style="1" customWidth="1"/>
    <col min="3845" max="3845" width="12.28515625" style="1" customWidth="1"/>
    <col min="3846" max="3846" width="11.140625" style="1" customWidth="1"/>
    <col min="3847" max="3847" width="10.42578125" style="1" customWidth="1"/>
    <col min="3848" max="3848" width="4.7109375" style="1" customWidth="1"/>
    <col min="3849" max="3849" width="8.5703125" style="1" customWidth="1"/>
    <col min="3850" max="3850" width="5.5703125" style="1" customWidth="1"/>
    <col min="3851" max="3852" width="11.5703125" style="1" customWidth="1"/>
    <col min="3853" max="3853" width="10.85546875" style="1" customWidth="1"/>
    <col min="3854" max="3854" width="7.7109375" style="1" customWidth="1"/>
    <col min="3855" max="3855" width="8" style="1" customWidth="1"/>
    <col min="3856" max="3856" width="16.28515625" style="1" customWidth="1"/>
    <col min="3857" max="3857" width="10.5703125" style="1" customWidth="1"/>
    <col min="3858" max="3858" width="14.140625" style="1" customWidth="1"/>
    <col min="3859" max="3859" width="10.140625" style="1" customWidth="1"/>
    <col min="3860" max="3860" width="15.140625" style="1" customWidth="1"/>
    <col min="3861" max="3861" width="8.5703125" style="1" customWidth="1"/>
    <col min="3862" max="3862" width="14.28515625" style="1" customWidth="1"/>
    <col min="3863" max="3863" width="18.28515625" style="1" customWidth="1"/>
    <col min="3864" max="3864" width="13" style="1" bestFit="1" customWidth="1"/>
    <col min="3865" max="3865" width="11.7109375" style="1" bestFit="1" customWidth="1"/>
    <col min="3866" max="3872" width="9.140625" style="1"/>
    <col min="3873" max="3873" width="11.28515625" style="1" bestFit="1" customWidth="1"/>
    <col min="3874" max="3874" width="10.7109375" style="1" bestFit="1" customWidth="1"/>
    <col min="3875" max="4096" width="9.140625" style="1"/>
    <col min="4097" max="4097" width="6.42578125" style="1" customWidth="1"/>
    <col min="4098" max="4098" width="20.7109375" style="1" customWidth="1"/>
    <col min="4099" max="4099" width="24.7109375" style="1" customWidth="1"/>
    <col min="4100" max="4100" width="11.140625" style="1" customWidth="1"/>
    <col min="4101" max="4101" width="12.28515625" style="1" customWidth="1"/>
    <col min="4102" max="4102" width="11.140625" style="1" customWidth="1"/>
    <col min="4103" max="4103" width="10.42578125" style="1" customWidth="1"/>
    <col min="4104" max="4104" width="4.7109375" style="1" customWidth="1"/>
    <col min="4105" max="4105" width="8.5703125" style="1" customWidth="1"/>
    <col min="4106" max="4106" width="5.5703125" style="1" customWidth="1"/>
    <col min="4107" max="4108" width="11.5703125" style="1" customWidth="1"/>
    <col min="4109" max="4109" width="10.85546875" style="1" customWidth="1"/>
    <col min="4110" max="4110" width="7.7109375" style="1" customWidth="1"/>
    <col min="4111" max="4111" width="8" style="1" customWidth="1"/>
    <col min="4112" max="4112" width="16.28515625" style="1" customWidth="1"/>
    <col min="4113" max="4113" width="10.5703125" style="1" customWidth="1"/>
    <col min="4114" max="4114" width="14.140625" style="1" customWidth="1"/>
    <col min="4115" max="4115" width="10.140625" style="1" customWidth="1"/>
    <col min="4116" max="4116" width="15.140625" style="1" customWidth="1"/>
    <col min="4117" max="4117" width="8.5703125" style="1" customWidth="1"/>
    <col min="4118" max="4118" width="14.28515625" style="1" customWidth="1"/>
    <col min="4119" max="4119" width="18.28515625" style="1" customWidth="1"/>
    <col min="4120" max="4120" width="13" style="1" bestFit="1" customWidth="1"/>
    <col min="4121" max="4121" width="11.7109375" style="1" bestFit="1" customWidth="1"/>
    <col min="4122" max="4128" width="9.140625" style="1"/>
    <col min="4129" max="4129" width="11.28515625" style="1" bestFit="1" customWidth="1"/>
    <col min="4130" max="4130" width="10.7109375" style="1" bestFit="1" customWidth="1"/>
    <col min="4131" max="4352" width="9.140625" style="1"/>
    <col min="4353" max="4353" width="6.42578125" style="1" customWidth="1"/>
    <col min="4354" max="4354" width="20.7109375" style="1" customWidth="1"/>
    <col min="4355" max="4355" width="24.7109375" style="1" customWidth="1"/>
    <col min="4356" max="4356" width="11.140625" style="1" customWidth="1"/>
    <col min="4357" max="4357" width="12.28515625" style="1" customWidth="1"/>
    <col min="4358" max="4358" width="11.140625" style="1" customWidth="1"/>
    <col min="4359" max="4359" width="10.42578125" style="1" customWidth="1"/>
    <col min="4360" max="4360" width="4.7109375" style="1" customWidth="1"/>
    <col min="4361" max="4361" width="8.5703125" style="1" customWidth="1"/>
    <col min="4362" max="4362" width="5.5703125" style="1" customWidth="1"/>
    <col min="4363" max="4364" width="11.5703125" style="1" customWidth="1"/>
    <col min="4365" max="4365" width="10.85546875" style="1" customWidth="1"/>
    <col min="4366" max="4366" width="7.7109375" style="1" customWidth="1"/>
    <col min="4367" max="4367" width="8" style="1" customWidth="1"/>
    <col min="4368" max="4368" width="16.28515625" style="1" customWidth="1"/>
    <col min="4369" max="4369" width="10.5703125" style="1" customWidth="1"/>
    <col min="4370" max="4370" width="14.140625" style="1" customWidth="1"/>
    <col min="4371" max="4371" width="10.140625" style="1" customWidth="1"/>
    <col min="4372" max="4372" width="15.140625" style="1" customWidth="1"/>
    <col min="4373" max="4373" width="8.5703125" style="1" customWidth="1"/>
    <col min="4374" max="4374" width="14.28515625" style="1" customWidth="1"/>
    <col min="4375" max="4375" width="18.28515625" style="1" customWidth="1"/>
    <col min="4376" max="4376" width="13" style="1" bestFit="1" customWidth="1"/>
    <col min="4377" max="4377" width="11.7109375" style="1" bestFit="1" customWidth="1"/>
    <col min="4378" max="4384" width="9.140625" style="1"/>
    <col min="4385" max="4385" width="11.28515625" style="1" bestFit="1" customWidth="1"/>
    <col min="4386" max="4386" width="10.7109375" style="1" bestFit="1" customWidth="1"/>
    <col min="4387" max="4608" width="9.140625" style="1"/>
    <col min="4609" max="4609" width="6.42578125" style="1" customWidth="1"/>
    <col min="4610" max="4610" width="20.7109375" style="1" customWidth="1"/>
    <col min="4611" max="4611" width="24.7109375" style="1" customWidth="1"/>
    <col min="4612" max="4612" width="11.140625" style="1" customWidth="1"/>
    <col min="4613" max="4613" width="12.28515625" style="1" customWidth="1"/>
    <col min="4614" max="4614" width="11.140625" style="1" customWidth="1"/>
    <col min="4615" max="4615" width="10.42578125" style="1" customWidth="1"/>
    <col min="4616" max="4616" width="4.7109375" style="1" customWidth="1"/>
    <col min="4617" max="4617" width="8.5703125" style="1" customWidth="1"/>
    <col min="4618" max="4618" width="5.5703125" style="1" customWidth="1"/>
    <col min="4619" max="4620" width="11.5703125" style="1" customWidth="1"/>
    <col min="4621" max="4621" width="10.85546875" style="1" customWidth="1"/>
    <col min="4622" max="4622" width="7.7109375" style="1" customWidth="1"/>
    <col min="4623" max="4623" width="8" style="1" customWidth="1"/>
    <col min="4624" max="4624" width="16.28515625" style="1" customWidth="1"/>
    <col min="4625" max="4625" width="10.5703125" style="1" customWidth="1"/>
    <col min="4626" max="4626" width="14.140625" style="1" customWidth="1"/>
    <col min="4627" max="4627" width="10.140625" style="1" customWidth="1"/>
    <col min="4628" max="4628" width="15.140625" style="1" customWidth="1"/>
    <col min="4629" max="4629" width="8.5703125" style="1" customWidth="1"/>
    <col min="4630" max="4630" width="14.28515625" style="1" customWidth="1"/>
    <col min="4631" max="4631" width="18.28515625" style="1" customWidth="1"/>
    <col min="4632" max="4632" width="13" style="1" bestFit="1" customWidth="1"/>
    <col min="4633" max="4633" width="11.7109375" style="1" bestFit="1" customWidth="1"/>
    <col min="4634" max="4640" width="9.140625" style="1"/>
    <col min="4641" max="4641" width="11.28515625" style="1" bestFit="1" customWidth="1"/>
    <col min="4642" max="4642" width="10.7109375" style="1" bestFit="1" customWidth="1"/>
    <col min="4643" max="4864" width="9.140625" style="1"/>
    <col min="4865" max="4865" width="6.42578125" style="1" customWidth="1"/>
    <col min="4866" max="4866" width="20.7109375" style="1" customWidth="1"/>
    <col min="4867" max="4867" width="24.7109375" style="1" customWidth="1"/>
    <col min="4868" max="4868" width="11.140625" style="1" customWidth="1"/>
    <col min="4869" max="4869" width="12.28515625" style="1" customWidth="1"/>
    <col min="4870" max="4870" width="11.140625" style="1" customWidth="1"/>
    <col min="4871" max="4871" width="10.42578125" style="1" customWidth="1"/>
    <col min="4872" max="4872" width="4.7109375" style="1" customWidth="1"/>
    <col min="4873" max="4873" width="8.5703125" style="1" customWidth="1"/>
    <col min="4874" max="4874" width="5.5703125" style="1" customWidth="1"/>
    <col min="4875" max="4876" width="11.5703125" style="1" customWidth="1"/>
    <col min="4877" max="4877" width="10.85546875" style="1" customWidth="1"/>
    <col min="4878" max="4878" width="7.7109375" style="1" customWidth="1"/>
    <col min="4879" max="4879" width="8" style="1" customWidth="1"/>
    <col min="4880" max="4880" width="16.28515625" style="1" customWidth="1"/>
    <col min="4881" max="4881" width="10.5703125" style="1" customWidth="1"/>
    <col min="4882" max="4882" width="14.140625" style="1" customWidth="1"/>
    <col min="4883" max="4883" width="10.140625" style="1" customWidth="1"/>
    <col min="4884" max="4884" width="15.140625" style="1" customWidth="1"/>
    <col min="4885" max="4885" width="8.5703125" style="1" customWidth="1"/>
    <col min="4886" max="4886" width="14.28515625" style="1" customWidth="1"/>
    <col min="4887" max="4887" width="18.28515625" style="1" customWidth="1"/>
    <col min="4888" max="4888" width="13" style="1" bestFit="1" customWidth="1"/>
    <col min="4889" max="4889" width="11.7109375" style="1" bestFit="1" customWidth="1"/>
    <col min="4890" max="4896" width="9.140625" style="1"/>
    <col min="4897" max="4897" width="11.28515625" style="1" bestFit="1" customWidth="1"/>
    <col min="4898" max="4898" width="10.7109375" style="1" bestFit="1" customWidth="1"/>
    <col min="4899" max="5120" width="9.140625" style="1"/>
    <col min="5121" max="5121" width="6.42578125" style="1" customWidth="1"/>
    <col min="5122" max="5122" width="20.7109375" style="1" customWidth="1"/>
    <col min="5123" max="5123" width="24.7109375" style="1" customWidth="1"/>
    <col min="5124" max="5124" width="11.140625" style="1" customWidth="1"/>
    <col min="5125" max="5125" width="12.28515625" style="1" customWidth="1"/>
    <col min="5126" max="5126" width="11.140625" style="1" customWidth="1"/>
    <col min="5127" max="5127" width="10.42578125" style="1" customWidth="1"/>
    <col min="5128" max="5128" width="4.7109375" style="1" customWidth="1"/>
    <col min="5129" max="5129" width="8.5703125" style="1" customWidth="1"/>
    <col min="5130" max="5130" width="5.5703125" style="1" customWidth="1"/>
    <col min="5131" max="5132" width="11.5703125" style="1" customWidth="1"/>
    <col min="5133" max="5133" width="10.85546875" style="1" customWidth="1"/>
    <col min="5134" max="5134" width="7.7109375" style="1" customWidth="1"/>
    <col min="5135" max="5135" width="8" style="1" customWidth="1"/>
    <col min="5136" max="5136" width="16.28515625" style="1" customWidth="1"/>
    <col min="5137" max="5137" width="10.5703125" style="1" customWidth="1"/>
    <col min="5138" max="5138" width="14.140625" style="1" customWidth="1"/>
    <col min="5139" max="5139" width="10.140625" style="1" customWidth="1"/>
    <col min="5140" max="5140" width="15.140625" style="1" customWidth="1"/>
    <col min="5141" max="5141" width="8.5703125" style="1" customWidth="1"/>
    <col min="5142" max="5142" width="14.28515625" style="1" customWidth="1"/>
    <col min="5143" max="5143" width="18.28515625" style="1" customWidth="1"/>
    <col min="5144" max="5144" width="13" style="1" bestFit="1" customWidth="1"/>
    <col min="5145" max="5145" width="11.7109375" style="1" bestFit="1" customWidth="1"/>
    <col min="5146" max="5152" width="9.140625" style="1"/>
    <col min="5153" max="5153" width="11.28515625" style="1" bestFit="1" customWidth="1"/>
    <col min="5154" max="5154" width="10.7109375" style="1" bestFit="1" customWidth="1"/>
    <col min="5155" max="5376" width="9.140625" style="1"/>
    <col min="5377" max="5377" width="6.42578125" style="1" customWidth="1"/>
    <col min="5378" max="5378" width="20.7109375" style="1" customWidth="1"/>
    <col min="5379" max="5379" width="24.7109375" style="1" customWidth="1"/>
    <col min="5380" max="5380" width="11.140625" style="1" customWidth="1"/>
    <col min="5381" max="5381" width="12.28515625" style="1" customWidth="1"/>
    <col min="5382" max="5382" width="11.140625" style="1" customWidth="1"/>
    <col min="5383" max="5383" width="10.42578125" style="1" customWidth="1"/>
    <col min="5384" max="5384" width="4.7109375" style="1" customWidth="1"/>
    <col min="5385" max="5385" width="8.5703125" style="1" customWidth="1"/>
    <col min="5386" max="5386" width="5.5703125" style="1" customWidth="1"/>
    <col min="5387" max="5388" width="11.5703125" style="1" customWidth="1"/>
    <col min="5389" max="5389" width="10.85546875" style="1" customWidth="1"/>
    <col min="5390" max="5390" width="7.7109375" style="1" customWidth="1"/>
    <col min="5391" max="5391" width="8" style="1" customWidth="1"/>
    <col min="5392" max="5392" width="16.28515625" style="1" customWidth="1"/>
    <col min="5393" max="5393" width="10.5703125" style="1" customWidth="1"/>
    <col min="5394" max="5394" width="14.140625" style="1" customWidth="1"/>
    <col min="5395" max="5395" width="10.140625" style="1" customWidth="1"/>
    <col min="5396" max="5396" width="15.140625" style="1" customWidth="1"/>
    <col min="5397" max="5397" width="8.5703125" style="1" customWidth="1"/>
    <col min="5398" max="5398" width="14.28515625" style="1" customWidth="1"/>
    <col min="5399" max="5399" width="18.28515625" style="1" customWidth="1"/>
    <col min="5400" max="5400" width="13" style="1" bestFit="1" customWidth="1"/>
    <col min="5401" max="5401" width="11.7109375" style="1" bestFit="1" customWidth="1"/>
    <col min="5402" max="5408" width="9.140625" style="1"/>
    <col min="5409" max="5409" width="11.28515625" style="1" bestFit="1" customWidth="1"/>
    <col min="5410" max="5410" width="10.7109375" style="1" bestFit="1" customWidth="1"/>
    <col min="5411" max="5632" width="9.140625" style="1"/>
    <col min="5633" max="5633" width="6.42578125" style="1" customWidth="1"/>
    <col min="5634" max="5634" width="20.7109375" style="1" customWidth="1"/>
    <col min="5635" max="5635" width="24.7109375" style="1" customWidth="1"/>
    <col min="5636" max="5636" width="11.140625" style="1" customWidth="1"/>
    <col min="5637" max="5637" width="12.28515625" style="1" customWidth="1"/>
    <col min="5638" max="5638" width="11.140625" style="1" customWidth="1"/>
    <col min="5639" max="5639" width="10.42578125" style="1" customWidth="1"/>
    <col min="5640" max="5640" width="4.7109375" style="1" customWidth="1"/>
    <col min="5641" max="5641" width="8.5703125" style="1" customWidth="1"/>
    <col min="5642" max="5642" width="5.5703125" style="1" customWidth="1"/>
    <col min="5643" max="5644" width="11.5703125" style="1" customWidth="1"/>
    <col min="5645" max="5645" width="10.85546875" style="1" customWidth="1"/>
    <col min="5646" max="5646" width="7.7109375" style="1" customWidth="1"/>
    <col min="5647" max="5647" width="8" style="1" customWidth="1"/>
    <col min="5648" max="5648" width="16.28515625" style="1" customWidth="1"/>
    <col min="5649" max="5649" width="10.5703125" style="1" customWidth="1"/>
    <col min="5650" max="5650" width="14.140625" style="1" customWidth="1"/>
    <col min="5651" max="5651" width="10.140625" style="1" customWidth="1"/>
    <col min="5652" max="5652" width="15.140625" style="1" customWidth="1"/>
    <col min="5653" max="5653" width="8.5703125" style="1" customWidth="1"/>
    <col min="5654" max="5654" width="14.28515625" style="1" customWidth="1"/>
    <col min="5655" max="5655" width="18.28515625" style="1" customWidth="1"/>
    <col min="5656" max="5656" width="13" style="1" bestFit="1" customWidth="1"/>
    <col min="5657" max="5657" width="11.7109375" style="1" bestFit="1" customWidth="1"/>
    <col min="5658" max="5664" width="9.140625" style="1"/>
    <col min="5665" max="5665" width="11.28515625" style="1" bestFit="1" customWidth="1"/>
    <col min="5666" max="5666" width="10.7109375" style="1" bestFit="1" customWidth="1"/>
    <col min="5667" max="5888" width="9.140625" style="1"/>
    <col min="5889" max="5889" width="6.42578125" style="1" customWidth="1"/>
    <col min="5890" max="5890" width="20.7109375" style="1" customWidth="1"/>
    <col min="5891" max="5891" width="24.7109375" style="1" customWidth="1"/>
    <col min="5892" max="5892" width="11.140625" style="1" customWidth="1"/>
    <col min="5893" max="5893" width="12.28515625" style="1" customWidth="1"/>
    <col min="5894" max="5894" width="11.140625" style="1" customWidth="1"/>
    <col min="5895" max="5895" width="10.42578125" style="1" customWidth="1"/>
    <col min="5896" max="5896" width="4.7109375" style="1" customWidth="1"/>
    <col min="5897" max="5897" width="8.5703125" style="1" customWidth="1"/>
    <col min="5898" max="5898" width="5.5703125" style="1" customWidth="1"/>
    <col min="5899" max="5900" width="11.5703125" style="1" customWidth="1"/>
    <col min="5901" max="5901" width="10.85546875" style="1" customWidth="1"/>
    <col min="5902" max="5902" width="7.7109375" style="1" customWidth="1"/>
    <col min="5903" max="5903" width="8" style="1" customWidth="1"/>
    <col min="5904" max="5904" width="16.28515625" style="1" customWidth="1"/>
    <col min="5905" max="5905" width="10.5703125" style="1" customWidth="1"/>
    <col min="5906" max="5906" width="14.140625" style="1" customWidth="1"/>
    <col min="5907" max="5907" width="10.140625" style="1" customWidth="1"/>
    <col min="5908" max="5908" width="15.140625" style="1" customWidth="1"/>
    <col min="5909" max="5909" width="8.5703125" style="1" customWidth="1"/>
    <col min="5910" max="5910" width="14.28515625" style="1" customWidth="1"/>
    <col min="5911" max="5911" width="18.28515625" style="1" customWidth="1"/>
    <col min="5912" max="5912" width="13" style="1" bestFit="1" customWidth="1"/>
    <col min="5913" max="5913" width="11.7109375" style="1" bestFit="1" customWidth="1"/>
    <col min="5914" max="5920" width="9.140625" style="1"/>
    <col min="5921" max="5921" width="11.28515625" style="1" bestFit="1" customWidth="1"/>
    <col min="5922" max="5922" width="10.7109375" style="1" bestFit="1" customWidth="1"/>
    <col min="5923" max="6144" width="9.140625" style="1"/>
    <col min="6145" max="6145" width="6.42578125" style="1" customWidth="1"/>
    <col min="6146" max="6146" width="20.7109375" style="1" customWidth="1"/>
    <col min="6147" max="6147" width="24.7109375" style="1" customWidth="1"/>
    <col min="6148" max="6148" width="11.140625" style="1" customWidth="1"/>
    <col min="6149" max="6149" width="12.28515625" style="1" customWidth="1"/>
    <col min="6150" max="6150" width="11.140625" style="1" customWidth="1"/>
    <col min="6151" max="6151" width="10.42578125" style="1" customWidth="1"/>
    <col min="6152" max="6152" width="4.7109375" style="1" customWidth="1"/>
    <col min="6153" max="6153" width="8.5703125" style="1" customWidth="1"/>
    <col min="6154" max="6154" width="5.5703125" style="1" customWidth="1"/>
    <col min="6155" max="6156" width="11.5703125" style="1" customWidth="1"/>
    <col min="6157" max="6157" width="10.85546875" style="1" customWidth="1"/>
    <col min="6158" max="6158" width="7.7109375" style="1" customWidth="1"/>
    <col min="6159" max="6159" width="8" style="1" customWidth="1"/>
    <col min="6160" max="6160" width="16.28515625" style="1" customWidth="1"/>
    <col min="6161" max="6161" width="10.5703125" style="1" customWidth="1"/>
    <col min="6162" max="6162" width="14.140625" style="1" customWidth="1"/>
    <col min="6163" max="6163" width="10.140625" style="1" customWidth="1"/>
    <col min="6164" max="6164" width="15.140625" style="1" customWidth="1"/>
    <col min="6165" max="6165" width="8.5703125" style="1" customWidth="1"/>
    <col min="6166" max="6166" width="14.28515625" style="1" customWidth="1"/>
    <col min="6167" max="6167" width="18.28515625" style="1" customWidth="1"/>
    <col min="6168" max="6168" width="13" style="1" bestFit="1" customWidth="1"/>
    <col min="6169" max="6169" width="11.7109375" style="1" bestFit="1" customWidth="1"/>
    <col min="6170" max="6176" width="9.140625" style="1"/>
    <col min="6177" max="6177" width="11.28515625" style="1" bestFit="1" customWidth="1"/>
    <col min="6178" max="6178" width="10.7109375" style="1" bestFit="1" customWidth="1"/>
    <col min="6179" max="6400" width="9.140625" style="1"/>
    <col min="6401" max="6401" width="6.42578125" style="1" customWidth="1"/>
    <col min="6402" max="6402" width="20.7109375" style="1" customWidth="1"/>
    <col min="6403" max="6403" width="24.7109375" style="1" customWidth="1"/>
    <col min="6404" max="6404" width="11.140625" style="1" customWidth="1"/>
    <col min="6405" max="6405" width="12.28515625" style="1" customWidth="1"/>
    <col min="6406" max="6406" width="11.140625" style="1" customWidth="1"/>
    <col min="6407" max="6407" width="10.42578125" style="1" customWidth="1"/>
    <col min="6408" max="6408" width="4.7109375" style="1" customWidth="1"/>
    <col min="6409" max="6409" width="8.5703125" style="1" customWidth="1"/>
    <col min="6410" max="6410" width="5.5703125" style="1" customWidth="1"/>
    <col min="6411" max="6412" width="11.5703125" style="1" customWidth="1"/>
    <col min="6413" max="6413" width="10.85546875" style="1" customWidth="1"/>
    <col min="6414" max="6414" width="7.7109375" style="1" customWidth="1"/>
    <col min="6415" max="6415" width="8" style="1" customWidth="1"/>
    <col min="6416" max="6416" width="16.28515625" style="1" customWidth="1"/>
    <col min="6417" max="6417" width="10.5703125" style="1" customWidth="1"/>
    <col min="6418" max="6418" width="14.140625" style="1" customWidth="1"/>
    <col min="6419" max="6419" width="10.140625" style="1" customWidth="1"/>
    <col min="6420" max="6420" width="15.140625" style="1" customWidth="1"/>
    <col min="6421" max="6421" width="8.5703125" style="1" customWidth="1"/>
    <col min="6422" max="6422" width="14.28515625" style="1" customWidth="1"/>
    <col min="6423" max="6423" width="18.28515625" style="1" customWidth="1"/>
    <col min="6424" max="6424" width="13" style="1" bestFit="1" customWidth="1"/>
    <col min="6425" max="6425" width="11.7109375" style="1" bestFit="1" customWidth="1"/>
    <col min="6426" max="6432" width="9.140625" style="1"/>
    <col min="6433" max="6433" width="11.28515625" style="1" bestFit="1" customWidth="1"/>
    <col min="6434" max="6434" width="10.7109375" style="1" bestFit="1" customWidth="1"/>
    <col min="6435" max="6656" width="9.140625" style="1"/>
    <col min="6657" max="6657" width="6.42578125" style="1" customWidth="1"/>
    <col min="6658" max="6658" width="20.7109375" style="1" customWidth="1"/>
    <col min="6659" max="6659" width="24.7109375" style="1" customWidth="1"/>
    <col min="6660" max="6660" width="11.140625" style="1" customWidth="1"/>
    <col min="6661" max="6661" width="12.28515625" style="1" customWidth="1"/>
    <col min="6662" max="6662" width="11.140625" style="1" customWidth="1"/>
    <col min="6663" max="6663" width="10.42578125" style="1" customWidth="1"/>
    <col min="6664" max="6664" width="4.7109375" style="1" customWidth="1"/>
    <col min="6665" max="6665" width="8.5703125" style="1" customWidth="1"/>
    <col min="6666" max="6666" width="5.5703125" style="1" customWidth="1"/>
    <col min="6667" max="6668" width="11.5703125" style="1" customWidth="1"/>
    <col min="6669" max="6669" width="10.85546875" style="1" customWidth="1"/>
    <col min="6670" max="6670" width="7.7109375" style="1" customWidth="1"/>
    <col min="6671" max="6671" width="8" style="1" customWidth="1"/>
    <col min="6672" max="6672" width="16.28515625" style="1" customWidth="1"/>
    <col min="6673" max="6673" width="10.5703125" style="1" customWidth="1"/>
    <col min="6674" max="6674" width="14.140625" style="1" customWidth="1"/>
    <col min="6675" max="6675" width="10.140625" style="1" customWidth="1"/>
    <col min="6676" max="6676" width="15.140625" style="1" customWidth="1"/>
    <col min="6677" max="6677" width="8.5703125" style="1" customWidth="1"/>
    <col min="6678" max="6678" width="14.28515625" style="1" customWidth="1"/>
    <col min="6679" max="6679" width="18.28515625" style="1" customWidth="1"/>
    <col min="6680" max="6680" width="13" style="1" bestFit="1" customWidth="1"/>
    <col min="6681" max="6681" width="11.7109375" style="1" bestFit="1" customWidth="1"/>
    <col min="6682" max="6688" width="9.140625" style="1"/>
    <col min="6689" max="6689" width="11.28515625" style="1" bestFit="1" customWidth="1"/>
    <col min="6690" max="6690" width="10.7109375" style="1" bestFit="1" customWidth="1"/>
    <col min="6691" max="6912" width="9.140625" style="1"/>
    <col min="6913" max="6913" width="6.42578125" style="1" customWidth="1"/>
    <col min="6914" max="6914" width="20.7109375" style="1" customWidth="1"/>
    <col min="6915" max="6915" width="24.7109375" style="1" customWidth="1"/>
    <col min="6916" max="6916" width="11.140625" style="1" customWidth="1"/>
    <col min="6917" max="6917" width="12.28515625" style="1" customWidth="1"/>
    <col min="6918" max="6918" width="11.140625" style="1" customWidth="1"/>
    <col min="6919" max="6919" width="10.42578125" style="1" customWidth="1"/>
    <col min="6920" max="6920" width="4.7109375" style="1" customWidth="1"/>
    <col min="6921" max="6921" width="8.5703125" style="1" customWidth="1"/>
    <col min="6922" max="6922" width="5.5703125" style="1" customWidth="1"/>
    <col min="6923" max="6924" width="11.5703125" style="1" customWidth="1"/>
    <col min="6925" max="6925" width="10.85546875" style="1" customWidth="1"/>
    <col min="6926" max="6926" width="7.7109375" style="1" customWidth="1"/>
    <col min="6927" max="6927" width="8" style="1" customWidth="1"/>
    <col min="6928" max="6928" width="16.28515625" style="1" customWidth="1"/>
    <col min="6929" max="6929" width="10.5703125" style="1" customWidth="1"/>
    <col min="6930" max="6930" width="14.140625" style="1" customWidth="1"/>
    <col min="6931" max="6931" width="10.140625" style="1" customWidth="1"/>
    <col min="6932" max="6932" width="15.140625" style="1" customWidth="1"/>
    <col min="6933" max="6933" width="8.5703125" style="1" customWidth="1"/>
    <col min="6934" max="6934" width="14.28515625" style="1" customWidth="1"/>
    <col min="6935" max="6935" width="18.28515625" style="1" customWidth="1"/>
    <col min="6936" max="6936" width="13" style="1" bestFit="1" customWidth="1"/>
    <col min="6937" max="6937" width="11.7109375" style="1" bestFit="1" customWidth="1"/>
    <col min="6938" max="6944" width="9.140625" style="1"/>
    <col min="6945" max="6945" width="11.28515625" style="1" bestFit="1" customWidth="1"/>
    <col min="6946" max="6946" width="10.7109375" style="1" bestFit="1" customWidth="1"/>
    <col min="6947" max="7168" width="9.140625" style="1"/>
    <col min="7169" max="7169" width="6.42578125" style="1" customWidth="1"/>
    <col min="7170" max="7170" width="20.7109375" style="1" customWidth="1"/>
    <col min="7171" max="7171" width="24.7109375" style="1" customWidth="1"/>
    <col min="7172" max="7172" width="11.140625" style="1" customWidth="1"/>
    <col min="7173" max="7173" width="12.28515625" style="1" customWidth="1"/>
    <col min="7174" max="7174" width="11.140625" style="1" customWidth="1"/>
    <col min="7175" max="7175" width="10.42578125" style="1" customWidth="1"/>
    <col min="7176" max="7176" width="4.7109375" style="1" customWidth="1"/>
    <col min="7177" max="7177" width="8.5703125" style="1" customWidth="1"/>
    <col min="7178" max="7178" width="5.5703125" style="1" customWidth="1"/>
    <col min="7179" max="7180" width="11.5703125" style="1" customWidth="1"/>
    <col min="7181" max="7181" width="10.85546875" style="1" customWidth="1"/>
    <col min="7182" max="7182" width="7.7109375" style="1" customWidth="1"/>
    <col min="7183" max="7183" width="8" style="1" customWidth="1"/>
    <col min="7184" max="7184" width="16.28515625" style="1" customWidth="1"/>
    <col min="7185" max="7185" width="10.5703125" style="1" customWidth="1"/>
    <col min="7186" max="7186" width="14.140625" style="1" customWidth="1"/>
    <col min="7187" max="7187" width="10.140625" style="1" customWidth="1"/>
    <col min="7188" max="7188" width="15.140625" style="1" customWidth="1"/>
    <col min="7189" max="7189" width="8.5703125" style="1" customWidth="1"/>
    <col min="7190" max="7190" width="14.28515625" style="1" customWidth="1"/>
    <col min="7191" max="7191" width="18.28515625" style="1" customWidth="1"/>
    <col min="7192" max="7192" width="13" style="1" bestFit="1" customWidth="1"/>
    <col min="7193" max="7193" width="11.7109375" style="1" bestFit="1" customWidth="1"/>
    <col min="7194" max="7200" width="9.140625" style="1"/>
    <col min="7201" max="7201" width="11.28515625" style="1" bestFit="1" customWidth="1"/>
    <col min="7202" max="7202" width="10.7109375" style="1" bestFit="1" customWidth="1"/>
    <col min="7203" max="7424" width="9.140625" style="1"/>
    <col min="7425" max="7425" width="6.42578125" style="1" customWidth="1"/>
    <col min="7426" max="7426" width="20.7109375" style="1" customWidth="1"/>
    <col min="7427" max="7427" width="24.7109375" style="1" customWidth="1"/>
    <col min="7428" max="7428" width="11.140625" style="1" customWidth="1"/>
    <col min="7429" max="7429" width="12.28515625" style="1" customWidth="1"/>
    <col min="7430" max="7430" width="11.140625" style="1" customWidth="1"/>
    <col min="7431" max="7431" width="10.42578125" style="1" customWidth="1"/>
    <col min="7432" max="7432" width="4.7109375" style="1" customWidth="1"/>
    <col min="7433" max="7433" width="8.5703125" style="1" customWidth="1"/>
    <col min="7434" max="7434" width="5.5703125" style="1" customWidth="1"/>
    <col min="7435" max="7436" width="11.5703125" style="1" customWidth="1"/>
    <col min="7437" max="7437" width="10.85546875" style="1" customWidth="1"/>
    <col min="7438" max="7438" width="7.7109375" style="1" customWidth="1"/>
    <col min="7439" max="7439" width="8" style="1" customWidth="1"/>
    <col min="7440" max="7440" width="16.28515625" style="1" customWidth="1"/>
    <col min="7441" max="7441" width="10.5703125" style="1" customWidth="1"/>
    <col min="7442" max="7442" width="14.140625" style="1" customWidth="1"/>
    <col min="7443" max="7443" width="10.140625" style="1" customWidth="1"/>
    <col min="7444" max="7444" width="15.140625" style="1" customWidth="1"/>
    <col min="7445" max="7445" width="8.5703125" style="1" customWidth="1"/>
    <col min="7446" max="7446" width="14.28515625" style="1" customWidth="1"/>
    <col min="7447" max="7447" width="18.28515625" style="1" customWidth="1"/>
    <col min="7448" max="7448" width="13" style="1" bestFit="1" customWidth="1"/>
    <col min="7449" max="7449" width="11.7109375" style="1" bestFit="1" customWidth="1"/>
    <col min="7450" max="7456" width="9.140625" style="1"/>
    <col min="7457" max="7457" width="11.28515625" style="1" bestFit="1" customWidth="1"/>
    <col min="7458" max="7458" width="10.7109375" style="1" bestFit="1" customWidth="1"/>
    <col min="7459" max="7680" width="9.140625" style="1"/>
    <col min="7681" max="7681" width="6.42578125" style="1" customWidth="1"/>
    <col min="7682" max="7682" width="20.7109375" style="1" customWidth="1"/>
    <col min="7683" max="7683" width="24.7109375" style="1" customWidth="1"/>
    <col min="7684" max="7684" width="11.140625" style="1" customWidth="1"/>
    <col min="7685" max="7685" width="12.28515625" style="1" customWidth="1"/>
    <col min="7686" max="7686" width="11.140625" style="1" customWidth="1"/>
    <col min="7687" max="7687" width="10.42578125" style="1" customWidth="1"/>
    <col min="7688" max="7688" width="4.7109375" style="1" customWidth="1"/>
    <col min="7689" max="7689" width="8.5703125" style="1" customWidth="1"/>
    <col min="7690" max="7690" width="5.5703125" style="1" customWidth="1"/>
    <col min="7691" max="7692" width="11.5703125" style="1" customWidth="1"/>
    <col min="7693" max="7693" width="10.85546875" style="1" customWidth="1"/>
    <col min="7694" max="7694" width="7.7109375" style="1" customWidth="1"/>
    <col min="7695" max="7695" width="8" style="1" customWidth="1"/>
    <col min="7696" max="7696" width="16.28515625" style="1" customWidth="1"/>
    <col min="7697" max="7697" width="10.5703125" style="1" customWidth="1"/>
    <col min="7698" max="7698" width="14.140625" style="1" customWidth="1"/>
    <col min="7699" max="7699" width="10.140625" style="1" customWidth="1"/>
    <col min="7700" max="7700" width="15.140625" style="1" customWidth="1"/>
    <col min="7701" max="7701" width="8.5703125" style="1" customWidth="1"/>
    <col min="7702" max="7702" width="14.28515625" style="1" customWidth="1"/>
    <col min="7703" max="7703" width="18.28515625" style="1" customWidth="1"/>
    <col min="7704" max="7704" width="13" style="1" bestFit="1" customWidth="1"/>
    <col min="7705" max="7705" width="11.7109375" style="1" bestFit="1" customWidth="1"/>
    <col min="7706" max="7712" width="9.140625" style="1"/>
    <col min="7713" max="7713" width="11.28515625" style="1" bestFit="1" customWidth="1"/>
    <col min="7714" max="7714" width="10.7109375" style="1" bestFit="1" customWidth="1"/>
    <col min="7715" max="7936" width="9.140625" style="1"/>
    <col min="7937" max="7937" width="6.42578125" style="1" customWidth="1"/>
    <col min="7938" max="7938" width="20.7109375" style="1" customWidth="1"/>
    <col min="7939" max="7939" width="24.7109375" style="1" customWidth="1"/>
    <col min="7940" max="7940" width="11.140625" style="1" customWidth="1"/>
    <col min="7941" max="7941" width="12.28515625" style="1" customWidth="1"/>
    <col min="7942" max="7942" width="11.140625" style="1" customWidth="1"/>
    <col min="7943" max="7943" width="10.42578125" style="1" customWidth="1"/>
    <col min="7944" max="7944" width="4.7109375" style="1" customWidth="1"/>
    <col min="7945" max="7945" width="8.5703125" style="1" customWidth="1"/>
    <col min="7946" max="7946" width="5.5703125" style="1" customWidth="1"/>
    <col min="7947" max="7948" width="11.5703125" style="1" customWidth="1"/>
    <col min="7949" max="7949" width="10.85546875" style="1" customWidth="1"/>
    <col min="7950" max="7950" width="7.7109375" style="1" customWidth="1"/>
    <col min="7951" max="7951" width="8" style="1" customWidth="1"/>
    <col min="7952" max="7952" width="16.28515625" style="1" customWidth="1"/>
    <col min="7953" max="7953" width="10.5703125" style="1" customWidth="1"/>
    <col min="7954" max="7954" width="14.140625" style="1" customWidth="1"/>
    <col min="7955" max="7955" width="10.140625" style="1" customWidth="1"/>
    <col min="7956" max="7956" width="15.140625" style="1" customWidth="1"/>
    <col min="7957" max="7957" width="8.5703125" style="1" customWidth="1"/>
    <col min="7958" max="7958" width="14.28515625" style="1" customWidth="1"/>
    <col min="7959" max="7959" width="18.28515625" style="1" customWidth="1"/>
    <col min="7960" max="7960" width="13" style="1" bestFit="1" customWidth="1"/>
    <col min="7961" max="7961" width="11.7109375" style="1" bestFit="1" customWidth="1"/>
    <col min="7962" max="7968" width="9.140625" style="1"/>
    <col min="7969" max="7969" width="11.28515625" style="1" bestFit="1" customWidth="1"/>
    <col min="7970" max="7970" width="10.7109375" style="1" bestFit="1" customWidth="1"/>
    <col min="7971" max="8192" width="9.140625" style="1"/>
    <col min="8193" max="8193" width="6.42578125" style="1" customWidth="1"/>
    <col min="8194" max="8194" width="20.7109375" style="1" customWidth="1"/>
    <col min="8195" max="8195" width="24.7109375" style="1" customWidth="1"/>
    <col min="8196" max="8196" width="11.140625" style="1" customWidth="1"/>
    <col min="8197" max="8197" width="12.28515625" style="1" customWidth="1"/>
    <col min="8198" max="8198" width="11.140625" style="1" customWidth="1"/>
    <col min="8199" max="8199" width="10.42578125" style="1" customWidth="1"/>
    <col min="8200" max="8200" width="4.7109375" style="1" customWidth="1"/>
    <col min="8201" max="8201" width="8.5703125" style="1" customWidth="1"/>
    <col min="8202" max="8202" width="5.5703125" style="1" customWidth="1"/>
    <col min="8203" max="8204" width="11.5703125" style="1" customWidth="1"/>
    <col min="8205" max="8205" width="10.85546875" style="1" customWidth="1"/>
    <col min="8206" max="8206" width="7.7109375" style="1" customWidth="1"/>
    <col min="8207" max="8207" width="8" style="1" customWidth="1"/>
    <col min="8208" max="8208" width="16.28515625" style="1" customWidth="1"/>
    <col min="8209" max="8209" width="10.5703125" style="1" customWidth="1"/>
    <col min="8210" max="8210" width="14.140625" style="1" customWidth="1"/>
    <col min="8211" max="8211" width="10.140625" style="1" customWidth="1"/>
    <col min="8212" max="8212" width="15.140625" style="1" customWidth="1"/>
    <col min="8213" max="8213" width="8.5703125" style="1" customWidth="1"/>
    <col min="8214" max="8214" width="14.28515625" style="1" customWidth="1"/>
    <col min="8215" max="8215" width="18.28515625" style="1" customWidth="1"/>
    <col min="8216" max="8216" width="13" style="1" bestFit="1" customWidth="1"/>
    <col min="8217" max="8217" width="11.7109375" style="1" bestFit="1" customWidth="1"/>
    <col min="8218" max="8224" width="9.140625" style="1"/>
    <col min="8225" max="8225" width="11.28515625" style="1" bestFit="1" customWidth="1"/>
    <col min="8226" max="8226" width="10.7109375" style="1" bestFit="1" customWidth="1"/>
    <col min="8227" max="8448" width="9.140625" style="1"/>
    <col min="8449" max="8449" width="6.42578125" style="1" customWidth="1"/>
    <col min="8450" max="8450" width="20.7109375" style="1" customWidth="1"/>
    <col min="8451" max="8451" width="24.7109375" style="1" customWidth="1"/>
    <col min="8452" max="8452" width="11.140625" style="1" customWidth="1"/>
    <col min="8453" max="8453" width="12.28515625" style="1" customWidth="1"/>
    <col min="8454" max="8454" width="11.140625" style="1" customWidth="1"/>
    <col min="8455" max="8455" width="10.42578125" style="1" customWidth="1"/>
    <col min="8456" max="8456" width="4.7109375" style="1" customWidth="1"/>
    <col min="8457" max="8457" width="8.5703125" style="1" customWidth="1"/>
    <col min="8458" max="8458" width="5.5703125" style="1" customWidth="1"/>
    <col min="8459" max="8460" width="11.5703125" style="1" customWidth="1"/>
    <col min="8461" max="8461" width="10.85546875" style="1" customWidth="1"/>
    <col min="8462" max="8462" width="7.7109375" style="1" customWidth="1"/>
    <col min="8463" max="8463" width="8" style="1" customWidth="1"/>
    <col min="8464" max="8464" width="16.28515625" style="1" customWidth="1"/>
    <col min="8465" max="8465" width="10.5703125" style="1" customWidth="1"/>
    <col min="8466" max="8466" width="14.140625" style="1" customWidth="1"/>
    <col min="8467" max="8467" width="10.140625" style="1" customWidth="1"/>
    <col min="8468" max="8468" width="15.140625" style="1" customWidth="1"/>
    <col min="8469" max="8469" width="8.5703125" style="1" customWidth="1"/>
    <col min="8470" max="8470" width="14.28515625" style="1" customWidth="1"/>
    <col min="8471" max="8471" width="18.28515625" style="1" customWidth="1"/>
    <col min="8472" max="8472" width="13" style="1" bestFit="1" customWidth="1"/>
    <col min="8473" max="8473" width="11.7109375" style="1" bestFit="1" customWidth="1"/>
    <col min="8474" max="8480" width="9.140625" style="1"/>
    <col min="8481" max="8481" width="11.28515625" style="1" bestFit="1" customWidth="1"/>
    <col min="8482" max="8482" width="10.7109375" style="1" bestFit="1" customWidth="1"/>
    <col min="8483" max="8704" width="9.140625" style="1"/>
    <col min="8705" max="8705" width="6.42578125" style="1" customWidth="1"/>
    <col min="8706" max="8706" width="20.7109375" style="1" customWidth="1"/>
    <col min="8707" max="8707" width="24.7109375" style="1" customWidth="1"/>
    <col min="8708" max="8708" width="11.140625" style="1" customWidth="1"/>
    <col min="8709" max="8709" width="12.28515625" style="1" customWidth="1"/>
    <col min="8710" max="8710" width="11.140625" style="1" customWidth="1"/>
    <col min="8711" max="8711" width="10.42578125" style="1" customWidth="1"/>
    <col min="8712" max="8712" width="4.7109375" style="1" customWidth="1"/>
    <col min="8713" max="8713" width="8.5703125" style="1" customWidth="1"/>
    <col min="8714" max="8714" width="5.5703125" style="1" customWidth="1"/>
    <col min="8715" max="8716" width="11.5703125" style="1" customWidth="1"/>
    <col min="8717" max="8717" width="10.85546875" style="1" customWidth="1"/>
    <col min="8718" max="8718" width="7.7109375" style="1" customWidth="1"/>
    <col min="8719" max="8719" width="8" style="1" customWidth="1"/>
    <col min="8720" max="8720" width="16.28515625" style="1" customWidth="1"/>
    <col min="8721" max="8721" width="10.5703125" style="1" customWidth="1"/>
    <col min="8722" max="8722" width="14.140625" style="1" customWidth="1"/>
    <col min="8723" max="8723" width="10.140625" style="1" customWidth="1"/>
    <col min="8724" max="8724" width="15.140625" style="1" customWidth="1"/>
    <col min="8725" max="8725" width="8.5703125" style="1" customWidth="1"/>
    <col min="8726" max="8726" width="14.28515625" style="1" customWidth="1"/>
    <col min="8727" max="8727" width="18.28515625" style="1" customWidth="1"/>
    <col min="8728" max="8728" width="13" style="1" bestFit="1" customWidth="1"/>
    <col min="8729" max="8729" width="11.7109375" style="1" bestFit="1" customWidth="1"/>
    <col min="8730" max="8736" width="9.140625" style="1"/>
    <col min="8737" max="8737" width="11.28515625" style="1" bestFit="1" customWidth="1"/>
    <col min="8738" max="8738" width="10.7109375" style="1" bestFit="1" customWidth="1"/>
    <col min="8739" max="8960" width="9.140625" style="1"/>
    <col min="8961" max="8961" width="6.42578125" style="1" customWidth="1"/>
    <col min="8962" max="8962" width="20.7109375" style="1" customWidth="1"/>
    <col min="8963" max="8963" width="24.7109375" style="1" customWidth="1"/>
    <col min="8964" max="8964" width="11.140625" style="1" customWidth="1"/>
    <col min="8965" max="8965" width="12.28515625" style="1" customWidth="1"/>
    <col min="8966" max="8966" width="11.140625" style="1" customWidth="1"/>
    <col min="8967" max="8967" width="10.42578125" style="1" customWidth="1"/>
    <col min="8968" max="8968" width="4.7109375" style="1" customWidth="1"/>
    <col min="8969" max="8969" width="8.5703125" style="1" customWidth="1"/>
    <col min="8970" max="8970" width="5.5703125" style="1" customWidth="1"/>
    <col min="8971" max="8972" width="11.5703125" style="1" customWidth="1"/>
    <col min="8973" max="8973" width="10.85546875" style="1" customWidth="1"/>
    <col min="8974" max="8974" width="7.7109375" style="1" customWidth="1"/>
    <col min="8975" max="8975" width="8" style="1" customWidth="1"/>
    <col min="8976" max="8976" width="16.28515625" style="1" customWidth="1"/>
    <col min="8977" max="8977" width="10.5703125" style="1" customWidth="1"/>
    <col min="8978" max="8978" width="14.140625" style="1" customWidth="1"/>
    <col min="8979" max="8979" width="10.140625" style="1" customWidth="1"/>
    <col min="8980" max="8980" width="15.140625" style="1" customWidth="1"/>
    <col min="8981" max="8981" width="8.5703125" style="1" customWidth="1"/>
    <col min="8982" max="8982" width="14.28515625" style="1" customWidth="1"/>
    <col min="8983" max="8983" width="18.28515625" style="1" customWidth="1"/>
    <col min="8984" max="8984" width="13" style="1" bestFit="1" customWidth="1"/>
    <col min="8985" max="8985" width="11.7109375" style="1" bestFit="1" customWidth="1"/>
    <col min="8986" max="8992" width="9.140625" style="1"/>
    <col min="8993" max="8993" width="11.28515625" style="1" bestFit="1" customWidth="1"/>
    <col min="8994" max="8994" width="10.7109375" style="1" bestFit="1" customWidth="1"/>
    <col min="8995" max="9216" width="9.140625" style="1"/>
    <col min="9217" max="9217" width="6.42578125" style="1" customWidth="1"/>
    <col min="9218" max="9218" width="20.7109375" style="1" customWidth="1"/>
    <col min="9219" max="9219" width="24.7109375" style="1" customWidth="1"/>
    <col min="9220" max="9220" width="11.140625" style="1" customWidth="1"/>
    <col min="9221" max="9221" width="12.28515625" style="1" customWidth="1"/>
    <col min="9222" max="9222" width="11.140625" style="1" customWidth="1"/>
    <col min="9223" max="9223" width="10.42578125" style="1" customWidth="1"/>
    <col min="9224" max="9224" width="4.7109375" style="1" customWidth="1"/>
    <col min="9225" max="9225" width="8.5703125" style="1" customWidth="1"/>
    <col min="9226" max="9226" width="5.5703125" style="1" customWidth="1"/>
    <col min="9227" max="9228" width="11.5703125" style="1" customWidth="1"/>
    <col min="9229" max="9229" width="10.85546875" style="1" customWidth="1"/>
    <col min="9230" max="9230" width="7.7109375" style="1" customWidth="1"/>
    <col min="9231" max="9231" width="8" style="1" customWidth="1"/>
    <col min="9232" max="9232" width="16.28515625" style="1" customWidth="1"/>
    <col min="9233" max="9233" width="10.5703125" style="1" customWidth="1"/>
    <col min="9234" max="9234" width="14.140625" style="1" customWidth="1"/>
    <col min="9235" max="9235" width="10.140625" style="1" customWidth="1"/>
    <col min="9236" max="9236" width="15.140625" style="1" customWidth="1"/>
    <col min="9237" max="9237" width="8.5703125" style="1" customWidth="1"/>
    <col min="9238" max="9238" width="14.28515625" style="1" customWidth="1"/>
    <col min="9239" max="9239" width="18.28515625" style="1" customWidth="1"/>
    <col min="9240" max="9240" width="13" style="1" bestFit="1" customWidth="1"/>
    <col min="9241" max="9241" width="11.7109375" style="1" bestFit="1" customWidth="1"/>
    <col min="9242" max="9248" width="9.140625" style="1"/>
    <col min="9249" max="9249" width="11.28515625" style="1" bestFit="1" customWidth="1"/>
    <col min="9250" max="9250" width="10.7109375" style="1" bestFit="1" customWidth="1"/>
    <col min="9251" max="9472" width="9.140625" style="1"/>
    <col min="9473" max="9473" width="6.42578125" style="1" customWidth="1"/>
    <col min="9474" max="9474" width="20.7109375" style="1" customWidth="1"/>
    <col min="9475" max="9475" width="24.7109375" style="1" customWidth="1"/>
    <col min="9476" max="9476" width="11.140625" style="1" customWidth="1"/>
    <col min="9477" max="9477" width="12.28515625" style="1" customWidth="1"/>
    <col min="9478" max="9478" width="11.140625" style="1" customWidth="1"/>
    <col min="9479" max="9479" width="10.42578125" style="1" customWidth="1"/>
    <col min="9480" max="9480" width="4.7109375" style="1" customWidth="1"/>
    <col min="9481" max="9481" width="8.5703125" style="1" customWidth="1"/>
    <col min="9482" max="9482" width="5.5703125" style="1" customWidth="1"/>
    <col min="9483" max="9484" width="11.5703125" style="1" customWidth="1"/>
    <col min="9485" max="9485" width="10.85546875" style="1" customWidth="1"/>
    <col min="9486" max="9486" width="7.7109375" style="1" customWidth="1"/>
    <col min="9487" max="9487" width="8" style="1" customWidth="1"/>
    <col min="9488" max="9488" width="16.28515625" style="1" customWidth="1"/>
    <col min="9489" max="9489" width="10.5703125" style="1" customWidth="1"/>
    <col min="9490" max="9490" width="14.140625" style="1" customWidth="1"/>
    <col min="9491" max="9491" width="10.140625" style="1" customWidth="1"/>
    <col min="9492" max="9492" width="15.140625" style="1" customWidth="1"/>
    <col min="9493" max="9493" width="8.5703125" style="1" customWidth="1"/>
    <col min="9494" max="9494" width="14.28515625" style="1" customWidth="1"/>
    <col min="9495" max="9495" width="18.28515625" style="1" customWidth="1"/>
    <col min="9496" max="9496" width="13" style="1" bestFit="1" customWidth="1"/>
    <col min="9497" max="9497" width="11.7109375" style="1" bestFit="1" customWidth="1"/>
    <col min="9498" max="9504" width="9.140625" style="1"/>
    <col min="9505" max="9505" width="11.28515625" style="1" bestFit="1" customWidth="1"/>
    <col min="9506" max="9506" width="10.7109375" style="1" bestFit="1" customWidth="1"/>
    <col min="9507" max="9728" width="9.140625" style="1"/>
    <col min="9729" max="9729" width="6.42578125" style="1" customWidth="1"/>
    <col min="9730" max="9730" width="20.7109375" style="1" customWidth="1"/>
    <col min="9731" max="9731" width="24.7109375" style="1" customWidth="1"/>
    <col min="9732" max="9732" width="11.140625" style="1" customWidth="1"/>
    <col min="9733" max="9733" width="12.28515625" style="1" customWidth="1"/>
    <col min="9734" max="9734" width="11.140625" style="1" customWidth="1"/>
    <col min="9735" max="9735" width="10.42578125" style="1" customWidth="1"/>
    <col min="9736" max="9736" width="4.7109375" style="1" customWidth="1"/>
    <col min="9737" max="9737" width="8.5703125" style="1" customWidth="1"/>
    <col min="9738" max="9738" width="5.5703125" style="1" customWidth="1"/>
    <col min="9739" max="9740" width="11.5703125" style="1" customWidth="1"/>
    <col min="9741" max="9741" width="10.85546875" style="1" customWidth="1"/>
    <col min="9742" max="9742" width="7.7109375" style="1" customWidth="1"/>
    <col min="9743" max="9743" width="8" style="1" customWidth="1"/>
    <col min="9744" max="9744" width="16.28515625" style="1" customWidth="1"/>
    <col min="9745" max="9745" width="10.5703125" style="1" customWidth="1"/>
    <col min="9746" max="9746" width="14.140625" style="1" customWidth="1"/>
    <col min="9747" max="9747" width="10.140625" style="1" customWidth="1"/>
    <col min="9748" max="9748" width="15.140625" style="1" customWidth="1"/>
    <col min="9749" max="9749" width="8.5703125" style="1" customWidth="1"/>
    <col min="9750" max="9750" width="14.28515625" style="1" customWidth="1"/>
    <col min="9751" max="9751" width="18.28515625" style="1" customWidth="1"/>
    <col min="9752" max="9752" width="13" style="1" bestFit="1" customWidth="1"/>
    <col min="9753" max="9753" width="11.7109375" style="1" bestFit="1" customWidth="1"/>
    <col min="9754" max="9760" width="9.140625" style="1"/>
    <col min="9761" max="9761" width="11.28515625" style="1" bestFit="1" customWidth="1"/>
    <col min="9762" max="9762" width="10.7109375" style="1" bestFit="1" customWidth="1"/>
    <col min="9763" max="9984" width="9.140625" style="1"/>
    <col min="9985" max="9985" width="6.42578125" style="1" customWidth="1"/>
    <col min="9986" max="9986" width="20.7109375" style="1" customWidth="1"/>
    <col min="9987" max="9987" width="24.7109375" style="1" customWidth="1"/>
    <col min="9988" max="9988" width="11.140625" style="1" customWidth="1"/>
    <col min="9989" max="9989" width="12.28515625" style="1" customWidth="1"/>
    <col min="9990" max="9990" width="11.140625" style="1" customWidth="1"/>
    <col min="9991" max="9991" width="10.42578125" style="1" customWidth="1"/>
    <col min="9992" max="9992" width="4.7109375" style="1" customWidth="1"/>
    <col min="9993" max="9993" width="8.5703125" style="1" customWidth="1"/>
    <col min="9994" max="9994" width="5.5703125" style="1" customWidth="1"/>
    <col min="9995" max="9996" width="11.5703125" style="1" customWidth="1"/>
    <col min="9997" max="9997" width="10.85546875" style="1" customWidth="1"/>
    <col min="9998" max="9998" width="7.7109375" style="1" customWidth="1"/>
    <col min="9999" max="9999" width="8" style="1" customWidth="1"/>
    <col min="10000" max="10000" width="16.28515625" style="1" customWidth="1"/>
    <col min="10001" max="10001" width="10.5703125" style="1" customWidth="1"/>
    <col min="10002" max="10002" width="14.140625" style="1" customWidth="1"/>
    <col min="10003" max="10003" width="10.140625" style="1" customWidth="1"/>
    <col min="10004" max="10004" width="15.140625" style="1" customWidth="1"/>
    <col min="10005" max="10005" width="8.5703125" style="1" customWidth="1"/>
    <col min="10006" max="10006" width="14.28515625" style="1" customWidth="1"/>
    <col min="10007" max="10007" width="18.28515625" style="1" customWidth="1"/>
    <col min="10008" max="10008" width="13" style="1" bestFit="1" customWidth="1"/>
    <col min="10009" max="10009" width="11.7109375" style="1" bestFit="1" customWidth="1"/>
    <col min="10010" max="10016" width="9.140625" style="1"/>
    <col min="10017" max="10017" width="11.28515625" style="1" bestFit="1" customWidth="1"/>
    <col min="10018" max="10018" width="10.7109375" style="1" bestFit="1" customWidth="1"/>
    <col min="10019" max="10240" width="9.140625" style="1"/>
    <col min="10241" max="10241" width="6.42578125" style="1" customWidth="1"/>
    <col min="10242" max="10242" width="20.7109375" style="1" customWidth="1"/>
    <col min="10243" max="10243" width="24.7109375" style="1" customWidth="1"/>
    <col min="10244" max="10244" width="11.140625" style="1" customWidth="1"/>
    <col min="10245" max="10245" width="12.28515625" style="1" customWidth="1"/>
    <col min="10246" max="10246" width="11.140625" style="1" customWidth="1"/>
    <col min="10247" max="10247" width="10.42578125" style="1" customWidth="1"/>
    <col min="10248" max="10248" width="4.7109375" style="1" customWidth="1"/>
    <col min="10249" max="10249" width="8.5703125" style="1" customWidth="1"/>
    <col min="10250" max="10250" width="5.5703125" style="1" customWidth="1"/>
    <col min="10251" max="10252" width="11.5703125" style="1" customWidth="1"/>
    <col min="10253" max="10253" width="10.85546875" style="1" customWidth="1"/>
    <col min="10254" max="10254" width="7.7109375" style="1" customWidth="1"/>
    <col min="10255" max="10255" width="8" style="1" customWidth="1"/>
    <col min="10256" max="10256" width="16.28515625" style="1" customWidth="1"/>
    <col min="10257" max="10257" width="10.5703125" style="1" customWidth="1"/>
    <col min="10258" max="10258" width="14.140625" style="1" customWidth="1"/>
    <col min="10259" max="10259" width="10.140625" style="1" customWidth="1"/>
    <col min="10260" max="10260" width="15.140625" style="1" customWidth="1"/>
    <col min="10261" max="10261" width="8.5703125" style="1" customWidth="1"/>
    <col min="10262" max="10262" width="14.28515625" style="1" customWidth="1"/>
    <col min="10263" max="10263" width="18.28515625" style="1" customWidth="1"/>
    <col min="10264" max="10264" width="13" style="1" bestFit="1" customWidth="1"/>
    <col min="10265" max="10265" width="11.7109375" style="1" bestFit="1" customWidth="1"/>
    <col min="10266" max="10272" width="9.140625" style="1"/>
    <col min="10273" max="10273" width="11.28515625" style="1" bestFit="1" customWidth="1"/>
    <col min="10274" max="10274" width="10.7109375" style="1" bestFit="1" customWidth="1"/>
    <col min="10275" max="10496" width="9.140625" style="1"/>
    <col min="10497" max="10497" width="6.42578125" style="1" customWidth="1"/>
    <col min="10498" max="10498" width="20.7109375" style="1" customWidth="1"/>
    <col min="10499" max="10499" width="24.7109375" style="1" customWidth="1"/>
    <col min="10500" max="10500" width="11.140625" style="1" customWidth="1"/>
    <col min="10501" max="10501" width="12.28515625" style="1" customWidth="1"/>
    <col min="10502" max="10502" width="11.140625" style="1" customWidth="1"/>
    <col min="10503" max="10503" width="10.42578125" style="1" customWidth="1"/>
    <col min="10504" max="10504" width="4.7109375" style="1" customWidth="1"/>
    <col min="10505" max="10505" width="8.5703125" style="1" customWidth="1"/>
    <col min="10506" max="10506" width="5.5703125" style="1" customWidth="1"/>
    <col min="10507" max="10508" width="11.5703125" style="1" customWidth="1"/>
    <col min="10509" max="10509" width="10.85546875" style="1" customWidth="1"/>
    <col min="10510" max="10510" width="7.7109375" style="1" customWidth="1"/>
    <col min="10511" max="10511" width="8" style="1" customWidth="1"/>
    <col min="10512" max="10512" width="16.28515625" style="1" customWidth="1"/>
    <col min="10513" max="10513" width="10.5703125" style="1" customWidth="1"/>
    <col min="10514" max="10514" width="14.140625" style="1" customWidth="1"/>
    <col min="10515" max="10515" width="10.140625" style="1" customWidth="1"/>
    <col min="10516" max="10516" width="15.140625" style="1" customWidth="1"/>
    <col min="10517" max="10517" width="8.5703125" style="1" customWidth="1"/>
    <col min="10518" max="10518" width="14.28515625" style="1" customWidth="1"/>
    <col min="10519" max="10519" width="18.28515625" style="1" customWidth="1"/>
    <col min="10520" max="10520" width="13" style="1" bestFit="1" customWidth="1"/>
    <col min="10521" max="10521" width="11.7109375" style="1" bestFit="1" customWidth="1"/>
    <col min="10522" max="10528" width="9.140625" style="1"/>
    <col min="10529" max="10529" width="11.28515625" style="1" bestFit="1" customWidth="1"/>
    <col min="10530" max="10530" width="10.7109375" style="1" bestFit="1" customWidth="1"/>
    <col min="10531" max="10752" width="9.140625" style="1"/>
    <col min="10753" max="10753" width="6.42578125" style="1" customWidth="1"/>
    <col min="10754" max="10754" width="20.7109375" style="1" customWidth="1"/>
    <col min="10755" max="10755" width="24.7109375" style="1" customWidth="1"/>
    <col min="10756" max="10756" width="11.140625" style="1" customWidth="1"/>
    <col min="10757" max="10757" width="12.28515625" style="1" customWidth="1"/>
    <col min="10758" max="10758" width="11.140625" style="1" customWidth="1"/>
    <col min="10759" max="10759" width="10.42578125" style="1" customWidth="1"/>
    <col min="10760" max="10760" width="4.7109375" style="1" customWidth="1"/>
    <col min="10761" max="10761" width="8.5703125" style="1" customWidth="1"/>
    <col min="10762" max="10762" width="5.5703125" style="1" customWidth="1"/>
    <col min="10763" max="10764" width="11.5703125" style="1" customWidth="1"/>
    <col min="10765" max="10765" width="10.85546875" style="1" customWidth="1"/>
    <col min="10766" max="10766" width="7.7109375" style="1" customWidth="1"/>
    <col min="10767" max="10767" width="8" style="1" customWidth="1"/>
    <col min="10768" max="10768" width="16.28515625" style="1" customWidth="1"/>
    <col min="10769" max="10769" width="10.5703125" style="1" customWidth="1"/>
    <col min="10770" max="10770" width="14.140625" style="1" customWidth="1"/>
    <col min="10771" max="10771" width="10.140625" style="1" customWidth="1"/>
    <col min="10772" max="10772" width="15.140625" style="1" customWidth="1"/>
    <col min="10773" max="10773" width="8.5703125" style="1" customWidth="1"/>
    <col min="10774" max="10774" width="14.28515625" style="1" customWidth="1"/>
    <col min="10775" max="10775" width="18.28515625" style="1" customWidth="1"/>
    <col min="10776" max="10776" width="13" style="1" bestFit="1" customWidth="1"/>
    <col min="10777" max="10777" width="11.7109375" style="1" bestFit="1" customWidth="1"/>
    <col min="10778" max="10784" width="9.140625" style="1"/>
    <col min="10785" max="10785" width="11.28515625" style="1" bestFit="1" customWidth="1"/>
    <col min="10786" max="10786" width="10.7109375" style="1" bestFit="1" customWidth="1"/>
    <col min="10787" max="11008" width="9.140625" style="1"/>
    <col min="11009" max="11009" width="6.42578125" style="1" customWidth="1"/>
    <col min="11010" max="11010" width="20.7109375" style="1" customWidth="1"/>
    <col min="11011" max="11011" width="24.7109375" style="1" customWidth="1"/>
    <col min="11012" max="11012" width="11.140625" style="1" customWidth="1"/>
    <col min="11013" max="11013" width="12.28515625" style="1" customWidth="1"/>
    <col min="11014" max="11014" width="11.140625" style="1" customWidth="1"/>
    <col min="11015" max="11015" width="10.42578125" style="1" customWidth="1"/>
    <col min="11016" max="11016" width="4.7109375" style="1" customWidth="1"/>
    <col min="11017" max="11017" width="8.5703125" style="1" customWidth="1"/>
    <col min="11018" max="11018" width="5.5703125" style="1" customWidth="1"/>
    <col min="11019" max="11020" width="11.5703125" style="1" customWidth="1"/>
    <col min="11021" max="11021" width="10.85546875" style="1" customWidth="1"/>
    <col min="11022" max="11022" width="7.7109375" style="1" customWidth="1"/>
    <col min="11023" max="11023" width="8" style="1" customWidth="1"/>
    <col min="11024" max="11024" width="16.28515625" style="1" customWidth="1"/>
    <col min="11025" max="11025" width="10.5703125" style="1" customWidth="1"/>
    <col min="11026" max="11026" width="14.140625" style="1" customWidth="1"/>
    <col min="11027" max="11027" width="10.140625" style="1" customWidth="1"/>
    <col min="11028" max="11028" width="15.140625" style="1" customWidth="1"/>
    <col min="11029" max="11029" width="8.5703125" style="1" customWidth="1"/>
    <col min="11030" max="11030" width="14.28515625" style="1" customWidth="1"/>
    <col min="11031" max="11031" width="18.28515625" style="1" customWidth="1"/>
    <col min="11032" max="11032" width="13" style="1" bestFit="1" customWidth="1"/>
    <col min="11033" max="11033" width="11.7109375" style="1" bestFit="1" customWidth="1"/>
    <col min="11034" max="11040" width="9.140625" style="1"/>
    <col min="11041" max="11041" width="11.28515625" style="1" bestFit="1" customWidth="1"/>
    <col min="11042" max="11042" width="10.7109375" style="1" bestFit="1" customWidth="1"/>
    <col min="11043" max="11264" width="9.140625" style="1"/>
    <col min="11265" max="11265" width="6.42578125" style="1" customWidth="1"/>
    <col min="11266" max="11266" width="20.7109375" style="1" customWidth="1"/>
    <col min="11267" max="11267" width="24.7109375" style="1" customWidth="1"/>
    <col min="11268" max="11268" width="11.140625" style="1" customWidth="1"/>
    <col min="11269" max="11269" width="12.28515625" style="1" customWidth="1"/>
    <col min="11270" max="11270" width="11.140625" style="1" customWidth="1"/>
    <col min="11271" max="11271" width="10.42578125" style="1" customWidth="1"/>
    <col min="11272" max="11272" width="4.7109375" style="1" customWidth="1"/>
    <col min="11273" max="11273" width="8.5703125" style="1" customWidth="1"/>
    <col min="11274" max="11274" width="5.5703125" style="1" customWidth="1"/>
    <col min="11275" max="11276" width="11.5703125" style="1" customWidth="1"/>
    <col min="11277" max="11277" width="10.85546875" style="1" customWidth="1"/>
    <col min="11278" max="11278" width="7.7109375" style="1" customWidth="1"/>
    <col min="11279" max="11279" width="8" style="1" customWidth="1"/>
    <col min="11280" max="11280" width="16.28515625" style="1" customWidth="1"/>
    <col min="11281" max="11281" width="10.5703125" style="1" customWidth="1"/>
    <col min="11282" max="11282" width="14.140625" style="1" customWidth="1"/>
    <col min="11283" max="11283" width="10.140625" style="1" customWidth="1"/>
    <col min="11284" max="11284" width="15.140625" style="1" customWidth="1"/>
    <col min="11285" max="11285" width="8.5703125" style="1" customWidth="1"/>
    <col min="11286" max="11286" width="14.28515625" style="1" customWidth="1"/>
    <col min="11287" max="11287" width="18.28515625" style="1" customWidth="1"/>
    <col min="11288" max="11288" width="13" style="1" bestFit="1" customWidth="1"/>
    <col min="11289" max="11289" width="11.7109375" style="1" bestFit="1" customWidth="1"/>
    <col min="11290" max="11296" width="9.140625" style="1"/>
    <col min="11297" max="11297" width="11.28515625" style="1" bestFit="1" customWidth="1"/>
    <col min="11298" max="11298" width="10.7109375" style="1" bestFit="1" customWidth="1"/>
    <col min="11299" max="11520" width="9.140625" style="1"/>
    <col min="11521" max="11521" width="6.42578125" style="1" customWidth="1"/>
    <col min="11522" max="11522" width="20.7109375" style="1" customWidth="1"/>
    <col min="11523" max="11523" width="24.7109375" style="1" customWidth="1"/>
    <col min="11524" max="11524" width="11.140625" style="1" customWidth="1"/>
    <col min="11525" max="11525" width="12.28515625" style="1" customWidth="1"/>
    <col min="11526" max="11526" width="11.140625" style="1" customWidth="1"/>
    <col min="11527" max="11527" width="10.42578125" style="1" customWidth="1"/>
    <col min="11528" max="11528" width="4.7109375" style="1" customWidth="1"/>
    <col min="11529" max="11529" width="8.5703125" style="1" customWidth="1"/>
    <col min="11530" max="11530" width="5.5703125" style="1" customWidth="1"/>
    <col min="11531" max="11532" width="11.5703125" style="1" customWidth="1"/>
    <col min="11533" max="11533" width="10.85546875" style="1" customWidth="1"/>
    <col min="11534" max="11534" width="7.7109375" style="1" customWidth="1"/>
    <col min="11535" max="11535" width="8" style="1" customWidth="1"/>
    <col min="11536" max="11536" width="16.28515625" style="1" customWidth="1"/>
    <col min="11537" max="11537" width="10.5703125" style="1" customWidth="1"/>
    <col min="11538" max="11538" width="14.140625" style="1" customWidth="1"/>
    <col min="11539" max="11539" width="10.140625" style="1" customWidth="1"/>
    <col min="11540" max="11540" width="15.140625" style="1" customWidth="1"/>
    <col min="11541" max="11541" width="8.5703125" style="1" customWidth="1"/>
    <col min="11542" max="11542" width="14.28515625" style="1" customWidth="1"/>
    <col min="11543" max="11543" width="18.28515625" style="1" customWidth="1"/>
    <col min="11544" max="11544" width="13" style="1" bestFit="1" customWidth="1"/>
    <col min="11545" max="11545" width="11.7109375" style="1" bestFit="1" customWidth="1"/>
    <col min="11546" max="11552" width="9.140625" style="1"/>
    <col min="11553" max="11553" width="11.28515625" style="1" bestFit="1" customWidth="1"/>
    <col min="11554" max="11554" width="10.7109375" style="1" bestFit="1" customWidth="1"/>
    <col min="11555" max="11776" width="9.140625" style="1"/>
    <col min="11777" max="11777" width="6.42578125" style="1" customWidth="1"/>
    <col min="11778" max="11778" width="20.7109375" style="1" customWidth="1"/>
    <col min="11779" max="11779" width="24.7109375" style="1" customWidth="1"/>
    <col min="11780" max="11780" width="11.140625" style="1" customWidth="1"/>
    <col min="11781" max="11781" width="12.28515625" style="1" customWidth="1"/>
    <col min="11782" max="11782" width="11.140625" style="1" customWidth="1"/>
    <col min="11783" max="11783" width="10.42578125" style="1" customWidth="1"/>
    <col min="11784" max="11784" width="4.7109375" style="1" customWidth="1"/>
    <col min="11785" max="11785" width="8.5703125" style="1" customWidth="1"/>
    <col min="11786" max="11786" width="5.5703125" style="1" customWidth="1"/>
    <col min="11787" max="11788" width="11.5703125" style="1" customWidth="1"/>
    <col min="11789" max="11789" width="10.85546875" style="1" customWidth="1"/>
    <col min="11790" max="11790" width="7.7109375" style="1" customWidth="1"/>
    <col min="11791" max="11791" width="8" style="1" customWidth="1"/>
    <col min="11792" max="11792" width="16.28515625" style="1" customWidth="1"/>
    <col min="11793" max="11793" width="10.5703125" style="1" customWidth="1"/>
    <col min="11794" max="11794" width="14.140625" style="1" customWidth="1"/>
    <col min="11795" max="11795" width="10.140625" style="1" customWidth="1"/>
    <col min="11796" max="11796" width="15.140625" style="1" customWidth="1"/>
    <col min="11797" max="11797" width="8.5703125" style="1" customWidth="1"/>
    <col min="11798" max="11798" width="14.28515625" style="1" customWidth="1"/>
    <col min="11799" max="11799" width="18.28515625" style="1" customWidth="1"/>
    <col min="11800" max="11800" width="13" style="1" bestFit="1" customWidth="1"/>
    <col min="11801" max="11801" width="11.7109375" style="1" bestFit="1" customWidth="1"/>
    <col min="11802" max="11808" width="9.140625" style="1"/>
    <col min="11809" max="11809" width="11.28515625" style="1" bestFit="1" customWidth="1"/>
    <col min="11810" max="11810" width="10.7109375" style="1" bestFit="1" customWidth="1"/>
    <col min="11811" max="12032" width="9.140625" style="1"/>
    <col min="12033" max="12033" width="6.42578125" style="1" customWidth="1"/>
    <col min="12034" max="12034" width="20.7109375" style="1" customWidth="1"/>
    <col min="12035" max="12035" width="24.7109375" style="1" customWidth="1"/>
    <col min="12036" max="12036" width="11.140625" style="1" customWidth="1"/>
    <col min="12037" max="12037" width="12.28515625" style="1" customWidth="1"/>
    <col min="12038" max="12038" width="11.140625" style="1" customWidth="1"/>
    <col min="12039" max="12039" width="10.42578125" style="1" customWidth="1"/>
    <col min="12040" max="12040" width="4.7109375" style="1" customWidth="1"/>
    <col min="12041" max="12041" width="8.5703125" style="1" customWidth="1"/>
    <col min="12042" max="12042" width="5.5703125" style="1" customWidth="1"/>
    <col min="12043" max="12044" width="11.5703125" style="1" customWidth="1"/>
    <col min="12045" max="12045" width="10.85546875" style="1" customWidth="1"/>
    <col min="12046" max="12046" width="7.7109375" style="1" customWidth="1"/>
    <col min="12047" max="12047" width="8" style="1" customWidth="1"/>
    <col min="12048" max="12048" width="16.28515625" style="1" customWidth="1"/>
    <col min="12049" max="12049" width="10.5703125" style="1" customWidth="1"/>
    <col min="12050" max="12050" width="14.140625" style="1" customWidth="1"/>
    <col min="12051" max="12051" width="10.140625" style="1" customWidth="1"/>
    <col min="12052" max="12052" width="15.140625" style="1" customWidth="1"/>
    <col min="12053" max="12053" width="8.5703125" style="1" customWidth="1"/>
    <col min="12054" max="12054" width="14.28515625" style="1" customWidth="1"/>
    <col min="12055" max="12055" width="18.28515625" style="1" customWidth="1"/>
    <col min="12056" max="12056" width="13" style="1" bestFit="1" customWidth="1"/>
    <col min="12057" max="12057" width="11.7109375" style="1" bestFit="1" customWidth="1"/>
    <col min="12058" max="12064" width="9.140625" style="1"/>
    <col min="12065" max="12065" width="11.28515625" style="1" bestFit="1" customWidth="1"/>
    <col min="12066" max="12066" width="10.7109375" style="1" bestFit="1" customWidth="1"/>
    <col min="12067" max="12288" width="9.140625" style="1"/>
    <col min="12289" max="12289" width="6.42578125" style="1" customWidth="1"/>
    <col min="12290" max="12290" width="20.7109375" style="1" customWidth="1"/>
    <col min="12291" max="12291" width="24.7109375" style="1" customWidth="1"/>
    <col min="12292" max="12292" width="11.140625" style="1" customWidth="1"/>
    <col min="12293" max="12293" width="12.28515625" style="1" customWidth="1"/>
    <col min="12294" max="12294" width="11.140625" style="1" customWidth="1"/>
    <col min="12295" max="12295" width="10.42578125" style="1" customWidth="1"/>
    <col min="12296" max="12296" width="4.7109375" style="1" customWidth="1"/>
    <col min="12297" max="12297" width="8.5703125" style="1" customWidth="1"/>
    <col min="12298" max="12298" width="5.5703125" style="1" customWidth="1"/>
    <col min="12299" max="12300" width="11.5703125" style="1" customWidth="1"/>
    <col min="12301" max="12301" width="10.85546875" style="1" customWidth="1"/>
    <col min="12302" max="12302" width="7.7109375" style="1" customWidth="1"/>
    <col min="12303" max="12303" width="8" style="1" customWidth="1"/>
    <col min="12304" max="12304" width="16.28515625" style="1" customWidth="1"/>
    <col min="12305" max="12305" width="10.5703125" style="1" customWidth="1"/>
    <col min="12306" max="12306" width="14.140625" style="1" customWidth="1"/>
    <col min="12307" max="12307" width="10.140625" style="1" customWidth="1"/>
    <col min="12308" max="12308" width="15.140625" style="1" customWidth="1"/>
    <col min="12309" max="12309" width="8.5703125" style="1" customWidth="1"/>
    <col min="12310" max="12310" width="14.28515625" style="1" customWidth="1"/>
    <col min="12311" max="12311" width="18.28515625" style="1" customWidth="1"/>
    <col min="12312" max="12312" width="13" style="1" bestFit="1" customWidth="1"/>
    <col min="12313" max="12313" width="11.7109375" style="1" bestFit="1" customWidth="1"/>
    <col min="12314" max="12320" width="9.140625" style="1"/>
    <col min="12321" max="12321" width="11.28515625" style="1" bestFit="1" customWidth="1"/>
    <col min="12322" max="12322" width="10.7109375" style="1" bestFit="1" customWidth="1"/>
    <col min="12323" max="12544" width="9.140625" style="1"/>
    <col min="12545" max="12545" width="6.42578125" style="1" customWidth="1"/>
    <col min="12546" max="12546" width="20.7109375" style="1" customWidth="1"/>
    <col min="12547" max="12547" width="24.7109375" style="1" customWidth="1"/>
    <col min="12548" max="12548" width="11.140625" style="1" customWidth="1"/>
    <col min="12549" max="12549" width="12.28515625" style="1" customWidth="1"/>
    <col min="12550" max="12550" width="11.140625" style="1" customWidth="1"/>
    <col min="12551" max="12551" width="10.42578125" style="1" customWidth="1"/>
    <col min="12552" max="12552" width="4.7109375" style="1" customWidth="1"/>
    <col min="12553" max="12553" width="8.5703125" style="1" customWidth="1"/>
    <col min="12554" max="12554" width="5.5703125" style="1" customWidth="1"/>
    <col min="12555" max="12556" width="11.5703125" style="1" customWidth="1"/>
    <col min="12557" max="12557" width="10.85546875" style="1" customWidth="1"/>
    <col min="12558" max="12558" width="7.7109375" style="1" customWidth="1"/>
    <col min="12559" max="12559" width="8" style="1" customWidth="1"/>
    <col min="12560" max="12560" width="16.28515625" style="1" customWidth="1"/>
    <col min="12561" max="12561" width="10.5703125" style="1" customWidth="1"/>
    <col min="12562" max="12562" width="14.140625" style="1" customWidth="1"/>
    <col min="12563" max="12563" width="10.140625" style="1" customWidth="1"/>
    <col min="12564" max="12564" width="15.140625" style="1" customWidth="1"/>
    <col min="12565" max="12565" width="8.5703125" style="1" customWidth="1"/>
    <col min="12566" max="12566" width="14.28515625" style="1" customWidth="1"/>
    <col min="12567" max="12567" width="18.28515625" style="1" customWidth="1"/>
    <col min="12568" max="12568" width="13" style="1" bestFit="1" customWidth="1"/>
    <col min="12569" max="12569" width="11.7109375" style="1" bestFit="1" customWidth="1"/>
    <col min="12570" max="12576" width="9.140625" style="1"/>
    <col min="12577" max="12577" width="11.28515625" style="1" bestFit="1" customWidth="1"/>
    <col min="12578" max="12578" width="10.7109375" style="1" bestFit="1" customWidth="1"/>
    <col min="12579" max="12800" width="9.140625" style="1"/>
    <col min="12801" max="12801" width="6.42578125" style="1" customWidth="1"/>
    <col min="12802" max="12802" width="20.7109375" style="1" customWidth="1"/>
    <col min="12803" max="12803" width="24.7109375" style="1" customWidth="1"/>
    <col min="12804" max="12804" width="11.140625" style="1" customWidth="1"/>
    <col min="12805" max="12805" width="12.28515625" style="1" customWidth="1"/>
    <col min="12806" max="12806" width="11.140625" style="1" customWidth="1"/>
    <col min="12807" max="12807" width="10.42578125" style="1" customWidth="1"/>
    <col min="12808" max="12808" width="4.7109375" style="1" customWidth="1"/>
    <col min="12809" max="12809" width="8.5703125" style="1" customWidth="1"/>
    <col min="12810" max="12810" width="5.5703125" style="1" customWidth="1"/>
    <col min="12811" max="12812" width="11.5703125" style="1" customWidth="1"/>
    <col min="12813" max="12813" width="10.85546875" style="1" customWidth="1"/>
    <col min="12814" max="12814" width="7.7109375" style="1" customWidth="1"/>
    <col min="12815" max="12815" width="8" style="1" customWidth="1"/>
    <col min="12816" max="12816" width="16.28515625" style="1" customWidth="1"/>
    <col min="12817" max="12817" width="10.5703125" style="1" customWidth="1"/>
    <col min="12818" max="12818" width="14.140625" style="1" customWidth="1"/>
    <col min="12819" max="12819" width="10.140625" style="1" customWidth="1"/>
    <col min="12820" max="12820" width="15.140625" style="1" customWidth="1"/>
    <col min="12821" max="12821" width="8.5703125" style="1" customWidth="1"/>
    <col min="12822" max="12822" width="14.28515625" style="1" customWidth="1"/>
    <col min="12823" max="12823" width="18.28515625" style="1" customWidth="1"/>
    <col min="12824" max="12824" width="13" style="1" bestFit="1" customWidth="1"/>
    <col min="12825" max="12825" width="11.7109375" style="1" bestFit="1" customWidth="1"/>
    <col min="12826" max="12832" width="9.140625" style="1"/>
    <col min="12833" max="12833" width="11.28515625" style="1" bestFit="1" customWidth="1"/>
    <col min="12834" max="12834" width="10.7109375" style="1" bestFit="1" customWidth="1"/>
    <col min="12835" max="13056" width="9.140625" style="1"/>
    <col min="13057" max="13057" width="6.42578125" style="1" customWidth="1"/>
    <col min="13058" max="13058" width="20.7109375" style="1" customWidth="1"/>
    <col min="13059" max="13059" width="24.7109375" style="1" customWidth="1"/>
    <col min="13060" max="13060" width="11.140625" style="1" customWidth="1"/>
    <col min="13061" max="13061" width="12.28515625" style="1" customWidth="1"/>
    <col min="13062" max="13062" width="11.140625" style="1" customWidth="1"/>
    <col min="13063" max="13063" width="10.42578125" style="1" customWidth="1"/>
    <col min="13064" max="13064" width="4.7109375" style="1" customWidth="1"/>
    <col min="13065" max="13065" width="8.5703125" style="1" customWidth="1"/>
    <col min="13066" max="13066" width="5.5703125" style="1" customWidth="1"/>
    <col min="13067" max="13068" width="11.5703125" style="1" customWidth="1"/>
    <col min="13069" max="13069" width="10.85546875" style="1" customWidth="1"/>
    <col min="13070" max="13070" width="7.7109375" style="1" customWidth="1"/>
    <col min="13071" max="13071" width="8" style="1" customWidth="1"/>
    <col min="13072" max="13072" width="16.28515625" style="1" customWidth="1"/>
    <col min="13073" max="13073" width="10.5703125" style="1" customWidth="1"/>
    <col min="13074" max="13074" width="14.140625" style="1" customWidth="1"/>
    <col min="13075" max="13075" width="10.140625" style="1" customWidth="1"/>
    <col min="13076" max="13076" width="15.140625" style="1" customWidth="1"/>
    <col min="13077" max="13077" width="8.5703125" style="1" customWidth="1"/>
    <col min="13078" max="13078" width="14.28515625" style="1" customWidth="1"/>
    <col min="13079" max="13079" width="18.28515625" style="1" customWidth="1"/>
    <col min="13080" max="13080" width="13" style="1" bestFit="1" customWidth="1"/>
    <col min="13081" max="13081" width="11.7109375" style="1" bestFit="1" customWidth="1"/>
    <col min="13082" max="13088" width="9.140625" style="1"/>
    <col min="13089" max="13089" width="11.28515625" style="1" bestFit="1" customWidth="1"/>
    <col min="13090" max="13090" width="10.7109375" style="1" bestFit="1" customWidth="1"/>
    <col min="13091" max="13312" width="9.140625" style="1"/>
    <col min="13313" max="13313" width="6.42578125" style="1" customWidth="1"/>
    <col min="13314" max="13314" width="20.7109375" style="1" customWidth="1"/>
    <col min="13315" max="13315" width="24.7109375" style="1" customWidth="1"/>
    <col min="13316" max="13316" width="11.140625" style="1" customWidth="1"/>
    <col min="13317" max="13317" width="12.28515625" style="1" customWidth="1"/>
    <col min="13318" max="13318" width="11.140625" style="1" customWidth="1"/>
    <col min="13319" max="13319" width="10.42578125" style="1" customWidth="1"/>
    <col min="13320" max="13320" width="4.7109375" style="1" customWidth="1"/>
    <col min="13321" max="13321" width="8.5703125" style="1" customWidth="1"/>
    <col min="13322" max="13322" width="5.5703125" style="1" customWidth="1"/>
    <col min="13323" max="13324" width="11.5703125" style="1" customWidth="1"/>
    <col min="13325" max="13325" width="10.85546875" style="1" customWidth="1"/>
    <col min="13326" max="13326" width="7.7109375" style="1" customWidth="1"/>
    <col min="13327" max="13327" width="8" style="1" customWidth="1"/>
    <col min="13328" max="13328" width="16.28515625" style="1" customWidth="1"/>
    <col min="13329" max="13329" width="10.5703125" style="1" customWidth="1"/>
    <col min="13330" max="13330" width="14.140625" style="1" customWidth="1"/>
    <col min="13331" max="13331" width="10.140625" style="1" customWidth="1"/>
    <col min="13332" max="13332" width="15.140625" style="1" customWidth="1"/>
    <col min="13333" max="13333" width="8.5703125" style="1" customWidth="1"/>
    <col min="13334" max="13334" width="14.28515625" style="1" customWidth="1"/>
    <col min="13335" max="13335" width="18.28515625" style="1" customWidth="1"/>
    <col min="13336" max="13336" width="13" style="1" bestFit="1" customWidth="1"/>
    <col min="13337" max="13337" width="11.7109375" style="1" bestFit="1" customWidth="1"/>
    <col min="13338" max="13344" width="9.140625" style="1"/>
    <col min="13345" max="13345" width="11.28515625" style="1" bestFit="1" customWidth="1"/>
    <col min="13346" max="13346" width="10.7109375" style="1" bestFit="1" customWidth="1"/>
    <col min="13347" max="13568" width="9.140625" style="1"/>
    <col min="13569" max="13569" width="6.42578125" style="1" customWidth="1"/>
    <col min="13570" max="13570" width="20.7109375" style="1" customWidth="1"/>
    <col min="13571" max="13571" width="24.7109375" style="1" customWidth="1"/>
    <col min="13572" max="13572" width="11.140625" style="1" customWidth="1"/>
    <col min="13573" max="13573" width="12.28515625" style="1" customWidth="1"/>
    <col min="13574" max="13574" width="11.140625" style="1" customWidth="1"/>
    <col min="13575" max="13575" width="10.42578125" style="1" customWidth="1"/>
    <col min="13576" max="13576" width="4.7109375" style="1" customWidth="1"/>
    <col min="13577" max="13577" width="8.5703125" style="1" customWidth="1"/>
    <col min="13578" max="13578" width="5.5703125" style="1" customWidth="1"/>
    <col min="13579" max="13580" width="11.5703125" style="1" customWidth="1"/>
    <col min="13581" max="13581" width="10.85546875" style="1" customWidth="1"/>
    <col min="13582" max="13582" width="7.7109375" style="1" customWidth="1"/>
    <col min="13583" max="13583" width="8" style="1" customWidth="1"/>
    <col min="13584" max="13584" width="16.28515625" style="1" customWidth="1"/>
    <col min="13585" max="13585" width="10.5703125" style="1" customWidth="1"/>
    <col min="13586" max="13586" width="14.140625" style="1" customWidth="1"/>
    <col min="13587" max="13587" width="10.140625" style="1" customWidth="1"/>
    <col min="13588" max="13588" width="15.140625" style="1" customWidth="1"/>
    <col min="13589" max="13589" width="8.5703125" style="1" customWidth="1"/>
    <col min="13590" max="13590" width="14.28515625" style="1" customWidth="1"/>
    <col min="13591" max="13591" width="18.28515625" style="1" customWidth="1"/>
    <col min="13592" max="13592" width="13" style="1" bestFit="1" customWidth="1"/>
    <col min="13593" max="13593" width="11.7109375" style="1" bestFit="1" customWidth="1"/>
    <col min="13594" max="13600" width="9.140625" style="1"/>
    <col min="13601" max="13601" width="11.28515625" style="1" bestFit="1" customWidth="1"/>
    <col min="13602" max="13602" width="10.7109375" style="1" bestFit="1" customWidth="1"/>
    <col min="13603" max="13824" width="9.140625" style="1"/>
    <col min="13825" max="13825" width="6.42578125" style="1" customWidth="1"/>
    <col min="13826" max="13826" width="20.7109375" style="1" customWidth="1"/>
    <col min="13827" max="13827" width="24.7109375" style="1" customWidth="1"/>
    <col min="13828" max="13828" width="11.140625" style="1" customWidth="1"/>
    <col min="13829" max="13829" width="12.28515625" style="1" customWidth="1"/>
    <col min="13830" max="13830" width="11.140625" style="1" customWidth="1"/>
    <col min="13831" max="13831" width="10.42578125" style="1" customWidth="1"/>
    <col min="13832" max="13832" width="4.7109375" style="1" customWidth="1"/>
    <col min="13833" max="13833" width="8.5703125" style="1" customWidth="1"/>
    <col min="13834" max="13834" width="5.5703125" style="1" customWidth="1"/>
    <col min="13835" max="13836" width="11.5703125" style="1" customWidth="1"/>
    <col min="13837" max="13837" width="10.85546875" style="1" customWidth="1"/>
    <col min="13838" max="13838" width="7.7109375" style="1" customWidth="1"/>
    <col min="13839" max="13839" width="8" style="1" customWidth="1"/>
    <col min="13840" max="13840" width="16.28515625" style="1" customWidth="1"/>
    <col min="13841" max="13841" width="10.5703125" style="1" customWidth="1"/>
    <col min="13842" max="13842" width="14.140625" style="1" customWidth="1"/>
    <col min="13843" max="13843" width="10.140625" style="1" customWidth="1"/>
    <col min="13844" max="13844" width="15.140625" style="1" customWidth="1"/>
    <col min="13845" max="13845" width="8.5703125" style="1" customWidth="1"/>
    <col min="13846" max="13846" width="14.28515625" style="1" customWidth="1"/>
    <col min="13847" max="13847" width="18.28515625" style="1" customWidth="1"/>
    <col min="13848" max="13848" width="13" style="1" bestFit="1" customWidth="1"/>
    <col min="13849" max="13849" width="11.7109375" style="1" bestFit="1" customWidth="1"/>
    <col min="13850" max="13856" width="9.140625" style="1"/>
    <col min="13857" max="13857" width="11.28515625" style="1" bestFit="1" customWidth="1"/>
    <col min="13858" max="13858" width="10.7109375" style="1" bestFit="1" customWidth="1"/>
    <col min="13859" max="14080" width="9.140625" style="1"/>
    <col min="14081" max="14081" width="6.42578125" style="1" customWidth="1"/>
    <col min="14082" max="14082" width="20.7109375" style="1" customWidth="1"/>
    <col min="14083" max="14083" width="24.7109375" style="1" customWidth="1"/>
    <col min="14084" max="14084" width="11.140625" style="1" customWidth="1"/>
    <col min="14085" max="14085" width="12.28515625" style="1" customWidth="1"/>
    <col min="14086" max="14086" width="11.140625" style="1" customWidth="1"/>
    <col min="14087" max="14087" width="10.42578125" style="1" customWidth="1"/>
    <col min="14088" max="14088" width="4.7109375" style="1" customWidth="1"/>
    <col min="14089" max="14089" width="8.5703125" style="1" customWidth="1"/>
    <col min="14090" max="14090" width="5.5703125" style="1" customWidth="1"/>
    <col min="14091" max="14092" width="11.5703125" style="1" customWidth="1"/>
    <col min="14093" max="14093" width="10.85546875" style="1" customWidth="1"/>
    <col min="14094" max="14094" width="7.7109375" style="1" customWidth="1"/>
    <col min="14095" max="14095" width="8" style="1" customWidth="1"/>
    <col min="14096" max="14096" width="16.28515625" style="1" customWidth="1"/>
    <col min="14097" max="14097" width="10.5703125" style="1" customWidth="1"/>
    <col min="14098" max="14098" width="14.140625" style="1" customWidth="1"/>
    <col min="14099" max="14099" width="10.140625" style="1" customWidth="1"/>
    <col min="14100" max="14100" width="15.140625" style="1" customWidth="1"/>
    <col min="14101" max="14101" width="8.5703125" style="1" customWidth="1"/>
    <col min="14102" max="14102" width="14.28515625" style="1" customWidth="1"/>
    <col min="14103" max="14103" width="18.28515625" style="1" customWidth="1"/>
    <col min="14104" max="14104" width="13" style="1" bestFit="1" customWidth="1"/>
    <col min="14105" max="14105" width="11.7109375" style="1" bestFit="1" customWidth="1"/>
    <col min="14106" max="14112" width="9.140625" style="1"/>
    <col min="14113" max="14113" width="11.28515625" style="1" bestFit="1" customWidth="1"/>
    <col min="14114" max="14114" width="10.7109375" style="1" bestFit="1" customWidth="1"/>
    <col min="14115" max="14336" width="9.140625" style="1"/>
    <col min="14337" max="14337" width="6.42578125" style="1" customWidth="1"/>
    <col min="14338" max="14338" width="20.7109375" style="1" customWidth="1"/>
    <col min="14339" max="14339" width="24.7109375" style="1" customWidth="1"/>
    <col min="14340" max="14340" width="11.140625" style="1" customWidth="1"/>
    <col min="14341" max="14341" width="12.28515625" style="1" customWidth="1"/>
    <col min="14342" max="14342" width="11.140625" style="1" customWidth="1"/>
    <col min="14343" max="14343" width="10.42578125" style="1" customWidth="1"/>
    <col min="14344" max="14344" width="4.7109375" style="1" customWidth="1"/>
    <col min="14345" max="14345" width="8.5703125" style="1" customWidth="1"/>
    <col min="14346" max="14346" width="5.5703125" style="1" customWidth="1"/>
    <col min="14347" max="14348" width="11.5703125" style="1" customWidth="1"/>
    <col min="14349" max="14349" width="10.85546875" style="1" customWidth="1"/>
    <col min="14350" max="14350" width="7.7109375" style="1" customWidth="1"/>
    <col min="14351" max="14351" width="8" style="1" customWidth="1"/>
    <col min="14352" max="14352" width="16.28515625" style="1" customWidth="1"/>
    <col min="14353" max="14353" width="10.5703125" style="1" customWidth="1"/>
    <col min="14354" max="14354" width="14.140625" style="1" customWidth="1"/>
    <col min="14355" max="14355" width="10.140625" style="1" customWidth="1"/>
    <col min="14356" max="14356" width="15.140625" style="1" customWidth="1"/>
    <col min="14357" max="14357" width="8.5703125" style="1" customWidth="1"/>
    <col min="14358" max="14358" width="14.28515625" style="1" customWidth="1"/>
    <col min="14359" max="14359" width="18.28515625" style="1" customWidth="1"/>
    <col min="14360" max="14360" width="13" style="1" bestFit="1" customWidth="1"/>
    <col min="14361" max="14361" width="11.7109375" style="1" bestFit="1" customWidth="1"/>
    <col min="14362" max="14368" width="9.140625" style="1"/>
    <col min="14369" max="14369" width="11.28515625" style="1" bestFit="1" customWidth="1"/>
    <col min="14370" max="14370" width="10.7109375" style="1" bestFit="1" customWidth="1"/>
    <col min="14371" max="14592" width="9.140625" style="1"/>
    <col min="14593" max="14593" width="6.42578125" style="1" customWidth="1"/>
    <col min="14594" max="14594" width="20.7109375" style="1" customWidth="1"/>
    <col min="14595" max="14595" width="24.7109375" style="1" customWidth="1"/>
    <col min="14596" max="14596" width="11.140625" style="1" customWidth="1"/>
    <col min="14597" max="14597" width="12.28515625" style="1" customWidth="1"/>
    <col min="14598" max="14598" width="11.140625" style="1" customWidth="1"/>
    <col min="14599" max="14599" width="10.42578125" style="1" customWidth="1"/>
    <col min="14600" max="14600" width="4.7109375" style="1" customWidth="1"/>
    <col min="14601" max="14601" width="8.5703125" style="1" customWidth="1"/>
    <col min="14602" max="14602" width="5.5703125" style="1" customWidth="1"/>
    <col min="14603" max="14604" width="11.5703125" style="1" customWidth="1"/>
    <col min="14605" max="14605" width="10.85546875" style="1" customWidth="1"/>
    <col min="14606" max="14606" width="7.7109375" style="1" customWidth="1"/>
    <col min="14607" max="14607" width="8" style="1" customWidth="1"/>
    <col min="14608" max="14608" width="16.28515625" style="1" customWidth="1"/>
    <col min="14609" max="14609" width="10.5703125" style="1" customWidth="1"/>
    <col min="14610" max="14610" width="14.140625" style="1" customWidth="1"/>
    <col min="14611" max="14611" width="10.140625" style="1" customWidth="1"/>
    <col min="14612" max="14612" width="15.140625" style="1" customWidth="1"/>
    <col min="14613" max="14613" width="8.5703125" style="1" customWidth="1"/>
    <col min="14614" max="14614" width="14.28515625" style="1" customWidth="1"/>
    <col min="14615" max="14615" width="18.28515625" style="1" customWidth="1"/>
    <col min="14616" max="14616" width="13" style="1" bestFit="1" customWidth="1"/>
    <col min="14617" max="14617" width="11.7109375" style="1" bestFit="1" customWidth="1"/>
    <col min="14618" max="14624" width="9.140625" style="1"/>
    <col min="14625" max="14625" width="11.28515625" style="1" bestFit="1" customWidth="1"/>
    <col min="14626" max="14626" width="10.7109375" style="1" bestFit="1" customWidth="1"/>
    <col min="14627" max="14848" width="9.140625" style="1"/>
    <col min="14849" max="14849" width="6.42578125" style="1" customWidth="1"/>
    <col min="14850" max="14850" width="20.7109375" style="1" customWidth="1"/>
    <col min="14851" max="14851" width="24.7109375" style="1" customWidth="1"/>
    <col min="14852" max="14852" width="11.140625" style="1" customWidth="1"/>
    <col min="14853" max="14853" width="12.28515625" style="1" customWidth="1"/>
    <col min="14854" max="14854" width="11.140625" style="1" customWidth="1"/>
    <col min="14855" max="14855" width="10.42578125" style="1" customWidth="1"/>
    <col min="14856" max="14856" width="4.7109375" style="1" customWidth="1"/>
    <col min="14857" max="14857" width="8.5703125" style="1" customWidth="1"/>
    <col min="14858" max="14858" width="5.5703125" style="1" customWidth="1"/>
    <col min="14859" max="14860" width="11.5703125" style="1" customWidth="1"/>
    <col min="14861" max="14861" width="10.85546875" style="1" customWidth="1"/>
    <col min="14862" max="14862" width="7.7109375" style="1" customWidth="1"/>
    <col min="14863" max="14863" width="8" style="1" customWidth="1"/>
    <col min="14864" max="14864" width="16.28515625" style="1" customWidth="1"/>
    <col min="14865" max="14865" width="10.5703125" style="1" customWidth="1"/>
    <col min="14866" max="14866" width="14.140625" style="1" customWidth="1"/>
    <col min="14867" max="14867" width="10.140625" style="1" customWidth="1"/>
    <col min="14868" max="14868" width="15.140625" style="1" customWidth="1"/>
    <col min="14869" max="14869" width="8.5703125" style="1" customWidth="1"/>
    <col min="14870" max="14870" width="14.28515625" style="1" customWidth="1"/>
    <col min="14871" max="14871" width="18.28515625" style="1" customWidth="1"/>
    <col min="14872" max="14872" width="13" style="1" bestFit="1" customWidth="1"/>
    <col min="14873" max="14873" width="11.7109375" style="1" bestFit="1" customWidth="1"/>
    <col min="14874" max="14880" width="9.140625" style="1"/>
    <col min="14881" max="14881" width="11.28515625" style="1" bestFit="1" customWidth="1"/>
    <col min="14882" max="14882" width="10.7109375" style="1" bestFit="1" customWidth="1"/>
    <col min="14883" max="15104" width="9.140625" style="1"/>
    <col min="15105" max="15105" width="6.42578125" style="1" customWidth="1"/>
    <col min="15106" max="15106" width="20.7109375" style="1" customWidth="1"/>
    <col min="15107" max="15107" width="24.7109375" style="1" customWidth="1"/>
    <col min="15108" max="15108" width="11.140625" style="1" customWidth="1"/>
    <col min="15109" max="15109" width="12.28515625" style="1" customWidth="1"/>
    <col min="15110" max="15110" width="11.140625" style="1" customWidth="1"/>
    <col min="15111" max="15111" width="10.42578125" style="1" customWidth="1"/>
    <col min="15112" max="15112" width="4.7109375" style="1" customWidth="1"/>
    <col min="15113" max="15113" width="8.5703125" style="1" customWidth="1"/>
    <col min="15114" max="15114" width="5.5703125" style="1" customWidth="1"/>
    <col min="15115" max="15116" width="11.5703125" style="1" customWidth="1"/>
    <col min="15117" max="15117" width="10.85546875" style="1" customWidth="1"/>
    <col min="15118" max="15118" width="7.7109375" style="1" customWidth="1"/>
    <col min="15119" max="15119" width="8" style="1" customWidth="1"/>
    <col min="15120" max="15120" width="16.28515625" style="1" customWidth="1"/>
    <col min="15121" max="15121" width="10.5703125" style="1" customWidth="1"/>
    <col min="15122" max="15122" width="14.140625" style="1" customWidth="1"/>
    <col min="15123" max="15123" width="10.140625" style="1" customWidth="1"/>
    <col min="15124" max="15124" width="15.140625" style="1" customWidth="1"/>
    <col min="15125" max="15125" width="8.5703125" style="1" customWidth="1"/>
    <col min="15126" max="15126" width="14.28515625" style="1" customWidth="1"/>
    <col min="15127" max="15127" width="18.28515625" style="1" customWidth="1"/>
    <col min="15128" max="15128" width="13" style="1" bestFit="1" customWidth="1"/>
    <col min="15129" max="15129" width="11.7109375" style="1" bestFit="1" customWidth="1"/>
    <col min="15130" max="15136" width="9.140625" style="1"/>
    <col min="15137" max="15137" width="11.28515625" style="1" bestFit="1" customWidth="1"/>
    <col min="15138" max="15138" width="10.7109375" style="1" bestFit="1" customWidth="1"/>
    <col min="15139" max="15360" width="9.140625" style="1"/>
    <col min="15361" max="15361" width="6.42578125" style="1" customWidth="1"/>
    <col min="15362" max="15362" width="20.7109375" style="1" customWidth="1"/>
    <col min="15363" max="15363" width="24.7109375" style="1" customWidth="1"/>
    <col min="15364" max="15364" width="11.140625" style="1" customWidth="1"/>
    <col min="15365" max="15365" width="12.28515625" style="1" customWidth="1"/>
    <col min="15366" max="15366" width="11.140625" style="1" customWidth="1"/>
    <col min="15367" max="15367" width="10.42578125" style="1" customWidth="1"/>
    <col min="15368" max="15368" width="4.7109375" style="1" customWidth="1"/>
    <col min="15369" max="15369" width="8.5703125" style="1" customWidth="1"/>
    <col min="15370" max="15370" width="5.5703125" style="1" customWidth="1"/>
    <col min="15371" max="15372" width="11.5703125" style="1" customWidth="1"/>
    <col min="15373" max="15373" width="10.85546875" style="1" customWidth="1"/>
    <col min="15374" max="15374" width="7.7109375" style="1" customWidth="1"/>
    <col min="15375" max="15375" width="8" style="1" customWidth="1"/>
    <col min="15376" max="15376" width="16.28515625" style="1" customWidth="1"/>
    <col min="15377" max="15377" width="10.5703125" style="1" customWidth="1"/>
    <col min="15378" max="15378" width="14.140625" style="1" customWidth="1"/>
    <col min="15379" max="15379" width="10.140625" style="1" customWidth="1"/>
    <col min="15380" max="15380" width="15.140625" style="1" customWidth="1"/>
    <col min="15381" max="15381" width="8.5703125" style="1" customWidth="1"/>
    <col min="15382" max="15382" width="14.28515625" style="1" customWidth="1"/>
    <col min="15383" max="15383" width="18.28515625" style="1" customWidth="1"/>
    <col min="15384" max="15384" width="13" style="1" bestFit="1" customWidth="1"/>
    <col min="15385" max="15385" width="11.7109375" style="1" bestFit="1" customWidth="1"/>
    <col min="15386" max="15392" width="9.140625" style="1"/>
    <col min="15393" max="15393" width="11.28515625" style="1" bestFit="1" customWidth="1"/>
    <col min="15394" max="15394" width="10.7109375" style="1" bestFit="1" customWidth="1"/>
    <col min="15395" max="15616" width="9.140625" style="1"/>
    <col min="15617" max="15617" width="6.42578125" style="1" customWidth="1"/>
    <col min="15618" max="15618" width="20.7109375" style="1" customWidth="1"/>
    <col min="15619" max="15619" width="24.7109375" style="1" customWidth="1"/>
    <col min="15620" max="15620" width="11.140625" style="1" customWidth="1"/>
    <col min="15621" max="15621" width="12.28515625" style="1" customWidth="1"/>
    <col min="15622" max="15622" width="11.140625" style="1" customWidth="1"/>
    <col min="15623" max="15623" width="10.42578125" style="1" customWidth="1"/>
    <col min="15624" max="15624" width="4.7109375" style="1" customWidth="1"/>
    <col min="15625" max="15625" width="8.5703125" style="1" customWidth="1"/>
    <col min="15626" max="15626" width="5.5703125" style="1" customWidth="1"/>
    <col min="15627" max="15628" width="11.5703125" style="1" customWidth="1"/>
    <col min="15629" max="15629" width="10.85546875" style="1" customWidth="1"/>
    <col min="15630" max="15630" width="7.7109375" style="1" customWidth="1"/>
    <col min="15631" max="15631" width="8" style="1" customWidth="1"/>
    <col min="15632" max="15632" width="16.28515625" style="1" customWidth="1"/>
    <col min="15633" max="15633" width="10.5703125" style="1" customWidth="1"/>
    <col min="15634" max="15634" width="14.140625" style="1" customWidth="1"/>
    <col min="15635" max="15635" width="10.140625" style="1" customWidth="1"/>
    <col min="15636" max="15636" width="15.140625" style="1" customWidth="1"/>
    <col min="15637" max="15637" width="8.5703125" style="1" customWidth="1"/>
    <col min="15638" max="15638" width="14.28515625" style="1" customWidth="1"/>
    <col min="15639" max="15639" width="18.28515625" style="1" customWidth="1"/>
    <col min="15640" max="15640" width="13" style="1" bestFit="1" customWidth="1"/>
    <col min="15641" max="15641" width="11.7109375" style="1" bestFit="1" customWidth="1"/>
    <col min="15642" max="15648" width="9.140625" style="1"/>
    <col min="15649" max="15649" width="11.28515625" style="1" bestFit="1" customWidth="1"/>
    <col min="15650" max="15650" width="10.7109375" style="1" bestFit="1" customWidth="1"/>
    <col min="15651" max="15872" width="9.140625" style="1"/>
    <col min="15873" max="15873" width="6.42578125" style="1" customWidth="1"/>
    <col min="15874" max="15874" width="20.7109375" style="1" customWidth="1"/>
    <col min="15875" max="15875" width="24.7109375" style="1" customWidth="1"/>
    <col min="15876" max="15876" width="11.140625" style="1" customWidth="1"/>
    <col min="15877" max="15877" width="12.28515625" style="1" customWidth="1"/>
    <col min="15878" max="15878" width="11.140625" style="1" customWidth="1"/>
    <col min="15879" max="15879" width="10.42578125" style="1" customWidth="1"/>
    <col min="15880" max="15880" width="4.7109375" style="1" customWidth="1"/>
    <col min="15881" max="15881" width="8.5703125" style="1" customWidth="1"/>
    <col min="15882" max="15882" width="5.5703125" style="1" customWidth="1"/>
    <col min="15883" max="15884" width="11.5703125" style="1" customWidth="1"/>
    <col min="15885" max="15885" width="10.85546875" style="1" customWidth="1"/>
    <col min="15886" max="15886" width="7.7109375" style="1" customWidth="1"/>
    <col min="15887" max="15887" width="8" style="1" customWidth="1"/>
    <col min="15888" max="15888" width="16.28515625" style="1" customWidth="1"/>
    <col min="15889" max="15889" width="10.5703125" style="1" customWidth="1"/>
    <col min="15890" max="15890" width="14.140625" style="1" customWidth="1"/>
    <col min="15891" max="15891" width="10.140625" style="1" customWidth="1"/>
    <col min="15892" max="15892" width="15.140625" style="1" customWidth="1"/>
    <col min="15893" max="15893" width="8.5703125" style="1" customWidth="1"/>
    <col min="15894" max="15894" width="14.28515625" style="1" customWidth="1"/>
    <col min="15895" max="15895" width="18.28515625" style="1" customWidth="1"/>
    <col min="15896" max="15896" width="13" style="1" bestFit="1" customWidth="1"/>
    <col min="15897" max="15897" width="11.7109375" style="1" bestFit="1" customWidth="1"/>
    <col min="15898" max="15904" width="9.140625" style="1"/>
    <col min="15905" max="15905" width="11.28515625" style="1" bestFit="1" customWidth="1"/>
    <col min="15906" max="15906" width="10.7109375" style="1" bestFit="1" customWidth="1"/>
    <col min="15907" max="16128" width="9.140625" style="1"/>
    <col min="16129" max="16129" width="6.42578125" style="1" customWidth="1"/>
    <col min="16130" max="16130" width="20.7109375" style="1" customWidth="1"/>
    <col min="16131" max="16131" width="24.7109375" style="1" customWidth="1"/>
    <col min="16132" max="16132" width="11.140625" style="1" customWidth="1"/>
    <col min="16133" max="16133" width="12.28515625" style="1" customWidth="1"/>
    <col min="16134" max="16134" width="11.140625" style="1" customWidth="1"/>
    <col min="16135" max="16135" width="10.42578125" style="1" customWidth="1"/>
    <col min="16136" max="16136" width="4.7109375" style="1" customWidth="1"/>
    <col min="16137" max="16137" width="8.5703125" style="1" customWidth="1"/>
    <col min="16138" max="16138" width="5.5703125" style="1" customWidth="1"/>
    <col min="16139" max="16140" width="11.5703125" style="1" customWidth="1"/>
    <col min="16141" max="16141" width="10.85546875" style="1" customWidth="1"/>
    <col min="16142" max="16142" width="7.7109375" style="1" customWidth="1"/>
    <col min="16143" max="16143" width="8" style="1" customWidth="1"/>
    <col min="16144" max="16144" width="16.28515625" style="1" customWidth="1"/>
    <col min="16145" max="16145" width="10.5703125" style="1" customWidth="1"/>
    <col min="16146" max="16146" width="14.140625" style="1" customWidth="1"/>
    <col min="16147" max="16147" width="10.140625" style="1" customWidth="1"/>
    <col min="16148" max="16148" width="15.140625" style="1" customWidth="1"/>
    <col min="16149" max="16149" width="8.5703125" style="1" customWidth="1"/>
    <col min="16150" max="16150" width="14.28515625" style="1" customWidth="1"/>
    <col min="16151" max="16151" width="18.28515625" style="1" customWidth="1"/>
    <col min="16152" max="16152" width="13" style="1" bestFit="1" customWidth="1"/>
    <col min="16153" max="16153" width="11.7109375" style="1" bestFit="1" customWidth="1"/>
    <col min="16154" max="16160" width="9.140625" style="1"/>
    <col min="16161" max="16161" width="11.28515625" style="1" bestFit="1" customWidth="1"/>
    <col min="16162" max="16162" width="10.7109375" style="1" bestFit="1" customWidth="1"/>
    <col min="16163" max="16384" width="9.140625" style="1"/>
  </cols>
  <sheetData>
    <row r="1" spans="1:43" ht="9.75" customHeight="1">
      <c r="U1" s="3"/>
    </row>
    <row r="2" spans="1:43" ht="16.5" customHeight="1">
      <c r="A2" s="2328" t="s">
        <v>579</v>
      </c>
      <c r="B2" s="2328"/>
      <c r="C2" s="2328"/>
      <c r="D2" s="2328"/>
      <c r="E2" s="2328"/>
      <c r="F2" s="2328"/>
      <c r="G2" s="2328"/>
      <c r="H2" s="2328"/>
      <c r="I2" s="2328"/>
      <c r="J2" s="2328"/>
      <c r="K2" s="2328"/>
      <c r="L2" s="2328"/>
      <c r="M2" s="2328"/>
      <c r="N2" s="2328"/>
      <c r="O2" s="2328"/>
      <c r="P2" s="2328"/>
      <c r="Q2" s="2328"/>
      <c r="R2" s="2328"/>
      <c r="S2" s="2328"/>
      <c r="T2" s="2328"/>
      <c r="U2" s="2328"/>
      <c r="V2" s="2328"/>
      <c r="W2" s="2328"/>
      <c r="X2" s="24"/>
      <c r="Y2" s="24"/>
    </row>
    <row r="3" spans="1:43" ht="13.5" customHeight="1">
      <c r="A3" s="2309" t="s">
        <v>0</v>
      </c>
      <c r="B3" s="2309"/>
      <c r="C3" s="2309"/>
      <c r="D3" s="2309"/>
      <c r="E3" s="2309"/>
      <c r="F3" s="2309"/>
      <c r="G3" s="2309"/>
      <c r="H3" s="2309"/>
      <c r="I3" s="2309"/>
      <c r="J3" s="2309"/>
      <c r="K3" s="2309"/>
      <c r="L3" s="2309"/>
      <c r="M3" s="2309"/>
      <c r="N3" s="2309"/>
      <c r="O3" s="2309"/>
      <c r="P3" s="2309"/>
      <c r="Q3" s="2309"/>
      <c r="R3" s="2309"/>
      <c r="S3" s="2309"/>
      <c r="T3" s="2309"/>
      <c r="U3" s="2309"/>
      <c r="V3" s="2309"/>
      <c r="W3" s="2309"/>
      <c r="X3" s="24"/>
      <c r="Y3" s="24"/>
    </row>
    <row r="4" spans="1:43" s="895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528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304" t="s">
        <v>395</v>
      </c>
      <c r="P4" s="2256" t="s">
        <v>16</v>
      </c>
      <c r="Q4" s="2256" t="s">
        <v>17</v>
      </c>
      <c r="R4" s="2256"/>
      <c r="S4" s="2256" t="s">
        <v>18</v>
      </c>
      <c r="T4" s="2256"/>
      <c r="U4" s="2256" t="s">
        <v>19</v>
      </c>
      <c r="V4" s="2256"/>
      <c r="W4" s="2306" t="s">
        <v>401</v>
      </c>
      <c r="X4" s="2260" t="s">
        <v>401</v>
      </c>
      <c r="Y4" s="2305" t="s">
        <v>394</v>
      </c>
      <c r="Z4" s="24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</row>
    <row r="5" spans="1:43" s="895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304"/>
      <c r="P5" s="2256"/>
      <c r="Q5" s="896" t="s">
        <v>21</v>
      </c>
      <c r="R5" s="896" t="s">
        <v>22</v>
      </c>
      <c r="S5" s="896" t="s">
        <v>21</v>
      </c>
      <c r="T5" s="896" t="s">
        <v>22</v>
      </c>
      <c r="U5" s="896" t="s">
        <v>21</v>
      </c>
      <c r="V5" s="896" t="s">
        <v>22</v>
      </c>
      <c r="W5" s="2306"/>
      <c r="X5" s="2260"/>
      <c r="Y5" s="2305"/>
      <c r="Z5" s="24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</row>
    <row r="6" spans="1:43" s="377" customFormat="1" ht="15" customHeight="1">
      <c r="A6" s="5">
        <v>1</v>
      </c>
      <c r="B6" s="730" t="s">
        <v>23</v>
      </c>
      <c r="C6" s="6" t="s">
        <v>24</v>
      </c>
      <c r="D6" s="5" t="s">
        <v>25</v>
      </c>
      <c r="E6" s="5" t="s">
        <v>26</v>
      </c>
      <c r="F6" s="5" t="s">
        <v>27</v>
      </c>
      <c r="G6" s="5">
        <v>1</v>
      </c>
      <c r="H6" s="5" t="s">
        <v>28</v>
      </c>
      <c r="I6" s="5" t="s">
        <v>29</v>
      </c>
      <c r="J6" s="731" t="s">
        <v>30</v>
      </c>
      <c r="K6" s="7">
        <v>17697</v>
      </c>
      <c r="L6" s="7"/>
      <c r="M6" s="7">
        <v>1</v>
      </c>
      <c r="N6" s="7"/>
      <c r="O6" s="7">
        <v>5.65</v>
      </c>
      <c r="P6" s="5">
        <f>O6*K6</f>
        <v>99988.05</v>
      </c>
      <c r="Q6" s="7"/>
      <c r="R6" s="8"/>
      <c r="S6" s="7">
        <v>0.1</v>
      </c>
      <c r="T6" s="732">
        <f>S6*P6</f>
        <v>9998.8050000000003</v>
      </c>
      <c r="U6" s="7"/>
      <c r="V6" s="9"/>
      <c r="W6" s="10">
        <f>P6+R6+T6</f>
        <v>109986.85500000001</v>
      </c>
      <c r="X6" s="406">
        <f>Q6+S6+U6</f>
        <v>0.1</v>
      </c>
      <c r="Y6" s="406">
        <f>R6+T6+V6</f>
        <v>9998.8050000000003</v>
      </c>
      <c r="Z6" s="375"/>
      <c r="AA6" s="407"/>
      <c r="AB6" s="374"/>
      <c r="AC6" s="375"/>
      <c r="AD6" s="375"/>
      <c r="AE6" s="375"/>
      <c r="AF6" s="375"/>
      <c r="AG6" s="375"/>
      <c r="AH6" s="375"/>
      <c r="AI6" s="375"/>
      <c r="AJ6" s="375"/>
      <c r="AK6" s="375"/>
      <c r="AL6" s="375"/>
      <c r="AM6" s="375"/>
    </row>
    <row r="7" spans="1:43" s="377" customFormat="1" ht="15" customHeight="1">
      <c r="A7" s="5">
        <v>2</v>
      </c>
      <c r="B7" s="730" t="s">
        <v>31</v>
      </c>
      <c r="C7" s="6" t="s">
        <v>32</v>
      </c>
      <c r="D7" s="5" t="s">
        <v>25</v>
      </c>
      <c r="E7" s="11" t="s">
        <v>33</v>
      </c>
      <c r="F7" s="12" t="s">
        <v>34</v>
      </c>
      <c r="G7" s="5">
        <v>1</v>
      </c>
      <c r="H7" s="5" t="s">
        <v>28</v>
      </c>
      <c r="I7" s="5" t="s">
        <v>35</v>
      </c>
      <c r="J7" s="733" t="s">
        <v>30</v>
      </c>
      <c r="K7" s="7">
        <v>17697</v>
      </c>
      <c r="L7" s="7"/>
      <c r="M7" s="7">
        <v>1</v>
      </c>
      <c r="N7" s="7"/>
      <c r="O7" s="5">
        <v>5.15</v>
      </c>
      <c r="P7" s="7">
        <f>O7*K7</f>
        <v>91139.55</v>
      </c>
      <c r="Q7" s="8"/>
      <c r="R7" s="7"/>
      <c r="S7" s="7">
        <v>0.1</v>
      </c>
      <c r="T7" s="7">
        <f>ROUND(P7*S7*M7,2)</f>
        <v>9113.9599999999991</v>
      </c>
      <c r="U7" s="9"/>
      <c r="V7" s="7"/>
      <c r="W7" s="10">
        <f t="shared" ref="W7:Y25" si="0">P7+R7+T7</f>
        <v>100253.51000000001</v>
      </c>
      <c r="X7" s="406">
        <f t="shared" si="0"/>
        <v>0.1</v>
      </c>
      <c r="Y7" s="406">
        <f t="shared" si="0"/>
        <v>9113.9599999999991</v>
      </c>
      <c r="AG7" s="411"/>
      <c r="AH7" s="412"/>
    </row>
    <row r="8" spans="1:43" s="364" customFormat="1" ht="15" customHeight="1">
      <c r="A8" s="5">
        <v>3</v>
      </c>
      <c r="B8" s="13" t="s">
        <v>36</v>
      </c>
      <c r="C8" s="6" t="s">
        <v>32</v>
      </c>
      <c r="D8" s="14" t="s">
        <v>25</v>
      </c>
      <c r="E8" s="14" t="s">
        <v>37</v>
      </c>
      <c r="F8" s="12" t="s">
        <v>34</v>
      </c>
      <c r="G8" s="14">
        <v>1</v>
      </c>
      <c r="H8" s="5" t="s">
        <v>28</v>
      </c>
      <c r="I8" s="5" t="s">
        <v>35</v>
      </c>
      <c r="J8" s="14">
        <v>3</v>
      </c>
      <c r="K8" s="15">
        <v>17697</v>
      </c>
      <c r="L8" s="15"/>
      <c r="M8" s="15">
        <v>1</v>
      </c>
      <c r="N8" s="7"/>
      <c r="O8" s="16">
        <v>5.15</v>
      </c>
      <c r="P8" s="7">
        <f>O8*K8</f>
        <v>91139.55</v>
      </c>
      <c r="Q8" s="8"/>
      <c r="R8" s="7"/>
      <c r="S8" s="7">
        <v>0.1</v>
      </c>
      <c r="T8" s="7">
        <f>ROUND(P8*S8*M8,2)</f>
        <v>9113.9599999999991</v>
      </c>
      <c r="U8" s="9"/>
      <c r="V8" s="7"/>
      <c r="W8" s="10">
        <f t="shared" si="0"/>
        <v>100253.51000000001</v>
      </c>
      <c r="X8" s="406">
        <f t="shared" si="0"/>
        <v>0.1</v>
      </c>
      <c r="Y8" s="406">
        <f t="shared" si="0"/>
        <v>9113.9599999999991</v>
      </c>
      <c r="AG8" s="421"/>
      <c r="AH8" s="422"/>
    </row>
    <row r="9" spans="1:43" s="418" customFormat="1" ht="15">
      <c r="A9" s="5">
        <v>4</v>
      </c>
      <c r="B9" s="17" t="s">
        <v>38</v>
      </c>
      <c r="C9" s="6" t="s">
        <v>32</v>
      </c>
      <c r="D9" s="16" t="s">
        <v>25</v>
      </c>
      <c r="E9" s="16" t="s">
        <v>39</v>
      </c>
      <c r="F9" s="734" t="s">
        <v>40</v>
      </c>
      <c r="G9" s="16">
        <v>1</v>
      </c>
      <c r="H9" s="5" t="s">
        <v>28</v>
      </c>
      <c r="I9" s="5" t="s">
        <v>35</v>
      </c>
      <c r="J9" s="735">
        <v>3</v>
      </c>
      <c r="K9" s="18">
        <v>17697</v>
      </c>
      <c r="L9" s="18"/>
      <c r="M9" s="18">
        <v>1</v>
      </c>
      <c r="N9" s="18"/>
      <c r="O9" s="16">
        <v>5.15</v>
      </c>
      <c r="P9" s="18">
        <f t="shared" ref="P9:P22" si="1">O9*K9*M9</f>
        <v>91139.55</v>
      </c>
      <c r="Q9" s="19">
        <v>0.25</v>
      </c>
      <c r="R9" s="18">
        <f>Q9*P9</f>
        <v>22784.887500000001</v>
      </c>
      <c r="S9" s="7">
        <v>0.1</v>
      </c>
      <c r="T9" s="18">
        <f>ROUND(P9*S9,2)</f>
        <v>9113.9599999999991</v>
      </c>
      <c r="U9" s="736"/>
      <c r="V9" s="18"/>
      <c r="W9" s="10">
        <f t="shared" si="0"/>
        <v>123038.39749999999</v>
      </c>
      <c r="X9" s="406">
        <f t="shared" si="0"/>
        <v>0.35</v>
      </c>
      <c r="Y9" s="406">
        <f t="shared" si="0"/>
        <v>31898.8475</v>
      </c>
      <c r="Z9" s="374"/>
      <c r="AA9" s="374"/>
      <c r="AB9" s="375"/>
      <c r="AC9" s="375"/>
      <c r="AD9" s="374"/>
      <c r="AE9" s="374"/>
      <c r="AF9" s="375"/>
      <c r="AO9" s="419"/>
      <c r="AP9" s="420">
        <f>P9+T9+R9+V9</f>
        <v>123038.39750000001</v>
      </c>
    </row>
    <row r="10" spans="1:43" s="377" customFormat="1" ht="15" customHeight="1">
      <c r="A10" s="5">
        <v>5</v>
      </c>
      <c r="B10" s="730" t="s">
        <v>41</v>
      </c>
      <c r="C10" s="6" t="s">
        <v>42</v>
      </c>
      <c r="D10" s="5" t="s">
        <v>25</v>
      </c>
      <c r="E10" s="5" t="s">
        <v>43</v>
      </c>
      <c r="F10" s="5" t="s">
        <v>27</v>
      </c>
      <c r="G10" s="5">
        <v>1</v>
      </c>
      <c r="H10" s="20" t="s">
        <v>28</v>
      </c>
      <c r="I10" s="20" t="s">
        <v>29</v>
      </c>
      <c r="J10" s="731" t="s">
        <v>44</v>
      </c>
      <c r="K10" s="7">
        <v>17697</v>
      </c>
      <c r="L10" s="7"/>
      <c r="M10" s="7">
        <v>1</v>
      </c>
      <c r="N10" s="7"/>
      <c r="O10" s="21" t="s">
        <v>509</v>
      </c>
      <c r="P10" s="18">
        <f t="shared" si="1"/>
        <v>95032.89</v>
      </c>
      <c r="Q10" s="7"/>
      <c r="R10" s="8"/>
      <c r="S10" s="7">
        <v>0.1</v>
      </c>
      <c r="T10" s="18">
        <f t="shared" ref="T10:T25" si="2">ROUND(P10*S10,2)</f>
        <v>9503.2900000000009</v>
      </c>
      <c r="U10" s="7"/>
      <c r="V10" s="9"/>
      <c r="W10" s="10">
        <f t="shared" si="0"/>
        <v>104536.18</v>
      </c>
      <c r="X10" s="406">
        <f t="shared" si="0"/>
        <v>0.1</v>
      </c>
      <c r="Y10" s="406">
        <f t="shared" si="0"/>
        <v>9503.2900000000009</v>
      </c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5"/>
    </row>
    <row r="11" spans="1:43" s="377" customFormat="1" ht="15" customHeight="1">
      <c r="A11" s="5">
        <v>6</v>
      </c>
      <c r="B11" s="730" t="s">
        <v>45</v>
      </c>
      <c r="C11" s="6" t="s">
        <v>46</v>
      </c>
      <c r="D11" s="560" t="s">
        <v>25</v>
      </c>
      <c r="E11" s="582" t="s">
        <v>47</v>
      </c>
      <c r="F11" s="582" t="s">
        <v>34</v>
      </c>
      <c r="G11" s="560">
        <v>1</v>
      </c>
      <c r="H11" s="5" t="s">
        <v>28</v>
      </c>
      <c r="I11" s="5" t="s">
        <v>29</v>
      </c>
      <c r="J11" s="731" t="s">
        <v>44</v>
      </c>
      <c r="K11" s="7">
        <v>17697</v>
      </c>
      <c r="L11" s="7"/>
      <c r="M11" s="7">
        <v>1</v>
      </c>
      <c r="N11" s="7"/>
      <c r="O11" s="7">
        <v>5.37</v>
      </c>
      <c r="P11" s="18">
        <f t="shared" si="1"/>
        <v>95032.89</v>
      </c>
      <c r="Q11" s="19"/>
      <c r="R11" s="7"/>
      <c r="S11" s="7">
        <v>0.1</v>
      </c>
      <c r="T11" s="18">
        <f t="shared" si="2"/>
        <v>9503.2900000000009</v>
      </c>
      <c r="U11" s="9"/>
      <c r="V11" s="7"/>
      <c r="W11" s="10">
        <f t="shared" si="0"/>
        <v>104536.18</v>
      </c>
      <c r="X11" s="406">
        <f t="shared" si="0"/>
        <v>0.1</v>
      </c>
      <c r="Y11" s="406">
        <f t="shared" si="0"/>
        <v>9503.2900000000009</v>
      </c>
    </row>
    <row r="12" spans="1:43" s="377" customFormat="1" ht="15" customHeight="1">
      <c r="A12" s="5">
        <v>7</v>
      </c>
      <c r="B12" s="730" t="s">
        <v>48</v>
      </c>
      <c r="C12" s="6" t="s">
        <v>49</v>
      </c>
      <c r="D12" s="5" t="s">
        <v>25</v>
      </c>
      <c r="E12" s="5" t="s">
        <v>50</v>
      </c>
      <c r="F12" s="5" t="s">
        <v>51</v>
      </c>
      <c r="G12" s="5">
        <v>1</v>
      </c>
      <c r="H12" s="20" t="s">
        <v>28</v>
      </c>
      <c r="I12" s="20" t="s">
        <v>35</v>
      </c>
      <c r="J12" s="731" t="s">
        <v>30</v>
      </c>
      <c r="K12" s="7">
        <v>17697</v>
      </c>
      <c r="L12" s="7"/>
      <c r="M12" s="7">
        <v>1</v>
      </c>
      <c r="N12" s="7"/>
      <c r="O12" s="21" t="s">
        <v>510</v>
      </c>
      <c r="P12" s="18">
        <f t="shared" si="1"/>
        <v>88661.97</v>
      </c>
      <c r="Q12" s="7"/>
      <c r="R12" s="8"/>
      <c r="S12" s="7">
        <v>0.1</v>
      </c>
      <c r="T12" s="18">
        <f t="shared" si="2"/>
        <v>8866.2000000000007</v>
      </c>
      <c r="U12" s="7"/>
      <c r="V12" s="9"/>
      <c r="W12" s="10">
        <f t="shared" si="0"/>
        <v>97528.17</v>
      </c>
      <c r="X12" s="406">
        <f t="shared" si="0"/>
        <v>0.1</v>
      </c>
      <c r="Y12" s="406">
        <f t="shared" si="0"/>
        <v>8866.2000000000007</v>
      </c>
      <c r="Z12" s="375"/>
      <c r="AA12" s="375"/>
      <c r="AB12" s="375"/>
      <c r="AC12" s="375"/>
      <c r="AD12" s="375"/>
      <c r="AE12" s="375"/>
      <c r="AF12" s="375"/>
      <c r="AG12" s="375"/>
      <c r="AH12" s="375"/>
      <c r="AI12" s="375"/>
      <c r="AJ12" s="375"/>
      <c r="AK12" s="375"/>
      <c r="AL12" s="375"/>
      <c r="AM12" s="375"/>
    </row>
    <row r="13" spans="1:43" s="377" customFormat="1" ht="15" customHeight="1">
      <c r="A13" s="5">
        <v>8</v>
      </c>
      <c r="B13" s="26" t="s">
        <v>52</v>
      </c>
      <c r="C13" s="6" t="s">
        <v>53</v>
      </c>
      <c r="D13" s="5" t="s">
        <v>25</v>
      </c>
      <c r="E13" s="5" t="s">
        <v>54</v>
      </c>
      <c r="F13" s="5" t="s">
        <v>55</v>
      </c>
      <c r="G13" s="5">
        <v>1</v>
      </c>
      <c r="H13" s="20" t="s">
        <v>56</v>
      </c>
      <c r="I13" s="20" t="s">
        <v>56</v>
      </c>
      <c r="J13" s="731" t="s">
        <v>57</v>
      </c>
      <c r="K13" s="7">
        <v>17697</v>
      </c>
      <c r="L13" s="7"/>
      <c r="M13" s="7">
        <v>1</v>
      </c>
      <c r="N13" s="7"/>
      <c r="O13" s="21" t="s">
        <v>511</v>
      </c>
      <c r="P13" s="18">
        <f t="shared" si="1"/>
        <v>60169.799999999996</v>
      </c>
      <c r="Q13" s="7"/>
      <c r="R13" s="8"/>
      <c r="S13" s="7">
        <v>0.1</v>
      </c>
      <c r="T13" s="18">
        <f t="shared" si="2"/>
        <v>6016.98</v>
      </c>
      <c r="U13" s="7"/>
      <c r="V13" s="9"/>
      <c r="W13" s="10">
        <f t="shared" si="0"/>
        <v>66186.78</v>
      </c>
      <c r="X13" s="406">
        <f t="shared" si="0"/>
        <v>0.1</v>
      </c>
      <c r="Y13" s="406">
        <f t="shared" si="0"/>
        <v>6016.98</v>
      </c>
      <c r="Z13" s="375"/>
      <c r="AA13" s="375"/>
      <c r="AB13" s="375"/>
      <c r="AC13" s="375"/>
      <c r="AD13" s="375"/>
      <c r="AE13" s="375"/>
      <c r="AF13" s="375"/>
      <c r="AG13" s="375"/>
      <c r="AH13" s="375"/>
      <c r="AI13" s="375"/>
      <c r="AJ13" s="375"/>
      <c r="AK13" s="375"/>
      <c r="AL13" s="375"/>
      <c r="AM13" s="375"/>
    </row>
    <row r="14" spans="1:43" s="377" customFormat="1" ht="18" customHeight="1">
      <c r="A14" s="5">
        <v>9</v>
      </c>
      <c r="B14" s="26" t="s">
        <v>399</v>
      </c>
      <c r="C14" s="6" t="s">
        <v>59</v>
      </c>
      <c r="D14" s="5" t="s">
        <v>25</v>
      </c>
      <c r="E14" s="34" t="s">
        <v>418</v>
      </c>
      <c r="F14" s="5" t="s">
        <v>77</v>
      </c>
      <c r="G14" s="40">
        <v>1</v>
      </c>
      <c r="H14" s="5" t="s">
        <v>61</v>
      </c>
      <c r="I14" s="5" t="s">
        <v>61</v>
      </c>
      <c r="J14" s="27">
        <v>1</v>
      </c>
      <c r="K14" s="7">
        <v>17697</v>
      </c>
      <c r="L14" s="7"/>
      <c r="M14" s="7">
        <v>1</v>
      </c>
      <c r="N14" s="732"/>
      <c r="O14" s="21" t="s">
        <v>512</v>
      </c>
      <c r="P14" s="18">
        <f t="shared" si="1"/>
        <v>44950.38</v>
      </c>
      <c r="Q14" s="7"/>
      <c r="R14" s="8"/>
      <c r="S14" s="7">
        <v>0.1</v>
      </c>
      <c r="T14" s="18">
        <f>ROUND(P14*S14,2)</f>
        <v>4495.04</v>
      </c>
      <c r="U14" s="7"/>
      <c r="V14" s="9"/>
      <c r="W14" s="10">
        <f>P14+R14+T14</f>
        <v>49445.42</v>
      </c>
      <c r="X14" s="406">
        <f t="shared" si="0"/>
        <v>0.1</v>
      </c>
      <c r="Y14" s="406">
        <f t="shared" si="0"/>
        <v>4495.04</v>
      </c>
      <c r="Z14" s="375"/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5"/>
    </row>
    <row r="15" spans="1:43" s="377" customFormat="1" ht="15" customHeight="1">
      <c r="A15" s="5">
        <v>10</v>
      </c>
      <c r="B15" s="26" t="s">
        <v>62</v>
      </c>
      <c r="C15" s="13" t="s">
        <v>63</v>
      </c>
      <c r="D15" s="5" t="s">
        <v>64</v>
      </c>
      <c r="E15" s="5" t="s">
        <v>412</v>
      </c>
      <c r="F15" s="5" t="s">
        <v>66</v>
      </c>
      <c r="G15" s="5">
        <v>1</v>
      </c>
      <c r="H15" s="20" t="s">
        <v>56</v>
      </c>
      <c r="I15" s="20" t="s">
        <v>56</v>
      </c>
      <c r="J15" s="27">
        <v>3</v>
      </c>
      <c r="K15" s="7">
        <v>17697</v>
      </c>
      <c r="L15" s="7"/>
      <c r="M15" s="7">
        <v>1</v>
      </c>
      <c r="N15" s="7"/>
      <c r="O15" s="7">
        <v>2.96</v>
      </c>
      <c r="P15" s="18">
        <f t="shared" si="1"/>
        <v>52383.12</v>
      </c>
      <c r="Q15" s="7"/>
      <c r="R15" s="8"/>
      <c r="S15" s="7">
        <v>0.1</v>
      </c>
      <c r="T15" s="18">
        <f t="shared" si="2"/>
        <v>5238.3100000000004</v>
      </c>
      <c r="U15" s="7"/>
      <c r="V15" s="9"/>
      <c r="W15" s="10">
        <f t="shared" si="0"/>
        <v>57621.43</v>
      </c>
      <c r="X15" s="406">
        <f t="shared" si="0"/>
        <v>0.1</v>
      </c>
      <c r="Y15" s="406">
        <f t="shared" si="0"/>
        <v>5238.3100000000004</v>
      </c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</row>
    <row r="16" spans="1:43" s="377" customFormat="1" ht="15" customHeight="1">
      <c r="A16" s="5">
        <v>11</v>
      </c>
      <c r="B16" s="26" t="s">
        <v>400</v>
      </c>
      <c r="C16" s="13" t="s">
        <v>63</v>
      </c>
      <c r="D16" s="5" t="s">
        <v>64</v>
      </c>
      <c r="E16" s="732">
        <v>0</v>
      </c>
      <c r="F16" s="5" t="s">
        <v>159</v>
      </c>
      <c r="G16" s="5">
        <v>1.5</v>
      </c>
      <c r="H16" s="20" t="s">
        <v>69</v>
      </c>
      <c r="I16" s="20" t="s">
        <v>69</v>
      </c>
      <c r="J16" s="737" t="s">
        <v>30</v>
      </c>
      <c r="K16" s="7">
        <v>17697</v>
      </c>
      <c r="L16" s="7"/>
      <c r="M16" s="7">
        <v>1.5</v>
      </c>
      <c r="N16" s="7"/>
      <c r="O16" s="5">
        <v>2.76</v>
      </c>
      <c r="P16" s="18">
        <f>O16*K16*M16</f>
        <v>73265.579999999987</v>
      </c>
      <c r="Q16" s="8"/>
      <c r="R16" s="7"/>
      <c r="S16" s="7">
        <v>0.1</v>
      </c>
      <c r="T16" s="18">
        <f t="shared" si="2"/>
        <v>7326.56</v>
      </c>
      <c r="U16" s="9"/>
      <c r="V16" s="7"/>
      <c r="W16" s="10">
        <f>P16+R16+T16</f>
        <v>80592.139999999985</v>
      </c>
      <c r="X16" s="406">
        <f t="shared" si="0"/>
        <v>0.1</v>
      </c>
      <c r="Y16" s="406">
        <f t="shared" si="0"/>
        <v>7326.56</v>
      </c>
    </row>
    <row r="17" spans="1:39" s="364" customFormat="1" ht="15.75" customHeight="1">
      <c r="A17" s="5">
        <v>12</v>
      </c>
      <c r="B17" s="13" t="s">
        <v>378</v>
      </c>
      <c r="C17" s="13" t="s">
        <v>63</v>
      </c>
      <c r="D17" s="5" t="s">
        <v>64</v>
      </c>
      <c r="E17" s="14">
        <v>0</v>
      </c>
      <c r="F17" s="5" t="s">
        <v>159</v>
      </c>
      <c r="G17" s="5">
        <v>0.5</v>
      </c>
      <c r="H17" s="15" t="s">
        <v>56</v>
      </c>
      <c r="I17" s="15" t="s">
        <v>56</v>
      </c>
      <c r="J17" s="14">
        <v>3</v>
      </c>
      <c r="K17" s="15">
        <v>17697</v>
      </c>
      <c r="L17" s="15"/>
      <c r="M17" s="7">
        <v>0.5</v>
      </c>
      <c r="N17" s="21"/>
      <c r="O17" s="5">
        <v>2.76</v>
      </c>
      <c r="P17" s="18">
        <f t="shared" si="1"/>
        <v>24421.859999999997</v>
      </c>
      <c r="Q17" s="8"/>
      <c r="R17" s="7"/>
      <c r="S17" s="7">
        <v>0.1</v>
      </c>
      <c r="T17" s="18">
        <f t="shared" si="2"/>
        <v>2442.19</v>
      </c>
      <c r="U17" s="9"/>
      <c r="V17" s="7"/>
      <c r="W17" s="10">
        <f t="shared" si="0"/>
        <v>26864.049999999996</v>
      </c>
      <c r="X17" s="406">
        <f t="shared" si="0"/>
        <v>0.1</v>
      </c>
      <c r="Y17" s="406">
        <f t="shared" si="0"/>
        <v>2442.19</v>
      </c>
    </row>
    <row r="18" spans="1:39" s="364" customFormat="1" ht="15.75" customHeight="1">
      <c r="A18" s="5">
        <v>13</v>
      </c>
      <c r="B18" s="13" t="s">
        <v>70</v>
      </c>
      <c r="C18" s="13" t="s">
        <v>71</v>
      </c>
      <c r="D18" s="5" t="s">
        <v>25</v>
      </c>
      <c r="E18" s="14" t="s">
        <v>72</v>
      </c>
      <c r="F18" s="5" t="s">
        <v>73</v>
      </c>
      <c r="G18" s="5">
        <v>1</v>
      </c>
      <c r="H18" s="738" t="s">
        <v>56</v>
      </c>
      <c r="I18" s="738" t="s">
        <v>56</v>
      </c>
      <c r="J18" s="738">
        <v>2</v>
      </c>
      <c r="K18" s="15">
        <v>17697</v>
      </c>
      <c r="L18" s="15"/>
      <c r="M18" s="10">
        <v>0.5</v>
      </c>
      <c r="N18" s="21"/>
      <c r="O18" s="7">
        <v>3.54</v>
      </c>
      <c r="P18" s="18">
        <f>O18*K18*M18</f>
        <v>31323.69</v>
      </c>
      <c r="Q18" s="8"/>
      <c r="R18" s="7"/>
      <c r="S18" s="7">
        <v>0.1</v>
      </c>
      <c r="T18" s="18">
        <f>ROUND(P18*S18,2)</f>
        <v>3132.37</v>
      </c>
      <c r="U18" s="9">
        <v>0.2</v>
      </c>
      <c r="V18" s="7">
        <f>U18*K18*50%</f>
        <v>1769.7</v>
      </c>
      <c r="W18" s="10">
        <f t="shared" ref="W18:Y19" si="3">P18+R18+T18+V18</f>
        <v>36225.759999999995</v>
      </c>
      <c r="X18" s="406">
        <f t="shared" si="3"/>
        <v>36226.06</v>
      </c>
      <c r="Y18" s="406">
        <f t="shared" si="3"/>
        <v>41128.129999999997</v>
      </c>
    </row>
    <row r="19" spans="1:39" s="364" customFormat="1" ht="15.75" customHeight="1">
      <c r="A19" s="5">
        <v>14</v>
      </c>
      <c r="B19" s="13" t="s">
        <v>378</v>
      </c>
      <c r="C19" s="13" t="s">
        <v>71</v>
      </c>
      <c r="D19" s="5" t="s">
        <v>75</v>
      </c>
      <c r="E19" s="14">
        <v>0</v>
      </c>
      <c r="F19" s="5" t="s">
        <v>159</v>
      </c>
      <c r="G19" s="5">
        <v>0.5</v>
      </c>
      <c r="H19" s="15" t="s">
        <v>56</v>
      </c>
      <c r="I19" s="15" t="s">
        <v>56</v>
      </c>
      <c r="J19" s="14">
        <v>3</v>
      </c>
      <c r="K19" s="15">
        <v>17697</v>
      </c>
      <c r="L19" s="15"/>
      <c r="M19" s="10">
        <v>0.5</v>
      </c>
      <c r="N19" s="21"/>
      <c r="O19" s="5">
        <v>2.76</v>
      </c>
      <c r="P19" s="18">
        <f>O19*K19*M19</f>
        <v>24421.859999999997</v>
      </c>
      <c r="Q19" s="8"/>
      <c r="R19" s="7"/>
      <c r="S19" s="7">
        <v>0.1</v>
      </c>
      <c r="T19" s="18">
        <f t="shared" si="2"/>
        <v>2442.19</v>
      </c>
      <c r="U19" s="9">
        <v>0.2</v>
      </c>
      <c r="V19" s="7">
        <f>U19*K19*50%</f>
        <v>1769.7</v>
      </c>
      <c r="W19" s="10">
        <f>P19+R19+T19+V19</f>
        <v>28633.749999999996</v>
      </c>
      <c r="X19" s="406">
        <f t="shared" si="3"/>
        <v>28634.049999999996</v>
      </c>
      <c r="Y19" s="406">
        <f t="shared" si="3"/>
        <v>32845.939999999995</v>
      </c>
    </row>
    <row r="20" spans="1:39" s="377" customFormat="1" ht="15" customHeight="1">
      <c r="A20" s="5">
        <v>15</v>
      </c>
      <c r="B20" s="26" t="s">
        <v>78</v>
      </c>
      <c r="C20" s="6" t="s">
        <v>79</v>
      </c>
      <c r="D20" s="5" t="s">
        <v>25</v>
      </c>
      <c r="E20" s="5" t="s">
        <v>413</v>
      </c>
      <c r="F20" s="5" t="s">
        <v>73</v>
      </c>
      <c r="G20" s="5">
        <v>1</v>
      </c>
      <c r="H20" s="5" t="s">
        <v>56</v>
      </c>
      <c r="I20" s="5" t="s">
        <v>56</v>
      </c>
      <c r="J20" s="27">
        <v>2</v>
      </c>
      <c r="K20" s="7">
        <v>17697</v>
      </c>
      <c r="L20" s="7"/>
      <c r="M20" s="7">
        <v>0.5</v>
      </c>
      <c r="N20" s="739"/>
      <c r="O20" s="7">
        <v>3.54</v>
      </c>
      <c r="P20" s="18">
        <f t="shared" si="1"/>
        <v>31323.69</v>
      </c>
      <c r="Q20" s="7"/>
      <c r="R20" s="8"/>
      <c r="S20" s="7">
        <v>0.1</v>
      </c>
      <c r="T20" s="18">
        <f t="shared" si="2"/>
        <v>3132.37</v>
      </c>
      <c r="U20" s="7"/>
      <c r="V20" s="9"/>
      <c r="W20" s="10">
        <f t="shared" si="0"/>
        <v>34456.06</v>
      </c>
      <c r="X20" s="406">
        <f t="shared" si="0"/>
        <v>0.1</v>
      </c>
      <c r="Y20" s="406">
        <f t="shared" si="0"/>
        <v>3132.37</v>
      </c>
      <c r="Z20" s="375"/>
      <c r="AA20" s="375"/>
      <c r="AB20" s="375"/>
      <c r="AC20" s="375"/>
      <c r="AD20" s="375"/>
      <c r="AE20" s="375"/>
      <c r="AF20" s="375"/>
      <c r="AG20" s="375"/>
      <c r="AH20" s="375"/>
      <c r="AI20" s="375"/>
      <c r="AJ20" s="375"/>
      <c r="AK20" s="375"/>
      <c r="AL20" s="375"/>
      <c r="AM20" s="375"/>
    </row>
    <row r="21" spans="1:39" s="390" customFormat="1" ht="15.75" customHeight="1">
      <c r="A21" s="5">
        <v>16</v>
      </c>
      <c r="B21" s="29" t="s">
        <v>81</v>
      </c>
      <c r="C21" s="6" t="s">
        <v>82</v>
      </c>
      <c r="D21" s="30" t="s">
        <v>64</v>
      </c>
      <c r="E21" s="5" t="s">
        <v>413</v>
      </c>
      <c r="F21" s="30" t="s">
        <v>84</v>
      </c>
      <c r="G21" s="21">
        <v>1</v>
      </c>
      <c r="H21" s="20" t="s">
        <v>56</v>
      </c>
      <c r="I21" s="5" t="s">
        <v>56</v>
      </c>
      <c r="J21" s="20">
        <v>3</v>
      </c>
      <c r="K21" s="7">
        <v>17697</v>
      </c>
      <c r="L21" s="7"/>
      <c r="M21" s="7">
        <v>1</v>
      </c>
      <c r="N21" s="7"/>
      <c r="O21" s="7">
        <v>2.91</v>
      </c>
      <c r="P21" s="18">
        <f t="shared" si="1"/>
        <v>51498.270000000004</v>
      </c>
      <c r="Q21" s="7"/>
      <c r="R21" s="8"/>
      <c r="S21" s="7">
        <v>0.1</v>
      </c>
      <c r="T21" s="18">
        <f t="shared" si="2"/>
        <v>5149.83</v>
      </c>
      <c r="U21" s="7"/>
      <c r="V21" s="9"/>
      <c r="W21" s="10">
        <f t="shared" si="0"/>
        <v>56648.100000000006</v>
      </c>
      <c r="X21" s="406">
        <f t="shared" si="0"/>
        <v>0.1</v>
      </c>
      <c r="Y21" s="406">
        <f t="shared" si="0"/>
        <v>5149.83</v>
      </c>
      <c r="Z21" s="389"/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</row>
    <row r="22" spans="1:39" s="377" customFormat="1" ht="18" customHeight="1">
      <c r="A22" s="5">
        <v>17</v>
      </c>
      <c r="B22" s="26" t="s">
        <v>85</v>
      </c>
      <c r="C22" s="6" t="s">
        <v>86</v>
      </c>
      <c r="D22" s="5" t="s">
        <v>25</v>
      </c>
      <c r="E22" s="7" t="s">
        <v>515</v>
      </c>
      <c r="F22" s="5" t="s">
        <v>249</v>
      </c>
      <c r="G22" s="5">
        <v>1</v>
      </c>
      <c r="H22" s="5" t="s">
        <v>56</v>
      </c>
      <c r="I22" s="5" t="s">
        <v>56</v>
      </c>
      <c r="J22" s="731" t="s">
        <v>57</v>
      </c>
      <c r="K22" s="7">
        <v>17697</v>
      </c>
      <c r="L22" s="7"/>
      <c r="M22" s="7">
        <v>1</v>
      </c>
      <c r="N22" s="7"/>
      <c r="O22" s="7">
        <v>3.4</v>
      </c>
      <c r="P22" s="18">
        <f t="shared" si="1"/>
        <v>60169.799999999996</v>
      </c>
      <c r="Q22" s="8"/>
      <c r="R22" s="740"/>
      <c r="S22" s="7">
        <v>0.1</v>
      </c>
      <c r="T22" s="18">
        <f t="shared" si="2"/>
        <v>6016.98</v>
      </c>
      <c r="U22" s="741"/>
      <c r="V22" s="740"/>
      <c r="W22" s="10">
        <f t="shared" si="0"/>
        <v>66186.78</v>
      </c>
      <c r="X22" s="406">
        <f t="shared" si="0"/>
        <v>0.1</v>
      </c>
      <c r="Y22" s="406">
        <f t="shared" si="0"/>
        <v>6016.98</v>
      </c>
    </row>
    <row r="23" spans="1:39" s="377" customFormat="1" ht="17.25" customHeight="1">
      <c r="A23" s="5">
        <v>18</v>
      </c>
      <c r="B23" s="690" t="s">
        <v>294</v>
      </c>
      <c r="C23" s="6" t="s">
        <v>86</v>
      </c>
      <c r="D23" s="20" t="s">
        <v>25</v>
      </c>
      <c r="E23" s="742">
        <v>0</v>
      </c>
      <c r="F23" s="742" t="s">
        <v>159</v>
      </c>
      <c r="G23" s="743">
        <v>1</v>
      </c>
      <c r="H23" s="5" t="s">
        <v>56</v>
      </c>
      <c r="I23" s="5" t="s">
        <v>56</v>
      </c>
      <c r="J23" s="731" t="s">
        <v>57</v>
      </c>
      <c r="K23" s="7">
        <v>17697</v>
      </c>
      <c r="L23" s="34"/>
      <c r="M23" s="35">
        <v>1</v>
      </c>
      <c r="N23" s="34"/>
      <c r="O23" s="34">
        <v>3.28</v>
      </c>
      <c r="P23" s="36">
        <f>O23*K23*M23</f>
        <v>58046.159999999996</v>
      </c>
      <c r="Q23" s="37"/>
      <c r="R23" s="34"/>
      <c r="S23" s="34">
        <v>0.1</v>
      </c>
      <c r="T23" s="36">
        <f>ROUND(P23*S23,2)</f>
        <v>5804.62</v>
      </c>
      <c r="U23" s="38"/>
      <c r="V23" s="34"/>
      <c r="W23" s="35">
        <f>P23+R23+T23</f>
        <v>63850.78</v>
      </c>
      <c r="X23" s="437">
        <f t="shared" si="0"/>
        <v>0.1</v>
      </c>
      <c r="Y23" s="437">
        <f t="shared" si="0"/>
        <v>5804.62</v>
      </c>
    </row>
    <row r="24" spans="1:39" s="377" customFormat="1" ht="17.25" customHeight="1">
      <c r="A24" s="5">
        <v>19</v>
      </c>
      <c r="B24" s="32" t="s">
        <v>373</v>
      </c>
      <c r="C24" s="39" t="s">
        <v>95</v>
      </c>
      <c r="D24" s="40" t="s">
        <v>25</v>
      </c>
      <c r="E24" s="34" t="s">
        <v>415</v>
      </c>
      <c r="F24" s="40" t="s">
        <v>376</v>
      </c>
      <c r="G24" s="40">
        <v>0.5</v>
      </c>
      <c r="H24" s="40" t="s">
        <v>56</v>
      </c>
      <c r="I24" s="40" t="s">
        <v>56</v>
      </c>
      <c r="J24" s="41" t="s">
        <v>57</v>
      </c>
      <c r="K24" s="34">
        <v>17697</v>
      </c>
      <c r="L24" s="34"/>
      <c r="M24" s="34">
        <v>0.5</v>
      </c>
      <c r="N24" s="34"/>
      <c r="O24" s="34">
        <v>3.34</v>
      </c>
      <c r="P24" s="36">
        <f>O24*K24*M24</f>
        <v>29553.989999999998</v>
      </c>
      <c r="Q24" s="37"/>
      <c r="R24" s="34"/>
      <c r="S24" s="34">
        <v>0.1</v>
      </c>
      <c r="T24" s="36">
        <f t="shared" si="2"/>
        <v>2955.4</v>
      </c>
      <c r="U24" s="38"/>
      <c r="V24" s="34"/>
      <c r="W24" s="35">
        <f t="shared" si="0"/>
        <v>32509.39</v>
      </c>
      <c r="X24" s="437">
        <f t="shared" si="0"/>
        <v>0.1</v>
      </c>
      <c r="Y24" s="437">
        <f t="shared" si="0"/>
        <v>2955.4</v>
      </c>
      <c r="AC24" s="412"/>
    </row>
    <row r="25" spans="1:39" s="377" customFormat="1" ht="17.25" customHeight="1">
      <c r="A25" s="5">
        <v>20</v>
      </c>
      <c r="B25" s="32" t="s">
        <v>399</v>
      </c>
      <c r="C25" s="39" t="s">
        <v>95</v>
      </c>
      <c r="D25" s="40" t="s">
        <v>25</v>
      </c>
      <c r="E25" s="34" t="s">
        <v>419</v>
      </c>
      <c r="F25" s="5" t="s">
        <v>403</v>
      </c>
      <c r="G25" s="40">
        <v>0.5</v>
      </c>
      <c r="H25" s="40" t="s">
        <v>56</v>
      </c>
      <c r="I25" s="40" t="s">
        <v>56</v>
      </c>
      <c r="J25" s="41" t="s">
        <v>57</v>
      </c>
      <c r="K25" s="34">
        <v>17697</v>
      </c>
      <c r="L25" s="34"/>
      <c r="M25" s="34">
        <v>0.5</v>
      </c>
      <c r="N25" s="34"/>
      <c r="O25" s="34">
        <v>3.4</v>
      </c>
      <c r="P25" s="36">
        <f>O25*K25*M25</f>
        <v>30084.899999999998</v>
      </c>
      <c r="Q25" s="37"/>
      <c r="R25" s="34"/>
      <c r="S25" s="34">
        <v>0.1</v>
      </c>
      <c r="T25" s="36">
        <f t="shared" si="2"/>
        <v>3008.49</v>
      </c>
      <c r="U25" s="38"/>
      <c r="V25" s="34"/>
      <c r="W25" s="35">
        <f>P25+R25+T25</f>
        <v>33093.39</v>
      </c>
      <c r="X25" s="437">
        <f t="shared" si="0"/>
        <v>0.1</v>
      </c>
      <c r="Y25" s="437">
        <f t="shared" si="0"/>
        <v>3008.49</v>
      </c>
    </row>
    <row r="26" spans="1:39" s="24" customFormat="1" ht="17.25" customHeight="1">
      <c r="A26" s="95"/>
      <c r="B26" s="105"/>
      <c r="C26" s="106"/>
      <c r="D26" s="95"/>
      <c r="E26" s="97"/>
      <c r="F26" s="95"/>
      <c r="G26" s="95"/>
      <c r="H26" s="95"/>
      <c r="I26" s="95"/>
      <c r="J26" s="123"/>
      <c r="K26" s="97"/>
      <c r="L26" s="97"/>
      <c r="M26" s="97"/>
      <c r="N26" s="97"/>
      <c r="O26" s="197"/>
      <c r="P26" s="101"/>
      <c r="Q26" s="102"/>
      <c r="R26" s="97"/>
      <c r="S26" s="97"/>
      <c r="T26" s="101"/>
      <c r="U26" s="103"/>
      <c r="V26" s="97"/>
      <c r="W26" s="203"/>
      <c r="X26" s="104"/>
      <c r="Y26" s="104"/>
      <c r="AB26" s="22">
        <f>SUM(W6:W25)</f>
        <v>1372446.6325000001</v>
      </c>
      <c r="AC26" s="683"/>
    </row>
    <row r="27" spans="1:39" s="377" customFormat="1" ht="17.25" customHeight="1">
      <c r="A27" s="547">
        <v>22</v>
      </c>
      <c r="B27" s="548" t="s">
        <v>98</v>
      </c>
      <c r="C27" s="549" t="s">
        <v>99</v>
      </c>
      <c r="D27" s="547" t="s">
        <v>25</v>
      </c>
      <c r="E27" s="550" t="s">
        <v>462</v>
      </c>
      <c r="F27" s="550" t="s">
        <v>463</v>
      </c>
      <c r="G27" s="547">
        <v>1</v>
      </c>
      <c r="H27" s="547" t="s">
        <v>102</v>
      </c>
      <c r="I27" s="547" t="s">
        <v>103</v>
      </c>
      <c r="J27" s="551">
        <v>1</v>
      </c>
      <c r="K27" s="552">
        <v>17697</v>
      </c>
      <c r="L27" s="553">
        <v>35</v>
      </c>
      <c r="M27" s="554">
        <f>L27/18</f>
        <v>1.9444444444444444</v>
      </c>
      <c r="N27" s="555" t="s">
        <v>104</v>
      </c>
      <c r="O27" s="550">
        <v>4.1399999999999997</v>
      </c>
      <c r="P27" s="556">
        <f>O27*K27/18*L27</f>
        <v>142460.84999999998</v>
      </c>
      <c r="Q27" s="557"/>
      <c r="R27" s="552"/>
      <c r="S27" s="552">
        <v>0.1</v>
      </c>
      <c r="T27" s="556">
        <f>S27*P27</f>
        <v>14246.084999999999</v>
      </c>
      <c r="U27" s="558"/>
      <c r="V27" s="552"/>
      <c r="W27" s="559">
        <f>T27+P27</f>
        <v>156706.93499999997</v>
      </c>
      <c r="X27" s="363">
        <f>U27+Q27</f>
        <v>0</v>
      </c>
      <c r="Y27" s="363">
        <f>V27+R27</f>
        <v>0</v>
      </c>
    </row>
    <row r="28" spans="1:39" s="377" customFormat="1" ht="17.25" customHeight="1">
      <c r="A28" s="560">
        <v>23</v>
      </c>
      <c r="B28" s="153" t="s">
        <v>41</v>
      </c>
      <c r="C28" s="561" t="s">
        <v>99</v>
      </c>
      <c r="D28" s="560" t="s">
        <v>25</v>
      </c>
      <c r="E28" s="562" t="s">
        <v>466</v>
      </c>
      <c r="F28" s="562" t="s">
        <v>34</v>
      </c>
      <c r="G28" s="560">
        <v>1</v>
      </c>
      <c r="H28" s="563" t="s">
        <v>102</v>
      </c>
      <c r="I28" s="563" t="s">
        <v>103</v>
      </c>
      <c r="J28" s="564">
        <v>2</v>
      </c>
      <c r="K28" s="554">
        <v>17697</v>
      </c>
      <c r="L28" s="565">
        <v>9</v>
      </c>
      <c r="M28" s="554">
        <f t="shared" ref="M28:M77" si="4">L28/18</f>
        <v>0.5</v>
      </c>
      <c r="N28" s="566" t="s">
        <v>104</v>
      </c>
      <c r="O28" s="566">
        <v>3.92</v>
      </c>
      <c r="P28" s="556">
        <f t="shared" ref="P28:P41" si="5">O28*K28/18*L28</f>
        <v>34686.120000000003</v>
      </c>
      <c r="Q28" s="568"/>
      <c r="R28" s="554"/>
      <c r="S28" s="554">
        <v>0.1</v>
      </c>
      <c r="T28" s="556">
        <f t="shared" ref="T28:T39" si="6">S28*P28</f>
        <v>3468.6120000000005</v>
      </c>
      <c r="U28" s="569"/>
      <c r="V28" s="554"/>
      <c r="W28" s="559">
        <f t="shared" ref="W28:W77" si="7">T28+P28</f>
        <v>38154.732000000004</v>
      </c>
      <c r="X28" s="406">
        <f t="shared" ref="X28:Y58" si="8">U28+Q28</f>
        <v>0</v>
      </c>
      <c r="Y28" s="406">
        <f t="shared" si="8"/>
        <v>0</v>
      </c>
      <c r="AC28" s="412"/>
    </row>
    <row r="29" spans="1:39" s="377" customFormat="1" ht="15.75">
      <c r="A29" s="547">
        <v>24</v>
      </c>
      <c r="B29" s="153" t="s">
        <v>445</v>
      </c>
      <c r="C29" s="561" t="s">
        <v>99</v>
      </c>
      <c r="D29" s="563" t="s">
        <v>25</v>
      </c>
      <c r="E29" s="562" t="s">
        <v>464</v>
      </c>
      <c r="F29" s="562" t="s">
        <v>217</v>
      </c>
      <c r="G29" s="571">
        <v>1</v>
      </c>
      <c r="H29" s="560" t="s">
        <v>102</v>
      </c>
      <c r="I29" s="560" t="s">
        <v>103</v>
      </c>
      <c r="J29" s="572">
        <v>1</v>
      </c>
      <c r="K29" s="554">
        <v>17697</v>
      </c>
      <c r="L29" s="573">
        <v>10</v>
      </c>
      <c r="M29" s="554">
        <f t="shared" si="4"/>
        <v>0.55555555555555558</v>
      </c>
      <c r="N29" s="574" t="s">
        <v>152</v>
      </c>
      <c r="O29" s="575">
        <v>4.26</v>
      </c>
      <c r="P29" s="556">
        <f t="shared" si="5"/>
        <v>41882.9</v>
      </c>
      <c r="Q29" s="568"/>
      <c r="R29" s="554"/>
      <c r="S29" s="554">
        <v>0.1</v>
      </c>
      <c r="T29" s="556">
        <f t="shared" si="6"/>
        <v>4188.29</v>
      </c>
      <c r="U29" s="569"/>
      <c r="V29" s="554"/>
      <c r="W29" s="559">
        <f t="shared" si="7"/>
        <v>46071.19</v>
      </c>
      <c r="X29" s="406">
        <f t="shared" si="8"/>
        <v>0</v>
      </c>
      <c r="Y29" s="406">
        <f t="shared" si="8"/>
        <v>0</v>
      </c>
    </row>
    <row r="30" spans="1:39" s="377" customFormat="1" ht="15.75">
      <c r="A30" s="560">
        <v>25</v>
      </c>
      <c r="B30" s="576" t="s">
        <v>110</v>
      </c>
      <c r="C30" s="561" t="s">
        <v>99</v>
      </c>
      <c r="D30" s="560" t="s">
        <v>25</v>
      </c>
      <c r="E30" s="562" t="s">
        <v>467</v>
      </c>
      <c r="F30" s="562" t="s">
        <v>468</v>
      </c>
      <c r="G30" s="560">
        <v>1</v>
      </c>
      <c r="H30" s="577" t="s">
        <v>102</v>
      </c>
      <c r="I30" s="577" t="s">
        <v>103</v>
      </c>
      <c r="J30" s="578">
        <v>4</v>
      </c>
      <c r="K30" s="554">
        <v>17697</v>
      </c>
      <c r="L30" s="565">
        <v>31</v>
      </c>
      <c r="M30" s="554">
        <f t="shared" si="4"/>
        <v>1.7222222222222223</v>
      </c>
      <c r="N30" s="574" t="s">
        <v>112</v>
      </c>
      <c r="O30" s="579">
        <v>2.92</v>
      </c>
      <c r="P30" s="556">
        <f t="shared" si="5"/>
        <v>88996.246666666659</v>
      </c>
      <c r="Q30" s="568"/>
      <c r="R30" s="554"/>
      <c r="S30" s="554">
        <v>0.1</v>
      </c>
      <c r="T30" s="556">
        <f t="shared" si="6"/>
        <v>8899.6246666666666</v>
      </c>
      <c r="U30" s="569"/>
      <c r="V30" s="554"/>
      <c r="W30" s="559">
        <f t="shared" si="7"/>
        <v>97895.871333333329</v>
      </c>
      <c r="X30" s="406"/>
      <c r="Y30" s="406"/>
    </row>
    <row r="31" spans="1:39" s="377" customFormat="1" ht="17.25" customHeight="1">
      <c r="A31" s="547">
        <v>26</v>
      </c>
      <c r="B31" s="153" t="s">
        <v>106</v>
      </c>
      <c r="C31" s="561" t="s">
        <v>99</v>
      </c>
      <c r="D31" s="560" t="s">
        <v>25</v>
      </c>
      <c r="E31" s="562" t="s">
        <v>107</v>
      </c>
      <c r="F31" s="562" t="s">
        <v>108</v>
      </c>
      <c r="G31" s="560">
        <v>1</v>
      </c>
      <c r="H31" s="563" t="s">
        <v>102</v>
      </c>
      <c r="I31" s="563" t="s">
        <v>103</v>
      </c>
      <c r="J31" s="564">
        <v>3</v>
      </c>
      <c r="K31" s="554">
        <v>17697</v>
      </c>
      <c r="L31" s="565">
        <v>15</v>
      </c>
      <c r="M31" s="554">
        <f t="shared" si="4"/>
        <v>0.83333333333333337</v>
      </c>
      <c r="N31" s="566" t="s">
        <v>109</v>
      </c>
      <c r="O31" s="579">
        <v>3.33</v>
      </c>
      <c r="P31" s="556">
        <f t="shared" si="5"/>
        <v>49109.175000000003</v>
      </c>
      <c r="Q31" s="568"/>
      <c r="R31" s="554"/>
      <c r="S31" s="554">
        <v>0.1</v>
      </c>
      <c r="T31" s="556">
        <f t="shared" si="6"/>
        <v>4910.9175000000005</v>
      </c>
      <c r="U31" s="569"/>
      <c r="V31" s="554"/>
      <c r="W31" s="559">
        <f t="shared" si="7"/>
        <v>54020.092500000006</v>
      </c>
      <c r="X31" s="406">
        <f t="shared" si="8"/>
        <v>0</v>
      </c>
      <c r="Y31" s="406">
        <f t="shared" si="8"/>
        <v>0</v>
      </c>
    </row>
    <row r="32" spans="1:39" s="377" customFormat="1" ht="15.75">
      <c r="A32" s="560">
        <v>27</v>
      </c>
      <c r="B32" s="153" t="s">
        <v>215</v>
      </c>
      <c r="C32" s="561" t="s">
        <v>99</v>
      </c>
      <c r="D32" s="563" t="s">
        <v>25</v>
      </c>
      <c r="E32" s="562" t="s">
        <v>441</v>
      </c>
      <c r="F32" s="562" t="s">
        <v>217</v>
      </c>
      <c r="G32" s="571">
        <v>1</v>
      </c>
      <c r="H32" s="580" t="s">
        <v>102</v>
      </c>
      <c r="I32" s="580" t="s">
        <v>103</v>
      </c>
      <c r="J32" s="574">
        <v>1</v>
      </c>
      <c r="K32" s="554">
        <v>17697</v>
      </c>
      <c r="L32" s="573">
        <v>6</v>
      </c>
      <c r="M32" s="554">
        <f t="shared" si="4"/>
        <v>0.33333333333333331</v>
      </c>
      <c r="N32" s="574" t="s">
        <v>152</v>
      </c>
      <c r="O32" s="575">
        <v>4.26</v>
      </c>
      <c r="P32" s="556">
        <f t="shared" si="5"/>
        <v>25129.739999999998</v>
      </c>
      <c r="Q32" s="568"/>
      <c r="R32" s="554"/>
      <c r="S32" s="554">
        <v>0.1</v>
      </c>
      <c r="T32" s="556">
        <f t="shared" si="6"/>
        <v>2512.9740000000002</v>
      </c>
      <c r="U32" s="569"/>
      <c r="V32" s="554"/>
      <c r="W32" s="559">
        <f t="shared" si="7"/>
        <v>27642.714</v>
      </c>
      <c r="X32" s="406">
        <f t="shared" si="8"/>
        <v>0</v>
      </c>
      <c r="Y32" s="406">
        <f t="shared" si="8"/>
        <v>0</v>
      </c>
    </row>
    <row r="33" spans="1:25" s="377" customFormat="1" ht="17.25" customHeight="1">
      <c r="A33" s="547">
        <v>28</v>
      </c>
      <c r="B33" s="153" t="s">
        <v>23</v>
      </c>
      <c r="C33" s="561" t="s">
        <v>99</v>
      </c>
      <c r="D33" s="560" t="s">
        <v>25</v>
      </c>
      <c r="E33" s="562" t="s">
        <v>469</v>
      </c>
      <c r="F33" s="562" t="s">
        <v>114</v>
      </c>
      <c r="G33" s="560">
        <v>1</v>
      </c>
      <c r="H33" s="563" t="s">
        <v>102</v>
      </c>
      <c r="I33" s="563" t="s">
        <v>103</v>
      </c>
      <c r="J33" s="581">
        <v>1</v>
      </c>
      <c r="K33" s="554">
        <v>17697</v>
      </c>
      <c r="L33" s="565">
        <v>9</v>
      </c>
      <c r="M33" s="554">
        <f t="shared" si="4"/>
        <v>0.5</v>
      </c>
      <c r="N33" s="574" t="s">
        <v>152</v>
      </c>
      <c r="O33" s="555">
        <v>4.32</v>
      </c>
      <c r="P33" s="556">
        <f t="shared" si="5"/>
        <v>38225.520000000004</v>
      </c>
      <c r="Q33" s="568"/>
      <c r="R33" s="554"/>
      <c r="S33" s="554">
        <v>0.1</v>
      </c>
      <c r="T33" s="556">
        <f t="shared" si="6"/>
        <v>3822.5520000000006</v>
      </c>
      <c r="U33" s="569"/>
      <c r="V33" s="554"/>
      <c r="W33" s="559">
        <f t="shared" si="7"/>
        <v>42048.072000000007</v>
      </c>
      <c r="X33" s="406">
        <f t="shared" si="8"/>
        <v>0</v>
      </c>
      <c r="Y33" s="406">
        <f t="shared" si="8"/>
        <v>0</v>
      </c>
    </row>
    <row r="34" spans="1:25" s="377" customFormat="1" ht="17.25" customHeight="1">
      <c r="A34" s="560">
        <v>29</v>
      </c>
      <c r="B34" s="153" t="s">
        <v>124</v>
      </c>
      <c r="C34" s="561" t="s">
        <v>125</v>
      </c>
      <c r="D34" s="560" t="s">
        <v>75</v>
      </c>
      <c r="E34" s="582" t="s">
        <v>126</v>
      </c>
      <c r="F34" s="562" t="s">
        <v>108</v>
      </c>
      <c r="G34" s="560">
        <v>1</v>
      </c>
      <c r="H34" s="563" t="s">
        <v>102</v>
      </c>
      <c r="I34" s="563" t="s">
        <v>118</v>
      </c>
      <c r="J34" s="581">
        <v>3</v>
      </c>
      <c r="K34" s="554">
        <v>17697</v>
      </c>
      <c r="L34" s="565">
        <v>22.5</v>
      </c>
      <c r="M34" s="554">
        <f t="shared" si="4"/>
        <v>1.25</v>
      </c>
      <c r="N34" s="566" t="s">
        <v>109</v>
      </c>
      <c r="O34" s="566">
        <v>2.96</v>
      </c>
      <c r="P34" s="556">
        <f t="shared" si="5"/>
        <v>65478.900000000009</v>
      </c>
      <c r="Q34" s="568"/>
      <c r="R34" s="554"/>
      <c r="S34" s="554">
        <v>0.1</v>
      </c>
      <c r="T34" s="556">
        <f t="shared" si="6"/>
        <v>6547.8900000000012</v>
      </c>
      <c r="U34" s="569"/>
      <c r="V34" s="554"/>
      <c r="W34" s="559">
        <f t="shared" si="7"/>
        <v>72026.790000000008</v>
      </c>
      <c r="X34" s="406">
        <f t="shared" si="8"/>
        <v>0</v>
      </c>
      <c r="Y34" s="406">
        <f t="shared" si="8"/>
        <v>0</v>
      </c>
    </row>
    <row r="35" spans="1:25" s="377" customFormat="1" ht="17.25" customHeight="1">
      <c r="A35" s="547">
        <v>30</v>
      </c>
      <c r="B35" s="153" t="s">
        <v>116</v>
      </c>
      <c r="C35" s="561" t="s">
        <v>99</v>
      </c>
      <c r="D35" s="560" t="s">
        <v>64</v>
      </c>
      <c r="E35" s="583" t="s">
        <v>470</v>
      </c>
      <c r="F35" s="562" t="s">
        <v>114</v>
      </c>
      <c r="G35" s="560">
        <v>1</v>
      </c>
      <c r="H35" s="563" t="s">
        <v>102</v>
      </c>
      <c r="I35" s="563" t="s">
        <v>118</v>
      </c>
      <c r="J35" s="564">
        <v>1</v>
      </c>
      <c r="K35" s="554">
        <v>17697</v>
      </c>
      <c r="L35" s="565">
        <v>19</v>
      </c>
      <c r="M35" s="554">
        <f t="shared" si="4"/>
        <v>1.0555555555555556</v>
      </c>
      <c r="N35" s="574" t="s">
        <v>152</v>
      </c>
      <c r="O35" s="566">
        <v>3.89</v>
      </c>
      <c r="P35" s="556">
        <f t="shared" si="5"/>
        <v>72665.848333333328</v>
      </c>
      <c r="Q35" s="568"/>
      <c r="R35" s="554"/>
      <c r="S35" s="554">
        <v>0.1</v>
      </c>
      <c r="T35" s="556">
        <f t="shared" si="6"/>
        <v>7266.5848333333333</v>
      </c>
      <c r="U35" s="569"/>
      <c r="V35" s="554"/>
      <c r="W35" s="559">
        <f t="shared" si="7"/>
        <v>79932.433166666655</v>
      </c>
      <c r="X35" s="406">
        <f t="shared" si="8"/>
        <v>0</v>
      </c>
      <c r="Y35" s="406">
        <f t="shared" si="8"/>
        <v>0</v>
      </c>
    </row>
    <row r="36" spans="1:25" s="377" customFormat="1" ht="17.25" customHeight="1">
      <c r="A36" s="560">
        <v>31</v>
      </c>
      <c r="B36" s="153" t="s">
        <v>127</v>
      </c>
      <c r="C36" s="561" t="s">
        <v>99</v>
      </c>
      <c r="D36" s="560" t="s">
        <v>25</v>
      </c>
      <c r="E36" s="562" t="s">
        <v>471</v>
      </c>
      <c r="F36" s="562" t="s">
        <v>34</v>
      </c>
      <c r="G36" s="560">
        <v>1</v>
      </c>
      <c r="H36" s="563" t="s">
        <v>102</v>
      </c>
      <c r="I36" s="563" t="s">
        <v>103</v>
      </c>
      <c r="J36" s="564">
        <v>1</v>
      </c>
      <c r="K36" s="554">
        <v>17697</v>
      </c>
      <c r="L36" s="565">
        <v>26</v>
      </c>
      <c r="M36" s="554">
        <f t="shared" si="4"/>
        <v>1.4444444444444444</v>
      </c>
      <c r="N36" s="574" t="s">
        <v>152</v>
      </c>
      <c r="O36" s="566">
        <v>4.32</v>
      </c>
      <c r="P36" s="556">
        <f t="shared" si="5"/>
        <v>110429.28000000001</v>
      </c>
      <c r="Q36" s="568"/>
      <c r="R36" s="554"/>
      <c r="S36" s="554">
        <v>0.1</v>
      </c>
      <c r="T36" s="556">
        <f t="shared" si="6"/>
        <v>11042.928000000002</v>
      </c>
      <c r="U36" s="569"/>
      <c r="V36" s="554"/>
      <c r="W36" s="559">
        <f t="shared" si="7"/>
        <v>121472.20800000001</v>
      </c>
      <c r="X36" s="406">
        <f t="shared" si="8"/>
        <v>0</v>
      </c>
      <c r="Y36" s="406">
        <f t="shared" si="8"/>
        <v>0</v>
      </c>
    </row>
    <row r="37" spans="1:25" s="377" customFormat="1" ht="17.25" customHeight="1">
      <c r="A37" s="547">
        <v>32</v>
      </c>
      <c r="B37" s="52" t="s">
        <v>386</v>
      </c>
      <c r="C37" s="52" t="s">
        <v>99</v>
      </c>
      <c r="D37" s="210" t="s">
        <v>25</v>
      </c>
      <c r="E37" s="584" t="s">
        <v>472</v>
      </c>
      <c r="F37" s="584" t="s">
        <v>34</v>
      </c>
      <c r="G37" s="562" t="s">
        <v>156</v>
      </c>
      <c r="H37" s="563" t="s">
        <v>102</v>
      </c>
      <c r="I37" s="563" t="s">
        <v>103</v>
      </c>
      <c r="J37" s="581">
        <v>1</v>
      </c>
      <c r="K37" s="554">
        <v>17697</v>
      </c>
      <c r="L37" s="565">
        <v>18</v>
      </c>
      <c r="M37" s="554">
        <f t="shared" si="4"/>
        <v>1</v>
      </c>
      <c r="N37" s="574" t="s">
        <v>152</v>
      </c>
      <c r="O37" s="566">
        <v>4.32</v>
      </c>
      <c r="P37" s="556">
        <f t="shared" si="5"/>
        <v>76451.040000000008</v>
      </c>
      <c r="Q37" s="568"/>
      <c r="R37" s="554"/>
      <c r="S37" s="554">
        <v>0.1</v>
      </c>
      <c r="T37" s="556">
        <f t="shared" si="6"/>
        <v>7645.1040000000012</v>
      </c>
      <c r="U37" s="569"/>
      <c r="V37" s="554"/>
      <c r="W37" s="559">
        <f t="shared" si="7"/>
        <v>84096.144000000015</v>
      </c>
      <c r="X37" s="406">
        <f t="shared" si="8"/>
        <v>0</v>
      </c>
      <c r="Y37" s="406">
        <f t="shared" si="8"/>
        <v>0</v>
      </c>
    </row>
    <row r="38" spans="1:25" s="377" customFormat="1" ht="17.25" customHeight="1">
      <c r="A38" s="560">
        <v>33</v>
      </c>
      <c r="B38" s="153" t="s">
        <v>458</v>
      </c>
      <c r="C38" s="561" t="s">
        <v>99</v>
      </c>
      <c r="D38" s="560" t="s">
        <v>25</v>
      </c>
      <c r="E38" s="582" t="s">
        <v>501</v>
      </c>
      <c r="F38" s="582" t="s">
        <v>34</v>
      </c>
      <c r="G38" s="560">
        <v>1</v>
      </c>
      <c r="H38" s="563" t="s">
        <v>102</v>
      </c>
      <c r="I38" s="563" t="s">
        <v>103</v>
      </c>
      <c r="J38" s="581">
        <v>1</v>
      </c>
      <c r="K38" s="554">
        <v>17697</v>
      </c>
      <c r="L38" s="565">
        <v>23</v>
      </c>
      <c r="M38" s="554">
        <f t="shared" si="4"/>
        <v>1.2777777777777777</v>
      </c>
      <c r="N38" s="574" t="s">
        <v>152</v>
      </c>
      <c r="O38" s="566">
        <v>4.32</v>
      </c>
      <c r="P38" s="556">
        <f t="shared" si="5"/>
        <v>97687.440000000017</v>
      </c>
      <c r="Q38" s="568"/>
      <c r="R38" s="554"/>
      <c r="S38" s="554">
        <v>0.1</v>
      </c>
      <c r="T38" s="556">
        <f t="shared" si="6"/>
        <v>9768.7440000000024</v>
      </c>
      <c r="U38" s="569"/>
      <c r="V38" s="554"/>
      <c r="W38" s="559">
        <f t="shared" si="7"/>
        <v>107456.18400000002</v>
      </c>
      <c r="X38" s="406"/>
      <c r="Y38" s="406"/>
    </row>
    <row r="39" spans="1:25" s="377" customFormat="1" ht="17.25" customHeight="1">
      <c r="A39" s="547">
        <v>34</v>
      </c>
      <c r="B39" s="153" t="s">
        <v>130</v>
      </c>
      <c r="C39" s="561" t="s">
        <v>99</v>
      </c>
      <c r="D39" s="560" t="s">
        <v>25</v>
      </c>
      <c r="E39" s="582" t="s">
        <v>473</v>
      </c>
      <c r="F39" s="582" t="s">
        <v>34</v>
      </c>
      <c r="G39" s="560">
        <v>1</v>
      </c>
      <c r="H39" s="563" t="s">
        <v>102</v>
      </c>
      <c r="I39" s="563" t="s">
        <v>103</v>
      </c>
      <c r="J39" s="581">
        <v>1</v>
      </c>
      <c r="K39" s="554">
        <v>17697</v>
      </c>
      <c r="L39" s="565">
        <v>9</v>
      </c>
      <c r="M39" s="554">
        <f t="shared" si="4"/>
        <v>0.5</v>
      </c>
      <c r="N39" s="574" t="s">
        <v>152</v>
      </c>
      <c r="O39" s="566">
        <v>4.32</v>
      </c>
      <c r="P39" s="556">
        <f t="shared" si="5"/>
        <v>38225.520000000004</v>
      </c>
      <c r="Q39" s="568"/>
      <c r="R39" s="554"/>
      <c r="S39" s="554">
        <v>0.1</v>
      </c>
      <c r="T39" s="556">
        <f t="shared" si="6"/>
        <v>3822.5520000000006</v>
      </c>
      <c r="U39" s="569"/>
      <c r="V39" s="554"/>
      <c r="W39" s="559">
        <f t="shared" si="7"/>
        <v>42048.072000000007</v>
      </c>
      <c r="X39" s="406">
        <f t="shared" si="8"/>
        <v>0</v>
      </c>
      <c r="Y39" s="406">
        <f t="shared" si="8"/>
        <v>0</v>
      </c>
    </row>
    <row r="40" spans="1:25" s="377" customFormat="1" ht="17.25" customHeight="1">
      <c r="A40" s="560">
        <v>35</v>
      </c>
      <c r="B40" s="153" t="s">
        <v>455</v>
      </c>
      <c r="C40" s="561" t="s">
        <v>99</v>
      </c>
      <c r="D40" s="563" t="s">
        <v>25</v>
      </c>
      <c r="E40" s="210" t="s">
        <v>502</v>
      </c>
      <c r="F40" s="562" t="s">
        <v>34</v>
      </c>
      <c r="G40" s="560">
        <v>1</v>
      </c>
      <c r="H40" s="563" t="s">
        <v>102</v>
      </c>
      <c r="I40" s="563" t="s">
        <v>103</v>
      </c>
      <c r="J40" s="581">
        <v>1</v>
      </c>
      <c r="K40" s="554">
        <v>17697</v>
      </c>
      <c r="L40" s="565">
        <v>8</v>
      </c>
      <c r="M40" s="554">
        <f t="shared" si="4"/>
        <v>0.44444444444444442</v>
      </c>
      <c r="N40" s="574" t="s">
        <v>152</v>
      </c>
      <c r="O40" s="566">
        <v>4.32</v>
      </c>
      <c r="P40" s="556">
        <f t="shared" si="5"/>
        <v>33978.240000000005</v>
      </c>
      <c r="Q40" s="568"/>
      <c r="R40" s="554"/>
      <c r="S40" s="554">
        <v>0.1</v>
      </c>
      <c r="T40" s="567">
        <f t="shared" ref="T40:T77" si="9">S40*P40</f>
        <v>3397.8240000000005</v>
      </c>
      <c r="U40" s="569"/>
      <c r="V40" s="554"/>
      <c r="W40" s="559">
        <f t="shared" si="7"/>
        <v>37376.064000000006</v>
      </c>
      <c r="X40" s="406">
        <f t="shared" si="8"/>
        <v>0</v>
      </c>
      <c r="Y40" s="406">
        <f t="shared" si="8"/>
        <v>0</v>
      </c>
    </row>
    <row r="41" spans="1:25" s="377" customFormat="1" ht="17.25" customHeight="1">
      <c r="A41" s="547">
        <v>36</v>
      </c>
      <c r="B41" s="153" t="s">
        <v>204</v>
      </c>
      <c r="C41" s="561" t="s">
        <v>99</v>
      </c>
      <c r="D41" s="563" t="s">
        <v>25</v>
      </c>
      <c r="E41" s="562" t="s">
        <v>503</v>
      </c>
      <c r="F41" s="562" t="s">
        <v>206</v>
      </c>
      <c r="G41" s="560">
        <v>1</v>
      </c>
      <c r="H41" s="563" t="s">
        <v>102</v>
      </c>
      <c r="I41" s="563" t="s">
        <v>103</v>
      </c>
      <c r="J41" s="581">
        <v>3</v>
      </c>
      <c r="K41" s="554">
        <v>17697</v>
      </c>
      <c r="L41" s="565">
        <v>6</v>
      </c>
      <c r="M41" s="554">
        <f t="shared" si="4"/>
        <v>0.33333333333333331</v>
      </c>
      <c r="N41" s="566" t="s">
        <v>109</v>
      </c>
      <c r="O41" s="566">
        <v>3.33</v>
      </c>
      <c r="P41" s="556">
        <f t="shared" si="5"/>
        <v>19643.670000000002</v>
      </c>
      <c r="Q41" s="568"/>
      <c r="R41" s="554"/>
      <c r="S41" s="554">
        <v>0.1</v>
      </c>
      <c r="T41" s="567">
        <f t="shared" si="9"/>
        <v>1964.3670000000002</v>
      </c>
      <c r="U41" s="569"/>
      <c r="V41" s="554"/>
      <c r="W41" s="559">
        <f t="shared" si="7"/>
        <v>21608.037000000004</v>
      </c>
      <c r="X41" s="406">
        <f t="shared" si="8"/>
        <v>0</v>
      </c>
      <c r="Y41" s="406">
        <f t="shared" si="8"/>
        <v>0</v>
      </c>
    </row>
    <row r="42" spans="1:25" s="377" customFormat="1" ht="17.25" customHeight="1">
      <c r="A42" s="560">
        <v>37</v>
      </c>
      <c r="B42" s="153" t="s">
        <v>133</v>
      </c>
      <c r="C42" s="561" t="s">
        <v>99</v>
      </c>
      <c r="D42" s="563" t="s">
        <v>25</v>
      </c>
      <c r="E42" s="562" t="s">
        <v>474</v>
      </c>
      <c r="F42" s="562" t="s">
        <v>34</v>
      </c>
      <c r="G42" s="560">
        <v>1</v>
      </c>
      <c r="H42" s="563" t="s">
        <v>102</v>
      </c>
      <c r="I42" s="563" t="s">
        <v>103</v>
      </c>
      <c r="J42" s="581">
        <v>1</v>
      </c>
      <c r="K42" s="554">
        <v>17697</v>
      </c>
      <c r="L42" s="565">
        <v>11</v>
      </c>
      <c r="M42" s="554">
        <f t="shared" si="4"/>
        <v>0.61111111111111116</v>
      </c>
      <c r="N42" s="574" t="s">
        <v>152</v>
      </c>
      <c r="O42" s="566">
        <v>4.32</v>
      </c>
      <c r="P42" s="567">
        <f t="shared" ref="P42:P77" si="10">O42*K42/18*L42</f>
        <v>46720.080000000009</v>
      </c>
      <c r="Q42" s="568"/>
      <c r="R42" s="554"/>
      <c r="S42" s="554">
        <v>0.1</v>
      </c>
      <c r="T42" s="567">
        <f t="shared" si="9"/>
        <v>4672.0080000000007</v>
      </c>
      <c r="U42" s="569"/>
      <c r="V42" s="554"/>
      <c r="W42" s="559">
        <f t="shared" si="7"/>
        <v>51392.088000000011</v>
      </c>
      <c r="X42" s="406">
        <f t="shared" si="8"/>
        <v>0</v>
      </c>
      <c r="Y42" s="406">
        <f t="shared" si="8"/>
        <v>0</v>
      </c>
    </row>
    <row r="43" spans="1:25" s="377" customFormat="1" ht="17.25" customHeight="1">
      <c r="A43" s="547">
        <v>38</v>
      </c>
      <c r="B43" s="153" t="s">
        <v>135</v>
      </c>
      <c r="C43" s="561" t="s">
        <v>99</v>
      </c>
      <c r="D43" s="563" t="s">
        <v>25</v>
      </c>
      <c r="E43" s="562" t="s">
        <v>465</v>
      </c>
      <c r="F43" s="562" t="s">
        <v>34</v>
      </c>
      <c r="G43" s="560">
        <v>1</v>
      </c>
      <c r="H43" s="563" t="s">
        <v>102</v>
      </c>
      <c r="I43" s="563" t="s">
        <v>103</v>
      </c>
      <c r="J43" s="581">
        <v>1</v>
      </c>
      <c r="K43" s="554">
        <v>17697</v>
      </c>
      <c r="L43" s="565">
        <v>21</v>
      </c>
      <c r="M43" s="554">
        <f t="shared" si="4"/>
        <v>1.1666666666666667</v>
      </c>
      <c r="N43" s="574" t="s">
        <v>152</v>
      </c>
      <c r="O43" s="566">
        <v>4.32</v>
      </c>
      <c r="P43" s="567">
        <f t="shared" si="10"/>
        <v>89192.880000000019</v>
      </c>
      <c r="Q43" s="568"/>
      <c r="R43" s="554"/>
      <c r="S43" s="554">
        <v>0.1</v>
      </c>
      <c r="T43" s="567">
        <f t="shared" si="9"/>
        <v>8919.2880000000023</v>
      </c>
      <c r="U43" s="569"/>
      <c r="V43" s="554"/>
      <c r="W43" s="559">
        <f t="shared" si="7"/>
        <v>98112.16800000002</v>
      </c>
      <c r="X43" s="406">
        <f t="shared" si="8"/>
        <v>0</v>
      </c>
      <c r="Y43" s="406">
        <f t="shared" si="8"/>
        <v>0</v>
      </c>
    </row>
    <row r="44" spans="1:25" s="377" customFormat="1" ht="17.25" customHeight="1">
      <c r="A44" s="560">
        <v>39</v>
      </c>
      <c r="B44" s="153" t="s">
        <v>138</v>
      </c>
      <c r="C44" s="561" t="s">
        <v>99</v>
      </c>
      <c r="D44" s="563" t="s">
        <v>25</v>
      </c>
      <c r="E44" s="562" t="s">
        <v>475</v>
      </c>
      <c r="F44" s="562" t="s">
        <v>476</v>
      </c>
      <c r="G44" s="560">
        <v>1</v>
      </c>
      <c r="H44" s="563" t="s">
        <v>102</v>
      </c>
      <c r="I44" s="563" t="s">
        <v>103</v>
      </c>
      <c r="J44" s="572">
        <v>4</v>
      </c>
      <c r="K44" s="554">
        <v>17697</v>
      </c>
      <c r="L44" s="565">
        <v>23</v>
      </c>
      <c r="M44" s="554">
        <f t="shared" si="4"/>
        <v>1.2777777777777777</v>
      </c>
      <c r="N44" s="574" t="s">
        <v>112</v>
      </c>
      <c r="O44" s="566">
        <v>2.98</v>
      </c>
      <c r="P44" s="567">
        <f t="shared" si="10"/>
        <v>67386.243333333332</v>
      </c>
      <c r="Q44" s="568"/>
      <c r="R44" s="554"/>
      <c r="S44" s="554">
        <v>0.1</v>
      </c>
      <c r="T44" s="567">
        <f t="shared" si="9"/>
        <v>6738.6243333333332</v>
      </c>
      <c r="U44" s="569"/>
      <c r="V44" s="554"/>
      <c r="W44" s="559">
        <f t="shared" si="7"/>
        <v>74124.867666666658</v>
      </c>
      <c r="X44" s="406"/>
      <c r="Y44" s="406"/>
    </row>
    <row r="45" spans="1:25" s="377" customFormat="1" ht="17.25" customHeight="1">
      <c r="A45" s="547">
        <v>40</v>
      </c>
      <c r="B45" s="153" t="s">
        <v>58</v>
      </c>
      <c r="C45" s="561" t="s">
        <v>99</v>
      </c>
      <c r="D45" s="563" t="s">
        <v>25</v>
      </c>
      <c r="E45" s="562" t="s">
        <v>477</v>
      </c>
      <c r="F45" s="562" t="s">
        <v>366</v>
      </c>
      <c r="G45" s="560">
        <v>1</v>
      </c>
      <c r="H45" s="563" t="s">
        <v>102</v>
      </c>
      <c r="I45" s="563" t="s">
        <v>103</v>
      </c>
      <c r="J45" s="581">
        <v>3</v>
      </c>
      <c r="K45" s="554">
        <v>17697</v>
      </c>
      <c r="L45" s="565">
        <v>18</v>
      </c>
      <c r="M45" s="554">
        <f t="shared" si="4"/>
        <v>1</v>
      </c>
      <c r="N45" s="566" t="s">
        <v>109</v>
      </c>
      <c r="O45" s="566">
        <v>3.69</v>
      </c>
      <c r="P45" s="567">
        <f t="shared" si="10"/>
        <v>65301.930000000008</v>
      </c>
      <c r="Q45" s="568"/>
      <c r="R45" s="554"/>
      <c r="S45" s="554">
        <v>0.1</v>
      </c>
      <c r="T45" s="567">
        <f t="shared" si="9"/>
        <v>6530.1930000000011</v>
      </c>
      <c r="U45" s="569"/>
      <c r="V45" s="554"/>
      <c r="W45" s="559">
        <f t="shared" si="7"/>
        <v>71832.123000000007</v>
      </c>
      <c r="X45" s="406">
        <f t="shared" si="8"/>
        <v>0</v>
      </c>
      <c r="Y45" s="406">
        <f t="shared" si="8"/>
        <v>0</v>
      </c>
    </row>
    <row r="46" spans="1:25" s="377" customFormat="1" ht="17.25" customHeight="1">
      <c r="A46" s="560">
        <v>41</v>
      </c>
      <c r="B46" s="153" t="s">
        <v>145</v>
      </c>
      <c r="C46" s="561" t="s">
        <v>99</v>
      </c>
      <c r="D46" s="563" t="s">
        <v>25</v>
      </c>
      <c r="E46" s="562" t="s">
        <v>478</v>
      </c>
      <c r="F46" s="562" t="s">
        <v>140</v>
      </c>
      <c r="G46" s="560">
        <v>1</v>
      </c>
      <c r="H46" s="563" t="s">
        <v>102</v>
      </c>
      <c r="I46" s="563" t="s">
        <v>103</v>
      </c>
      <c r="J46" s="581">
        <v>4</v>
      </c>
      <c r="K46" s="554">
        <v>17697</v>
      </c>
      <c r="L46" s="565">
        <v>18</v>
      </c>
      <c r="M46" s="554">
        <f t="shared" si="4"/>
        <v>1</v>
      </c>
      <c r="N46" s="574" t="s">
        <v>112</v>
      </c>
      <c r="O46" s="566">
        <v>2.98</v>
      </c>
      <c r="P46" s="567">
        <f t="shared" si="10"/>
        <v>52737.06</v>
      </c>
      <c r="Q46" s="568"/>
      <c r="R46" s="554"/>
      <c r="S46" s="554">
        <v>0.1</v>
      </c>
      <c r="T46" s="567">
        <f t="shared" si="9"/>
        <v>5273.7060000000001</v>
      </c>
      <c r="U46" s="569"/>
      <c r="V46" s="554"/>
      <c r="W46" s="559">
        <f t="shared" si="7"/>
        <v>58010.765999999996</v>
      </c>
      <c r="X46" s="406">
        <f t="shared" si="8"/>
        <v>0</v>
      </c>
      <c r="Y46" s="406">
        <f t="shared" si="8"/>
        <v>0</v>
      </c>
    </row>
    <row r="47" spans="1:25" s="377" customFormat="1" ht="17.25" customHeight="1">
      <c r="A47" s="547">
        <v>42</v>
      </c>
      <c r="B47" s="153" t="s">
        <v>143</v>
      </c>
      <c r="C47" s="561" t="s">
        <v>99</v>
      </c>
      <c r="D47" s="563" t="s">
        <v>25</v>
      </c>
      <c r="E47" s="562" t="s">
        <v>479</v>
      </c>
      <c r="F47" s="562" t="s">
        <v>73</v>
      </c>
      <c r="G47" s="560">
        <v>1</v>
      </c>
      <c r="H47" s="563" t="s">
        <v>102</v>
      </c>
      <c r="I47" s="563" t="s">
        <v>103</v>
      </c>
      <c r="J47" s="581">
        <v>1</v>
      </c>
      <c r="K47" s="554">
        <v>17697</v>
      </c>
      <c r="L47" s="565">
        <v>34</v>
      </c>
      <c r="M47" s="554">
        <f t="shared" si="4"/>
        <v>1.8888888888888888</v>
      </c>
      <c r="N47" s="574" t="s">
        <v>152</v>
      </c>
      <c r="O47" s="566">
        <v>4.0199999999999996</v>
      </c>
      <c r="P47" s="567">
        <f t="shared" si="10"/>
        <v>134379.21999999997</v>
      </c>
      <c r="Q47" s="568"/>
      <c r="R47" s="554"/>
      <c r="S47" s="554">
        <v>0.1</v>
      </c>
      <c r="T47" s="567">
        <f t="shared" si="9"/>
        <v>13437.921999999999</v>
      </c>
      <c r="U47" s="569"/>
      <c r="V47" s="554"/>
      <c r="W47" s="559">
        <f t="shared" si="7"/>
        <v>147817.14199999996</v>
      </c>
      <c r="X47" s="406">
        <f t="shared" si="8"/>
        <v>0</v>
      </c>
      <c r="Y47" s="406">
        <f t="shared" si="8"/>
        <v>0</v>
      </c>
    </row>
    <row r="48" spans="1:25" s="377" customFormat="1" ht="17.25" customHeight="1">
      <c r="A48" s="560">
        <v>43</v>
      </c>
      <c r="B48" s="153" t="s">
        <v>447</v>
      </c>
      <c r="C48" s="561" t="s">
        <v>99</v>
      </c>
      <c r="D48" s="563" t="s">
        <v>75</v>
      </c>
      <c r="E48" s="585" t="s">
        <v>440</v>
      </c>
      <c r="F48" s="585" t="s">
        <v>159</v>
      </c>
      <c r="G48" s="560">
        <v>1</v>
      </c>
      <c r="H48" s="563" t="s">
        <v>102</v>
      </c>
      <c r="I48" s="563" t="s">
        <v>118</v>
      </c>
      <c r="J48" s="581">
        <v>4</v>
      </c>
      <c r="K48" s="554">
        <v>17697</v>
      </c>
      <c r="L48" s="565">
        <v>4</v>
      </c>
      <c r="M48" s="554">
        <f t="shared" si="4"/>
        <v>0.22222222222222221</v>
      </c>
      <c r="N48" s="574" t="s">
        <v>112</v>
      </c>
      <c r="O48" s="566">
        <v>2.75</v>
      </c>
      <c r="P48" s="567">
        <f t="shared" si="10"/>
        <v>10814.833333333334</v>
      </c>
      <c r="Q48" s="568"/>
      <c r="R48" s="554"/>
      <c r="S48" s="554">
        <v>0.1</v>
      </c>
      <c r="T48" s="567">
        <f t="shared" si="9"/>
        <v>1081.4833333333333</v>
      </c>
      <c r="U48" s="569"/>
      <c r="V48" s="554"/>
      <c r="W48" s="559">
        <f t="shared" si="7"/>
        <v>11896.316666666668</v>
      </c>
      <c r="X48" s="406">
        <f t="shared" si="8"/>
        <v>0</v>
      </c>
      <c r="Y48" s="406">
        <f t="shared" si="8"/>
        <v>0</v>
      </c>
    </row>
    <row r="49" spans="1:25" s="377" customFormat="1" ht="17.25" customHeight="1">
      <c r="A49" s="547">
        <v>44</v>
      </c>
      <c r="B49" s="153" t="s">
        <v>147</v>
      </c>
      <c r="C49" s="561" t="s">
        <v>148</v>
      </c>
      <c r="D49" s="563" t="s">
        <v>25</v>
      </c>
      <c r="E49" s="562" t="s">
        <v>480</v>
      </c>
      <c r="F49" s="562" t="s">
        <v>51</v>
      </c>
      <c r="G49" s="560">
        <v>1</v>
      </c>
      <c r="H49" s="563" t="s">
        <v>102</v>
      </c>
      <c r="I49" s="563" t="s">
        <v>103</v>
      </c>
      <c r="J49" s="564">
        <v>3</v>
      </c>
      <c r="K49" s="554">
        <v>17697</v>
      </c>
      <c r="L49" s="565">
        <v>36</v>
      </c>
      <c r="M49" s="554">
        <f t="shared" si="4"/>
        <v>2</v>
      </c>
      <c r="N49" s="566" t="s">
        <v>109</v>
      </c>
      <c r="O49" s="566">
        <v>3.69</v>
      </c>
      <c r="P49" s="567">
        <f t="shared" si="10"/>
        <v>130603.86000000002</v>
      </c>
      <c r="Q49" s="568"/>
      <c r="R49" s="554"/>
      <c r="S49" s="554">
        <v>0.1</v>
      </c>
      <c r="T49" s="567">
        <f t="shared" si="9"/>
        <v>13060.386000000002</v>
      </c>
      <c r="U49" s="569"/>
      <c r="V49" s="554"/>
      <c r="W49" s="559">
        <f t="shared" si="7"/>
        <v>143664.24600000001</v>
      </c>
      <c r="X49" s="406">
        <f t="shared" si="8"/>
        <v>0</v>
      </c>
      <c r="Y49" s="406">
        <f t="shared" si="8"/>
        <v>0</v>
      </c>
    </row>
    <row r="50" spans="1:25" s="377" customFormat="1" ht="17.25" customHeight="1">
      <c r="A50" s="560">
        <v>45</v>
      </c>
      <c r="B50" s="153" t="s">
        <v>91</v>
      </c>
      <c r="C50" s="561" t="s">
        <v>99</v>
      </c>
      <c r="D50" s="563" t="s">
        <v>25</v>
      </c>
      <c r="E50" s="562" t="s">
        <v>481</v>
      </c>
      <c r="F50" s="562" t="s">
        <v>93</v>
      </c>
      <c r="G50" s="560">
        <v>1</v>
      </c>
      <c r="H50" s="563" t="s">
        <v>102</v>
      </c>
      <c r="I50" s="563" t="s">
        <v>103</v>
      </c>
      <c r="J50" s="581">
        <v>1</v>
      </c>
      <c r="K50" s="554">
        <v>17697</v>
      </c>
      <c r="L50" s="565">
        <v>36</v>
      </c>
      <c r="M50" s="554">
        <f t="shared" si="4"/>
        <v>2</v>
      </c>
      <c r="N50" s="574" t="s">
        <v>152</v>
      </c>
      <c r="O50" s="566">
        <v>4.2</v>
      </c>
      <c r="P50" s="567">
        <f t="shared" si="10"/>
        <v>148654.80000000002</v>
      </c>
      <c r="Q50" s="568"/>
      <c r="R50" s="554"/>
      <c r="S50" s="554">
        <v>0.1</v>
      </c>
      <c r="T50" s="567">
        <f t="shared" si="9"/>
        <v>14865.480000000003</v>
      </c>
      <c r="U50" s="569"/>
      <c r="V50" s="554"/>
      <c r="W50" s="559">
        <f t="shared" si="7"/>
        <v>163520.28000000003</v>
      </c>
      <c r="X50" s="406">
        <f t="shared" si="8"/>
        <v>0</v>
      </c>
      <c r="Y50" s="406">
        <f t="shared" si="8"/>
        <v>0</v>
      </c>
    </row>
    <row r="51" spans="1:25" s="377" customFormat="1" ht="17.25" customHeight="1">
      <c r="A51" s="547">
        <v>46</v>
      </c>
      <c r="B51" s="153" t="s">
        <v>150</v>
      </c>
      <c r="C51" s="561" t="s">
        <v>99</v>
      </c>
      <c r="D51" s="563" t="s">
        <v>25</v>
      </c>
      <c r="E51" s="562" t="s">
        <v>482</v>
      </c>
      <c r="F51" s="562" t="s">
        <v>34</v>
      </c>
      <c r="G51" s="560">
        <v>1</v>
      </c>
      <c r="H51" s="563" t="s">
        <v>102</v>
      </c>
      <c r="I51" s="563" t="s">
        <v>103</v>
      </c>
      <c r="J51" s="581">
        <v>1</v>
      </c>
      <c r="K51" s="554">
        <v>17697</v>
      </c>
      <c r="L51" s="565">
        <v>35</v>
      </c>
      <c r="M51" s="554">
        <f t="shared" si="4"/>
        <v>1.9444444444444444</v>
      </c>
      <c r="N51" s="574" t="s">
        <v>152</v>
      </c>
      <c r="O51" s="566">
        <v>4.32</v>
      </c>
      <c r="P51" s="567">
        <f t="shared" si="10"/>
        <v>148654.80000000002</v>
      </c>
      <c r="Q51" s="568"/>
      <c r="R51" s="554"/>
      <c r="S51" s="554">
        <v>0.1</v>
      </c>
      <c r="T51" s="567">
        <f t="shared" si="9"/>
        <v>14865.480000000003</v>
      </c>
      <c r="U51" s="569"/>
      <c r="V51" s="554"/>
      <c r="W51" s="559">
        <f t="shared" si="7"/>
        <v>163520.28000000003</v>
      </c>
      <c r="X51" s="406">
        <f t="shared" si="8"/>
        <v>0</v>
      </c>
      <c r="Y51" s="406">
        <f t="shared" si="8"/>
        <v>0</v>
      </c>
    </row>
    <row r="52" spans="1:25" s="377" customFormat="1" ht="17.25" customHeight="1">
      <c r="A52" s="560">
        <v>47</v>
      </c>
      <c r="B52" s="153" t="s">
        <v>456</v>
      </c>
      <c r="C52" s="561" t="s">
        <v>99</v>
      </c>
      <c r="D52" s="563" t="s">
        <v>25</v>
      </c>
      <c r="E52" s="562" t="s">
        <v>461</v>
      </c>
      <c r="F52" s="562" t="s">
        <v>34</v>
      </c>
      <c r="G52" s="560">
        <v>1</v>
      </c>
      <c r="H52" s="563" t="s">
        <v>102</v>
      </c>
      <c r="I52" s="563" t="s">
        <v>103</v>
      </c>
      <c r="J52" s="581">
        <v>2</v>
      </c>
      <c r="K52" s="554">
        <v>17697</v>
      </c>
      <c r="L52" s="565">
        <v>10</v>
      </c>
      <c r="M52" s="554">
        <f t="shared" si="4"/>
        <v>0.55555555555555558</v>
      </c>
      <c r="N52" s="566" t="s">
        <v>104</v>
      </c>
      <c r="O52" s="566">
        <v>3.92</v>
      </c>
      <c r="P52" s="567">
        <f t="shared" si="10"/>
        <v>38540.133333333339</v>
      </c>
      <c r="Q52" s="568"/>
      <c r="R52" s="554"/>
      <c r="S52" s="554">
        <v>0.1</v>
      </c>
      <c r="T52" s="567">
        <f t="shared" si="9"/>
        <v>3854.0133333333342</v>
      </c>
      <c r="U52" s="569"/>
      <c r="V52" s="554"/>
      <c r="W52" s="559">
        <f t="shared" si="7"/>
        <v>42394.146666666675</v>
      </c>
      <c r="X52" s="406">
        <f t="shared" si="8"/>
        <v>0</v>
      </c>
      <c r="Y52" s="406">
        <f t="shared" si="8"/>
        <v>0</v>
      </c>
    </row>
    <row r="53" spans="1:25" s="377" customFormat="1" ht="17.25" customHeight="1">
      <c r="A53" s="547">
        <v>48</v>
      </c>
      <c r="B53" s="153" t="s">
        <v>157</v>
      </c>
      <c r="C53" s="561" t="s">
        <v>99</v>
      </c>
      <c r="D53" s="563" t="s">
        <v>25</v>
      </c>
      <c r="E53" s="562" t="s">
        <v>483</v>
      </c>
      <c r="F53" s="562" t="s">
        <v>159</v>
      </c>
      <c r="G53" s="560">
        <v>1</v>
      </c>
      <c r="H53" s="563" t="s">
        <v>102</v>
      </c>
      <c r="I53" s="563" t="s">
        <v>118</v>
      </c>
      <c r="J53" s="581">
        <v>4</v>
      </c>
      <c r="K53" s="554">
        <v>17697</v>
      </c>
      <c r="L53" s="565">
        <v>18</v>
      </c>
      <c r="M53" s="554">
        <f t="shared" si="4"/>
        <v>1</v>
      </c>
      <c r="N53" s="574" t="s">
        <v>112</v>
      </c>
      <c r="O53" s="566">
        <v>2.8</v>
      </c>
      <c r="P53" s="567">
        <f t="shared" si="10"/>
        <v>49551.600000000006</v>
      </c>
      <c r="Q53" s="568"/>
      <c r="R53" s="554"/>
      <c r="S53" s="554">
        <v>0.1</v>
      </c>
      <c r="T53" s="567">
        <f t="shared" si="9"/>
        <v>4955.1600000000008</v>
      </c>
      <c r="U53" s="569"/>
      <c r="V53" s="554"/>
      <c r="W53" s="559">
        <f t="shared" si="7"/>
        <v>54506.760000000009</v>
      </c>
      <c r="X53" s="406">
        <f t="shared" si="8"/>
        <v>0</v>
      </c>
      <c r="Y53" s="406">
        <f t="shared" si="8"/>
        <v>0</v>
      </c>
    </row>
    <row r="54" spans="1:25" s="377" customFormat="1" ht="17.25" customHeight="1">
      <c r="A54" s="560">
        <v>49</v>
      </c>
      <c r="B54" s="153" t="s">
        <v>160</v>
      </c>
      <c r="C54" s="561" t="s">
        <v>148</v>
      </c>
      <c r="D54" s="563" t="s">
        <v>25</v>
      </c>
      <c r="E54" s="562" t="s">
        <v>484</v>
      </c>
      <c r="F54" s="562" t="s">
        <v>34</v>
      </c>
      <c r="G54" s="560">
        <v>1</v>
      </c>
      <c r="H54" s="563" t="s">
        <v>102</v>
      </c>
      <c r="I54" s="563" t="s">
        <v>103</v>
      </c>
      <c r="J54" s="564">
        <v>2</v>
      </c>
      <c r="K54" s="554">
        <v>17697</v>
      </c>
      <c r="L54" s="565">
        <v>23</v>
      </c>
      <c r="M54" s="554">
        <f t="shared" si="4"/>
        <v>1.2777777777777777</v>
      </c>
      <c r="N54" s="566" t="s">
        <v>104</v>
      </c>
      <c r="O54" s="566">
        <v>3.92</v>
      </c>
      <c r="P54" s="567">
        <f t="shared" si="10"/>
        <v>88642.306666666671</v>
      </c>
      <c r="Q54" s="568"/>
      <c r="R54" s="554"/>
      <c r="S54" s="554">
        <v>0.1</v>
      </c>
      <c r="T54" s="567">
        <f t="shared" si="9"/>
        <v>8864.2306666666682</v>
      </c>
      <c r="U54" s="569"/>
      <c r="V54" s="554"/>
      <c r="W54" s="559">
        <f t="shared" si="7"/>
        <v>97506.537333333341</v>
      </c>
      <c r="X54" s="406">
        <f>U54+Q54</f>
        <v>0</v>
      </c>
      <c r="Y54" s="406">
        <f>V54+R54</f>
        <v>0</v>
      </c>
    </row>
    <row r="55" spans="1:25" s="377" customFormat="1" ht="17.25" customHeight="1">
      <c r="A55" s="547">
        <v>50</v>
      </c>
      <c r="B55" s="153" t="s">
        <v>162</v>
      </c>
      <c r="C55" s="561" t="s">
        <v>99</v>
      </c>
      <c r="D55" s="563" t="s">
        <v>64</v>
      </c>
      <c r="E55" s="562" t="s">
        <v>485</v>
      </c>
      <c r="F55" s="562" t="s">
        <v>77</v>
      </c>
      <c r="G55" s="560">
        <v>1</v>
      </c>
      <c r="H55" s="563" t="s">
        <v>102</v>
      </c>
      <c r="I55" s="563" t="s">
        <v>103</v>
      </c>
      <c r="J55" s="581">
        <v>4</v>
      </c>
      <c r="K55" s="554">
        <v>17697</v>
      </c>
      <c r="L55" s="565">
        <v>10</v>
      </c>
      <c r="M55" s="554">
        <f t="shared" si="4"/>
        <v>0.55555555555555558</v>
      </c>
      <c r="N55" s="574" t="s">
        <v>112</v>
      </c>
      <c r="O55" s="566">
        <v>2.92</v>
      </c>
      <c r="P55" s="567">
        <f t="shared" si="10"/>
        <v>28708.466666666664</v>
      </c>
      <c r="Q55" s="568"/>
      <c r="R55" s="554"/>
      <c r="S55" s="554">
        <v>0.1</v>
      </c>
      <c r="T55" s="567">
        <f t="shared" si="9"/>
        <v>2870.8466666666664</v>
      </c>
      <c r="U55" s="569"/>
      <c r="V55" s="554"/>
      <c r="W55" s="559">
        <f t="shared" si="7"/>
        <v>31579.313333333332</v>
      </c>
      <c r="X55" s="406">
        <f t="shared" si="8"/>
        <v>0</v>
      </c>
      <c r="Y55" s="406">
        <f t="shared" si="8"/>
        <v>0</v>
      </c>
    </row>
    <row r="56" spans="1:25" s="377" customFormat="1" ht="17.25" customHeight="1">
      <c r="A56" s="560">
        <v>51</v>
      </c>
      <c r="B56" s="153" t="s">
        <v>166</v>
      </c>
      <c r="C56" s="561" t="s">
        <v>99</v>
      </c>
      <c r="D56" s="563" t="s">
        <v>25</v>
      </c>
      <c r="E56" s="562" t="s">
        <v>486</v>
      </c>
      <c r="F56" s="562" t="s">
        <v>73</v>
      </c>
      <c r="G56" s="560">
        <v>1</v>
      </c>
      <c r="H56" s="563" t="s">
        <v>102</v>
      </c>
      <c r="I56" s="563" t="s">
        <v>103</v>
      </c>
      <c r="J56" s="581">
        <v>1</v>
      </c>
      <c r="K56" s="554">
        <v>17697</v>
      </c>
      <c r="L56" s="565">
        <v>33</v>
      </c>
      <c r="M56" s="554">
        <f t="shared" si="4"/>
        <v>1.8333333333333333</v>
      </c>
      <c r="N56" s="574" t="s">
        <v>152</v>
      </c>
      <c r="O56" s="555">
        <v>4.0199999999999996</v>
      </c>
      <c r="P56" s="567">
        <f t="shared" si="10"/>
        <v>130426.88999999998</v>
      </c>
      <c r="Q56" s="568"/>
      <c r="R56" s="554"/>
      <c r="S56" s="554">
        <v>0.1</v>
      </c>
      <c r="T56" s="567">
        <f t="shared" si="9"/>
        <v>13042.688999999998</v>
      </c>
      <c r="U56" s="569"/>
      <c r="V56" s="554"/>
      <c r="W56" s="559">
        <f t="shared" si="7"/>
        <v>143469.57899999997</v>
      </c>
      <c r="X56" s="406">
        <f t="shared" si="8"/>
        <v>0</v>
      </c>
      <c r="Y56" s="406">
        <f t="shared" si="8"/>
        <v>0</v>
      </c>
    </row>
    <row r="57" spans="1:25" s="377" customFormat="1" ht="17.25" customHeight="1">
      <c r="A57" s="547">
        <v>52</v>
      </c>
      <c r="B57" s="153" t="s">
        <v>168</v>
      </c>
      <c r="C57" s="561" t="s">
        <v>99</v>
      </c>
      <c r="D57" s="563" t="s">
        <v>25</v>
      </c>
      <c r="E57" s="562" t="s">
        <v>487</v>
      </c>
      <c r="F57" s="562" t="s">
        <v>73</v>
      </c>
      <c r="G57" s="560">
        <v>1</v>
      </c>
      <c r="H57" s="563" t="s">
        <v>102</v>
      </c>
      <c r="I57" s="563" t="s">
        <v>103</v>
      </c>
      <c r="J57" s="581">
        <v>3</v>
      </c>
      <c r="K57" s="554">
        <v>17697</v>
      </c>
      <c r="L57" s="565">
        <v>29</v>
      </c>
      <c r="M57" s="554">
        <f t="shared" si="4"/>
        <v>1.6111111111111112</v>
      </c>
      <c r="N57" s="566" t="s">
        <v>109</v>
      </c>
      <c r="O57" s="566">
        <v>3.45</v>
      </c>
      <c r="P57" s="567">
        <f t="shared" si="10"/>
        <v>98365.825000000012</v>
      </c>
      <c r="Q57" s="568"/>
      <c r="R57" s="554"/>
      <c r="S57" s="554">
        <v>0.1</v>
      </c>
      <c r="T57" s="567">
        <f t="shared" si="9"/>
        <v>9836.5825000000023</v>
      </c>
      <c r="U57" s="569"/>
      <c r="V57" s="554"/>
      <c r="W57" s="559">
        <f t="shared" si="7"/>
        <v>108202.40750000002</v>
      </c>
      <c r="X57" s="406">
        <f t="shared" si="8"/>
        <v>0</v>
      </c>
      <c r="Y57" s="406">
        <f t="shared" si="8"/>
        <v>0</v>
      </c>
    </row>
    <row r="58" spans="1:25" s="377" customFormat="1" ht="17.25" customHeight="1">
      <c r="A58" s="560">
        <v>53</v>
      </c>
      <c r="B58" s="153" t="s">
        <v>89</v>
      </c>
      <c r="C58" s="561" t="s">
        <v>170</v>
      </c>
      <c r="D58" s="563" t="s">
        <v>25</v>
      </c>
      <c r="E58" s="562" t="s">
        <v>488</v>
      </c>
      <c r="F58" s="562" t="s">
        <v>73</v>
      </c>
      <c r="G58" s="560">
        <v>1</v>
      </c>
      <c r="H58" s="563" t="s">
        <v>102</v>
      </c>
      <c r="I58" s="563" t="s">
        <v>103</v>
      </c>
      <c r="J58" s="581">
        <v>3</v>
      </c>
      <c r="K58" s="554">
        <v>17697</v>
      </c>
      <c r="L58" s="565">
        <v>22</v>
      </c>
      <c r="M58" s="554">
        <f t="shared" si="4"/>
        <v>1.2222222222222223</v>
      </c>
      <c r="N58" s="566" t="s">
        <v>109</v>
      </c>
      <c r="O58" s="566">
        <v>3.45</v>
      </c>
      <c r="P58" s="567">
        <f t="shared" si="10"/>
        <v>74622.350000000006</v>
      </c>
      <c r="Q58" s="568"/>
      <c r="R58" s="554"/>
      <c r="S58" s="554">
        <v>0.1</v>
      </c>
      <c r="T58" s="567">
        <f t="shared" si="9"/>
        <v>7462.2350000000006</v>
      </c>
      <c r="U58" s="569"/>
      <c r="V58" s="554"/>
      <c r="W58" s="559">
        <f t="shared" si="7"/>
        <v>82084.585000000006</v>
      </c>
      <c r="X58" s="406">
        <f t="shared" si="8"/>
        <v>0</v>
      </c>
      <c r="Y58" s="406">
        <f t="shared" si="8"/>
        <v>0</v>
      </c>
    </row>
    <row r="59" spans="1:25" s="377" customFormat="1" ht="17.25" customHeight="1">
      <c r="A59" s="547">
        <v>54</v>
      </c>
      <c r="B59" s="153" t="s">
        <v>171</v>
      </c>
      <c r="C59" s="561" t="s">
        <v>99</v>
      </c>
      <c r="D59" s="563" t="s">
        <v>25</v>
      </c>
      <c r="E59" s="562" t="s">
        <v>489</v>
      </c>
      <c r="F59" s="562" t="s">
        <v>34</v>
      </c>
      <c r="G59" s="560">
        <v>1</v>
      </c>
      <c r="H59" s="563" t="s">
        <v>102</v>
      </c>
      <c r="I59" s="563" t="s">
        <v>103</v>
      </c>
      <c r="J59" s="581">
        <v>1</v>
      </c>
      <c r="K59" s="554">
        <v>17697</v>
      </c>
      <c r="L59" s="565">
        <v>36</v>
      </c>
      <c r="M59" s="554">
        <f t="shared" si="4"/>
        <v>2</v>
      </c>
      <c r="N59" s="574" t="s">
        <v>152</v>
      </c>
      <c r="O59" s="566">
        <v>4.32</v>
      </c>
      <c r="P59" s="567">
        <f t="shared" si="10"/>
        <v>152902.08000000002</v>
      </c>
      <c r="Q59" s="568"/>
      <c r="R59" s="554"/>
      <c r="S59" s="554">
        <v>0.1</v>
      </c>
      <c r="T59" s="567">
        <f t="shared" si="9"/>
        <v>15290.208000000002</v>
      </c>
      <c r="U59" s="569"/>
      <c r="V59" s="554"/>
      <c r="W59" s="559">
        <f t="shared" si="7"/>
        <v>168192.28800000003</v>
      </c>
      <c r="X59" s="406"/>
      <c r="Y59" s="406"/>
    </row>
    <row r="60" spans="1:25" s="377" customFormat="1" ht="16.5" customHeight="1">
      <c r="A60" s="560">
        <v>55</v>
      </c>
      <c r="B60" s="153" t="s">
        <v>207</v>
      </c>
      <c r="C60" s="561" t="s">
        <v>99</v>
      </c>
      <c r="D60" s="563" t="s">
        <v>25</v>
      </c>
      <c r="E60" s="562" t="s">
        <v>208</v>
      </c>
      <c r="F60" s="562" t="s">
        <v>209</v>
      </c>
      <c r="G60" s="560">
        <v>1</v>
      </c>
      <c r="H60" s="563" t="s">
        <v>102</v>
      </c>
      <c r="I60" s="563" t="s">
        <v>103</v>
      </c>
      <c r="J60" s="581">
        <v>2</v>
      </c>
      <c r="K60" s="554">
        <v>17697</v>
      </c>
      <c r="L60" s="565">
        <v>4</v>
      </c>
      <c r="M60" s="554">
        <f t="shared" si="4"/>
        <v>0.22222222222222221</v>
      </c>
      <c r="N60" s="566" t="s">
        <v>104</v>
      </c>
      <c r="O60" s="566">
        <v>3.68</v>
      </c>
      <c r="P60" s="567">
        <f t="shared" si="10"/>
        <v>14472.213333333335</v>
      </c>
      <c r="Q60" s="568"/>
      <c r="R60" s="554"/>
      <c r="S60" s="554">
        <v>0.1</v>
      </c>
      <c r="T60" s="567">
        <f t="shared" si="9"/>
        <v>1447.2213333333336</v>
      </c>
      <c r="U60" s="569"/>
      <c r="V60" s="554"/>
      <c r="W60" s="559">
        <f t="shared" si="7"/>
        <v>15919.434666666668</v>
      </c>
      <c r="X60" s="406">
        <f t="shared" ref="X60:Y74" si="11">U60+Q60</f>
        <v>0</v>
      </c>
      <c r="Y60" s="406">
        <f t="shared" si="11"/>
        <v>0</v>
      </c>
    </row>
    <row r="61" spans="1:25" s="377" customFormat="1" ht="17.25" customHeight="1">
      <c r="A61" s="547">
        <v>56</v>
      </c>
      <c r="B61" s="153" t="s">
        <v>173</v>
      </c>
      <c r="C61" s="561" t="s">
        <v>99</v>
      </c>
      <c r="D61" s="563" t="s">
        <v>25</v>
      </c>
      <c r="E61" s="562" t="s">
        <v>490</v>
      </c>
      <c r="F61" s="562" t="s">
        <v>101</v>
      </c>
      <c r="G61" s="560">
        <v>1</v>
      </c>
      <c r="H61" s="563" t="s">
        <v>102</v>
      </c>
      <c r="I61" s="563" t="s">
        <v>103</v>
      </c>
      <c r="J61" s="581">
        <v>1</v>
      </c>
      <c r="K61" s="554">
        <v>17697</v>
      </c>
      <c r="L61" s="565">
        <v>34.5</v>
      </c>
      <c r="M61" s="554">
        <f t="shared" si="4"/>
        <v>1.9166666666666667</v>
      </c>
      <c r="N61" s="574" t="s">
        <v>152</v>
      </c>
      <c r="O61" s="582">
        <v>4.1399999999999997</v>
      </c>
      <c r="P61" s="567">
        <f t="shared" si="10"/>
        <v>140425.69499999998</v>
      </c>
      <c r="Q61" s="568"/>
      <c r="R61" s="554"/>
      <c r="S61" s="554">
        <v>0.1</v>
      </c>
      <c r="T61" s="567">
        <f t="shared" si="9"/>
        <v>14042.569499999998</v>
      </c>
      <c r="U61" s="569"/>
      <c r="V61" s="554"/>
      <c r="W61" s="559">
        <f t="shared" si="7"/>
        <v>154468.26449999999</v>
      </c>
      <c r="X61" s="406">
        <f t="shared" si="11"/>
        <v>0</v>
      </c>
      <c r="Y61" s="406">
        <f t="shared" si="11"/>
        <v>0</v>
      </c>
    </row>
    <row r="62" spans="1:25" s="377" customFormat="1" ht="17.25" customHeight="1">
      <c r="A62" s="560">
        <v>57</v>
      </c>
      <c r="B62" s="153" t="s">
        <v>175</v>
      </c>
      <c r="C62" s="561" t="s">
        <v>99</v>
      </c>
      <c r="D62" s="563" t="s">
        <v>25</v>
      </c>
      <c r="E62" s="562" t="s">
        <v>491</v>
      </c>
      <c r="F62" s="562" t="s">
        <v>114</v>
      </c>
      <c r="G62" s="560">
        <v>1</v>
      </c>
      <c r="H62" s="563" t="s">
        <v>102</v>
      </c>
      <c r="I62" s="563" t="s">
        <v>103</v>
      </c>
      <c r="J62" s="581">
        <v>1</v>
      </c>
      <c r="K62" s="554">
        <v>17697</v>
      </c>
      <c r="L62" s="565">
        <v>9</v>
      </c>
      <c r="M62" s="554">
        <f t="shared" si="4"/>
        <v>0.5</v>
      </c>
      <c r="N62" s="574" t="s">
        <v>152</v>
      </c>
      <c r="O62" s="566">
        <v>4.32</v>
      </c>
      <c r="P62" s="567">
        <f t="shared" si="10"/>
        <v>38225.520000000004</v>
      </c>
      <c r="Q62" s="568"/>
      <c r="R62" s="554"/>
      <c r="S62" s="554">
        <v>0.1</v>
      </c>
      <c r="T62" s="567">
        <f t="shared" si="9"/>
        <v>3822.5520000000006</v>
      </c>
      <c r="U62" s="569"/>
      <c r="V62" s="554"/>
      <c r="W62" s="559">
        <f t="shared" si="7"/>
        <v>42048.072000000007</v>
      </c>
      <c r="X62" s="406">
        <f t="shared" si="11"/>
        <v>0</v>
      </c>
      <c r="Y62" s="406">
        <f t="shared" si="11"/>
        <v>0</v>
      </c>
    </row>
    <row r="63" spans="1:25" s="503" customFormat="1" ht="17.25" customHeight="1">
      <c r="A63" s="547">
        <v>58</v>
      </c>
      <c r="B63" s="153" t="s">
        <v>177</v>
      </c>
      <c r="C63" s="561" t="s">
        <v>99</v>
      </c>
      <c r="D63" s="563" t="s">
        <v>178</v>
      </c>
      <c r="E63" s="562" t="s">
        <v>492</v>
      </c>
      <c r="F63" s="562" t="s">
        <v>366</v>
      </c>
      <c r="G63" s="560">
        <v>1</v>
      </c>
      <c r="H63" s="563" t="s">
        <v>102</v>
      </c>
      <c r="I63" s="563" t="s">
        <v>103</v>
      </c>
      <c r="J63" s="581">
        <v>2</v>
      </c>
      <c r="K63" s="554">
        <v>17697</v>
      </c>
      <c r="L63" s="565">
        <v>26</v>
      </c>
      <c r="M63" s="554">
        <f t="shared" si="4"/>
        <v>1.4444444444444444</v>
      </c>
      <c r="N63" s="566" t="s">
        <v>104</v>
      </c>
      <c r="O63" s="566">
        <v>3.86</v>
      </c>
      <c r="P63" s="567">
        <f t="shared" si="10"/>
        <v>98670.606666666659</v>
      </c>
      <c r="Q63" s="568"/>
      <c r="R63" s="554"/>
      <c r="S63" s="554">
        <v>0.1</v>
      </c>
      <c r="T63" s="567">
        <f t="shared" si="9"/>
        <v>9867.0606666666663</v>
      </c>
      <c r="U63" s="569"/>
      <c r="V63" s="554"/>
      <c r="W63" s="559">
        <f t="shared" si="7"/>
        <v>108537.66733333333</v>
      </c>
      <c r="X63" s="502">
        <f t="shared" si="11"/>
        <v>0</v>
      </c>
      <c r="Y63" s="502">
        <f t="shared" si="11"/>
        <v>0</v>
      </c>
    </row>
    <row r="64" spans="1:25" s="503" customFormat="1" ht="17.25" customHeight="1">
      <c r="A64" s="560">
        <v>59</v>
      </c>
      <c r="B64" s="491" t="s">
        <v>448</v>
      </c>
      <c r="C64" s="561" t="s">
        <v>99</v>
      </c>
      <c r="D64" s="563" t="s">
        <v>75</v>
      </c>
      <c r="E64" s="562" t="s">
        <v>449</v>
      </c>
      <c r="F64" s="562" t="s">
        <v>159</v>
      </c>
      <c r="G64" s="560">
        <v>1</v>
      </c>
      <c r="H64" s="563" t="s">
        <v>102</v>
      </c>
      <c r="I64" s="563" t="s">
        <v>118</v>
      </c>
      <c r="J64" s="581">
        <v>4</v>
      </c>
      <c r="K64" s="554">
        <v>17697</v>
      </c>
      <c r="L64" s="565">
        <v>14</v>
      </c>
      <c r="M64" s="554">
        <f t="shared" si="4"/>
        <v>0.77777777777777779</v>
      </c>
      <c r="N64" s="574" t="s">
        <v>112</v>
      </c>
      <c r="O64" s="566">
        <v>2.75</v>
      </c>
      <c r="P64" s="567">
        <f t="shared" si="10"/>
        <v>37851.916666666672</v>
      </c>
      <c r="Q64" s="568"/>
      <c r="R64" s="554"/>
      <c r="S64" s="554">
        <v>0.1</v>
      </c>
      <c r="T64" s="567">
        <f t="shared" si="9"/>
        <v>3785.1916666666675</v>
      </c>
      <c r="U64" s="569"/>
      <c r="V64" s="554"/>
      <c r="W64" s="559">
        <f t="shared" si="7"/>
        <v>41637.108333333337</v>
      </c>
      <c r="X64" s="502"/>
      <c r="Y64" s="502"/>
    </row>
    <row r="65" spans="1:43" s="503" customFormat="1" ht="17.25" customHeight="1">
      <c r="A65" s="547">
        <v>60</v>
      </c>
      <c r="B65" s="153" t="s">
        <v>182</v>
      </c>
      <c r="C65" s="561" t="s">
        <v>99</v>
      </c>
      <c r="D65" s="563" t="s">
        <v>25</v>
      </c>
      <c r="E65" s="562" t="s">
        <v>494</v>
      </c>
      <c r="F65" s="562" t="s">
        <v>93</v>
      </c>
      <c r="G65" s="560">
        <v>1</v>
      </c>
      <c r="H65" s="563" t="s">
        <v>102</v>
      </c>
      <c r="I65" s="563" t="s">
        <v>103</v>
      </c>
      <c r="J65" s="581">
        <v>1</v>
      </c>
      <c r="K65" s="554">
        <v>17697</v>
      </c>
      <c r="L65" s="565">
        <v>35</v>
      </c>
      <c r="M65" s="554">
        <f t="shared" si="4"/>
        <v>1.9444444444444444</v>
      </c>
      <c r="N65" s="574" t="s">
        <v>152</v>
      </c>
      <c r="O65" s="566">
        <v>4.26</v>
      </c>
      <c r="P65" s="567">
        <f t="shared" si="10"/>
        <v>146590.15</v>
      </c>
      <c r="Q65" s="568"/>
      <c r="R65" s="554"/>
      <c r="S65" s="554">
        <v>0.1</v>
      </c>
      <c r="T65" s="567">
        <f t="shared" si="9"/>
        <v>14659.014999999999</v>
      </c>
      <c r="U65" s="569"/>
      <c r="V65" s="554"/>
      <c r="W65" s="559">
        <f t="shared" si="7"/>
        <v>161249.16499999998</v>
      </c>
      <c r="X65" s="502"/>
      <c r="Y65" s="502"/>
    </row>
    <row r="66" spans="1:43" s="377" customFormat="1" ht="17.25" customHeight="1">
      <c r="A66" s="560">
        <v>61</v>
      </c>
      <c r="B66" s="153" t="s">
        <v>184</v>
      </c>
      <c r="C66" s="561" t="s">
        <v>99</v>
      </c>
      <c r="D66" s="563" t="s">
        <v>25</v>
      </c>
      <c r="E66" s="586" t="s">
        <v>495</v>
      </c>
      <c r="F66" s="562" t="s">
        <v>27</v>
      </c>
      <c r="G66" s="560">
        <v>1</v>
      </c>
      <c r="H66" s="563" t="s">
        <v>102</v>
      </c>
      <c r="I66" s="563" t="s">
        <v>103</v>
      </c>
      <c r="J66" s="581">
        <v>1</v>
      </c>
      <c r="K66" s="554">
        <v>17697</v>
      </c>
      <c r="L66" s="565">
        <v>31</v>
      </c>
      <c r="M66" s="554">
        <f t="shared" si="4"/>
        <v>1.7222222222222223</v>
      </c>
      <c r="N66" s="574" t="s">
        <v>152</v>
      </c>
      <c r="O66" s="566">
        <v>4.32</v>
      </c>
      <c r="P66" s="567">
        <f t="shared" si="10"/>
        <v>131665.68000000002</v>
      </c>
      <c r="Q66" s="568"/>
      <c r="R66" s="554"/>
      <c r="S66" s="554">
        <v>0.1</v>
      </c>
      <c r="T66" s="567">
        <f t="shared" si="9"/>
        <v>13166.568000000003</v>
      </c>
      <c r="U66" s="569"/>
      <c r="V66" s="554"/>
      <c r="W66" s="559">
        <f t="shared" si="7"/>
        <v>144832.24800000002</v>
      </c>
      <c r="X66" s="406">
        <f t="shared" si="11"/>
        <v>0</v>
      </c>
      <c r="Y66" s="406">
        <f t="shared" si="11"/>
        <v>0</v>
      </c>
    </row>
    <row r="67" spans="1:43" s="377" customFormat="1" ht="17.25" customHeight="1">
      <c r="A67" s="547">
        <v>62</v>
      </c>
      <c r="B67" s="153" t="s">
        <v>186</v>
      </c>
      <c r="C67" s="561" t="s">
        <v>99</v>
      </c>
      <c r="D67" s="563" t="s">
        <v>25</v>
      </c>
      <c r="E67" s="562" t="s">
        <v>496</v>
      </c>
      <c r="F67" s="562" t="s">
        <v>27</v>
      </c>
      <c r="G67" s="560">
        <v>1</v>
      </c>
      <c r="H67" s="563" t="s">
        <v>102</v>
      </c>
      <c r="I67" s="563" t="s">
        <v>103</v>
      </c>
      <c r="J67" s="581">
        <v>1</v>
      </c>
      <c r="K67" s="554">
        <v>17697</v>
      </c>
      <c r="L67" s="565">
        <v>23</v>
      </c>
      <c r="M67" s="554">
        <f t="shared" si="4"/>
        <v>1.2777777777777777</v>
      </c>
      <c r="N67" s="574" t="s">
        <v>152</v>
      </c>
      <c r="O67" s="566">
        <v>4.32</v>
      </c>
      <c r="P67" s="567">
        <f t="shared" si="10"/>
        <v>97687.440000000017</v>
      </c>
      <c r="Q67" s="568"/>
      <c r="R67" s="554"/>
      <c r="S67" s="554">
        <v>0.1</v>
      </c>
      <c r="T67" s="567">
        <f t="shared" si="9"/>
        <v>9768.7440000000024</v>
      </c>
      <c r="U67" s="569"/>
      <c r="V67" s="554"/>
      <c r="W67" s="559">
        <f t="shared" si="7"/>
        <v>107456.18400000002</v>
      </c>
      <c r="X67" s="406">
        <f t="shared" si="11"/>
        <v>0</v>
      </c>
      <c r="Y67" s="406">
        <f t="shared" si="11"/>
        <v>0</v>
      </c>
    </row>
    <row r="68" spans="1:43" s="377" customFormat="1" ht="17.25" customHeight="1">
      <c r="A68" s="560">
        <v>63</v>
      </c>
      <c r="B68" s="587" t="s">
        <v>188</v>
      </c>
      <c r="C68" s="588" t="s">
        <v>99</v>
      </c>
      <c r="D68" s="589" t="s">
        <v>25</v>
      </c>
      <c r="E68" s="590" t="s">
        <v>497</v>
      </c>
      <c r="F68" s="591" t="s">
        <v>51</v>
      </c>
      <c r="G68" s="592">
        <v>1</v>
      </c>
      <c r="H68" s="589" t="s">
        <v>102</v>
      </c>
      <c r="I68" s="589" t="s">
        <v>103</v>
      </c>
      <c r="J68" s="581">
        <v>1</v>
      </c>
      <c r="K68" s="593">
        <v>17697</v>
      </c>
      <c r="L68" s="594">
        <v>36</v>
      </c>
      <c r="M68" s="554">
        <f t="shared" si="4"/>
        <v>2</v>
      </c>
      <c r="N68" s="574" t="s">
        <v>152</v>
      </c>
      <c r="O68" s="595">
        <v>4.26</v>
      </c>
      <c r="P68" s="596">
        <f t="shared" si="10"/>
        <v>150778.44</v>
      </c>
      <c r="Q68" s="597"/>
      <c r="R68" s="593"/>
      <c r="S68" s="593">
        <v>0.1</v>
      </c>
      <c r="T68" s="596">
        <f t="shared" si="9"/>
        <v>15077.844000000001</v>
      </c>
      <c r="U68" s="598"/>
      <c r="V68" s="593"/>
      <c r="W68" s="559">
        <f t="shared" si="7"/>
        <v>165856.28400000001</v>
      </c>
      <c r="X68" s="406">
        <f t="shared" si="11"/>
        <v>0</v>
      </c>
      <c r="Y68" s="406">
        <f t="shared" si="11"/>
        <v>0</v>
      </c>
    </row>
    <row r="69" spans="1:43" s="377" customFormat="1" ht="17.25" customHeight="1">
      <c r="A69" s="547">
        <v>64</v>
      </c>
      <c r="B69" s="587" t="s">
        <v>450</v>
      </c>
      <c r="C69" s="588" t="s">
        <v>99</v>
      </c>
      <c r="D69" s="589" t="s">
        <v>25</v>
      </c>
      <c r="E69" s="590" t="s">
        <v>451</v>
      </c>
      <c r="F69" s="591" t="s">
        <v>34</v>
      </c>
      <c r="G69" s="592">
        <v>1</v>
      </c>
      <c r="H69" s="589" t="s">
        <v>102</v>
      </c>
      <c r="I69" s="589" t="s">
        <v>103</v>
      </c>
      <c r="J69" s="581">
        <v>1</v>
      </c>
      <c r="K69" s="593">
        <v>17697</v>
      </c>
      <c r="L69" s="594">
        <v>21</v>
      </c>
      <c r="M69" s="554">
        <f t="shared" si="4"/>
        <v>1.1666666666666667</v>
      </c>
      <c r="N69" s="574" t="s">
        <v>152</v>
      </c>
      <c r="O69" s="595">
        <v>4.32</v>
      </c>
      <c r="P69" s="596">
        <f t="shared" si="10"/>
        <v>89192.880000000019</v>
      </c>
      <c r="Q69" s="597"/>
      <c r="R69" s="593"/>
      <c r="S69" s="593">
        <v>0.1</v>
      </c>
      <c r="T69" s="596">
        <f t="shared" si="9"/>
        <v>8919.2880000000023</v>
      </c>
      <c r="U69" s="598"/>
      <c r="V69" s="593"/>
      <c r="W69" s="559">
        <f t="shared" si="7"/>
        <v>98112.16800000002</v>
      </c>
      <c r="X69" s="406">
        <f t="shared" si="11"/>
        <v>0</v>
      </c>
      <c r="Y69" s="406">
        <f t="shared" si="11"/>
        <v>0</v>
      </c>
    </row>
    <row r="70" spans="1:43" s="377" customFormat="1" ht="17.25" customHeight="1">
      <c r="A70" s="560">
        <v>65</v>
      </c>
      <c r="B70" s="587" t="s">
        <v>454</v>
      </c>
      <c r="C70" s="588" t="s">
        <v>99</v>
      </c>
      <c r="D70" s="589" t="s">
        <v>189</v>
      </c>
      <c r="E70" s="590" t="s">
        <v>460</v>
      </c>
      <c r="F70" s="591" t="s">
        <v>77</v>
      </c>
      <c r="G70" s="592">
        <v>1</v>
      </c>
      <c r="H70" s="589" t="s">
        <v>102</v>
      </c>
      <c r="I70" s="589" t="s">
        <v>103</v>
      </c>
      <c r="J70" s="581">
        <v>4</v>
      </c>
      <c r="K70" s="593">
        <v>17697</v>
      </c>
      <c r="L70" s="594">
        <v>34</v>
      </c>
      <c r="M70" s="554">
        <f t="shared" si="4"/>
        <v>1.8888888888888888</v>
      </c>
      <c r="N70" s="574" t="s">
        <v>112</v>
      </c>
      <c r="O70" s="595">
        <v>2.92</v>
      </c>
      <c r="P70" s="596">
        <f t="shared" si="10"/>
        <v>97608.786666666652</v>
      </c>
      <c r="Q70" s="597"/>
      <c r="R70" s="593"/>
      <c r="S70" s="593">
        <v>0.1</v>
      </c>
      <c r="T70" s="596">
        <f t="shared" si="9"/>
        <v>9760.8786666666656</v>
      </c>
      <c r="U70" s="598"/>
      <c r="V70" s="593"/>
      <c r="W70" s="559">
        <f t="shared" si="7"/>
        <v>107369.66533333332</v>
      </c>
      <c r="X70" s="406">
        <f t="shared" si="11"/>
        <v>0</v>
      </c>
      <c r="Y70" s="406">
        <f t="shared" si="11"/>
        <v>0</v>
      </c>
    </row>
    <row r="71" spans="1:43" s="377" customFormat="1" ht="17.25" customHeight="1">
      <c r="A71" s="547">
        <v>66</v>
      </c>
      <c r="B71" s="159" t="s">
        <v>191</v>
      </c>
      <c r="C71" s="600" t="s">
        <v>99</v>
      </c>
      <c r="D71" s="601" t="s">
        <v>25</v>
      </c>
      <c r="E71" s="602" t="s">
        <v>498</v>
      </c>
      <c r="F71" s="585" t="s">
        <v>73</v>
      </c>
      <c r="G71" s="603">
        <v>1</v>
      </c>
      <c r="H71" s="601" t="s">
        <v>102</v>
      </c>
      <c r="I71" s="601" t="s">
        <v>103</v>
      </c>
      <c r="J71" s="604">
        <v>2</v>
      </c>
      <c r="K71" s="605">
        <v>17697</v>
      </c>
      <c r="L71" s="606">
        <v>20</v>
      </c>
      <c r="M71" s="554">
        <f t="shared" si="4"/>
        <v>1.1111111111111112</v>
      </c>
      <c r="N71" s="566" t="s">
        <v>104</v>
      </c>
      <c r="O71" s="579">
        <v>3.62</v>
      </c>
      <c r="P71" s="607">
        <f t="shared" si="10"/>
        <v>71181.266666666663</v>
      </c>
      <c r="Q71" s="608"/>
      <c r="R71" s="605"/>
      <c r="S71" s="605">
        <v>0.1</v>
      </c>
      <c r="T71" s="607">
        <f t="shared" si="9"/>
        <v>7118.126666666667</v>
      </c>
      <c r="U71" s="609"/>
      <c r="V71" s="605"/>
      <c r="W71" s="559">
        <f t="shared" si="7"/>
        <v>78299.393333333326</v>
      </c>
      <c r="X71" s="437">
        <f t="shared" si="11"/>
        <v>0</v>
      </c>
      <c r="Y71" s="437">
        <f t="shared" si="11"/>
        <v>0</v>
      </c>
    </row>
    <row r="72" spans="1:43" s="377" customFormat="1" ht="17.25" customHeight="1">
      <c r="A72" s="560">
        <v>67</v>
      </c>
      <c r="B72" s="159" t="s">
        <v>193</v>
      </c>
      <c r="C72" s="600" t="s">
        <v>99</v>
      </c>
      <c r="D72" s="601" t="s">
        <v>64</v>
      </c>
      <c r="E72" s="602" t="s">
        <v>459</v>
      </c>
      <c r="F72" s="562" t="s">
        <v>252</v>
      </c>
      <c r="G72" s="603">
        <v>1</v>
      </c>
      <c r="H72" s="563" t="s">
        <v>102</v>
      </c>
      <c r="I72" s="563" t="s">
        <v>118</v>
      </c>
      <c r="J72" s="581">
        <v>3</v>
      </c>
      <c r="K72" s="554">
        <v>17697</v>
      </c>
      <c r="L72" s="606">
        <v>31</v>
      </c>
      <c r="M72" s="554">
        <f t="shared" si="4"/>
        <v>1.7222222222222223</v>
      </c>
      <c r="N72" s="566" t="s">
        <v>109</v>
      </c>
      <c r="O72" s="579">
        <v>3.03</v>
      </c>
      <c r="P72" s="607">
        <f t="shared" si="10"/>
        <v>92348.845000000001</v>
      </c>
      <c r="Q72" s="608"/>
      <c r="R72" s="605"/>
      <c r="S72" s="605">
        <v>0.1</v>
      </c>
      <c r="T72" s="607">
        <f t="shared" si="9"/>
        <v>9234.8845000000001</v>
      </c>
      <c r="U72" s="609"/>
      <c r="V72" s="605"/>
      <c r="W72" s="559">
        <f t="shared" si="7"/>
        <v>101583.7295</v>
      </c>
      <c r="X72" s="437"/>
      <c r="Y72" s="437"/>
    </row>
    <row r="73" spans="1:43" s="377" customFormat="1" ht="17.25" customHeight="1">
      <c r="A73" s="547">
        <v>68</v>
      </c>
      <c r="B73" s="159" t="s">
        <v>197</v>
      </c>
      <c r="C73" s="600" t="s">
        <v>99</v>
      </c>
      <c r="D73" s="563" t="s">
        <v>25</v>
      </c>
      <c r="E73" s="210" t="s">
        <v>499</v>
      </c>
      <c r="F73" s="562" t="s">
        <v>34</v>
      </c>
      <c r="G73" s="603">
        <v>1</v>
      </c>
      <c r="H73" s="601" t="s">
        <v>102</v>
      </c>
      <c r="I73" s="601" t="s">
        <v>103</v>
      </c>
      <c r="J73" s="604">
        <v>1</v>
      </c>
      <c r="K73" s="605">
        <v>17697</v>
      </c>
      <c r="L73" s="606">
        <v>28</v>
      </c>
      <c r="M73" s="554">
        <f t="shared" si="4"/>
        <v>1.5555555555555556</v>
      </c>
      <c r="N73" s="574" t="s">
        <v>152</v>
      </c>
      <c r="O73" s="579">
        <v>4.32</v>
      </c>
      <c r="P73" s="607">
        <f t="shared" si="10"/>
        <v>118923.84000000003</v>
      </c>
      <c r="Q73" s="608"/>
      <c r="R73" s="605"/>
      <c r="S73" s="605">
        <v>0.1</v>
      </c>
      <c r="T73" s="607">
        <f t="shared" si="9"/>
        <v>11892.384000000004</v>
      </c>
      <c r="U73" s="609"/>
      <c r="V73" s="605"/>
      <c r="W73" s="559">
        <f t="shared" si="7"/>
        <v>130816.22400000003</v>
      </c>
      <c r="X73" s="437">
        <f t="shared" si="11"/>
        <v>0</v>
      </c>
      <c r="Y73" s="437">
        <f t="shared" si="11"/>
        <v>0</v>
      </c>
    </row>
    <row r="74" spans="1:43" s="377" customFormat="1" ht="17.25" customHeight="1">
      <c r="A74" s="560">
        <v>69</v>
      </c>
      <c r="B74" s="159" t="s">
        <v>199</v>
      </c>
      <c r="C74" s="600" t="s">
        <v>99</v>
      </c>
      <c r="D74" s="563" t="s">
        <v>25</v>
      </c>
      <c r="E74" s="210" t="s">
        <v>457</v>
      </c>
      <c r="F74" s="562" t="s">
        <v>122</v>
      </c>
      <c r="G74" s="603">
        <v>1</v>
      </c>
      <c r="H74" s="563" t="s">
        <v>102</v>
      </c>
      <c r="I74" s="563" t="s">
        <v>118</v>
      </c>
      <c r="J74" s="581">
        <v>4</v>
      </c>
      <c r="K74" s="605">
        <v>17697</v>
      </c>
      <c r="L74" s="606">
        <v>14</v>
      </c>
      <c r="M74" s="554">
        <f t="shared" si="4"/>
        <v>0.77777777777777779</v>
      </c>
      <c r="N74" s="574" t="s">
        <v>112</v>
      </c>
      <c r="O74" s="579">
        <v>2.8</v>
      </c>
      <c r="P74" s="607">
        <f t="shared" si="10"/>
        <v>38540.133333333331</v>
      </c>
      <c r="Q74" s="608"/>
      <c r="R74" s="605"/>
      <c r="S74" s="605">
        <v>0.1</v>
      </c>
      <c r="T74" s="607">
        <f t="shared" si="9"/>
        <v>3854.0133333333333</v>
      </c>
      <c r="U74" s="609"/>
      <c r="V74" s="605"/>
      <c r="W74" s="559">
        <f t="shared" si="7"/>
        <v>42394.146666666667</v>
      </c>
      <c r="X74" s="437">
        <f t="shared" si="11"/>
        <v>0</v>
      </c>
      <c r="Y74" s="437">
        <f t="shared" si="11"/>
        <v>0</v>
      </c>
    </row>
    <row r="75" spans="1:43" s="377" customFormat="1" ht="17.25" customHeight="1">
      <c r="A75" s="547">
        <v>70</v>
      </c>
      <c r="B75" s="159" t="s">
        <v>439</v>
      </c>
      <c r="C75" s="600" t="s">
        <v>99</v>
      </c>
      <c r="D75" s="563" t="s">
        <v>75</v>
      </c>
      <c r="E75" s="562" t="s">
        <v>504</v>
      </c>
      <c r="F75" s="562" t="s">
        <v>159</v>
      </c>
      <c r="G75" s="612">
        <v>1</v>
      </c>
      <c r="H75" s="580" t="s">
        <v>102</v>
      </c>
      <c r="I75" s="580" t="s">
        <v>118</v>
      </c>
      <c r="J75" s="574">
        <v>4</v>
      </c>
      <c r="K75" s="554">
        <v>17697</v>
      </c>
      <c r="L75" s="606">
        <v>25</v>
      </c>
      <c r="M75" s="554">
        <f t="shared" si="4"/>
        <v>1.3888888888888888</v>
      </c>
      <c r="N75" s="574" t="s">
        <v>112</v>
      </c>
      <c r="O75" s="579">
        <v>2.75</v>
      </c>
      <c r="P75" s="607">
        <f t="shared" si="10"/>
        <v>67592.708333333343</v>
      </c>
      <c r="Q75" s="608"/>
      <c r="R75" s="605"/>
      <c r="S75" s="605">
        <v>0.1</v>
      </c>
      <c r="T75" s="607">
        <f t="shared" si="9"/>
        <v>6759.2708333333348</v>
      </c>
      <c r="U75" s="609"/>
      <c r="V75" s="605"/>
      <c r="W75" s="559">
        <f t="shared" si="7"/>
        <v>74351.979166666672</v>
      </c>
      <c r="X75" s="437"/>
      <c r="Y75" s="437"/>
    </row>
    <row r="76" spans="1:43" s="377" customFormat="1" ht="17.25" customHeight="1">
      <c r="A76" s="560">
        <v>71</v>
      </c>
      <c r="B76" s="159" t="s">
        <v>200</v>
      </c>
      <c r="C76" s="600" t="s">
        <v>99</v>
      </c>
      <c r="D76" s="563" t="s">
        <v>25</v>
      </c>
      <c r="E76" s="210" t="s">
        <v>500</v>
      </c>
      <c r="F76" s="562" t="s">
        <v>34</v>
      </c>
      <c r="G76" s="603">
        <v>1</v>
      </c>
      <c r="H76" s="563" t="s">
        <v>102</v>
      </c>
      <c r="I76" s="563" t="s">
        <v>103</v>
      </c>
      <c r="J76" s="581">
        <v>2</v>
      </c>
      <c r="K76" s="554">
        <v>17697</v>
      </c>
      <c r="L76" s="565">
        <v>18</v>
      </c>
      <c r="M76" s="554">
        <f t="shared" si="4"/>
        <v>1</v>
      </c>
      <c r="N76" s="566" t="s">
        <v>104</v>
      </c>
      <c r="O76" s="566">
        <v>3.92</v>
      </c>
      <c r="P76" s="607">
        <f t="shared" si="10"/>
        <v>69372.240000000005</v>
      </c>
      <c r="Q76" s="608"/>
      <c r="R76" s="605"/>
      <c r="S76" s="605">
        <v>0.1</v>
      </c>
      <c r="T76" s="607">
        <f t="shared" si="9"/>
        <v>6937.2240000000011</v>
      </c>
      <c r="U76" s="609"/>
      <c r="V76" s="605"/>
      <c r="W76" s="559">
        <f t="shared" si="7"/>
        <v>76309.464000000007</v>
      </c>
      <c r="X76" s="437"/>
      <c r="Y76" s="437"/>
    </row>
    <row r="77" spans="1:43" s="377" customFormat="1" ht="17.25" customHeight="1">
      <c r="A77" s="547">
        <v>72</v>
      </c>
      <c r="B77" s="153" t="s">
        <v>202</v>
      </c>
      <c r="C77" s="561" t="s">
        <v>99</v>
      </c>
      <c r="D77" s="563" t="s">
        <v>75</v>
      </c>
      <c r="E77" s="210" t="s">
        <v>203</v>
      </c>
      <c r="F77" s="562" t="s">
        <v>66</v>
      </c>
      <c r="G77" s="560">
        <v>1</v>
      </c>
      <c r="H77" s="563" t="s">
        <v>102</v>
      </c>
      <c r="I77" s="563" t="s">
        <v>103</v>
      </c>
      <c r="J77" s="581">
        <v>3</v>
      </c>
      <c r="K77" s="554">
        <v>17697</v>
      </c>
      <c r="L77" s="606">
        <v>32</v>
      </c>
      <c r="M77" s="554">
        <f t="shared" si="4"/>
        <v>1.7777777777777777</v>
      </c>
      <c r="N77" s="566" t="s">
        <v>109</v>
      </c>
      <c r="O77" s="579">
        <v>3.57</v>
      </c>
      <c r="P77" s="607">
        <f t="shared" si="10"/>
        <v>112316.95999999999</v>
      </c>
      <c r="Q77" s="608"/>
      <c r="R77" s="605"/>
      <c r="S77" s="605">
        <v>0.1</v>
      </c>
      <c r="T77" s="607">
        <f t="shared" si="9"/>
        <v>11231.696</v>
      </c>
      <c r="U77" s="609"/>
      <c r="V77" s="605"/>
      <c r="W77" s="559">
        <f t="shared" si="7"/>
        <v>123548.65599999999</v>
      </c>
      <c r="X77" s="437"/>
      <c r="Y77" s="437"/>
    </row>
    <row r="78" spans="1:43" s="112" customFormat="1" ht="17.25" customHeight="1">
      <c r="A78" s="613"/>
      <c r="B78" s="250"/>
      <c r="C78" s="614"/>
      <c r="D78" s="615"/>
      <c r="E78" s="616"/>
      <c r="F78" s="616"/>
      <c r="G78" s="617"/>
      <c r="H78" s="615"/>
      <c r="I78" s="615"/>
      <c r="J78" s="618"/>
      <c r="K78" s="619"/>
      <c r="L78" s="620">
        <f>SUM(L27:L77)</f>
        <v>1099</v>
      </c>
      <c r="M78" s="619"/>
      <c r="N78" s="621"/>
      <c r="O78" s="622"/>
      <c r="P78" s="623"/>
      <c r="Q78" s="623"/>
      <c r="R78" s="623"/>
      <c r="S78" s="623"/>
      <c r="T78" s="623"/>
      <c r="U78" s="623"/>
      <c r="V78" s="623"/>
      <c r="W78" s="623"/>
      <c r="X78" s="104"/>
      <c r="Y78" s="10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</row>
    <row r="79" spans="1:43" s="377" customFormat="1" ht="15.75">
      <c r="A79" s="560">
        <v>73</v>
      </c>
      <c r="B79" s="153" t="s">
        <v>215</v>
      </c>
      <c r="C79" s="561" t="s">
        <v>99</v>
      </c>
      <c r="D79" s="563" t="s">
        <v>25</v>
      </c>
      <c r="E79" s="562" t="s">
        <v>441</v>
      </c>
      <c r="F79" s="562" t="s">
        <v>217</v>
      </c>
      <c r="G79" s="571">
        <v>1</v>
      </c>
      <c r="H79" s="580" t="s">
        <v>102</v>
      </c>
      <c r="I79" s="580" t="s">
        <v>103</v>
      </c>
      <c r="J79" s="574">
        <v>1</v>
      </c>
      <c r="K79" s="554">
        <v>17697</v>
      </c>
      <c r="L79" s="573">
        <v>20</v>
      </c>
      <c r="M79" s="554">
        <f>L79/18</f>
        <v>1.1111111111111112</v>
      </c>
      <c r="N79" s="574" t="s">
        <v>112</v>
      </c>
      <c r="O79" s="575">
        <v>4.26</v>
      </c>
      <c r="P79" s="567">
        <f>O79*K79/18*L79</f>
        <v>83765.8</v>
      </c>
      <c r="Q79" s="568"/>
      <c r="R79" s="554"/>
      <c r="S79" s="554">
        <v>0.1</v>
      </c>
      <c r="T79" s="567">
        <f>P79*S79</f>
        <v>8376.58</v>
      </c>
      <c r="U79" s="569"/>
      <c r="V79" s="554"/>
      <c r="W79" s="570">
        <f t="shared" ref="W79:Y101" si="12">T79+P79</f>
        <v>92142.38</v>
      </c>
      <c r="X79" s="406">
        <f t="shared" si="12"/>
        <v>0</v>
      </c>
      <c r="Y79" s="406">
        <f t="shared" si="12"/>
        <v>0</v>
      </c>
    </row>
    <row r="80" spans="1:43" s="377" customFormat="1" ht="17.25" customHeight="1">
      <c r="A80" s="560">
        <v>74</v>
      </c>
      <c r="B80" s="153" t="s">
        <v>222</v>
      </c>
      <c r="C80" s="561" t="s">
        <v>148</v>
      </c>
      <c r="D80" s="563" t="s">
        <v>25</v>
      </c>
      <c r="E80" s="562" t="s">
        <v>223</v>
      </c>
      <c r="F80" s="562" t="s">
        <v>224</v>
      </c>
      <c r="G80" s="571">
        <v>1</v>
      </c>
      <c r="H80" s="580" t="s">
        <v>102</v>
      </c>
      <c r="I80" s="580" t="s">
        <v>103</v>
      </c>
      <c r="J80" s="574">
        <v>3</v>
      </c>
      <c r="K80" s="554">
        <v>17697</v>
      </c>
      <c r="L80" s="573">
        <v>34</v>
      </c>
      <c r="M80" s="554">
        <f t="shared" ref="M80:M101" si="13">L80/18</f>
        <v>1.8888888888888888</v>
      </c>
      <c r="N80" s="566" t="s">
        <v>109</v>
      </c>
      <c r="O80" s="575">
        <v>3.62</v>
      </c>
      <c r="P80" s="567">
        <f t="shared" ref="P80:P101" si="14">O80*K80/18*L80</f>
        <v>121008.15333333334</v>
      </c>
      <c r="Q80" s="568"/>
      <c r="R80" s="554"/>
      <c r="S80" s="554">
        <v>0.1</v>
      </c>
      <c r="T80" s="567">
        <f t="shared" ref="T80:T101" si="15">P80*S80</f>
        <v>12100.815333333334</v>
      </c>
      <c r="U80" s="569"/>
      <c r="V80" s="554"/>
      <c r="W80" s="570">
        <f t="shared" si="12"/>
        <v>133108.96866666668</v>
      </c>
      <c r="X80" s="406">
        <f t="shared" si="12"/>
        <v>0</v>
      </c>
      <c r="Y80" s="406">
        <f t="shared" si="12"/>
        <v>0</v>
      </c>
    </row>
    <row r="81" spans="1:25" s="377" customFormat="1" ht="17.25" customHeight="1">
      <c r="A81" s="560">
        <v>75</v>
      </c>
      <c r="B81" s="153" t="s">
        <v>124</v>
      </c>
      <c r="C81" s="561" t="s">
        <v>125</v>
      </c>
      <c r="D81" s="560" t="s">
        <v>75</v>
      </c>
      <c r="E81" s="582" t="s">
        <v>205</v>
      </c>
      <c r="F81" s="562" t="s">
        <v>108</v>
      </c>
      <c r="G81" s="560">
        <v>1</v>
      </c>
      <c r="H81" s="563" t="s">
        <v>102</v>
      </c>
      <c r="I81" s="563" t="s">
        <v>118</v>
      </c>
      <c r="J81" s="581">
        <v>3</v>
      </c>
      <c r="K81" s="554">
        <v>17697</v>
      </c>
      <c r="L81" s="565">
        <v>13</v>
      </c>
      <c r="M81" s="554">
        <f t="shared" si="13"/>
        <v>0.72222222222222221</v>
      </c>
      <c r="N81" s="574" t="s">
        <v>109</v>
      </c>
      <c r="O81" s="566">
        <v>2.96</v>
      </c>
      <c r="P81" s="567">
        <f t="shared" si="14"/>
        <v>37832.253333333334</v>
      </c>
      <c r="Q81" s="568"/>
      <c r="R81" s="554"/>
      <c r="S81" s="554">
        <v>0.1</v>
      </c>
      <c r="T81" s="567">
        <f t="shared" si="15"/>
        <v>3783.2253333333338</v>
      </c>
      <c r="U81" s="569"/>
      <c r="V81" s="554"/>
      <c r="W81" s="570">
        <f t="shared" si="12"/>
        <v>41615.47866666667</v>
      </c>
      <c r="X81" s="406">
        <f t="shared" si="12"/>
        <v>0</v>
      </c>
      <c r="Y81" s="406">
        <f t="shared" si="12"/>
        <v>0</v>
      </c>
    </row>
    <row r="82" spans="1:25" s="377" customFormat="1" ht="17.25" customHeight="1">
      <c r="A82" s="560">
        <v>76</v>
      </c>
      <c r="B82" s="153" t="s">
        <v>116</v>
      </c>
      <c r="C82" s="561" t="s">
        <v>99</v>
      </c>
      <c r="D82" s="560" t="s">
        <v>64</v>
      </c>
      <c r="E82" s="583" t="s">
        <v>117</v>
      </c>
      <c r="F82" s="562" t="s">
        <v>114</v>
      </c>
      <c r="G82" s="560">
        <v>1</v>
      </c>
      <c r="H82" s="563" t="s">
        <v>102</v>
      </c>
      <c r="I82" s="563" t="s">
        <v>118</v>
      </c>
      <c r="J82" s="564">
        <v>1</v>
      </c>
      <c r="K82" s="554">
        <v>17697</v>
      </c>
      <c r="L82" s="565">
        <v>5</v>
      </c>
      <c r="M82" s="554">
        <f t="shared" si="13"/>
        <v>0.27777777777777779</v>
      </c>
      <c r="N82" s="574" t="s">
        <v>152</v>
      </c>
      <c r="O82" s="566">
        <v>3.89</v>
      </c>
      <c r="P82" s="567">
        <f t="shared" si="14"/>
        <v>19122.591666666667</v>
      </c>
      <c r="Q82" s="568"/>
      <c r="R82" s="554"/>
      <c r="S82" s="554">
        <v>0.1</v>
      </c>
      <c r="T82" s="567">
        <f t="shared" si="15"/>
        <v>1912.2591666666667</v>
      </c>
      <c r="U82" s="569"/>
      <c r="V82" s="554"/>
      <c r="W82" s="570">
        <f t="shared" si="12"/>
        <v>21034.850833333334</v>
      </c>
      <c r="X82" s="406">
        <f t="shared" si="12"/>
        <v>0</v>
      </c>
      <c r="Y82" s="406">
        <f t="shared" si="12"/>
        <v>0</v>
      </c>
    </row>
    <row r="83" spans="1:25" s="377" customFormat="1" ht="17.25" customHeight="1">
      <c r="A83" s="560">
        <v>77</v>
      </c>
      <c r="B83" s="153" t="s">
        <v>127</v>
      </c>
      <c r="C83" s="561" t="s">
        <v>99</v>
      </c>
      <c r="D83" s="560" t="s">
        <v>25</v>
      </c>
      <c r="E83" s="562" t="s">
        <v>128</v>
      </c>
      <c r="F83" s="562" t="s">
        <v>34</v>
      </c>
      <c r="G83" s="560">
        <v>1</v>
      </c>
      <c r="H83" s="563" t="s">
        <v>102</v>
      </c>
      <c r="I83" s="563" t="s">
        <v>103</v>
      </c>
      <c r="J83" s="564">
        <v>1</v>
      </c>
      <c r="K83" s="554">
        <v>17697</v>
      </c>
      <c r="L83" s="565">
        <v>6</v>
      </c>
      <c r="M83" s="554">
        <f t="shared" si="13"/>
        <v>0.33333333333333331</v>
      </c>
      <c r="N83" s="574" t="s">
        <v>152</v>
      </c>
      <c r="O83" s="566">
        <v>4.32</v>
      </c>
      <c r="P83" s="567">
        <f t="shared" si="14"/>
        <v>25483.680000000004</v>
      </c>
      <c r="Q83" s="568"/>
      <c r="R83" s="554"/>
      <c r="S83" s="554">
        <v>0.1</v>
      </c>
      <c r="T83" s="567">
        <f t="shared" si="15"/>
        <v>2548.3680000000004</v>
      </c>
      <c r="U83" s="569"/>
      <c r="V83" s="554"/>
      <c r="W83" s="570">
        <f t="shared" si="12"/>
        <v>28032.048000000003</v>
      </c>
      <c r="X83" s="406">
        <f t="shared" si="12"/>
        <v>0</v>
      </c>
      <c r="Y83" s="406">
        <f t="shared" si="12"/>
        <v>0</v>
      </c>
    </row>
    <row r="84" spans="1:25" s="377" customFormat="1" ht="17.25" customHeight="1">
      <c r="A84" s="560">
        <v>78</v>
      </c>
      <c r="B84" s="153" t="s">
        <v>227</v>
      </c>
      <c r="C84" s="561" t="s">
        <v>99</v>
      </c>
      <c r="D84" s="560" t="s">
        <v>25</v>
      </c>
      <c r="E84" s="562" t="s">
        <v>228</v>
      </c>
      <c r="F84" s="562" t="s">
        <v>229</v>
      </c>
      <c r="G84" s="571">
        <v>1</v>
      </c>
      <c r="H84" s="580" t="s">
        <v>102</v>
      </c>
      <c r="I84" s="580" t="s">
        <v>103</v>
      </c>
      <c r="J84" s="574">
        <v>3</v>
      </c>
      <c r="K84" s="554">
        <v>17697</v>
      </c>
      <c r="L84" s="573">
        <v>28</v>
      </c>
      <c r="M84" s="554">
        <f t="shared" si="13"/>
        <v>1.5555555555555556</v>
      </c>
      <c r="N84" s="566" t="s">
        <v>109</v>
      </c>
      <c r="O84" s="575">
        <v>3.33</v>
      </c>
      <c r="P84" s="567">
        <f t="shared" si="14"/>
        <v>91670.46</v>
      </c>
      <c r="Q84" s="568"/>
      <c r="R84" s="554"/>
      <c r="S84" s="554">
        <v>0.1</v>
      </c>
      <c r="T84" s="567">
        <f t="shared" si="15"/>
        <v>9167.0460000000003</v>
      </c>
      <c r="U84" s="569"/>
      <c r="V84" s="554"/>
      <c r="W84" s="570">
        <f t="shared" si="12"/>
        <v>100837.50600000001</v>
      </c>
      <c r="X84" s="406">
        <f t="shared" si="12"/>
        <v>0</v>
      </c>
      <c r="Y84" s="406">
        <f t="shared" si="12"/>
        <v>0</v>
      </c>
    </row>
    <row r="85" spans="1:25" s="377" customFormat="1" ht="17.25" customHeight="1">
      <c r="A85" s="560">
        <v>79</v>
      </c>
      <c r="B85" s="153" t="s">
        <v>230</v>
      </c>
      <c r="C85" s="561" t="s">
        <v>99</v>
      </c>
      <c r="D85" s="560" t="s">
        <v>25</v>
      </c>
      <c r="E85" s="582" t="s">
        <v>231</v>
      </c>
      <c r="F85" s="582" t="s">
        <v>40</v>
      </c>
      <c r="G85" s="627">
        <v>1</v>
      </c>
      <c r="H85" s="580" t="s">
        <v>232</v>
      </c>
      <c r="I85" s="580" t="s">
        <v>233</v>
      </c>
      <c r="J85" s="574">
        <v>1</v>
      </c>
      <c r="K85" s="554">
        <v>17697</v>
      </c>
      <c r="L85" s="573">
        <v>36</v>
      </c>
      <c r="M85" s="554">
        <f t="shared" si="13"/>
        <v>2</v>
      </c>
      <c r="N85" s="574" t="s">
        <v>152</v>
      </c>
      <c r="O85" s="566">
        <v>4.32</v>
      </c>
      <c r="P85" s="567">
        <f t="shared" si="14"/>
        <v>152902.08000000002</v>
      </c>
      <c r="Q85" s="568"/>
      <c r="R85" s="554"/>
      <c r="S85" s="554">
        <v>0.1</v>
      </c>
      <c r="T85" s="567">
        <f t="shared" si="15"/>
        <v>15290.208000000002</v>
      </c>
      <c r="U85" s="569"/>
      <c r="V85" s="554"/>
      <c r="W85" s="570">
        <f t="shared" si="12"/>
        <v>168192.28800000003</v>
      </c>
      <c r="X85" s="406">
        <f t="shared" si="12"/>
        <v>0</v>
      </c>
      <c r="Y85" s="406">
        <f t="shared" si="12"/>
        <v>0</v>
      </c>
    </row>
    <row r="86" spans="1:25" s="377" customFormat="1" ht="17.25" customHeight="1">
      <c r="A86" s="560">
        <v>80</v>
      </c>
      <c r="B86" s="153" t="s">
        <v>133</v>
      </c>
      <c r="C86" s="561" t="s">
        <v>99</v>
      </c>
      <c r="D86" s="563" t="s">
        <v>25</v>
      </c>
      <c r="E86" s="562" t="s">
        <v>474</v>
      </c>
      <c r="F86" s="562" t="s">
        <v>34</v>
      </c>
      <c r="G86" s="560">
        <v>1</v>
      </c>
      <c r="H86" s="563" t="s">
        <v>102</v>
      </c>
      <c r="I86" s="563" t="s">
        <v>103</v>
      </c>
      <c r="J86" s="581">
        <v>1</v>
      </c>
      <c r="K86" s="554">
        <v>17697</v>
      </c>
      <c r="L86" s="565">
        <v>17</v>
      </c>
      <c r="M86" s="554">
        <f t="shared" si="13"/>
        <v>0.94444444444444442</v>
      </c>
      <c r="N86" s="574" t="s">
        <v>152</v>
      </c>
      <c r="O86" s="566">
        <v>4.32</v>
      </c>
      <c r="P86" s="567">
        <f t="shared" si="14"/>
        <v>72203.760000000009</v>
      </c>
      <c r="Q86" s="568"/>
      <c r="R86" s="554"/>
      <c r="S86" s="554">
        <v>0.1</v>
      </c>
      <c r="T86" s="567">
        <f t="shared" si="15"/>
        <v>7220.3760000000011</v>
      </c>
      <c r="U86" s="569"/>
      <c r="V86" s="554"/>
      <c r="W86" s="570">
        <f t="shared" si="12"/>
        <v>79424.136000000013</v>
      </c>
      <c r="X86" s="406">
        <f t="shared" si="12"/>
        <v>0</v>
      </c>
      <c r="Y86" s="406">
        <f t="shared" si="12"/>
        <v>0</v>
      </c>
    </row>
    <row r="87" spans="1:25" s="377" customFormat="1" ht="17.25" customHeight="1">
      <c r="A87" s="560">
        <v>81</v>
      </c>
      <c r="B87" s="153" t="s">
        <v>160</v>
      </c>
      <c r="C87" s="561" t="s">
        <v>148</v>
      </c>
      <c r="D87" s="563" t="s">
        <v>25</v>
      </c>
      <c r="E87" s="562" t="s">
        <v>484</v>
      </c>
      <c r="F87" s="562" t="s">
        <v>34</v>
      </c>
      <c r="G87" s="560">
        <v>1</v>
      </c>
      <c r="H87" s="563" t="s">
        <v>102</v>
      </c>
      <c r="I87" s="563" t="s">
        <v>103</v>
      </c>
      <c r="J87" s="564">
        <v>2</v>
      </c>
      <c r="K87" s="554">
        <v>17697</v>
      </c>
      <c r="L87" s="565">
        <v>11</v>
      </c>
      <c r="M87" s="554">
        <f t="shared" si="13"/>
        <v>0.61111111111111116</v>
      </c>
      <c r="N87" s="566" t="s">
        <v>104</v>
      </c>
      <c r="O87" s="566">
        <v>3.92</v>
      </c>
      <c r="P87" s="567">
        <f t="shared" si="14"/>
        <v>42394.146666666675</v>
      </c>
      <c r="Q87" s="568"/>
      <c r="R87" s="554"/>
      <c r="S87" s="554">
        <v>0.1</v>
      </c>
      <c r="T87" s="567">
        <f t="shared" si="15"/>
        <v>4239.4146666666675</v>
      </c>
      <c r="U87" s="569"/>
      <c r="V87" s="554"/>
      <c r="W87" s="570">
        <f t="shared" si="12"/>
        <v>46633.561333333346</v>
      </c>
      <c r="X87" s="406">
        <f t="shared" si="12"/>
        <v>0</v>
      </c>
      <c r="Y87" s="406">
        <f t="shared" si="12"/>
        <v>0</v>
      </c>
    </row>
    <row r="88" spans="1:25" s="377" customFormat="1" ht="17.25" customHeight="1">
      <c r="A88" s="560">
        <v>82</v>
      </c>
      <c r="B88" s="153" t="s">
        <v>360</v>
      </c>
      <c r="C88" s="561" t="s">
        <v>99</v>
      </c>
      <c r="D88" s="563" t="s">
        <v>25</v>
      </c>
      <c r="E88" s="562" t="s">
        <v>361</v>
      </c>
      <c r="F88" s="562" t="s">
        <v>362</v>
      </c>
      <c r="G88" s="571">
        <v>1</v>
      </c>
      <c r="H88" s="580" t="s">
        <v>102</v>
      </c>
      <c r="I88" s="580" t="s">
        <v>103</v>
      </c>
      <c r="J88" s="574">
        <v>1</v>
      </c>
      <c r="K88" s="554">
        <v>17697</v>
      </c>
      <c r="L88" s="573">
        <v>24</v>
      </c>
      <c r="M88" s="554">
        <f t="shared" si="13"/>
        <v>1.3333333333333333</v>
      </c>
      <c r="N88" s="566" t="s">
        <v>152</v>
      </c>
      <c r="O88" s="575">
        <v>4.1399999999999997</v>
      </c>
      <c r="P88" s="567">
        <f t="shared" si="14"/>
        <v>97687.439999999988</v>
      </c>
      <c r="Q88" s="568"/>
      <c r="R88" s="554"/>
      <c r="S88" s="554">
        <v>0.1</v>
      </c>
      <c r="T88" s="567">
        <f t="shared" si="15"/>
        <v>9768.7439999999988</v>
      </c>
      <c r="U88" s="569"/>
      <c r="V88" s="554"/>
      <c r="W88" s="570">
        <f t="shared" si="12"/>
        <v>107456.18399999998</v>
      </c>
      <c r="X88" s="406"/>
      <c r="Y88" s="406"/>
    </row>
    <row r="89" spans="1:25" s="377" customFormat="1" ht="17.25" customHeight="1">
      <c r="A89" s="560">
        <v>83</v>
      </c>
      <c r="B89" s="153" t="s">
        <v>162</v>
      </c>
      <c r="C89" s="561" t="s">
        <v>99</v>
      </c>
      <c r="D89" s="563" t="s">
        <v>25</v>
      </c>
      <c r="E89" s="562" t="s">
        <v>485</v>
      </c>
      <c r="F89" s="562" t="s">
        <v>77</v>
      </c>
      <c r="G89" s="560">
        <v>1</v>
      </c>
      <c r="H89" s="563" t="s">
        <v>102</v>
      </c>
      <c r="I89" s="580" t="s">
        <v>103</v>
      </c>
      <c r="J89" s="581">
        <v>4</v>
      </c>
      <c r="K89" s="554">
        <v>17697</v>
      </c>
      <c r="L89" s="565">
        <v>22</v>
      </c>
      <c r="M89" s="554">
        <f t="shared" si="13"/>
        <v>1.2222222222222223</v>
      </c>
      <c r="N89" s="574" t="s">
        <v>112</v>
      </c>
      <c r="O89" s="566">
        <v>2.92</v>
      </c>
      <c r="P89" s="567">
        <f t="shared" si="14"/>
        <v>63158.626666666663</v>
      </c>
      <c r="Q89" s="568"/>
      <c r="R89" s="554"/>
      <c r="S89" s="554">
        <v>0.1</v>
      </c>
      <c r="T89" s="567">
        <f t="shared" si="15"/>
        <v>6315.8626666666669</v>
      </c>
      <c r="U89" s="569"/>
      <c r="V89" s="554"/>
      <c r="W89" s="570">
        <f t="shared" si="12"/>
        <v>69474.489333333331</v>
      </c>
      <c r="X89" s="406">
        <f t="shared" si="12"/>
        <v>0</v>
      </c>
      <c r="Y89" s="406">
        <f t="shared" si="12"/>
        <v>0</v>
      </c>
    </row>
    <row r="90" spans="1:25" s="377" customFormat="1" ht="17.25" customHeight="1">
      <c r="A90" s="560">
        <v>84</v>
      </c>
      <c r="B90" s="153" t="s">
        <v>237</v>
      </c>
      <c r="C90" s="561" t="s">
        <v>99</v>
      </c>
      <c r="D90" s="563" t="s">
        <v>25</v>
      </c>
      <c r="E90" s="562" t="s">
        <v>238</v>
      </c>
      <c r="F90" s="562" t="s">
        <v>239</v>
      </c>
      <c r="G90" s="571">
        <v>1</v>
      </c>
      <c r="H90" s="580" t="s">
        <v>102</v>
      </c>
      <c r="I90" s="580" t="s">
        <v>103</v>
      </c>
      <c r="J90" s="574">
        <v>2</v>
      </c>
      <c r="K90" s="554">
        <v>17697</v>
      </c>
      <c r="L90" s="573">
        <v>25</v>
      </c>
      <c r="M90" s="554">
        <f t="shared" si="13"/>
        <v>1.3888888888888888</v>
      </c>
      <c r="N90" s="566" t="s">
        <v>104</v>
      </c>
      <c r="O90" s="575">
        <v>3.68</v>
      </c>
      <c r="P90" s="567">
        <f t="shared" si="14"/>
        <v>90451.333333333343</v>
      </c>
      <c r="Q90" s="568"/>
      <c r="R90" s="554"/>
      <c r="S90" s="554">
        <v>0.1</v>
      </c>
      <c r="T90" s="567">
        <f t="shared" si="15"/>
        <v>9045.133333333335</v>
      </c>
      <c r="U90" s="569"/>
      <c r="V90" s="554"/>
      <c r="W90" s="570">
        <f t="shared" si="12"/>
        <v>99496.466666666674</v>
      </c>
      <c r="X90" s="406">
        <f t="shared" si="12"/>
        <v>0</v>
      </c>
      <c r="Y90" s="406">
        <f t="shared" si="12"/>
        <v>0</v>
      </c>
    </row>
    <row r="91" spans="1:25" s="377" customFormat="1" ht="17.25" customHeight="1">
      <c r="A91" s="560">
        <v>85</v>
      </c>
      <c r="B91" s="153" t="s">
        <v>281</v>
      </c>
      <c r="C91" s="561" t="s">
        <v>99</v>
      </c>
      <c r="D91" s="628" t="s">
        <v>25</v>
      </c>
      <c r="E91" s="586" t="s">
        <v>430</v>
      </c>
      <c r="F91" s="562" t="s">
        <v>40</v>
      </c>
      <c r="G91" s="560">
        <v>1</v>
      </c>
      <c r="H91" s="563" t="s">
        <v>102</v>
      </c>
      <c r="I91" s="563" t="s">
        <v>103</v>
      </c>
      <c r="J91" s="629">
        <v>1</v>
      </c>
      <c r="K91" s="554">
        <v>17697</v>
      </c>
      <c r="L91" s="573">
        <v>12</v>
      </c>
      <c r="M91" s="554">
        <f t="shared" si="13"/>
        <v>0.66666666666666663</v>
      </c>
      <c r="N91" s="574" t="s">
        <v>152</v>
      </c>
      <c r="O91" s="575">
        <v>4.32</v>
      </c>
      <c r="P91" s="567">
        <f t="shared" si="14"/>
        <v>50967.360000000008</v>
      </c>
      <c r="Q91" s="568"/>
      <c r="R91" s="554"/>
      <c r="S91" s="554">
        <v>0.1</v>
      </c>
      <c r="T91" s="567">
        <f t="shared" si="15"/>
        <v>5096.7360000000008</v>
      </c>
      <c r="U91" s="569"/>
      <c r="V91" s="554"/>
      <c r="W91" s="570">
        <f t="shared" si="12"/>
        <v>56064.096000000005</v>
      </c>
      <c r="X91" s="406">
        <f t="shared" si="12"/>
        <v>0</v>
      </c>
      <c r="Y91" s="406">
        <f t="shared" si="12"/>
        <v>0</v>
      </c>
    </row>
    <row r="92" spans="1:25" s="377" customFormat="1" ht="17.25" customHeight="1">
      <c r="A92" s="560">
        <v>86</v>
      </c>
      <c r="B92" s="491" t="s">
        <v>448</v>
      </c>
      <c r="C92" s="561" t="s">
        <v>99</v>
      </c>
      <c r="D92" s="563" t="s">
        <v>75</v>
      </c>
      <c r="E92" s="562" t="s">
        <v>437</v>
      </c>
      <c r="F92" s="562" t="s">
        <v>438</v>
      </c>
      <c r="G92" s="560"/>
      <c r="H92" s="563" t="s">
        <v>102</v>
      </c>
      <c r="I92" s="563" t="s">
        <v>118</v>
      </c>
      <c r="J92" s="581">
        <v>4</v>
      </c>
      <c r="K92" s="554">
        <v>17697</v>
      </c>
      <c r="L92" s="565">
        <v>6</v>
      </c>
      <c r="M92" s="554">
        <f t="shared" si="13"/>
        <v>0.33333333333333331</v>
      </c>
      <c r="N92" s="574" t="s">
        <v>112</v>
      </c>
      <c r="O92" s="566">
        <v>2.75</v>
      </c>
      <c r="P92" s="567">
        <f t="shared" si="14"/>
        <v>16222.25</v>
      </c>
      <c r="Q92" s="568"/>
      <c r="R92" s="554"/>
      <c r="S92" s="554">
        <v>0.1</v>
      </c>
      <c r="T92" s="567">
        <f t="shared" si="15"/>
        <v>1622.2250000000001</v>
      </c>
      <c r="U92" s="569"/>
      <c r="V92" s="554"/>
      <c r="W92" s="570">
        <f t="shared" si="12"/>
        <v>17844.474999999999</v>
      </c>
      <c r="X92" s="406">
        <f>U92+Q92</f>
        <v>0</v>
      </c>
      <c r="Y92" s="406">
        <f>V92+R92</f>
        <v>0</v>
      </c>
    </row>
    <row r="93" spans="1:25" s="377" customFormat="1" ht="17.25" customHeight="1">
      <c r="A93" s="560">
        <v>87</v>
      </c>
      <c r="B93" s="153" t="s">
        <v>243</v>
      </c>
      <c r="C93" s="561" t="s">
        <v>99</v>
      </c>
      <c r="D93" s="563" t="s">
        <v>25</v>
      </c>
      <c r="E93" s="562" t="s">
        <v>244</v>
      </c>
      <c r="F93" s="562" t="s">
        <v>239</v>
      </c>
      <c r="G93" s="571">
        <v>1</v>
      </c>
      <c r="H93" s="580" t="s">
        <v>102</v>
      </c>
      <c r="I93" s="580" t="s">
        <v>103</v>
      </c>
      <c r="J93" s="574">
        <v>2</v>
      </c>
      <c r="K93" s="554">
        <v>17697</v>
      </c>
      <c r="L93" s="573">
        <v>36</v>
      </c>
      <c r="M93" s="554">
        <f t="shared" si="13"/>
        <v>2</v>
      </c>
      <c r="N93" s="566" t="s">
        <v>109</v>
      </c>
      <c r="O93" s="575">
        <v>3.62</v>
      </c>
      <c r="P93" s="567">
        <f t="shared" si="14"/>
        <v>128126.28</v>
      </c>
      <c r="Q93" s="568"/>
      <c r="R93" s="554"/>
      <c r="S93" s="554">
        <v>0.1</v>
      </c>
      <c r="T93" s="567">
        <f t="shared" si="15"/>
        <v>12812.628000000001</v>
      </c>
      <c r="U93" s="569"/>
      <c r="V93" s="554"/>
      <c r="W93" s="570">
        <f t="shared" si="12"/>
        <v>140938.908</v>
      </c>
      <c r="X93" s="406"/>
      <c r="Y93" s="406"/>
    </row>
    <row r="94" spans="1:25" s="377" customFormat="1" ht="17.25" customHeight="1">
      <c r="A94" s="560">
        <v>88</v>
      </c>
      <c r="B94" s="153" t="s">
        <v>245</v>
      </c>
      <c r="C94" s="561" t="s">
        <v>99</v>
      </c>
      <c r="D94" s="563" t="s">
        <v>25</v>
      </c>
      <c r="E94" s="562" t="s">
        <v>246</v>
      </c>
      <c r="F94" s="562" t="s">
        <v>40</v>
      </c>
      <c r="G94" s="571">
        <v>1</v>
      </c>
      <c r="H94" s="580" t="s">
        <v>102</v>
      </c>
      <c r="I94" s="580" t="s">
        <v>103</v>
      </c>
      <c r="J94" s="574">
        <v>1</v>
      </c>
      <c r="K94" s="554">
        <v>17697</v>
      </c>
      <c r="L94" s="573">
        <v>33</v>
      </c>
      <c r="M94" s="554">
        <f t="shared" si="13"/>
        <v>1.8333333333333333</v>
      </c>
      <c r="N94" s="574" t="s">
        <v>152</v>
      </c>
      <c r="O94" s="575">
        <v>4.32</v>
      </c>
      <c r="P94" s="567">
        <f t="shared" si="14"/>
        <v>140160.24000000002</v>
      </c>
      <c r="Q94" s="568"/>
      <c r="R94" s="554"/>
      <c r="S94" s="554">
        <v>0.1</v>
      </c>
      <c r="T94" s="567">
        <f t="shared" si="15"/>
        <v>14016.024000000003</v>
      </c>
      <c r="U94" s="569"/>
      <c r="V94" s="554"/>
      <c r="W94" s="570">
        <f t="shared" si="12"/>
        <v>154176.26400000002</v>
      </c>
      <c r="X94" s="406">
        <f t="shared" si="12"/>
        <v>0</v>
      </c>
      <c r="Y94" s="406">
        <f t="shared" si="12"/>
        <v>0</v>
      </c>
    </row>
    <row r="95" spans="1:25" s="377" customFormat="1" ht="17.25" customHeight="1">
      <c r="A95" s="560">
        <v>89</v>
      </c>
      <c r="B95" s="153" t="s">
        <v>250</v>
      </c>
      <c r="C95" s="561" t="s">
        <v>99</v>
      </c>
      <c r="D95" s="563" t="s">
        <v>64</v>
      </c>
      <c r="E95" s="562" t="s">
        <v>572</v>
      </c>
      <c r="F95" s="585" t="s">
        <v>259</v>
      </c>
      <c r="G95" s="571">
        <v>1</v>
      </c>
      <c r="H95" s="580" t="s">
        <v>102</v>
      </c>
      <c r="I95" s="580" t="s">
        <v>118</v>
      </c>
      <c r="J95" s="574">
        <v>3</v>
      </c>
      <c r="K95" s="554">
        <v>17697</v>
      </c>
      <c r="L95" s="573">
        <v>22</v>
      </c>
      <c r="M95" s="554">
        <f t="shared" si="13"/>
        <v>1.2222222222222223</v>
      </c>
      <c r="N95" s="566" t="s">
        <v>109</v>
      </c>
      <c r="O95" s="575">
        <v>3.06</v>
      </c>
      <c r="P95" s="567">
        <f t="shared" si="14"/>
        <v>66186.78</v>
      </c>
      <c r="Q95" s="568"/>
      <c r="R95" s="554"/>
      <c r="S95" s="554">
        <v>0.1</v>
      </c>
      <c r="T95" s="567">
        <f t="shared" si="15"/>
        <v>6618.6779999999999</v>
      </c>
      <c r="U95" s="569"/>
      <c r="V95" s="554"/>
      <c r="W95" s="570">
        <f t="shared" si="12"/>
        <v>72805.457999999999</v>
      </c>
      <c r="X95" s="406">
        <f t="shared" si="12"/>
        <v>0</v>
      </c>
      <c r="Y95" s="406">
        <f t="shared" si="12"/>
        <v>0</v>
      </c>
    </row>
    <row r="96" spans="1:25" s="377" customFormat="1" ht="17.25" customHeight="1">
      <c r="A96" s="560">
        <v>90</v>
      </c>
      <c r="B96" s="153" t="s">
        <v>253</v>
      </c>
      <c r="C96" s="561" t="s">
        <v>148</v>
      </c>
      <c r="D96" s="563" t="s">
        <v>25</v>
      </c>
      <c r="E96" s="562" t="s">
        <v>254</v>
      </c>
      <c r="F96" s="562" t="s">
        <v>242</v>
      </c>
      <c r="G96" s="571">
        <v>1</v>
      </c>
      <c r="H96" s="580" t="s">
        <v>102</v>
      </c>
      <c r="I96" s="580" t="s">
        <v>103</v>
      </c>
      <c r="J96" s="574">
        <v>1</v>
      </c>
      <c r="K96" s="554">
        <v>17697</v>
      </c>
      <c r="L96" s="573">
        <v>35</v>
      </c>
      <c r="M96" s="554">
        <f t="shared" si="13"/>
        <v>1.9444444444444444</v>
      </c>
      <c r="N96" s="566" t="s">
        <v>104</v>
      </c>
      <c r="O96" s="575">
        <v>4.32</v>
      </c>
      <c r="P96" s="567">
        <f t="shared" si="14"/>
        <v>148654.80000000002</v>
      </c>
      <c r="Q96" s="568"/>
      <c r="R96" s="554"/>
      <c r="S96" s="554">
        <v>0.1</v>
      </c>
      <c r="T96" s="567">
        <f t="shared" si="15"/>
        <v>14865.480000000003</v>
      </c>
      <c r="U96" s="569"/>
      <c r="V96" s="554"/>
      <c r="W96" s="570">
        <f t="shared" si="12"/>
        <v>163520.28000000003</v>
      </c>
      <c r="X96" s="406">
        <f t="shared" si="12"/>
        <v>0</v>
      </c>
      <c r="Y96" s="406">
        <f t="shared" si="12"/>
        <v>0</v>
      </c>
    </row>
    <row r="97" spans="1:43" s="377" customFormat="1" ht="17.25" customHeight="1">
      <c r="A97" s="560">
        <v>91</v>
      </c>
      <c r="B97" s="153" t="s">
        <v>255</v>
      </c>
      <c r="C97" s="561" t="s">
        <v>99</v>
      </c>
      <c r="D97" s="563" t="s">
        <v>25</v>
      </c>
      <c r="E97" s="562" t="s">
        <v>256</v>
      </c>
      <c r="F97" s="562" t="s">
        <v>40</v>
      </c>
      <c r="G97" s="571">
        <v>1</v>
      </c>
      <c r="H97" s="580" t="s">
        <v>102</v>
      </c>
      <c r="I97" s="580" t="s">
        <v>103</v>
      </c>
      <c r="J97" s="574">
        <v>1</v>
      </c>
      <c r="K97" s="554">
        <v>17697</v>
      </c>
      <c r="L97" s="573">
        <v>35</v>
      </c>
      <c r="M97" s="554">
        <f t="shared" si="13"/>
        <v>1.9444444444444444</v>
      </c>
      <c r="N97" s="574" t="s">
        <v>152</v>
      </c>
      <c r="O97" s="566">
        <v>4.32</v>
      </c>
      <c r="P97" s="567">
        <f t="shared" si="14"/>
        <v>148654.80000000002</v>
      </c>
      <c r="Q97" s="568"/>
      <c r="R97" s="554"/>
      <c r="S97" s="554">
        <v>0.1</v>
      </c>
      <c r="T97" s="567">
        <f t="shared" si="15"/>
        <v>14865.480000000003</v>
      </c>
      <c r="U97" s="569"/>
      <c r="V97" s="554"/>
      <c r="W97" s="570">
        <f t="shared" si="12"/>
        <v>163520.28000000003</v>
      </c>
      <c r="X97" s="406">
        <f t="shared" si="12"/>
        <v>0</v>
      </c>
      <c r="Y97" s="406">
        <f t="shared" si="12"/>
        <v>0</v>
      </c>
    </row>
    <row r="98" spans="1:43" s="377" customFormat="1" ht="17.25" customHeight="1">
      <c r="A98" s="560">
        <v>92</v>
      </c>
      <c r="B98" s="159" t="s">
        <v>257</v>
      </c>
      <c r="C98" s="600" t="s">
        <v>99</v>
      </c>
      <c r="D98" s="601" t="s">
        <v>25</v>
      </c>
      <c r="E98" s="585" t="s">
        <v>258</v>
      </c>
      <c r="F98" s="585" t="s">
        <v>259</v>
      </c>
      <c r="G98" s="612">
        <v>1</v>
      </c>
      <c r="H98" s="630" t="s">
        <v>102</v>
      </c>
      <c r="I98" s="630" t="s">
        <v>103</v>
      </c>
      <c r="J98" s="631">
        <v>2</v>
      </c>
      <c r="K98" s="605">
        <v>17697</v>
      </c>
      <c r="L98" s="632">
        <v>30</v>
      </c>
      <c r="M98" s="554">
        <f t="shared" si="13"/>
        <v>1.6666666666666667</v>
      </c>
      <c r="N98" s="566" t="s">
        <v>104</v>
      </c>
      <c r="O98" s="633">
        <v>3.62</v>
      </c>
      <c r="P98" s="567">
        <f t="shared" si="14"/>
        <v>106771.90000000001</v>
      </c>
      <c r="Q98" s="608"/>
      <c r="R98" s="605"/>
      <c r="S98" s="605">
        <v>0.1</v>
      </c>
      <c r="T98" s="567">
        <f t="shared" si="15"/>
        <v>10677.190000000002</v>
      </c>
      <c r="U98" s="609"/>
      <c r="V98" s="605"/>
      <c r="W98" s="570">
        <f t="shared" si="12"/>
        <v>117449.09000000001</v>
      </c>
      <c r="X98" s="437">
        <f t="shared" si="12"/>
        <v>0</v>
      </c>
      <c r="Y98" s="437">
        <f t="shared" si="12"/>
        <v>0</v>
      </c>
    </row>
    <row r="99" spans="1:43" s="486" customFormat="1" ht="17.25" customHeight="1">
      <c r="A99" s="560">
        <v>93</v>
      </c>
      <c r="B99" s="153" t="s">
        <v>388</v>
      </c>
      <c r="C99" s="561" t="s">
        <v>99</v>
      </c>
      <c r="D99" s="563" t="s">
        <v>189</v>
      </c>
      <c r="E99" s="562" t="s">
        <v>390</v>
      </c>
      <c r="F99" s="562" t="s">
        <v>34</v>
      </c>
      <c r="G99" s="571">
        <v>1</v>
      </c>
      <c r="H99" s="580" t="s">
        <v>102</v>
      </c>
      <c r="I99" s="580" t="s">
        <v>103</v>
      </c>
      <c r="J99" s="574">
        <v>1</v>
      </c>
      <c r="K99" s="554">
        <v>17697</v>
      </c>
      <c r="L99" s="573">
        <v>9</v>
      </c>
      <c r="M99" s="554">
        <f t="shared" si="13"/>
        <v>0.5</v>
      </c>
      <c r="N99" s="574" t="s">
        <v>152</v>
      </c>
      <c r="O99" s="575">
        <v>4.32</v>
      </c>
      <c r="P99" s="567">
        <f t="shared" si="14"/>
        <v>38225.520000000004</v>
      </c>
      <c r="Q99" s="568"/>
      <c r="R99" s="554"/>
      <c r="S99" s="554">
        <v>0.1</v>
      </c>
      <c r="T99" s="567">
        <f t="shared" si="15"/>
        <v>3822.5520000000006</v>
      </c>
      <c r="U99" s="569"/>
      <c r="V99" s="554"/>
      <c r="W99" s="570">
        <f t="shared" si="12"/>
        <v>42048.072000000007</v>
      </c>
      <c r="X99" s="406">
        <f t="shared" si="12"/>
        <v>0</v>
      </c>
      <c r="Y99" s="406">
        <f t="shared" si="12"/>
        <v>0</v>
      </c>
    </row>
    <row r="100" spans="1:43" s="375" customFormat="1" ht="17.25" customHeight="1">
      <c r="A100" s="560">
        <v>94</v>
      </c>
      <c r="B100" s="153" t="s">
        <v>199</v>
      </c>
      <c r="C100" s="561" t="s">
        <v>99</v>
      </c>
      <c r="D100" s="563" t="s">
        <v>25</v>
      </c>
      <c r="E100" s="210" t="s">
        <v>158</v>
      </c>
      <c r="F100" s="562" t="s">
        <v>159</v>
      </c>
      <c r="G100" s="560">
        <v>1</v>
      </c>
      <c r="H100" s="563" t="s">
        <v>102</v>
      </c>
      <c r="I100" s="563" t="s">
        <v>118</v>
      </c>
      <c r="J100" s="581">
        <v>4</v>
      </c>
      <c r="K100" s="554">
        <v>17697</v>
      </c>
      <c r="L100" s="565">
        <v>12</v>
      </c>
      <c r="M100" s="554">
        <f t="shared" si="13"/>
        <v>0.66666666666666663</v>
      </c>
      <c r="N100" s="574" t="s">
        <v>112</v>
      </c>
      <c r="O100" s="566">
        <v>2.8</v>
      </c>
      <c r="P100" s="567">
        <f t="shared" si="14"/>
        <v>33034.400000000001</v>
      </c>
      <c r="Q100" s="568"/>
      <c r="R100" s="554"/>
      <c r="S100" s="554">
        <v>0.1</v>
      </c>
      <c r="T100" s="567">
        <f t="shared" si="15"/>
        <v>3303.4400000000005</v>
      </c>
      <c r="U100" s="569"/>
      <c r="V100" s="554"/>
      <c r="W100" s="570">
        <f t="shared" si="12"/>
        <v>36337.840000000004</v>
      </c>
      <c r="X100" s="406"/>
      <c r="Y100" s="406"/>
    </row>
    <row r="101" spans="1:43" s="375" customFormat="1" ht="17.25" customHeight="1">
      <c r="A101" s="560">
        <v>95</v>
      </c>
      <c r="B101" s="153" t="s">
        <v>439</v>
      </c>
      <c r="C101" s="561" t="s">
        <v>99</v>
      </c>
      <c r="D101" s="563" t="s">
        <v>75</v>
      </c>
      <c r="E101" s="562" t="s">
        <v>440</v>
      </c>
      <c r="F101" s="562" t="s">
        <v>159</v>
      </c>
      <c r="G101" s="571">
        <v>1</v>
      </c>
      <c r="H101" s="580" t="s">
        <v>102</v>
      </c>
      <c r="I101" s="580" t="s">
        <v>118</v>
      </c>
      <c r="J101" s="574">
        <v>4</v>
      </c>
      <c r="K101" s="554">
        <v>17697</v>
      </c>
      <c r="L101" s="573">
        <v>6</v>
      </c>
      <c r="M101" s="554">
        <f t="shared" si="13"/>
        <v>0.33333333333333331</v>
      </c>
      <c r="N101" s="574" t="s">
        <v>112</v>
      </c>
      <c r="O101" s="575">
        <v>2.75</v>
      </c>
      <c r="P101" s="567">
        <f t="shared" si="14"/>
        <v>16222.25</v>
      </c>
      <c r="Q101" s="568"/>
      <c r="R101" s="554"/>
      <c r="S101" s="554">
        <v>0.1</v>
      </c>
      <c r="T101" s="567">
        <f t="shared" si="15"/>
        <v>1622.2250000000001</v>
      </c>
      <c r="U101" s="569"/>
      <c r="V101" s="554"/>
      <c r="W101" s="570">
        <f t="shared" si="12"/>
        <v>17844.474999999999</v>
      </c>
      <c r="X101" s="406">
        <f t="shared" si="12"/>
        <v>0</v>
      </c>
      <c r="Y101" s="406">
        <f t="shared" si="12"/>
        <v>0</v>
      </c>
    </row>
    <row r="102" spans="1:43" s="205" customFormat="1" ht="17.25" customHeight="1">
      <c r="A102" s="617"/>
      <c r="B102" s="250"/>
      <c r="C102" s="614"/>
      <c r="D102" s="615"/>
      <c r="E102" s="616"/>
      <c r="F102" s="616"/>
      <c r="G102" s="634"/>
      <c r="H102" s="635"/>
      <c r="I102" s="635"/>
      <c r="J102" s="636"/>
      <c r="K102" s="619"/>
      <c r="L102" s="637">
        <f>SUM(L79:L101)</f>
        <v>477</v>
      </c>
      <c r="M102" s="619"/>
      <c r="N102" s="636"/>
      <c r="O102" s="638"/>
      <c r="P102" s="623"/>
      <c r="Q102" s="623"/>
      <c r="R102" s="623"/>
      <c r="S102" s="623"/>
      <c r="T102" s="623"/>
      <c r="U102" s="623"/>
      <c r="V102" s="623"/>
      <c r="W102" s="623"/>
      <c r="X102" s="104"/>
      <c r="Y102" s="104"/>
      <c r="Z102" s="24"/>
      <c r="AA102" s="22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</row>
    <row r="103" spans="1:43" s="377" customFormat="1" ht="17.25" customHeight="1">
      <c r="A103" s="547">
        <v>96</v>
      </c>
      <c r="B103" s="640" t="s">
        <v>36</v>
      </c>
      <c r="C103" s="641" t="s">
        <v>99</v>
      </c>
      <c r="D103" s="642" t="s">
        <v>25</v>
      </c>
      <c r="E103" s="643" t="s">
        <v>424</v>
      </c>
      <c r="F103" s="583" t="s">
        <v>40</v>
      </c>
      <c r="G103" s="547">
        <v>1</v>
      </c>
      <c r="H103" s="577" t="s">
        <v>102</v>
      </c>
      <c r="I103" s="577" t="s">
        <v>103</v>
      </c>
      <c r="J103" s="644">
        <v>1</v>
      </c>
      <c r="K103" s="552">
        <v>17697</v>
      </c>
      <c r="L103" s="645">
        <v>9</v>
      </c>
      <c r="M103" s="552">
        <f>L103/18</f>
        <v>0.5</v>
      </c>
      <c r="N103" s="574" t="s">
        <v>152</v>
      </c>
      <c r="O103" s="642">
        <v>4.32</v>
      </c>
      <c r="P103" s="556">
        <f>O103*K103/18*L103</f>
        <v>38225.520000000004</v>
      </c>
      <c r="Q103" s="557"/>
      <c r="R103" s="552"/>
      <c r="S103" s="552">
        <v>0.1</v>
      </c>
      <c r="T103" s="556">
        <f t="shared" ref="T103:T118" si="16">P103*S103</f>
        <v>3822.5520000000006</v>
      </c>
      <c r="U103" s="558"/>
      <c r="V103" s="552"/>
      <c r="W103" s="559">
        <f>T103+P103</f>
        <v>42048.072000000007</v>
      </c>
      <c r="X103" s="363">
        <f t="shared" ref="X103:Y121" si="17">U103+Q103</f>
        <v>0</v>
      </c>
      <c r="Y103" s="363">
        <f t="shared" si="17"/>
        <v>0</v>
      </c>
    </row>
    <row r="104" spans="1:43" s="377" customFormat="1" ht="17.25" customHeight="1">
      <c r="A104" s="547">
        <v>97</v>
      </c>
      <c r="B104" s="646" t="s">
        <v>261</v>
      </c>
      <c r="C104" s="647" t="s">
        <v>99</v>
      </c>
      <c r="D104" s="628" t="s">
        <v>25</v>
      </c>
      <c r="E104" s="586" t="s">
        <v>435</v>
      </c>
      <c r="F104" s="562" t="s">
        <v>425</v>
      </c>
      <c r="G104" s="560">
        <v>1</v>
      </c>
      <c r="H104" s="563" t="s">
        <v>102</v>
      </c>
      <c r="I104" s="563" t="s">
        <v>103</v>
      </c>
      <c r="J104" s="629">
        <v>1</v>
      </c>
      <c r="K104" s="554">
        <v>17697</v>
      </c>
      <c r="L104" s="648">
        <v>35</v>
      </c>
      <c r="M104" s="552">
        <f t="shared" ref="M104:M121" si="18">L104/18</f>
        <v>1.9444444444444444</v>
      </c>
      <c r="N104" s="566" t="s">
        <v>104</v>
      </c>
      <c r="O104" s="628">
        <v>4.08</v>
      </c>
      <c r="P104" s="556">
        <f t="shared" ref="P104:P121" si="19">O104*K104/18*L104</f>
        <v>140396.19999999998</v>
      </c>
      <c r="Q104" s="568"/>
      <c r="R104" s="554"/>
      <c r="S104" s="554">
        <v>0.1</v>
      </c>
      <c r="T104" s="567">
        <f t="shared" si="16"/>
        <v>14039.619999999999</v>
      </c>
      <c r="U104" s="569"/>
      <c r="V104" s="554"/>
      <c r="W104" s="559">
        <f t="shared" ref="W104:W121" si="20">T104+P104</f>
        <v>154435.81999999998</v>
      </c>
      <c r="X104" s="406">
        <f t="shared" si="17"/>
        <v>0</v>
      </c>
      <c r="Y104" s="406">
        <f t="shared" si="17"/>
        <v>0</v>
      </c>
    </row>
    <row r="105" spans="1:43" s="377" customFormat="1" ht="16.5" customHeight="1">
      <c r="A105" s="547">
        <v>98</v>
      </c>
      <c r="B105" s="647" t="s">
        <v>264</v>
      </c>
      <c r="C105" s="647" t="s">
        <v>99</v>
      </c>
      <c r="D105" s="628" t="s">
        <v>25</v>
      </c>
      <c r="E105" s="586" t="s">
        <v>426</v>
      </c>
      <c r="F105" s="562" t="s">
        <v>40</v>
      </c>
      <c r="G105" s="560">
        <v>1</v>
      </c>
      <c r="H105" s="563" t="s">
        <v>102</v>
      </c>
      <c r="I105" s="563" t="s">
        <v>103</v>
      </c>
      <c r="J105" s="629">
        <v>1</v>
      </c>
      <c r="K105" s="554">
        <v>17697</v>
      </c>
      <c r="L105" s="648">
        <v>36</v>
      </c>
      <c r="M105" s="552">
        <f t="shared" si="18"/>
        <v>2</v>
      </c>
      <c r="N105" s="574" t="s">
        <v>152</v>
      </c>
      <c r="O105" s="628">
        <v>4.32</v>
      </c>
      <c r="P105" s="556">
        <f t="shared" si="19"/>
        <v>152902.08000000002</v>
      </c>
      <c r="Q105" s="568"/>
      <c r="R105" s="554"/>
      <c r="S105" s="554">
        <v>0.1</v>
      </c>
      <c r="T105" s="567">
        <f t="shared" si="16"/>
        <v>15290.208000000002</v>
      </c>
      <c r="U105" s="569"/>
      <c r="V105" s="554"/>
      <c r="W105" s="559">
        <f t="shared" si="20"/>
        <v>168192.28800000003</v>
      </c>
      <c r="X105" s="406">
        <f t="shared" si="17"/>
        <v>0</v>
      </c>
      <c r="Y105" s="406">
        <f t="shared" si="17"/>
        <v>0</v>
      </c>
    </row>
    <row r="106" spans="1:43" s="377" customFormat="1" ht="17.25" customHeight="1">
      <c r="A106" s="547">
        <v>99</v>
      </c>
      <c r="B106" s="647" t="s">
        <v>268</v>
      </c>
      <c r="C106" s="647" t="s">
        <v>99</v>
      </c>
      <c r="D106" s="628" t="s">
        <v>25</v>
      </c>
      <c r="E106" s="586" t="s">
        <v>427</v>
      </c>
      <c r="F106" s="562" t="s">
        <v>40</v>
      </c>
      <c r="G106" s="560">
        <v>1</v>
      </c>
      <c r="H106" s="563" t="s">
        <v>102</v>
      </c>
      <c r="I106" s="563" t="s">
        <v>103</v>
      </c>
      <c r="J106" s="629">
        <v>1</v>
      </c>
      <c r="K106" s="554">
        <v>17697</v>
      </c>
      <c r="L106" s="648">
        <v>36</v>
      </c>
      <c r="M106" s="552">
        <f t="shared" si="18"/>
        <v>2</v>
      </c>
      <c r="N106" s="574" t="s">
        <v>152</v>
      </c>
      <c r="O106" s="628">
        <v>4.32</v>
      </c>
      <c r="P106" s="556">
        <f t="shared" si="19"/>
        <v>152902.08000000002</v>
      </c>
      <c r="Q106" s="568"/>
      <c r="R106" s="554"/>
      <c r="S106" s="554">
        <v>0.1</v>
      </c>
      <c r="T106" s="567">
        <f t="shared" si="16"/>
        <v>15290.208000000002</v>
      </c>
      <c r="U106" s="569"/>
      <c r="V106" s="554"/>
      <c r="W106" s="559">
        <f t="shared" si="20"/>
        <v>168192.28800000003</v>
      </c>
      <c r="X106" s="406">
        <f t="shared" si="17"/>
        <v>0</v>
      </c>
      <c r="Y106" s="406">
        <f t="shared" si="17"/>
        <v>0</v>
      </c>
    </row>
    <row r="107" spans="1:43" s="377" customFormat="1" ht="17.25" customHeight="1">
      <c r="A107" s="547">
        <v>100</v>
      </c>
      <c r="B107" s="647" t="s">
        <v>269</v>
      </c>
      <c r="C107" s="647" t="s">
        <v>99</v>
      </c>
      <c r="D107" s="628" t="s">
        <v>25</v>
      </c>
      <c r="E107" s="586" t="s">
        <v>428</v>
      </c>
      <c r="F107" s="582" t="s">
        <v>271</v>
      </c>
      <c r="G107" s="560">
        <v>1</v>
      </c>
      <c r="H107" s="563" t="s">
        <v>102</v>
      </c>
      <c r="I107" s="563" t="s">
        <v>103</v>
      </c>
      <c r="J107" s="629">
        <v>1</v>
      </c>
      <c r="K107" s="554">
        <v>17697</v>
      </c>
      <c r="L107" s="648">
        <v>36</v>
      </c>
      <c r="M107" s="552">
        <f t="shared" si="18"/>
        <v>2</v>
      </c>
      <c r="N107" s="566" t="s">
        <v>104</v>
      </c>
      <c r="O107" s="628">
        <v>4.2</v>
      </c>
      <c r="P107" s="556">
        <f t="shared" si="19"/>
        <v>148654.80000000002</v>
      </c>
      <c r="Q107" s="568"/>
      <c r="R107" s="554"/>
      <c r="S107" s="554">
        <v>0.1</v>
      </c>
      <c r="T107" s="567">
        <f t="shared" si="16"/>
        <v>14865.480000000003</v>
      </c>
      <c r="U107" s="569"/>
      <c r="V107" s="554"/>
      <c r="W107" s="559">
        <f t="shared" si="20"/>
        <v>163520.28000000003</v>
      </c>
      <c r="X107" s="406">
        <f t="shared" si="17"/>
        <v>0</v>
      </c>
      <c r="Y107" s="406">
        <f t="shared" si="17"/>
        <v>0</v>
      </c>
    </row>
    <row r="108" spans="1:43" s="377" customFormat="1" ht="17.25" customHeight="1">
      <c r="A108" s="547">
        <v>101</v>
      </c>
      <c r="B108" s="647" t="s">
        <v>421</v>
      </c>
      <c r="C108" s="647" t="s">
        <v>99</v>
      </c>
      <c r="D108" s="628" t="s">
        <v>75</v>
      </c>
      <c r="E108" s="586" t="s">
        <v>422</v>
      </c>
      <c r="F108" s="562" t="s">
        <v>159</v>
      </c>
      <c r="G108" s="560">
        <v>1</v>
      </c>
      <c r="H108" s="563" t="s">
        <v>102</v>
      </c>
      <c r="I108" s="563" t="s">
        <v>118</v>
      </c>
      <c r="J108" s="629">
        <v>4</v>
      </c>
      <c r="K108" s="554">
        <v>17697</v>
      </c>
      <c r="L108" s="649">
        <v>10</v>
      </c>
      <c r="M108" s="552">
        <f t="shared" si="18"/>
        <v>0.55555555555555558</v>
      </c>
      <c r="N108" s="574" t="s">
        <v>112</v>
      </c>
      <c r="O108" s="628">
        <v>2.75</v>
      </c>
      <c r="P108" s="556">
        <f t="shared" si="19"/>
        <v>27037.083333333336</v>
      </c>
      <c r="Q108" s="568"/>
      <c r="R108" s="554"/>
      <c r="S108" s="554">
        <v>0.1</v>
      </c>
      <c r="T108" s="567">
        <f t="shared" si="16"/>
        <v>2703.7083333333339</v>
      </c>
      <c r="U108" s="569"/>
      <c r="V108" s="554"/>
      <c r="W108" s="559">
        <f t="shared" si="20"/>
        <v>29740.791666666672</v>
      </c>
      <c r="X108" s="406">
        <f t="shared" si="17"/>
        <v>0</v>
      </c>
      <c r="Y108" s="406">
        <f t="shared" si="17"/>
        <v>0</v>
      </c>
    </row>
    <row r="109" spans="1:43" s="377" customFormat="1" ht="17.25" customHeight="1">
      <c r="A109" s="547">
        <v>102</v>
      </c>
      <c r="B109" s="647" t="s">
        <v>391</v>
      </c>
      <c r="C109" s="647" t="s">
        <v>99</v>
      </c>
      <c r="D109" s="563" t="s">
        <v>75</v>
      </c>
      <c r="E109" s="586" t="s">
        <v>433</v>
      </c>
      <c r="F109" s="582" t="s">
        <v>77</v>
      </c>
      <c r="G109" s="560">
        <v>1</v>
      </c>
      <c r="H109" s="563" t="s">
        <v>102</v>
      </c>
      <c r="I109" s="563" t="s">
        <v>118</v>
      </c>
      <c r="J109" s="629">
        <v>4</v>
      </c>
      <c r="K109" s="554">
        <v>17697</v>
      </c>
      <c r="L109" s="648">
        <v>33</v>
      </c>
      <c r="M109" s="552">
        <f t="shared" si="18"/>
        <v>1.8333333333333333</v>
      </c>
      <c r="N109" s="574" t="s">
        <v>112</v>
      </c>
      <c r="O109" s="650">
        <v>2.85</v>
      </c>
      <c r="P109" s="556">
        <f t="shared" si="19"/>
        <v>92466.824999999997</v>
      </c>
      <c r="Q109" s="568"/>
      <c r="R109" s="554"/>
      <c r="S109" s="554">
        <v>0.1</v>
      </c>
      <c r="T109" s="567">
        <f t="shared" si="16"/>
        <v>9246.6825000000008</v>
      </c>
      <c r="U109" s="569"/>
      <c r="V109" s="554"/>
      <c r="W109" s="559">
        <f t="shared" si="20"/>
        <v>101713.50749999999</v>
      </c>
      <c r="X109" s="406">
        <f>U109+Q109</f>
        <v>0</v>
      </c>
      <c r="Y109" s="406">
        <f>V109+R109</f>
        <v>0</v>
      </c>
    </row>
    <row r="110" spans="1:43" s="377" customFormat="1" ht="17.25" customHeight="1">
      <c r="A110" s="547">
        <v>103</v>
      </c>
      <c r="B110" s="647" t="s">
        <v>272</v>
      </c>
      <c r="C110" s="647" t="s">
        <v>99</v>
      </c>
      <c r="D110" s="628" t="s">
        <v>25</v>
      </c>
      <c r="E110" s="586" t="s">
        <v>429</v>
      </c>
      <c r="F110" s="582" t="s">
        <v>434</v>
      </c>
      <c r="G110" s="560">
        <v>1</v>
      </c>
      <c r="H110" s="563" t="s">
        <v>102</v>
      </c>
      <c r="I110" s="563" t="s">
        <v>103</v>
      </c>
      <c r="J110" s="629">
        <v>1</v>
      </c>
      <c r="K110" s="554">
        <v>17697</v>
      </c>
      <c r="L110" s="648">
        <v>36</v>
      </c>
      <c r="M110" s="552">
        <f t="shared" si="18"/>
        <v>2</v>
      </c>
      <c r="N110" s="574" t="s">
        <v>152</v>
      </c>
      <c r="O110" s="628">
        <v>4.26</v>
      </c>
      <c r="P110" s="556">
        <f t="shared" si="19"/>
        <v>150778.44</v>
      </c>
      <c r="Q110" s="568"/>
      <c r="R110" s="554"/>
      <c r="S110" s="554">
        <v>0.1</v>
      </c>
      <c r="T110" s="567">
        <f t="shared" si="16"/>
        <v>15077.844000000001</v>
      </c>
      <c r="U110" s="569"/>
      <c r="V110" s="554"/>
      <c r="W110" s="559">
        <f t="shared" si="20"/>
        <v>165856.28400000001</v>
      </c>
      <c r="X110" s="406"/>
      <c r="Y110" s="406"/>
    </row>
    <row r="111" spans="1:43" s="377" customFormat="1" ht="17.25" customHeight="1">
      <c r="A111" s="547">
        <v>104</v>
      </c>
      <c r="B111" s="646" t="s">
        <v>274</v>
      </c>
      <c r="C111" s="647" t="s">
        <v>99</v>
      </c>
      <c r="D111" s="628" t="s">
        <v>25</v>
      </c>
      <c r="E111" s="586" t="s">
        <v>442</v>
      </c>
      <c r="F111" s="582" t="s">
        <v>403</v>
      </c>
      <c r="G111" s="560">
        <v>1</v>
      </c>
      <c r="H111" s="563" t="s">
        <v>102</v>
      </c>
      <c r="I111" s="563" t="s">
        <v>103</v>
      </c>
      <c r="J111" s="629">
        <v>2</v>
      </c>
      <c r="K111" s="554">
        <v>17697</v>
      </c>
      <c r="L111" s="648">
        <v>27</v>
      </c>
      <c r="M111" s="552">
        <f t="shared" si="18"/>
        <v>1.5</v>
      </c>
      <c r="N111" s="566" t="s">
        <v>104</v>
      </c>
      <c r="O111" s="628">
        <v>3.62</v>
      </c>
      <c r="P111" s="556">
        <f t="shared" si="19"/>
        <v>96094.71</v>
      </c>
      <c r="Q111" s="568"/>
      <c r="R111" s="554"/>
      <c r="S111" s="554">
        <v>0.1</v>
      </c>
      <c r="T111" s="567">
        <f t="shared" si="16"/>
        <v>9609.4710000000014</v>
      </c>
      <c r="U111" s="569"/>
      <c r="V111" s="554"/>
      <c r="W111" s="559">
        <f t="shared" si="20"/>
        <v>105704.18100000001</v>
      </c>
      <c r="X111" s="406">
        <f t="shared" si="17"/>
        <v>0</v>
      </c>
      <c r="Y111" s="406">
        <f t="shared" si="17"/>
        <v>0</v>
      </c>
    </row>
    <row r="112" spans="1:43" s="377" customFormat="1" ht="17.25" customHeight="1">
      <c r="A112" s="547">
        <v>105</v>
      </c>
      <c r="B112" s="646" t="s">
        <v>420</v>
      </c>
      <c r="C112" s="647" t="s">
        <v>99</v>
      </c>
      <c r="D112" s="628" t="s">
        <v>25</v>
      </c>
      <c r="E112" s="586" t="s">
        <v>443</v>
      </c>
      <c r="F112" s="582" t="s">
        <v>403</v>
      </c>
      <c r="G112" s="560">
        <v>1</v>
      </c>
      <c r="H112" s="563" t="s">
        <v>102</v>
      </c>
      <c r="I112" s="563" t="s">
        <v>103</v>
      </c>
      <c r="J112" s="629">
        <v>4</v>
      </c>
      <c r="K112" s="554">
        <v>17697</v>
      </c>
      <c r="L112" s="648">
        <v>18</v>
      </c>
      <c r="M112" s="552">
        <f t="shared" si="18"/>
        <v>1</v>
      </c>
      <c r="N112" s="574" t="s">
        <v>112</v>
      </c>
      <c r="O112" s="628">
        <v>3.04</v>
      </c>
      <c r="P112" s="556">
        <f t="shared" si="19"/>
        <v>53798.879999999997</v>
      </c>
      <c r="Q112" s="568"/>
      <c r="R112" s="554"/>
      <c r="S112" s="554">
        <v>0.1</v>
      </c>
      <c r="T112" s="567">
        <f t="shared" si="16"/>
        <v>5379.8879999999999</v>
      </c>
      <c r="U112" s="569"/>
      <c r="V112" s="554"/>
      <c r="W112" s="559">
        <f t="shared" si="20"/>
        <v>59178.767999999996</v>
      </c>
      <c r="X112" s="406">
        <f t="shared" si="17"/>
        <v>0</v>
      </c>
      <c r="Y112" s="406">
        <f t="shared" si="17"/>
        <v>0</v>
      </c>
    </row>
    <row r="113" spans="1:25" s="377" customFormat="1" ht="17.25" customHeight="1">
      <c r="A113" s="547">
        <v>106</v>
      </c>
      <c r="B113" s="646" t="s">
        <v>277</v>
      </c>
      <c r="C113" s="647" t="s">
        <v>99</v>
      </c>
      <c r="D113" s="628" t="s">
        <v>25</v>
      </c>
      <c r="E113" s="586" t="s">
        <v>430</v>
      </c>
      <c r="F113" s="562" t="s">
        <v>40</v>
      </c>
      <c r="G113" s="560">
        <v>1</v>
      </c>
      <c r="H113" s="563" t="s">
        <v>102</v>
      </c>
      <c r="I113" s="563" t="s">
        <v>103</v>
      </c>
      <c r="J113" s="629">
        <v>1</v>
      </c>
      <c r="K113" s="554">
        <v>17697</v>
      </c>
      <c r="L113" s="648">
        <v>14</v>
      </c>
      <c r="M113" s="552">
        <f t="shared" si="18"/>
        <v>0.77777777777777779</v>
      </c>
      <c r="N113" s="574" t="s">
        <v>152</v>
      </c>
      <c r="O113" s="628">
        <v>4.32</v>
      </c>
      <c r="P113" s="556">
        <f t="shared" si="19"/>
        <v>59461.920000000013</v>
      </c>
      <c r="Q113" s="568"/>
      <c r="R113" s="554"/>
      <c r="S113" s="554">
        <v>0.1</v>
      </c>
      <c r="T113" s="567">
        <f t="shared" si="16"/>
        <v>5946.1920000000018</v>
      </c>
      <c r="U113" s="569"/>
      <c r="V113" s="554"/>
      <c r="W113" s="559">
        <f t="shared" si="20"/>
        <v>65408.112000000016</v>
      </c>
      <c r="X113" s="406">
        <f t="shared" si="17"/>
        <v>0</v>
      </c>
      <c r="Y113" s="406">
        <f t="shared" si="17"/>
        <v>0</v>
      </c>
    </row>
    <row r="114" spans="1:25" s="377" customFormat="1" ht="17.25" customHeight="1">
      <c r="A114" s="547">
        <v>107</v>
      </c>
      <c r="B114" s="153" t="s">
        <v>175</v>
      </c>
      <c r="C114" s="561" t="s">
        <v>99</v>
      </c>
      <c r="D114" s="563" t="s">
        <v>25</v>
      </c>
      <c r="E114" s="562" t="s">
        <v>491</v>
      </c>
      <c r="F114" s="562" t="s">
        <v>114</v>
      </c>
      <c r="G114" s="560">
        <v>1</v>
      </c>
      <c r="H114" s="563" t="s">
        <v>102</v>
      </c>
      <c r="I114" s="563" t="s">
        <v>103</v>
      </c>
      <c r="J114" s="581">
        <v>1</v>
      </c>
      <c r="K114" s="554">
        <v>17697</v>
      </c>
      <c r="L114" s="565">
        <v>14</v>
      </c>
      <c r="M114" s="552">
        <f t="shared" si="18"/>
        <v>0.77777777777777779</v>
      </c>
      <c r="N114" s="574" t="s">
        <v>152</v>
      </c>
      <c r="O114" s="566">
        <v>4.32</v>
      </c>
      <c r="P114" s="556">
        <f t="shared" si="19"/>
        <v>59461.920000000013</v>
      </c>
      <c r="Q114" s="568"/>
      <c r="R114" s="554"/>
      <c r="S114" s="554">
        <v>0.1</v>
      </c>
      <c r="T114" s="567">
        <f t="shared" si="16"/>
        <v>5946.1920000000018</v>
      </c>
      <c r="U114" s="569"/>
      <c r="V114" s="554"/>
      <c r="W114" s="559">
        <f t="shared" si="20"/>
        <v>65408.112000000016</v>
      </c>
      <c r="X114" s="406">
        <f t="shared" si="17"/>
        <v>0</v>
      </c>
      <c r="Y114" s="406">
        <f t="shared" si="17"/>
        <v>0</v>
      </c>
    </row>
    <row r="115" spans="1:25" s="377" customFormat="1" ht="17.25" customHeight="1">
      <c r="A115" s="547">
        <v>108</v>
      </c>
      <c r="B115" s="647" t="s">
        <v>281</v>
      </c>
      <c r="C115" s="647" t="s">
        <v>99</v>
      </c>
      <c r="D115" s="628" t="s">
        <v>25</v>
      </c>
      <c r="E115" s="586" t="s">
        <v>430</v>
      </c>
      <c r="F115" s="562" t="s">
        <v>40</v>
      </c>
      <c r="G115" s="560">
        <v>1</v>
      </c>
      <c r="H115" s="563" t="s">
        <v>102</v>
      </c>
      <c r="I115" s="563" t="s">
        <v>103</v>
      </c>
      <c r="J115" s="629">
        <v>1</v>
      </c>
      <c r="K115" s="554">
        <v>17697</v>
      </c>
      <c r="L115" s="648">
        <v>24</v>
      </c>
      <c r="M115" s="552">
        <f t="shared" si="18"/>
        <v>1.3333333333333333</v>
      </c>
      <c r="N115" s="574" t="s">
        <v>152</v>
      </c>
      <c r="O115" s="628">
        <v>4.32</v>
      </c>
      <c r="P115" s="556">
        <f t="shared" si="19"/>
        <v>101934.72000000002</v>
      </c>
      <c r="Q115" s="568"/>
      <c r="R115" s="554"/>
      <c r="S115" s="554">
        <v>0.1</v>
      </c>
      <c r="T115" s="567">
        <f t="shared" si="16"/>
        <v>10193.472000000002</v>
      </c>
      <c r="U115" s="569"/>
      <c r="V115" s="554"/>
      <c r="W115" s="559">
        <f t="shared" si="20"/>
        <v>112128.19200000001</v>
      </c>
      <c r="X115" s="406"/>
      <c r="Y115" s="406"/>
    </row>
    <row r="116" spans="1:25" s="377" customFormat="1" ht="17.25" customHeight="1">
      <c r="A116" s="547">
        <v>109</v>
      </c>
      <c r="B116" s="647" t="s">
        <v>180</v>
      </c>
      <c r="C116" s="647" t="s">
        <v>284</v>
      </c>
      <c r="D116" s="628" t="s">
        <v>25</v>
      </c>
      <c r="E116" s="586" t="s">
        <v>493</v>
      </c>
      <c r="F116" s="562" t="s">
        <v>40</v>
      </c>
      <c r="G116" s="560">
        <v>1</v>
      </c>
      <c r="H116" s="563" t="s">
        <v>102</v>
      </c>
      <c r="I116" s="563" t="s">
        <v>103</v>
      </c>
      <c r="J116" s="629">
        <v>3</v>
      </c>
      <c r="K116" s="554">
        <v>17697</v>
      </c>
      <c r="L116" s="649">
        <v>20</v>
      </c>
      <c r="M116" s="552">
        <f t="shared" si="18"/>
        <v>1.1111111111111112</v>
      </c>
      <c r="N116" s="566" t="s">
        <v>109</v>
      </c>
      <c r="O116" s="628">
        <v>3.75</v>
      </c>
      <c r="P116" s="556">
        <f t="shared" si="19"/>
        <v>73737.5</v>
      </c>
      <c r="Q116" s="568"/>
      <c r="R116" s="554"/>
      <c r="S116" s="554">
        <v>0.1</v>
      </c>
      <c r="T116" s="567">
        <f t="shared" si="16"/>
        <v>7373.75</v>
      </c>
      <c r="U116" s="569"/>
      <c r="V116" s="554"/>
      <c r="W116" s="559">
        <f t="shared" si="20"/>
        <v>81111.25</v>
      </c>
      <c r="X116" s="406"/>
      <c r="Y116" s="406"/>
    </row>
    <row r="117" spans="1:25" s="377" customFormat="1" ht="17.25" customHeight="1">
      <c r="A117" s="547">
        <v>110</v>
      </c>
      <c r="B117" s="647" t="s">
        <v>282</v>
      </c>
      <c r="C117" s="647" t="s">
        <v>99</v>
      </c>
      <c r="D117" s="628" t="s">
        <v>25</v>
      </c>
      <c r="E117" s="586" t="s">
        <v>431</v>
      </c>
      <c r="F117" s="562" t="s">
        <v>40</v>
      </c>
      <c r="G117" s="560">
        <v>1</v>
      </c>
      <c r="H117" s="563" t="s">
        <v>102</v>
      </c>
      <c r="I117" s="563" t="s">
        <v>103</v>
      </c>
      <c r="J117" s="629">
        <v>1</v>
      </c>
      <c r="K117" s="554">
        <v>17697</v>
      </c>
      <c r="L117" s="648">
        <v>36</v>
      </c>
      <c r="M117" s="552">
        <f t="shared" si="18"/>
        <v>2</v>
      </c>
      <c r="N117" s="574" t="s">
        <v>152</v>
      </c>
      <c r="O117" s="628">
        <v>4.32</v>
      </c>
      <c r="P117" s="556">
        <f t="shared" si="19"/>
        <v>152902.08000000002</v>
      </c>
      <c r="Q117" s="568"/>
      <c r="R117" s="554"/>
      <c r="S117" s="554">
        <v>0.1</v>
      </c>
      <c r="T117" s="567">
        <f t="shared" si="16"/>
        <v>15290.208000000002</v>
      </c>
      <c r="U117" s="569"/>
      <c r="V117" s="554"/>
      <c r="W117" s="559">
        <f t="shared" si="20"/>
        <v>168192.28800000003</v>
      </c>
      <c r="X117" s="406">
        <f t="shared" si="17"/>
        <v>0</v>
      </c>
      <c r="Y117" s="406">
        <f t="shared" si="17"/>
        <v>0</v>
      </c>
    </row>
    <row r="118" spans="1:25" s="377" customFormat="1" ht="17.25" customHeight="1">
      <c r="A118" s="547">
        <v>111</v>
      </c>
      <c r="B118" s="647" t="s">
        <v>392</v>
      </c>
      <c r="C118" s="647" t="s">
        <v>99</v>
      </c>
      <c r="D118" s="563" t="s">
        <v>189</v>
      </c>
      <c r="E118" s="586" t="s">
        <v>444</v>
      </c>
      <c r="F118" s="582" t="s">
        <v>434</v>
      </c>
      <c r="G118" s="560">
        <v>1</v>
      </c>
      <c r="H118" s="563" t="s">
        <v>102</v>
      </c>
      <c r="I118" s="563" t="s">
        <v>103</v>
      </c>
      <c r="J118" s="572">
        <v>2</v>
      </c>
      <c r="K118" s="554">
        <v>17697</v>
      </c>
      <c r="L118" s="648">
        <v>15</v>
      </c>
      <c r="M118" s="552">
        <f t="shared" si="18"/>
        <v>0.83333333333333337</v>
      </c>
      <c r="N118" s="566" t="s">
        <v>104</v>
      </c>
      <c r="O118" s="650">
        <v>3.86</v>
      </c>
      <c r="P118" s="556">
        <f t="shared" si="19"/>
        <v>56925.35</v>
      </c>
      <c r="Q118" s="568"/>
      <c r="R118" s="554"/>
      <c r="S118" s="554">
        <v>0.1</v>
      </c>
      <c r="T118" s="567">
        <f t="shared" si="16"/>
        <v>5692.5349999999999</v>
      </c>
      <c r="U118" s="569"/>
      <c r="V118" s="554"/>
      <c r="W118" s="559">
        <f t="shared" si="20"/>
        <v>62617.884999999995</v>
      </c>
      <c r="X118" s="406">
        <f t="shared" si="17"/>
        <v>0</v>
      </c>
      <c r="Y118" s="406">
        <f t="shared" si="17"/>
        <v>0</v>
      </c>
    </row>
    <row r="119" spans="1:25" s="377" customFormat="1" ht="17.25" customHeight="1">
      <c r="A119" s="547">
        <v>112</v>
      </c>
      <c r="B119" s="647" t="s">
        <v>184</v>
      </c>
      <c r="C119" s="647" t="s">
        <v>99</v>
      </c>
      <c r="D119" s="628" t="s">
        <v>25</v>
      </c>
      <c r="E119" s="586" t="s">
        <v>427</v>
      </c>
      <c r="F119" s="562" t="s">
        <v>40</v>
      </c>
      <c r="G119" s="560">
        <v>1</v>
      </c>
      <c r="H119" s="563" t="s">
        <v>102</v>
      </c>
      <c r="I119" s="563" t="s">
        <v>103</v>
      </c>
      <c r="J119" s="629">
        <v>1</v>
      </c>
      <c r="K119" s="554">
        <v>17697</v>
      </c>
      <c r="L119" s="648">
        <v>4</v>
      </c>
      <c r="M119" s="552">
        <f t="shared" si="18"/>
        <v>0.22222222222222221</v>
      </c>
      <c r="N119" s="574" t="s">
        <v>152</v>
      </c>
      <c r="O119" s="628">
        <v>4.32</v>
      </c>
      <c r="P119" s="556">
        <f t="shared" si="19"/>
        <v>16989.120000000003</v>
      </c>
      <c r="Q119" s="568"/>
      <c r="R119" s="554"/>
      <c r="S119" s="554">
        <v>0.1</v>
      </c>
      <c r="T119" s="567">
        <f>P119*S119</f>
        <v>1698.9120000000003</v>
      </c>
      <c r="U119" s="569"/>
      <c r="V119" s="554"/>
      <c r="W119" s="559">
        <f t="shared" si="20"/>
        <v>18688.032000000003</v>
      </c>
      <c r="X119" s="406">
        <f>U119+Q119</f>
        <v>0</v>
      </c>
      <c r="Y119" s="406">
        <f>V119+R119</f>
        <v>0</v>
      </c>
    </row>
    <row r="120" spans="1:25" s="377" customFormat="1" ht="17.25" customHeight="1">
      <c r="A120" s="547">
        <v>113</v>
      </c>
      <c r="B120" s="647" t="s">
        <v>287</v>
      </c>
      <c r="C120" s="647" t="s">
        <v>99</v>
      </c>
      <c r="D120" s="628" t="s">
        <v>25</v>
      </c>
      <c r="E120" s="586" t="s">
        <v>432</v>
      </c>
      <c r="F120" s="562" t="s">
        <v>40</v>
      </c>
      <c r="G120" s="560">
        <v>1</v>
      </c>
      <c r="H120" s="563" t="s">
        <v>102</v>
      </c>
      <c r="I120" s="563" t="s">
        <v>103</v>
      </c>
      <c r="J120" s="629">
        <v>1</v>
      </c>
      <c r="K120" s="554">
        <v>17697</v>
      </c>
      <c r="L120" s="648">
        <v>29</v>
      </c>
      <c r="M120" s="552">
        <f t="shared" si="18"/>
        <v>1.6111111111111112</v>
      </c>
      <c r="N120" s="574" t="s">
        <v>152</v>
      </c>
      <c r="O120" s="628">
        <v>4.32</v>
      </c>
      <c r="P120" s="556">
        <f t="shared" si="19"/>
        <v>123171.12000000002</v>
      </c>
      <c r="Q120" s="568"/>
      <c r="R120" s="554"/>
      <c r="S120" s="554">
        <v>0.1</v>
      </c>
      <c r="T120" s="567">
        <f>P120*S120</f>
        <v>12317.112000000003</v>
      </c>
      <c r="U120" s="569"/>
      <c r="V120" s="554"/>
      <c r="W120" s="559">
        <f t="shared" si="20"/>
        <v>135488.23200000002</v>
      </c>
      <c r="X120" s="406">
        <f t="shared" si="17"/>
        <v>0</v>
      </c>
      <c r="Y120" s="406">
        <f t="shared" si="17"/>
        <v>0</v>
      </c>
    </row>
    <row r="121" spans="1:25" s="377" customFormat="1" ht="17.25" customHeight="1">
      <c r="A121" s="547">
        <v>114</v>
      </c>
      <c r="B121" s="647" t="s">
        <v>289</v>
      </c>
      <c r="C121" s="647" t="s">
        <v>99</v>
      </c>
      <c r="D121" s="563" t="s">
        <v>64</v>
      </c>
      <c r="E121" s="586" t="s">
        <v>423</v>
      </c>
      <c r="F121" s="582" t="s">
        <v>108</v>
      </c>
      <c r="G121" s="560">
        <v>1</v>
      </c>
      <c r="H121" s="563" t="s">
        <v>102</v>
      </c>
      <c r="I121" s="563" t="s">
        <v>118</v>
      </c>
      <c r="J121" s="629">
        <v>4</v>
      </c>
      <c r="K121" s="554">
        <v>17697</v>
      </c>
      <c r="L121" s="648">
        <v>30</v>
      </c>
      <c r="M121" s="552">
        <f t="shared" si="18"/>
        <v>1.6666666666666667</v>
      </c>
      <c r="N121" s="574" t="s">
        <v>112</v>
      </c>
      <c r="O121" s="650">
        <v>2.4300000000000002</v>
      </c>
      <c r="P121" s="556">
        <f t="shared" si="19"/>
        <v>71672.850000000006</v>
      </c>
      <c r="Q121" s="568"/>
      <c r="R121" s="554"/>
      <c r="S121" s="554">
        <v>0.1</v>
      </c>
      <c r="T121" s="567">
        <f>P121*S121</f>
        <v>7167.2850000000008</v>
      </c>
      <c r="U121" s="569"/>
      <c r="V121" s="554"/>
      <c r="W121" s="559">
        <f t="shared" si="20"/>
        <v>78840.135000000009</v>
      </c>
      <c r="X121" s="406">
        <f t="shared" si="17"/>
        <v>0</v>
      </c>
      <c r="Y121" s="406">
        <f t="shared" si="17"/>
        <v>0</v>
      </c>
    </row>
    <row r="122" spans="1:25" s="24" customFormat="1" ht="17.25" customHeight="1">
      <c r="A122" s="651"/>
      <c r="B122" s="652"/>
      <c r="C122" s="652"/>
      <c r="D122" s="653"/>
      <c r="E122" s="654"/>
      <c r="F122" s="655"/>
      <c r="G122" s="656"/>
      <c r="H122" s="653"/>
      <c r="I122" s="653"/>
      <c r="J122" s="657"/>
      <c r="K122" s="658"/>
      <c r="L122" s="659">
        <f>SUM(L103:L121)</f>
        <v>462</v>
      </c>
      <c r="M122" s="659"/>
      <c r="N122" s="659"/>
      <c r="O122" s="660"/>
      <c r="P122" s="659"/>
      <c r="Q122" s="659"/>
      <c r="R122" s="659"/>
      <c r="S122" s="659"/>
      <c r="T122" s="659"/>
      <c r="U122" s="659"/>
      <c r="V122" s="659"/>
      <c r="W122" s="659"/>
      <c r="X122" s="98"/>
      <c r="Y122" s="98"/>
    </row>
    <row r="123" spans="1:25" s="377" customFormat="1" ht="17.25" customHeight="1">
      <c r="A123" s="560">
        <v>115</v>
      </c>
      <c r="B123" s="661" t="s">
        <v>291</v>
      </c>
      <c r="C123" s="647" t="s">
        <v>99</v>
      </c>
      <c r="D123" s="663" t="s">
        <v>25</v>
      </c>
      <c r="E123" s="664" t="s">
        <v>293</v>
      </c>
      <c r="F123" s="664" t="s">
        <v>40</v>
      </c>
      <c r="G123" s="177">
        <v>1</v>
      </c>
      <c r="H123" s="177" t="s">
        <v>102</v>
      </c>
      <c r="I123" s="177" t="s">
        <v>103</v>
      </c>
      <c r="J123" s="178">
        <v>1</v>
      </c>
      <c r="K123" s="554">
        <v>17697</v>
      </c>
      <c r="L123" s="665">
        <v>31</v>
      </c>
      <c r="M123" s="567">
        <f>L123/18</f>
        <v>1.7222222222222223</v>
      </c>
      <c r="N123" s="574" t="s">
        <v>152</v>
      </c>
      <c r="O123" s="567">
        <v>4.32</v>
      </c>
      <c r="P123" s="567">
        <f t="shared" ref="P123:P137" si="21">K123*O123/18*L123</f>
        <v>131665.68000000002</v>
      </c>
      <c r="Q123" s="666">
        <v>0.25</v>
      </c>
      <c r="R123" s="554">
        <f t="shared" ref="R123:R137" si="22">Q123*P123</f>
        <v>32916.420000000006</v>
      </c>
      <c r="S123" s="554">
        <v>0.1</v>
      </c>
      <c r="T123" s="567">
        <f t="shared" ref="T123:T137" si="23">(P123+R123)*10%</f>
        <v>16458.210000000003</v>
      </c>
      <c r="U123" s="569"/>
      <c r="V123" s="554"/>
      <c r="W123" s="570">
        <f>T123+R123+P123</f>
        <v>181040.31000000003</v>
      </c>
      <c r="X123" s="406">
        <f>U123+S123+Q123</f>
        <v>0.35</v>
      </c>
      <c r="Y123" s="406">
        <f>V123+T123+R123</f>
        <v>49374.630000000005</v>
      </c>
    </row>
    <row r="124" spans="1:25" s="377" customFormat="1" ht="17.25" customHeight="1">
      <c r="A124" s="560">
        <v>116</v>
      </c>
      <c r="B124" s="661" t="s">
        <v>516</v>
      </c>
      <c r="C124" s="647" t="s">
        <v>99</v>
      </c>
      <c r="D124" s="663" t="s">
        <v>25</v>
      </c>
      <c r="E124" s="664" t="s">
        <v>430</v>
      </c>
      <c r="F124" s="664" t="s">
        <v>40</v>
      </c>
      <c r="G124" s="177">
        <v>1</v>
      </c>
      <c r="H124" s="177" t="s">
        <v>102</v>
      </c>
      <c r="I124" s="177" t="s">
        <v>103</v>
      </c>
      <c r="J124" s="178">
        <v>1</v>
      </c>
      <c r="K124" s="554">
        <v>17697</v>
      </c>
      <c r="L124" s="665">
        <v>18</v>
      </c>
      <c r="M124" s="567">
        <f t="shared" ref="M124:M136" si="24">L124/18</f>
        <v>1</v>
      </c>
      <c r="N124" s="574" t="s">
        <v>152</v>
      </c>
      <c r="O124" s="567">
        <v>4.32</v>
      </c>
      <c r="P124" s="567">
        <f t="shared" si="21"/>
        <v>76451.040000000008</v>
      </c>
      <c r="Q124" s="666">
        <v>0.25</v>
      </c>
      <c r="R124" s="554">
        <f t="shared" si="22"/>
        <v>19112.760000000002</v>
      </c>
      <c r="S124" s="554">
        <v>0.1</v>
      </c>
      <c r="T124" s="567">
        <f t="shared" si="23"/>
        <v>9556.3800000000028</v>
      </c>
      <c r="U124" s="569"/>
      <c r="V124" s="554"/>
      <c r="W124" s="570">
        <f t="shared" ref="W124:W137" si="25">T124+R124+P124</f>
        <v>105120.18000000002</v>
      </c>
      <c r="X124" s="406"/>
      <c r="Y124" s="406"/>
    </row>
    <row r="125" spans="1:25" s="377" customFormat="1" ht="17.25" customHeight="1">
      <c r="A125" s="560">
        <v>117</v>
      </c>
      <c r="B125" s="690" t="s">
        <v>517</v>
      </c>
      <c r="C125" s="647" t="s">
        <v>99</v>
      </c>
      <c r="D125" s="663" t="s">
        <v>25</v>
      </c>
      <c r="E125" s="664" t="s">
        <v>527</v>
      </c>
      <c r="F125" s="664" t="s">
        <v>366</v>
      </c>
      <c r="G125" s="177">
        <v>1</v>
      </c>
      <c r="H125" s="177" t="s">
        <v>102</v>
      </c>
      <c r="I125" s="177" t="s">
        <v>103</v>
      </c>
      <c r="J125" s="178">
        <v>1</v>
      </c>
      <c r="K125" s="554">
        <v>17697</v>
      </c>
      <c r="L125" s="665">
        <v>4</v>
      </c>
      <c r="M125" s="567">
        <f t="shared" si="24"/>
        <v>0.22222222222222221</v>
      </c>
      <c r="N125" s="574" t="s">
        <v>152</v>
      </c>
      <c r="O125" s="567">
        <v>4.26</v>
      </c>
      <c r="P125" s="567">
        <f t="shared" si="21"/>
        <v>16753.16</v>
      </c>
      <c r="Q125" s="666">
        <v>0.25</v>
      </c>
      <c r="R125" s="554">
        <f t="shared" si="22"/>
        <v>4188.29</v>
      </c>
      <c r="S125" s="554">
        <v>0.1</v>
      </c>
      <c r="T125" s="567">
        <f t="shared" si="23"/>
        <v>2094.145</v>
      </c>
      <c r="U125" s="569"/>
      <c r="V125" s="554"/>
      <c r="W125" s="570">
        <f t="shared" si="25"/>
        <v>23035.595000000001</v>
      </c>
      <c r="X125" s="406"/>
      <c r="Y125" s="406"/>
    </row>
    <row r="126" spans="1:25" s="377" customFormat="1" ht="17.25" customHeight="1">
      <c r="A126" s="560">
        <v>118</v>
      </c>
      <c r="B126" s="691" t="s">
        <v>421</v>
      </c>
      <c r="C126" s="647" t="s">
        <v>99</v>
      </c>
      <c r="D126" s="663" t="s">
        <v>75</v>
      </c>
      <c r="E126" s="664" t="s">
        <v>520</v>
      </c>
      <c r="F126" s="664" t="s">
        <v>159</v>
      </c>
      <c r="G126" s="177">
        <v>1</v>
      </c>
      <c r="H126" s="177" t="s">
        <v>102</v>
      </c>
      <c r="I126" s="177" t="s">
        <v>118</v>
      </c>
      <c r="J126" s="178">
        <v>4</v>
      </c>
      <c r="K126" s="554">
        <v>17697</v>
      </c>
      <c r="L126" s="665">
        <v>10</v>
      </c>
      <c r="M126" s="567">
        <f t="shared" si="24"/>
        <v>0.55555555555555558</v>
      </c>
      <c r="N126" s="574" t="s">
        <v>385</v>
      </c>
      <c r="O126" s="567">
        <v>2.75</v>
      </c>
      <c r="P126" s="567">
        <f t="shared" si="21"/>
        <v>27037.083333333336</v>
      </c>
      <c r="Q126" s="666">
        <v>0.25</v>
      </c>
      <c r="R126" s="554">
        <f t="shared" si="22"/>
        <v>6759.2708333333339</v>
      </c>
      <c r="S126" s="554">
        <v>0.1</v>
      </c>
      <c r="T126" s="567">
        <f t="shared" si="23"/>
        <v>3379.6354166666674</v>
      </c>
      <c r="U126" s="569"/>
      <c r="V126" s="554"/>
      <c r="W126" s="570">
        <f t="shared" si="25"/>
        <v>37175.989583333336</v>
      </c>
      <c r="X126" s="406"/>
      <c r="Y126" s="406"/>
    </row>
    <row r="127" spans="1:25" s="377" customFormat="1" ht="17.25" customHeight="1">
      <c r="A127" s="560">
        <v>119</v>
      </c>
      <c r="B127" s="691" t="s">
        <v>519</v>
      </c>
      <c r="C127" s="692" t="s">
        <v>99</v>
      </c>
      <c r="D127" s="693" t="s">
        <v>25</v>
      </c>
      <c r="E127" s="694" t="s">
        <v>521</v>
      </c>
      <c r="F127" s="664" t="s">
        <v>366</v>
      </c>
      <c r="G127" s="695">
        <v>1</v>
      </c>
      <c r="H127" s="177" t="s">
        <v>102</v>
      </c>
      <c r="I127" s="177" t="s">
        <v>103</v>
      </c>
      <c r="J127" s="178">
        <v>1</v>
      </c>
      <c r="K127" s="554">
        <v>17697</v>
      </c>
      <c r="L127" s="696">
        <v>18</v>
      </c>
      <c r="M127" s="567">
        <f t="shared" si="24"/>
        <v>1</v>
      </c>
      <c r="N127" s="698" t="s">
        <v>152</v>
      </c>
      <c r="O127" s="697">
        <v>4.32</v>
      </c>
      <c r="P127" s="567">
        <f t="shared" si="21"/>
        <v>76451.040000000008</v>
      </c>
      <c r="Q127" s="666">
        <v>0.25</v>
      </c>
      <c r="R127" s="554">
        <f t="shared" si="22"/>
        <v>19112.760000000002</v>
      </c>
      <c r="S127" s="554">
        <v>0.1</v>
      </c>
      <c r="T127" s="567">
        <f t="shared" si="23"/>
        <v>9556.3800000000028</v>
      </c>
      <c r="U127" s="699"/>
      <c r="V127" s="700"/>
      <c r="W127" s="570">
        <f t="shared" si="25"/>
        <v>105120.18000000002</v>
      </c>
      <c r="X127" s="919"/>
      <c r="Y127" s="919"/>
    </row>
    <row r="128" spans="1:25" s="377" customFormat="1" ht="16.5" customHeight="1">
      <c r="A128" s="560">
        <v>120</v>
      </c>
      <c r="B128" s="662" t="s">
        <v>298</v>
      </c>
      <c r="C128" s="647" t="s">
        <v>99</v>
      </c>
      <c r="D128" s="663" t="s">
        <v>300</v>
      </c>
      <c r="E128" s="664" t="s">
        <v>522</v>
      </c>
      <c r="F128" s="667" t="s">
        <v>40</v>
      </c>
      <c r="G128" s="177">
        <v>1</v>
      </c>
      <c r="H128" s="177" t="s">
        <v>102</v>
      </c>
      <c r="I128" s="177" t="s">
        <v>118</v>
      </c>
      <c r="J128" s="178">
        <v>2</v>
      </c>
      <c r="K128" s="554">
        <v>17697</v>
      </c>
      <c r="L128" s="665">
        <v>9</v>
      </c>
      <c r="M128" s="567">
        <f t="shared" si="24"/>
        <v>0.5</v>
      </c>
      <c r="N128" s="566" t="s">
        <v>104</v>
      </c>
      <c r="O128" s="663">
        <v>3.41</v>
      </c>
      <c r="P128" s="567">
        <f t="shared" si="21"/>
        <v>30173.385000000002</v>
      </c>
      <c r="Q128" s="666">
        <v>0.25</v>
      </c>
      <c r="R128" s="554">
        <f t="shared" si="22"/>
        <v>7543.3462500000005</v>
      </c>
      <c r="S128" s="554">
        <v>0.1</v>
      </c>
      <c r="T128" s="567">
        <f t="shared" si="23"/>
        <v>3771.6731250000007</v>
      </c>
      <c r="U128" s="569"/>
      <c r="V128" s="554"/>
      <c r="W128" s="570">
        <f t="shared" si="25"/>
        <v>41488.404375000006</v>
      </c>
      <c r="X128" s="406">
        <f t="shared" ref="X128:Y137" si="26">U128+S128+Q128</f>
        <v>0.35</v>
      </c>
      <c r="Y128" s="406">
        <f t="shared" si="26"/>
        <v>11315.019375000002</v>
      </c>
    </row>
    <row r="129" spans="1:39" s="377" customFormat="1" ht="17.25" customHeight="1">
      <c r="A129" s="560">
        <v>121</v>
      </c>
      <c r="B129" s="153" t="s">
        <v>116</v>
      </c>
      <c r="C129" s="561" t="s">
        <v>99</v>
      </c>
      <c r="D129" s="560" t="s">
        <v>64</v>
      </c>
      <c r="E129" s="583" t="s">
        <v>470</v>
      </c>
      <c r="F129" s="562" t="s">
        <v>114</v>
      </c>
      <c r="G129" s="560">
        <v>1</v>
      </c>
      <c r="H129" s="563" t="s">
        <v>102</v>
      </c>
      <c r="I129" s="563" t="s">
        <v>118</v>
      </c>
      <c r="J129" s="564">
        <v>1</v>
      </c>
      <c r="K129" s="554">
        <v>17697</v>
      </c>
      <c r="L129" s="565">
        <v>12</v>
      </c>
      <c r="M129" s="567">
        <f t="shared" si="24"/>
        <v>0.66666666666666663</v>
      </c>
      <c r="N129" s="574" t="s">
        <v>152</v>
      </c>
      <c r="O129" s="566">
        <v>3.89</v>
      </c>
      <c r="P129" s="567">
        <f t="shared" si="21"/>
        <v>45894.22</v>
      </c>
      <c r="Q129" s="666">
        <v>0.25</v>
      </c>
      <c r="R129" s="554">
        <f t="shared" si="22"/>
        <v>11473.555</v>
      </c>
      <c r="S129" s="554">
        <v>0.1</v>
      </c>
      <c r="T129" s="567">
        <f t="shared" si="23"/>
        <v>5736.7775000000001</v>
      </c>
      <c r="U129" s="569"/>
      <c r="V129" s="554"/>
      <c r="W129" s="570">
        <f t="shared" si="25"/>
        <v>63104.552500000005</v>
      </c>
      <c r="X129" s="406">
        <f>U129+Q129</f>
        <v>0.25</v>
      </c>
      <c r="Y129" s="406">
        <f>V129+R129</f>
        <v>11473.555</v>
      </c>
    </row>
    <row r="130" spans="1:39" s="377" customFormat="1" ht="17.25" customHeight="1">
      <c r="A130" s="560">
        <v>122</v>
      </c>
      <c r="B130" s="661" t="s">
        <v>38</v>
      </c>
      <c r="C130" s="647" t="s">
        <v>99</v>
      </c>
      <c r="D130" s="663" t="s">
        <v>25</v>
      </c>
      <c r="E130" s="664" t="s">
        <v>305</v>
      </c>
      <c r="F130" s="667" t="s">
        <v>40</v>
      </c>
      <c r="G130" s="177">
        <v>1</v>
      </c>
      <c r="H130" s="177" t="s">
        <v>102</v>
      </c>
      <c r="I130" s="177" t="s">
        <v>103</v>
      </c>
      <c r="J130" s="178">
        <v>1</v>
      </c>
      <c r="K130" s="554">
        <v>17697</v>
      </c>
      <c r="L130" s="665">
        <v>9</v>
      </c>
      <c r="M130" s="567">
        <f t="shared" si="24"/>
        <v>0.5</v>
      </c>
      <c r="N130" s="574" t="s">
        <v>152</v>
      </c>
      <c r="O130" s="567">
        <v>4.32</v>
      </c>
      <c r="P130" s="567">
        <f t="shared" si="21"/>
        <v>38225.520000000004</v>
      </c>
      <c r="Q130" s="666">
        <v>0.25</v>
      </c>
      <c r="R130" s="554">
        <f t="shared" si="22"/>
        <v>9556.380000000001</v>
      </c>
      <c r="S130" s="554">
        <v>0.1</v>
      </c>
      <c r="T130" s="567">
        <f t="shared" si="23"/>
        <v>4778.1900000000014</v>
      </c>
      <c r="U130" s="569"/>
      <c r="V130" s="554"/>
      <c r="W130" s="570">
        <f t="shared" si="25"/>
        <v>52560.090000000011</v>
      </c>
      <c r="X130" s="406">
        <f t="shared" si="26"/>
        <v>0.35</v>
      </c>
      <c r="Y130" s="406">
        <f t="shared" si="26"/>
        <v>14334.570000000003</v>
      </c>
    </row>
    <row r="131" spans="1:39" s="377" customFormat="1" ht="17.25" customHeight="1">
      <c r="A131" s="560">
        <v>123</v>
      </c>
      <c r="B131" s="669" t="s">
        <v>306</v>
      </c>
      <c r="C131" s="647" t="s">
        <v>99</v>
      </c>
      <c r="D131" s="663" t="s">
        <v>25</v>
      </c>
      <c r="E131" s="670" t="s">
        <v>307</v>
      </c>
      <c r="F131" s="671" t="s">
        <v>308</v>
      </c>
      <c r="G131" s="182">
        <v>1</v>
      </c>
      <c r="H131" s="177" t="s">
        <v>102</v>
      </c>
      <c r="I131" s="177" t="s">
        <v>103</v>
      </c>
      <c r="J131" s="182">
        <v>4</v>
      </c>
      <c r="K131" s="554">
        <v>17697</v>
      </c>
      <c r="L131" s="665">
        <v>20</v>
      </c>
      <c r="M131" s="567">
        <f t="shared" si="24"/>
        <v>1.1111111111111112</v>
      </c>
      <c r="N131" s="574" t="s">
        <v>112</v>
      </c>
      <c r="O131" s="663">
        <v>2.82</v>
      </c>
      <c r="P131" s="567">
        <f t="shared" si="21"/>
        <v>55450.599999999991</v>
      </c>
      <c r="Q131" s="666">
        <v>0.25</v>
      </c>
      <c r="R131" s="554">
        <f t="shared" si="22"/>
        <v>13862.649999999998</v>
      </c>
      <c r="S131" s="554">
        <v>0.1</v>
      </c>
      <c r="T131" s="567">
        <f t="shared" si="23"/>
        <v>6931.3249999999989</v>
      </c>
      <c r="U131" s="569"/>
      <c r="V131" s="554"/>
      <c r="W131" s="570">
        <f t="shared" si="25"/>
        <v>76244.574999999983</v>
      </c>
      <c r="X131" s="406">
        <f t="shared" si="26"/>
        <v>0.35</v>
      </c>
      <c r="Y131" s="406">
        <f t="shared" si="26"/>
        <v>20793.974999999999</v>
      </c>
    </row>
    <row r="132" spans="1:39" s="377" customFormat="1" ht="17.25" customHeight="1">
      <c r="A132" s="560">
        <v>124</v>
      </c>
      <c r="B132" s="661" t="s">
        <v>309</v>
      </c>
      <c r="C132" s="647" t="s">
        <v>99</v>
      </c>
      <c r="D132" s="663" t="s">
        <v>25</v>
      </c>
      <c r="E132" s="664" t="s">
        <v>311</v>
      </c>
      <c r="F132" s="667" t="s">
        <v>40</v>
      </c>
      <c r="G132" s="177">
        <v>1</v>
      </c>
      <c r="H132" s="177" t="s">
        <v>102</v>
      </c>
      <c r="I132" s="177" t="s">
        <v>103</v>
      </c>
      <c r="J132" s="178">
        <v>1</v>
      </c>
      <c r="K132" s="554">
        <v>17697</v>
      </c>
      <c r="L132" s="665">
        <v>26</v>
      </c>
      <c r="M132" s="567">
        <f t="shared" si="24"/>
        <v>1.4444444444444444</v>
      </c>
      <c r="N132" s="574" t="s">
        <v>152</v>
      </c>
      <c r="O132" s="567">
        <v>4.32</v>
      </c>
      <c r="P132" s="567">
        <f t="shared" si="21"/>
        <v>110429.28000000001</v>
      </c>
      <c r="Q132" s="666">
        <v>0.25</v>
      </c>
      <c r="R132" s="554">
        <f t="shared" si="22"/>
        <v>27607.320000000003</v>
      </c>
      <c r="S132" s="554">
        <v>0.1</v>
      </c>
      <c r="T132" s="567">
        <f t="shared" si="23"/>
        <v>13803.660000000002</v>
      </c>
      <c r="U132" s="569"/>
      <c r="V132" s="554"/>
      <c r="W132" s="570">
        <f t="shared" si="25"/>
        <v>151840.26</v>
      </c>
      <c r="X132" s="406">
        <f t="shared" si="26"/>
        <v>0.35</v>
      </c>
      <c r="Y132" s="406">
        <f t="shared" si="26"/>
        <v>41410.980000000003</v>
      </c>
    </row>
    <row r="133" spans="1:39" s="377" customFormat="1" ht="17.25" customHeight="1">
      <c r="A133" s="560">
        <v>125</v>
      </c>
      <c r="B133" s="701" t="s">
        <v>447</v>
      </c>
      <c r="C133" s="692" t="s">
        <v>99</v>
      </c>
      <c r="D133" s="663" t="s">
        <v>300</v>
      </c>
      <c r="E133" s="664" t="s">
        <v>520</v>
      </c>
      <c r="F133" s="664" t="s">
        <v>159</v>
      </c>
      <c r="G133" s="695">
        <v>1</v>
      </c>
      <c r="H133" s="177" t="s">
        <v>102</v>
      </c>
      <c r="I133" s="177" t="s">
        <v>118</v>
      </c>
      <c r="J133" s="178">
        <v>4</v>
      </c>
      <c r="K133" s="554">
        <v>17697</v>
      </c>
      <c r="L133" s="696">
        <v>20</v>
      </c>
      <c r="M133" s="567">
        <f t="shared" si="24"/>
        <v>1.1111111111111112</v>
      </c>
      <c r="N133" s="698" t="s">
        <v>385</v>
      </c>
      <c r="O133" s="697">
        <v>2.75</v>
      </c>
      <c r="P133" s="567">
        <f t="shared" si="21"/>
        <v>54074.166666666672</v>
      </c>
      <c r="Q133" s="666">
        <v>0.25</v>
      </c>
      <c r="R133" s="554">
        <f t="shared" si="22"/>
        <v>13518.541666666668</v>
      </c>
      <c r="S133" s="554">
        <v>0.1</v>
      </c>
      <c r="T133" s="567">
        <f t="shared" si="23"/>
        <v>6759.2708333333348</v>
      </c>
      <c r="U133" s="699"/>
      <c r="V133" s="700"/>
      <c r="W133" s="570">
        <f t="shared" si="25"/>
        <v>74351.979166666672</v>
      </c>
      <c r="X133" s="919"/>
      <c r="Y133" s="919"/>
    </row>
    <row r="134" spans="1:39" s="377" customFormat="1" ht="17.25" customHeight="1">
      <c r="A134" s="560">
        <v>126</v>
      </c>
      <c r="B134" s="702" t="s">
        <v>274</v>
      </c>
      <c r="C134" s="692" t="s">
        <v>136</v>
      </c>
      <c r="D134" s="663" t="s">
        <v>25</v>
      </c>
      <c r="E134" s="694" t="s">
        <v>523</v>
      </c>
      <c r="F134" s="694" t="s">
        <v>403</v>
      </c>
      <c r="G134" s="695">
        <v>1</v>
      </c>
      <c r="H134" s="177" t="s">
        <v>102</v>
      </c>
      <c r="I134" s="177" t="s">
        <v>103</v>
      </c>
      <c r="J134" s="178">
        <v>1</v>
      </c>
      <c r="K134" s="554">
        <v>17697</v>
      </c>
      <c r="L134" s="696">
        <v>10</v>
      </c>
      <c r="M134" s="567">
        <f t="shared" si="24"/>
        <v>0.55555555555555558</v>
      </c>
      <c r="N134" s="698" t="s">
        <v>152</v>
      </c>
      <c r="O134" s="697">
        <v>3.62</v>
      </c>
      <c r="P134" s="567">
        <f t="shared" si="21"/>
        <v>35590.633333333331</v>
      </c>
      <c r="Q134" s="666">
        <v>0.25</v>
      </c>
      <c r="R134" s="554">
        <f t="shared" si="22"/>
        <v>8897.6583333333328</v>
      </c>
      <c r="S134" s="554">
        <v>0.1</v>
      </c>
      <c r="T134" s="567">
        <f t="shared" si="23"/>
        <v>4448.8291666666664</v>
      </c>
      <c r="U134" s="699"/>
      <c r="V134" s="700"/>
      <c r="W134" s="570">
        <f t="shared" si="25"/>
        <v>48937.120833333334</v>
      </c>
      <c r="X134" s="919"/>
      <c r="Y134" s="919"/>
    </row>
    <row r="135" spans="1:39" s="377" customFormat="1" ht="17.25" customHeight="1">
      <c r="A135" s="560">
        <v>127</v>
      </c>
      <c r="B135" s="176" t="s">
        <v>524</v>
      </c>
      <c r="C135" s="692" t="s">
        <v>525</v>
      </c>
      <c r="D135" s="693" t="s">
        <v>25</v>
      </c>
      <c r="E135" s="694" t="s">
        <v>526</v>
      </c>
      <c r="F135" s="664" t="s">
        <v>366</v>
      </c>
      <c r="G135" s="695">
        <v>1</v>
      </c>
      <c r="H135" s="177" t="s">
        <v>102</v>
      </c>
      <c r="I135" s="177" t="s">
        <v>103</v>
      </c>
      <c r="J135" s="178">
        <v>1</v>
      </c>
      <c r="K135" s="554">
        <v>17697</v>
      </c>
      <c r="L135" s="696">
        <v>18</v>
      </c>
      <c r="M135" s="567">
        <f t="shared" si="24"/>
        <v>1</v>
      </c>
      <c r="N135" s="698" t="s">
        <v>152</v>
      </c>
      <c r="O135" s="697">
        <v>4.26</v>
      </c>
      <c r="P135" s="567">
        <f t="shared" si="21"/>
        <v>75389.22</v>
      </c>
      <c r="Q135" s="666">
        <v>0.25</v>
      </c>
      <c r="R135" s="554">
        <f t="shared" si="22"/>
        <v>18847.305</v>
      </c>
      <c r="S135" s="554">
        <v>0.1</v>
      </c>
      <c r="T135" s="567">
        <f t="shared" si="23"/>
        <v>9423.6525000000001</v>
      </c>
      <c r="U135" s="699"/>
      <c r="V135" s="700"/>
      <c r="W135" s="570">
        <f t="shared" si="25"/>
        <v>103660.17750000001</v>
      </c>
      <c r="X135" s="919"/>
      <c r="Y135" s="919"/>
    </row>
    <row r="136" spans="1:39" s="377" customFormat="1" ht="17.25" customHeight="1">
      <c r="A136" s="560">
        <v>128</v>
      </c>
      <c r="B136" s="662" t="s">
        <v>319</v>
      </c>
      <c r="C136" s="647" t="s">
        <v>99</v>
      </c>
      <c r="D136" s="663" t="s">
        <v>25</v>
      </c>
      <c r="E136" s="664" t="s">
        <v>320</v>
      </c>
      <c r="F136" s="667" t="s">
        <v>249</v>
      </c>
      <c r="G136" s="177">
        <v>1</v>
      </c>
      <c r="H136" s="177" t="s">
        <v>232</v>
      </c>
      <c r="I136" s="177" t="s">
        <v>233</v>
      </c>
      <c r="J136" s="178">
        <v>3</v>
      </c>
      <c r="K136" s="554">
        <v>17697</v>
      </c>
      <c r="L136" s="665">
        <v>27</v>
      </c>
      <c r="M136" s="567">
        <f t="shared" si="24"/>
        <v>1.5</v>
      </c>
      <c r="N136" s="566" t="s">
        <v>109</v>
      </c>
      <c r="O136" s="663">
        <v>3.45</v>
      </c>
      <c r="P136" s="567">
        <f t="shared" si="21"/>
        <v>91581.975000000006</v>
      </c>
      <c r="Q136" s="666">
        <v>0.25</v>
      </c>
      <c r="R136" s="554">
        <f t="shared" si="22"/>
        <v>22895.493750000001</v>
      </c>
      <c r="S136" s="554">
        <v>0.1</v>
      </c>
      <c r="T136" s="567">
        <f t="shared" si="23"/>
        <v>11447.746875000001</v>
      </c>
      <c r="U136" s="569"/>
      <c r="V136" s="554"/>
      <c r="W136" s="570">
        <f t="shared" si="25"/>
        <v>125925.21562500001</v>
      </c>
      <c r="X136" s="406">
        <f t="shared" si="26"/>
        <v>0.35</v>
      </c>
      <c r="Y136" s="406">
        <f t="shared" si="26"/>
        <v>34343.240625000006</v>
      </c>
    </row>
    <row r="137" spans="1:39" s="377" customFormat="1" ht="17.25" customHeight="1">
      <c r="A137" s="560">
        <v>129</v>
      </c>
      <c r="B137" s="661" t="s">
        <v>324</v>
      </c>
      <c r="C137" s="647" t="s">
        <v>99</v>
      </c>
      <c r="D137" s="663" t="s">
        <v>25</v>
      </c>
      <c r="E137" s="664" t="s">
        <v>325</v>
      </c>
      <c r="F137" s="667" t="s">
        <v>40</v>
      </c>
      <c r="G137" s="177">
        <v>1</v>
      </c>
      <c r="H137" s="177" t="s">
        <v>102</v>
      </c>
      <c r="I137" s="177" t="s">
        <v>103</v>
      </c>
      <c r="J137" s="178">
        <v>1</v>
      </c>
      <c r="K137" s="554">
        <v>17697</v>
      </c>
      <c r="L137" s="665">
        <v>14</v>
      </c>
      <c r="M137" s="567">
        <v>0.77</v>
      </c>
      <c r="N137" s="574" t="s">
        <v>152</v>
      </c>
      <c r="O137" s="567">
        <v>4.32</v>
      </c>
      <c r="P137" s="567">
        <f t="shared" si="21"/>
        <v>59461.920000000013</v>
      </c>
      <c r="Q137" s="666">
        <v>0.25</v>
      </c>
      <c r="R137" s="554">
        <f t="shared" si="22"/>
        <v>14865.480000000003</v>
      </c>
      <c r="S137" s="554">
        <v>0.1</v>
      </c>
      <c r="T137" s="567">
        <f t="shared" si="23"/>
        <v>7432.7400000000025</v>
      </c>
      <c r="U137" s="569"/>
      <c r="V137" s="554"/>
      <c r="W137" s="570">
        <f t="shared" si="25"/>
        <v>81760.140000000014</v>
      </c>
      <c r="X137" s="406">
        <f t="shared" si="26"/>
        <v>0.35</v>
      </c>
      <c r="Y137" s="406">
        <f t="shared" si="26"/>
        <v>22298.220000000005</v>
      </c>
      <c r="Z137" s="412"/>
    </row>
    <row r="138" spans="1:39" s="24" customFormat="1" ht="17.25" customHeight="1">
      <c r="A138" s="617"/>
      <c r="B138" s="672"/>
      <c r="C138" s="672"/>
      <c r="D138" s="673"/>
      <c r="E138" s="673"/>
      <c r="F138" s="672"/>
      <c r="G138" s="119"/>
      <c r="H138" s="119"/>
      <c r="I138" s="119"/>
      <c r="J138" s="120"/>
      <c r="K138" s="619"/>
      <c r="L138" s="674">
        <f>SUM(L123:L137)</f>
        <v>246</v>
      </c>
      <c r="M138" s="623"/>
      <c r="N138" s="675"/>
      <c r="O138" s="668"/>
      <c r="P138" s="623"/>
      <c r="Q138" s="623"/>
      <c r="R138" s="623"/>
      <c r="S138" s="623"/>
      <c r="T138" s="623"/>
      <c r="U138" s="623"/>
      <c r="V138" s="623"/>
      <c r="W138" s="623"/>
      <c r="X138" s="104"/>
      <c r="Y138" s="104"/>
      <c r="Z138" s="22"/>
      <c r="AA138" s="22"/>
    </row>
    <row r="139" spans="1:39" s="390" customFormat="1" ht="18" customHeight="1">
      <c r="A139" s="703">
        <v>130</v>
      </c>
      <c r="B139" s="548" t="s">
        <v>368</v>
      </c>
      <c r="C139" s="647" t="s">
        <v>338</v>
      </c>
      <c r="D139" s="547" t="s">
        <v>64</v>
      </c>
      <c r="E139" s="704"/>
      <c r="F139" s="705"/>
      <c r="G139" s="706" t="s">
        <v>409</v>
      </c>
      <c r="H139" s="577"/>
      <c r="I139" s="707"/>
      <c r="J139" s="577">
        <v>2</v>
      </c>
      <c r="K139" s="552">
        <v>17697</v>
      </c>
      <c r="L139" s="552"/>
      <c r="M139" s="556">
        <v>1.5</v>
      </c>
      <c r="N139" s="552"/>
      <c r="O139" s="552">
        <v>2.44</v>
      </c>
      <c r="P139" s="567">
        <f>K139*O139*M139</f>
        <v>64771.020000000004</v>
      </c>
      <c r="Q139" s="552">
        <f>K139*P140*N139</f>
        <v>0</v>
      </c>
      <c r="R139" s="557"/>
      <c r="S139" s="708">
        <v>0.1</v>
      </c>
      <c r="T139" s="552">
        <f t="shared" ref="T139:T165" si="27">S139*P139</f>
        <v>6477.1020000000008</v>
      </c>
      <c r="U139" s="552"/>
      <c r="V139" s="558"/>
      <c r="W139" s="559">
        <f>P139+T139+V139</f>
        <v>71248.122000000003</v>
      </c>
      <c r="X139" s="363">
        <f t="shared" ref="X139:Y154" si="28">Q139+U139+W139</f>
        <v>71248.122000000003</v>
      </c>
      <c r="Y139" s="363">
        <f t="shared" si="28"/>
        <v>71248.122000000003</v>
      </c>
      <c r="Z139" s="389"/>
      <c r="AA139" s="389"/>
      <c r="AB139" s="389"/>
      <c r="AC139" s="389"/>
      <c r="AD139" s="389"/>
      <c r="AE139" s="389"/>
      <c r="AF139" s="389"/>
      <c r="AG139" s="389"/>
      <c r="AH139" s="389"/>
      <c r="AI139" s="389"/>
      <c r="AJ139" s="389"/>
      <c r="AK139" s="389"/>
      <c r="AL139" s="389"/>
      <c r="AM139" s="389"/>
    </row>
    <row r="140" spans="1:39" s="390" customFormat="1" ht="15.75" customHeight="1">
      <c r="A140" s="709">
        <v>131</v>
      </c>
      <c r="B140" s="153" t="s">
        <v>332</v>
      </c>
      <c r="C140" s="647" t="s">
        <v>338</v>
      </c>
      <c r="D140" s="560" t="s">
        <v>64</v>
      </c>
      <c r="E140" s="710"/>
      <c r="F140" s="711"/>
      <c r="G140" s="712" t="s">
        <v>404</v>
      </c>
      <c r="H140" s="563"/>
      <c r="I140" s="689"/>
      <c r="J140" s="563">
        <v>2</v>
      </c>
      <c r="K140" s="554">
        <v>17697</v>
      </c>
      <c r="L140" s="554"/>
      <c r="M140" s="552">
        <v>0.5</v>
      </c>
      <c r="N140" s="554"/>
      <c r="O140" s="552">
        <v>2.44</v>
      </c>
      <c r="P140" s="567">
        <f t="shared" ref="P140:P165" si="29">K140*O140*M140</f>
        <v>21590.34</v>
      </c>
      <c r="Q140" s="552">
        <f>K140*P141*N140</f>
        <v>0</v>
      </c>
      <c r="R140" s="568"/>
      <c r="S140" s="708">
        <v>0.1</v>
      </c>
      <c r="T140" s="552">
        <f t="shared" si="27"/>
        <v>2159.0340000000001</v>
      </c>
      <c r="U140" s="554"/>
      <c r="V140" s="554"/>
      <c r="W140" s="559">
        <f t="shared" ref="W140:W165" si="30">P140+T140+V140</f>
        <v>23749.374</v>
      </c>
      <c r="X140" s="363">
        <f t="shared" si="28"/>
        <v>23749.374</v>
      </c>
      <c r="Y140" s="363">
        <f t="shared" si="28"/>
        <v>23749.374</v>
      </c>
      <c r="Z140" s="389"/>
      <c r="AA140" s="937"/>
      <c r="AB140" s="389"/>
      <c r="AC140" s="389"/>
      <c r="AD140" s="389"/>
      <c r="AE140" s="389"/>
      <c r="AF140" s="389"/>
      <c r="AG140" s="389"/>
      <c r="AH140" s="389"/>
      <c r="AI140" s="389"/>
      <c r="AJ140" s="389"/>
      <c r="AK140" s="389"/>
      <c r="AL140" s="389"/>
      <c r="AM140" s="389"/>
    </row>
    <row r="141" spans="1:39" s="377" customFormat="1" ht="15.75">
      <c r="A141" s="703">
        <v>132</v>
      </c>
      <c r="B141" s="153" t="s">
        <v>350</v>
      </c>
      <c r="C141" s="647" t="s">
        <v>338</v>
      </c>
      <c r="D141" s="560" t="s">
        <v>64</v>
      </c>
      <c r="E141" s="710"/>
      <c r="F141" s="560"/>
      <c r="G141" s="712" t="s">
        <v>404</v>
      </c>
      <c r="H141" s="563"/>
      <c r="I141" s="689"/>
      <c r="J141" s="563">
        <v>2</v>
      </c>
      <c r="K141" s="554">
        <v>17697</v>
      </c>
      <c r="L141" s="554"/>
      <c r="M141" s="554">
        <v>0.5</v>
      </c>
      <c r="N141" s="554"/>
      <c r="O141" s="552">
        <v>2.44</v>
      </c>
      <c r="P141" s="567">
        <f t="shared" si="29"/>
        <v>21590.34</v>
      </c>
      <c r="Q141" s="552">
        <f>K141*P142*N141</f>
        <v>0</v>
      </c>
      <c r="R141" s="554"/>
      <c r="S141" s="708">
        <v>0.1</v>
      </c>
      <c r="T141" s="552">
        <f t="shared" si="27"/>
        <v>2159.0340000000001</v>
      </c>
      <c r="U141" s="554"/>
      <c r="V141" s="554"/>
      <c r="W141" s="559">
        <f t="shared" si="30"/>
        <v>23749.374</v>
      </c>
      <c r="X141" s="363">
        <f t="shared" si="28"/>
        <v>23749.374</v>
      </c>
      <c r="Y141" s="363">
        <f t="shared" si="28"/>
        <v>23749.374</v>
      </c>
    </row>
    <row r="142" spans="1:39" s="377" customFormat="1" ht="15.75">
      <c r="A142" s="709">
        <v>133</v>
      </c>
      <c r="B142" s="153" t="s">
        <v>335</v>
      </c>
      <c r="C142" s="561" t="s">
        <v>336</v>
      </c>
      <c r="D142" s="560" t="s">
        <v>64</v>
      </c>
      <c r="E142" s="710"/>
      <c r="F142" s="560"/>
      <c r="G142" s="712" t="s">
        <v>409</v>
      </c>
      <c r="H142" s="563"/>
      <c r="I142" s="689"/>
      <c r="J142" s="563">
        <v>4</v>
      </c>
      <c r="K142" s="554">
        <v>17697</v>
      </c>
      <c r="L142" s="554"/>
      <c r="M142" s="554">
        <v>1.5</v>
      </c>
      <c r="N142" s="554"/>
      <c r="O142" s="554">
        <v>2.5099999999999998</v>
      </c>
      <c r="P142" s="567">
        <f t="shared" si="29"/>
        <v>66629.204999999987</v>
      </c>
      <c r="Q142" s="552">
        <f>K142*P143*N142</f>
        <v>0</v>
      </c>
      <c r="R142" s="554"/>
      <c r="S142" s="708">
        <v>0.1</v>
      </c>
      <c r="T142" s="552">
        <f t="shared" si="27"/>
        <v>6662.9204999999993</v>
      </c>
      <c r="U142" s="554"/>
      <c r="V142" s="554"/>
      <c r="W142" s="559">
        <f t="shared" si="30"/>
        <v>73292.12549999998</v>
      </c>
      <c r="X142" s="363">
        <f t="shared" si="28"/>
        <v>73292.12549999998</v>
      </c>
      <c r="Y142" s="363">
        <f t="shared" si="28"/>
        <v>73292.12549999998</v>
      </c>
      <c r="AA142" s="412"/>
    </row>
    <row r="143" spans="1:39" s="364" customFormat="1" ht="15.75">
      <c r="A143" s="703">
        <v>134</v>
      </c>
      <c r="B143" s="646" t="s">
        <v>337</v>
      </c>
      <c r="C143" s="647" t="s">
        <v>338</v>
      </c>
      <c r="D143" s="628" t="s">
        <v>64</v>
      </c>
      <c r="E143" s="713"/>
      <c r="F143" s="628"/>
      <c r="G143" s="628">
        <v>0.5</v>
      </c>
      <c r="H143" s="714"/>
      <c r="I143" s="715"/>
      <c r="J143" s="628">
        <v>2</v>
      </c>
      <c r="K143" s="715">
        <v>17697</v>
      </c>
      <c r="L143" s="715"/>
      <c r="M143" s="554">
        <v>0.5</v>
      </c>
      <c r="N143" s="554"/>
      <c r="O143" s="552">
        <v>2.44</v>
      </c>
      <c r="P143" s="567">
        <f t="shared" si="29"/>
        <v>21590.34</v>
      </c>
      <c r="Q143" s="552">
        <f>K143*P144*N143</f>
        <v>0</v>
      </c>
      <c r="R143" s="554"/>
      <c r="S143" s="708">
        <v>0.1</v>
      </c>
      <c r="T143" s="552">
        <f t="shared" si="27"/>
        <v>2159.0340000000001</v>
      </c>
      <c r="U143" s="554"/>
      <c r="V143" s="554"/>
      <c r="W143" s="559">
        <f t="shared" si="30"/>
        <v>23749.374</v>
      </c>
      <c r="X143" s="363">
        <f t="shared" si="28"/>
        <v>23749.374</v>
      </c>
      <c r="Y143" s="363">
        <f t="shared" si="28"/>
        <v>23749.374</v>
      </c>
    </row>
    <row r="144" spans="1:39" s="364" customFormat="1" ht="15.75">
      <c r="A144" s="709">
        <v>135</v>
      </c>
      <c r="B144" s="646" t="s">
        <v>382</v>
      </c>
      <c r="C144" s="647" t="s">
        <v>338</v>
      </c>
      <c r="D144" s="560" t="s">
        <v>64</v>
      </c>
      <c r="E144" s="713"/>
      <c r="F144" s="646"/>
      <c r="G144" s="628">
        <v>0.5</v>
      </c>
      <c r="H144" s="714"/>
      <c r="I144" s="715"/>
      <c r="J144" s="628">
        <v>2</v>
      </c>
      <c r="K144" s="715">
        <v>17697</v>
      </c>
      <c r="L144" s="715"/>
      <c r="M144" s="554">
        <v>0.5</v>
      </c>
      <c r="N144" s="554"/>
      <c r="O144" s="552">
        <v>2.44</v>
      </c>
      <c r="P144" s="567">
        <f t="shared" si="29"/>
        <v>21590.34</v>
      </c>
      <c r="Q144" s="552">
        <f>K144*P146*N144</f>
        <v>0</v>
      </c>
      <c r="R144" s="554"/>
      <c r="S144" s="708">
        <v>0.1</v>
      </c>
      <c r="T144" s="552">
        <f t="shared" si="27"/>
        <v>2159.0340000000001</v>
      </c>
      <c r="U144" s="554"/>
      <c r="V144" s="554"/>
      <c r="W144" s="559">
        <f t="shared" si="30"/>
        <v>23749.374</v>
      </c>
      <c r="X144" s="363">
        <f t="shared" si="28"/>
        <v>23749.374</v>
      </c>
      <c r="Y144" s="363">
        <f t="shared" si="28"/>
        <v>23749.374</v>
      </c>
    </row>
    <row r="145" spans="1:39" s="364" customFormat="1" ht="15.75">
      <c r="A145" s="703">
        <v>136</v>
      </c>
      <c r="B145" s="646" t="s">
        <v>383</v>
      </c>
      <c r="C145" s="647" t="s">
        <v>338</v>
      </c>
      <c r="D145" s="560" t="s">
        <v>75</v>
      </c>
      <c r="E145" s="713"/>
      <c r="F145" s="716"/>
      <c r="G145" s="628">
        <v>1</v>
      </c>
      <c r="H145" s="714"/>
      <c r="I145" s="715"/>
      <c r="J145" s="628">
        <v>2</v>
      </c>
      <c r="K145" s="715">
        <v>17697</v>
      </c>
      <c r="L145" s="715"/>
      <c r="M145" s="554">
        <v>1</v>
      </c>
      <c r="N145" s="554"/>
      <c r="O145" s="552">
        <v>2.44</v>
      </c>
      <c r="P145" s="567">
        <f t="shared" si="29"/>
        <v>43180.68</v>
      </c>
      <c r="Q145" s="552">
        <f>K145*P147*N145</f>
        <v>0</v>
      </c>
      <c r="R145" s="554"/>
      <c r="S145" s="708">
        <v>0.1</v>
      </c>
      <c r="T145" s="552">
        <f t="shared" si="27"/>
        <v>4318.0680000000002</v>
      </c>
      <c r="U145" s="554"/>
      <c r="V145" s="554"/>
      <c r="W145" s="559">
        <f t="shared" si="30"/>
        <v>47498.748</v>
      </c>
      <c r="X145" s="363">
        <f>Q145+U145+W145</f>
        <v>47498.748</v>
      </c>
      <c r="Y145" s="363">
        <f>R145+V145+X145</f>
        <v>47498.748</v>
      </c>
      <c r="AA145" s="422"/>
    </row>
    <row r="146" spans="1:39" s="390" customFormat="1" ht="15.75">
      <c r="A146" s="709">
        <v>137</v>
      </c>
      <c r="B146" s="153" t="s">
        <v>339</v>
      </c>
      <c r="C146" s="647" t="s">
        <v>340</v>
      </c>
      <c r="D146" s="560" t="s">
        <v>64</v>
      </c>
      <c r="E146" s="563"/>
      <c r="F146" s="711"/>
      <c r="G146" s="712">
        <v>1</v>
      </c>
      <c r="H146" s="563"/>
      <c r="I146" s="689"/>
      <c r="J146" s="563">
        <v>2</v>
      </c>
      <c r="K146" s="554">
        <v>17697</v>
      </c>
      <c r="L146" s="554"/>
      <c r="M146" s="554">
        <v>1</v>
      </c>
      <c r="N146" s="554"/>
      <c r="O146" s="552">
        <v>2.44</v>
      </c>
      <c r="P146" s="567">
        <f t="shared" si="29"/>
        <v>43180.68</v>
      </c>
      <c r="Q146" s="552">
        <f t="shared" ref="Q146:Q165" si="31">K146*P147*N146</f>
        <v>0</v>
      </c>
      <c r="R146" s="568"/>
      <c r="S146" s="708">
        <v>0.1</v>
      </c>
      <c r="T146" s="552">
        <f t="shared" si="27"/>
        <v>4318.0680000000002</v>
      </c>
      <c r="U146" s="569">
        <v>0.3</v>
      </c>
      <c r="V146" s="554">
        <f t="shared" ref="V146:V152" si="32">U146*K146</f>
        <v>5309.0999999999995</v>
      </c>
      <c r="W146" s="559">
        <f t="shared" si="30"/>
        <v>52807.847999999998</v>
      </c>
      <c r="X146" s="363">
        <f t="shared" si="28"/>
        <v>52808.148000000001</v>
      </c>
      <c r="Y146" s="363">
        <f t="shared" si="28"/>
        <v>58117.248</v>
      </c>
      <c r="Z146" s="389"/>
      <c r="AA146" s="389"/>
      <c r="AB146" s="389"/>
      <c r="AC146" s="389"/>
      <c r="AD146" s="389"/>
      <c r="AE146" s="389"/>
      <c r="AF146" s="389"/>
      <c r="AG146" s="389"/>
      <c r="AH146" s="389"/>
      <c r="AI146" s="389"/>
      <c r="AJ146" s="389"/>
      <c r="AK146" s="389"/>
      <c r="AL146" s="389"/>
      <c r="AM146" s="389"/>
    </row>
    <row r="147" spans="1:39" s="390" customFormat="1" ht="15.75">
      <c r="A147" s="703">
        <v>138</v>
      </c>
      <c r="B147" s="153" t="s">
        <v>341</v>
      </c>
      <c r="C147" s="647" t="s">
        <v>340</v>
      </c>
      <c r="D147" s="560" t="s">
        <v>64</v>
      </c>
      <c r="E147" s="563"/>
      <c r="F147" s="711"/>
      <c r="G147" s="712">
        <v>1</v>
      </c>
      <c r="H147" s="563"/>
      <c r="I147" s="689"/>
      <c r="J147" s="563">
        <v>2</v>
      </c>
      <c r="K147" s="554">
        <v>17697</v>
      </c>
      <c r="L147" s="554"/>
      <c r="M147" s="554">
        <v>1</v>
      </c>
      <c r="N147" s="554"/>
      <c r="O147" s="552">
        <v>2.44</v>
      </c>
      <c r="P147" s="567">
        <f t="shared" si="29"/>
        <v>43180.68</v>
      </c>
      <c r="Q147" s="552">
        <f t="shared" si="31"/>
        <v>0</v>
      </c>
      <c r="R147" s="568"/>
      <c r="S147" s="708">
        <v>0.1</v>
      </c>
      <c r="T147" s="552">
        <f t="shared" si="27"/>
        <v>4318.0680000000002</v>
      </c>
      <c r="U147" s="569">
        <v>0.3</v>
      </c>
      <c r="V147" s="554">
        <f t="shared" si="32"/>
        <v>5309.0999999999995</v>
      </c>
      <c r="W147" s="559">
        <f t="shared" si="30"/>
        <v>52807.847999999998</v>
      </c>
      <c r="X147" s="363">
        <f t="shared" si="28"/>
        <v>52808.148000000001</v>
      </c>
      <c r="Y147" s="363">
        <f t="shared" si="28"/>
        <v>58117.248</v>
      </c>
      <c r="Z147" s="389"/>
      <c r="AA147" s="937"/>
      <c r="AB147" s="389"/>
      <c r="AC147" s="389"/>
      <c r="AD147" s="389"/>
      <c r="AE147" s="389"/>
      <c r="AF147" s="389"/>
      <c r="AG147" s="389"/>
      <c r="AH147" s="389"/>
      <c r="AI147" s="389"/>
      <c r="AJ147" s="389"/>
      <c r="AK147" s="389"/>
      <c r="AL147" s="389"/>
      <c r="AM147" s="389"/>
    </row>
    <row r="148" spans="1:39" s="390" customFormat="1" ht="15.75">
      <c r="A148" s="709">
        <v>139</v>
      </c>
      <c r="B148" s="153" t="s">
        <v>342</v>
      </c>
      <c r="C148" s="647" t="s">
        <v>340</v>
      </c>
      <c r="D148" s="560" t="s">
        <v>64</v>
      </c>
      <c r="E148" s="563"/>
      <c r="F148" s="711"/>
      <c r="G148" s="712">
        <v>1</v>
      </c>
      <c r="H148" s="563"/>
      <c r="I148" s="689"/>
      <c r="J148" s="563">
        <v>2</v>
      </c>
      <c r="K148" s="554">
        <v>17697</v>
      </c>
      <c r="L148" s="554"/>
      <c r="M148" s="554">
        <v>1</v>
      </c>
      <c r="N148" s="554"/>
      <c r="O148" s="552">
        <v>2.44</v>
      </c>
      <c r="P148" s="567">
        <f t="shared" si="29"/>
        <v>43180.68</v>
      </c>
      <c r="Q148" s="552">
        <f t="shared" si="31"/>
        <v>0</v>
      </c>
      <c r="R148" s="568"/>
      <c r="S148" s="708">
        <v>0.1</v>
      </c>
      <c r="T148" s="552">
        <f t="shared" si="27"/>
        <v>4318.0680000000002</v>
      </c>
      <c r="U148" s="569">
        <v>0.3</v>
      </c>
      <c r="V148" s="554">
        <f t="shared" si="32"/>
        <v>5309.0999999999995</v>
      </c>
      <c r="W148" s="559">
        <f t="shared" si="30"/>
        <v>52807.847999999998</v>
      </c>
      <c r="X148" s="363">
        <f t="shared" si="28"/>
        <v>52808.148000000001</v>
      </c>
      <c r="Y148" s="363">
        <f t="shared" si="28"/>
        <v>58117.248</v>
      </c>
      <c r="Z148" s="389"/>
      <c r="AA148" s="937"/>
      <c r="AB148" s="389"/>
      <c r="AC148" s="389"/>
      <c r="AD148" s="389"/>
      <c r="AE148" s="389"/>
      <c r="AF148" s="389"/>
      <c r="AG148" s="389"/>
      <c r="AH148" s="389"/>
      <c r="AI148" s="389"/>
      <c r="AJ148" s="389"/>
      <c r="AK148" s="389"/>
      <c r="AL148" s="389"/>
      <c r="AM148" s="389"/>
    </row>
    <row r="149" spans="1:39" s="390" customFormat="1" ht="15.75">
      <c r="A149" s="703">
        <v>140</v>
      </c>
      <c r="B149" s="153" t="s">
        <v>343</v>
      </c>
      <c r="C149" s="647" t="s">
        <v>340</v>
      </c>
      <c r="D149" s="560" t="s">
        <v>64</v>
      </c>
      <c r="E149" s="563"/>
      <c r="F149" s="711"/>
      <c r="G149" s="712">
        <v>1</v>
      </c>
      <c r="H149" s="563"/>
      <c r="I149" s="689"/>
      <c r="J149" s="563">
        <v>2</v>
      </c>
      <c r="K149" s="554">
        <v>17697</v>
      </c>
      <c r="L149" s="554"/>
      <c r="M149" s="554">
        <v>1</v>
      </c>
      <c r="N149" s="554"/>
      <c r="O149" s="552">
        <v>2.44</v>
      </c>
      <c r="P149" s="567">
        <f t="shared" si="29"/>
        <v>43180.68</v>
      </c>
      <c r="Q149" s="552">
        <f t="shared" si="31"/>
        <v>0</v>
      </c>
      <c r="R149" s="568"/>
      <c r="S149" s="708">
        <v>0.1</v>
      </c>
      <c r="T149" s="552">
        <f t="shared" si="27"/>
        <v>4318.0680000000002</v>
      </c>
      <c r="U149" s="569">
        <v>0.3</v>
      </c>
      <c r="V149" s="554">
        <f t="shared" si="32"/>
        <v>5309.0999999999995</v>
      </c>
      <c r="W149" s="559">
        <f t="shared" si="30"/>
        <v>52807.847999999998</v>
      </c>
      <c r="X149" s="363">
        <f t="shared" si="28"/>
        <v>52808.148000000001</v>
      </c>
      <c r="Y149" s="363">
        <f t="shared" si="28"/>
        <v>58117.248</v>
      </c>
      <c r="Z149" s="389"/>
      <c r="AA149" s="937"/>
      <c r="AB149" s="389"/>
      <c r="AC149" s="389"/>
      <c r="AD149" s="389"/>
      <c r="AE149" s="389"/>
      <c r="AF149" s="389"/>
      <c r="AG149" s="389"/>
      <c r="AH149" s="389"/>
      <c r="AI149" s="389"/>
      <c r="AJ149" s="389"/>
      <c r="AK149" s="389"/>
      <c r="AL149" s="389"/>
      <c r="AM149" s="389"/>
    </row>
    <row r="150" spans="1:39" s="377" customFormat="1" ht="15.75">
      <c r="A150" s="709">
        <v>141</v>
      </c>
      <c r="B150" s="153" t="s">
        <v>505</v>
      </c>
      <c r="C150" s="647" t="s">
        <v>340</v>
      </c>
      <c r="D150" s="560" t="s">
        <v>64</v>
      </c>
      <c r="E150" s="563"/>
      <c r="F150" s="717"/>
      <c r="G150" s="712">
        <v>1</v>
      </c>
      <c r="H150" s="563"/>
      <c r="I150" s="689"/>
      <c r="J150" s="563">
        <v>2</v>
      </c>
      <c r="K150" s="554">
        <v>17697</v>
      </c>
      <c r="L150" s="554"/>
      <c r="M150" s="554">
        <v>1</v>
      </c>
      <c r="N150" s="554"/>
      <c r="O150" s="552">
        <v>2.44</v>
      </c>
      <c r="P150" s="567">
        <f t="shared" si="29"/>
        <v>43180.68</v>
      </c>
      <c r="Q150" s="552">
        <f t="shared" si="31"/>
        <v>0</v>
      </c>
      <c r="R150" s="554"/>
      <c r="S150" s="708">
        <v>0.1</v>
      </c>
      <c r="T150" s="552">
        <f t="shared" si="27"/>
        <v>4318.0680000000002</v>
      </c>
      <c r="U150" s="569">
        <v>0.3</v>
      </c>
      <c r="V150" s="554">
        <f t="shared" si="32"/>
        <v>5309.0999999999995</v>
      </c>
      <c r="W150" s="559">
        <f t="shared" si="30"/>
        <v>52807.847999999998</v>
      </c>
      <c r="X150" s="363">
        <f t="shared" si="28"/>
        <v>52808.148000000001</v>
      </c>
      <c r="Y150" s="363">
        <f t="shared" si="28"/>
        <v>58117.248</v>
      </c>
      <c r="AA150" s="412"/>
    </row>
    <row r="151" spans="1:39" s="377" customFormat="1" ht="15.75">
      <c r="A151" s="703">
        <v>142</v>
      </c>
      <c r="B151" s="153" t="s">
        <v>378</v>
      </c>
      <c r="C151" s="647" t="s">
        <v>340</v>
      </c>
      <c r="D151" s="560" t="s">
        <v>64</v>
      </c>
      <c r="E151" s="563"/>
      <c r="F151" s="711"/>
      <c r="G151" s="712">
        <v>1</v>
      </c>
      <c r="H151" s="563"/>
      <c r="I151" s="689"/>
      <c r="J151" s="563">
        <v>2</v>
      </c>
      <c r="K151" s="554">
        <v>17697</v>
      </c>
      <c r="L151" s="554"/>
      <c r="M151" s="554">
        <v>1</v>
      </c>
      <c r="N151" s="554"/>
      <c r="O151" s="552">
        <v>2.44</v>
      </c>
      <c r="P151" s="567">
        <f t="shared" si="29"/>
        <v>43180.68</v>
      </c>
      <c r="Q151" s="552">
        <f t="shared" si="31"/>
        <v>0</v>
      </c>
      <c r="R151" s="554"/>
      <c r="S151" s="708">
        <v>0.1</v>
      </c>
      <c r="T151" s="552">
        <f t="shared" si="27"/>
        <v>4318.0680000000002</v>
      </c>
      <c r="U151" s="569">
        <v>0.3</v>
      </c>
      <c r="V151" s="554">
        <f t="shared" si="32"/>
        <v>5309.0999999999995</v>
      </c>
      <c r="W151" s="559">
        <f t="shared" si="30"/>
        <v>52807.847999999998</v>
      </c>
      <c r="X151" s="363">
        <f t="shared" si="28"/>
        <v>52808.148000000001</v>
      </c>
      <c r="Y151" s="363">
        <f t="shared" si="28"/>
        <v>58117.248</v>
      </c>
      <c r="AA151" s="412"/>
    </row>
    <row r="152" spans="1:39" s="377" customFormat="1" ht="15.75">
      <c r="A152" s="709">
        <v>143</v>
      </c>
      <c r="B152" s="153" t="s">
        <v>506</v>
      </c>
      <c r="C152" s="647" t="s">
        <v>340</v>
      </c>
      <c r="D152" s="560" t="s">
        <v>64</v>
      </c>
      <c r="E152" s="563"/>
      <c r="F152" s="711"/>
      <c r="G152" s="712">
        <v>1</v>
      </c>
      <c r="H152" s="563"/>
      <c r="I152" s="689"/>
      <c r="J152" s="563">
        <v>2</v>
      </c>
      <c r="K152" s="554">
        <v>17697</v>
      </c>
      <c r="L152" s="554"/>
      <c r="M152" s="554">
        <v>1</v>
      </c>
      <c r="N152" s="554"/>
      <c r="O152" s="552">
        <v>2.44</v>
      </c>
      <c r="P152" s="567">
        <f t="shared" si="29"/>
        <v>43180.68</v>
      </c>
      <c r="Q152" s="552">
        <f t="shared" si="31"/>
        <v>0</v>
      </c>
      <c r="R152" s="554"/>
      <c r="S152" s="708">
        <v>0.1</v>
      </c>
      <c r="T152" s="552">
        <f t="shared" si="27"/>
        <v>4318.0680000000002</v>
      </c>
      <c r="U152" s="569">
        <v>0.3</v>
      </c>
      <c r="V152" s="554">
        <f t="shared" si="32"/>
        <v>5309.0999999999995</v>
      </c>
      <c r="W152" s="559">
        <f t="shared" si="30"/>
        <v>52807.847999999998</v>
      </c>
      <c r="X152" s="363">
        <f t="shared" si="28"/>
        <v>52808.148000000001</v>
      </c>
      <c r="Y152" s="363">
        <f t="shared" si="28"/>
        <v>58117.248</v>
      </c>
    </row>
    <row r="153" spans="1:39" s="364" customFormat="1" ht="15.75">
      <c r="A153" s="703">
        <v>144</v>
      </c>
      <c r="B153" s="646" t="s">
        <v>507</v>
      </c>
      <c r="C153" s="647" t="s">
        <v>340</v>
      </c>
      <c r="D153" s="560" t="s">
        <v>64</v>
      </c>
      <c r="E153" s="713"/>
      <c r="F153" s="628"/>
      <c r="G153" s="712" t="s">
        <v>563</v>
      </c>
      <c r="H153" s="714"/>
      <c r="I153" s="715"/>
      <c r="J153" s="563">
        <v>2</v>
      </c>
      <c r="K153" s="715">
        <v>17697</v>
      </c>
      <c r="L153" s="715"/>
      <c r="M153" s="554">
        <v>1.3</v>
      </c>
      <c r="N153" s="554"/>
      <c r="O153" s="552">
        <v>2.44</v>
      </c>
      <c r="P153" s="567">
        <f t="shared" si="29"/>
        <v>56134.884000000005</v>
      </c>
      <c r="Q153" s="552">
        <f t="shared" si="31"/>
        <v>0</v>
      </c>
      <c r="R153" s="554"/>
      <c r="S153" s="708">
        <v>0.1</v>
      </c>
      <c r="T153" s="552">
        <f t="shared" si="27"/>
        <v>5613.4884000000011</v>
      </c>
      <c r="U153" s="569">
        <v>0.3</v>
      </c>
      <c r="V153" s="554">
        <f>U153*K153/1*1.3</f>
        <v>6901.83</v>
      </c>
      <c r="W153" s="559">
        <f t="shared" si="30"/>
        <v>68650.202400000009</v>
      </c>
      <c r="X153" s="363">
        <f t="shared" si="28"/>
        <v>68650.502400000012</v>
      </c>
      <c r="Y153" s="363">
        <f t="shared" si="28"/>
        <v>75552.332400000014</v>
      </c>
      <c r="AA153" s="422"/>
    </row>
    <row r="154" spans="1:39" s="377" customFormat="1" ht="15.75">
      <c r="A154" s="709">
        <v>145</v>
      </c>
      <c r="B154" s="718" t="s">
        <v>508</v>
      </c>
      <c r="C154" s="719" t="s">
        <v>340</v>
      </c>
      <c r="D154" s="720" t="s">
        <v>75</v>
      </c>
      <c r="E154" s="720"/>
      <c r="F154" s="721"/>
      <c r="G154" s="720">
        <v>1</v>
      </c>
      <c r="H154" s="722"/>
      <c r="I154" s="722"/>
      <c r="J154" s="601">
        <v>2</v>
      </c>
      <c r="K154" s="723">
        <v>17697</v>
      </c>
      <c r="L154" s="723"/>
      <c r="M154" s="554">
        <v>1</v>
      </c>
      <c r="N154" s="723"/>
      <c r="O154" s="552">
        <v>2.44</v>
      </c>
      <c r="P154" s="567">
        <f t="shared" si="29"/>
        <v>43180.68</v>
      </c>
      <c r="Q154" s="552">
        <f t="shared" si="31"/>
        <v>0</v>
      </c>
      <c r="R154" s="723"/>
      <c r="S154" s="708">
        <v>0.1</v>
      </c>
      <c r="T154" s="552">
        <f>S154*P154</f>
        <v>4318.0680000000002</v>
      </c>
      <c r="U154" s="609">
        <v>0.3</v>
      </c>
      <c r="V154" s="605">
        <f>U154*K154</f>
        <v>5309.0999999999995</v>
      </c>
      <c r="W154" s="559">
        <f t="shared" si="30"/>
        <v>52807.847999999998</v>
      </c>
      <c r="X154" s="363">
        <f t="shared" si="28"/>
        <v>52808.148000000001</v>
      </c>
      <c r="Y154" s="363">
        <f t="shared" si="28"/>
        <v>58117.248</v>
      </c>
      <c r="Z154" s="374"/>
      <c r="AA154" s="374"/>
      <c r="AB154" s="375"/>
      <c r="AC154" s="375"/>
      <c r="AD154" s="376"/>
      <c r="AE154" s="374"/>
      <c r="AF154" s="375"/>
    </row>
    <row r="155" spans="1:39" s="390" customFormat="1" ht="15.75">
      <c r="A155" s="703">
        <v>146</v>
      </c>
      <c r="B155" s="153" t="s">
        <v>345</v>
      </c>
      <c r="C155" s="561" t="s">
        <v>346</v>
      </c>
      <c r="D155" s="560" t="s">
        <v>64</v>
      </c>
      <c r="E155" s="563"/>
      <c r="F155" s="711"/>
      <c r="G155" s="712">
        <v>1</v>
      </c>
      <c r="H155" s="563"/>
      <c r="I155" s="689"/>
      <c r="J155" s="563">
        <v>1</v>
      </c>
      <c r="K155" s="554">
        <v>17697</v>
      </c>
      <c r="L155" s="554"/>
      <c r="M155" s="723">
        <v>1</v>
      </c>
      <c r="N155" s="554"/>
      <c r="O155" s="554">
        <v>2.41</v>
      </c>
      <c r="P155" s="567">
        <f t="shared" si="29"/>
        <v>42649.770000000004</v>
      </c>
      <c r="Q155" s="552">
        <f t="shared" si="31"/>
        <v>0</v>
      </c>
      <c r="R155" s="568"/>
      <c r="S155" s="708">
        <v>0.1</v>
      </c>
      <c r="T155" s="552">
        <f t="shared" si="27"/>
        <v>4264.9770000000008</v>
      </c>
      <c r="U155" s="724">
        <v>0.5</v>
      </c>
      <c r="V155" s="593">
        <v>10822.5</v>
      </c>
      <c r="W155" s="559">
        <f t="shared" si="30"/>
        <v>57737.247000000003</v>
      </c>
      <c r="X155" s="363">
        <f>Q155+U155+W155</f>
        <v>57737.747000000003</v>
      </c>
      <c r="Y155" s="363">
        <f>R155+V155+X155</f>
        <v>68560.247000000003</v>
      </c>
      <c r="Z155" s="389"/>
      <c r="AA155" s="389"/>
      <c r="AB155" s="389"/>
      <c r="AC155" s="389"/>
      <c r="AD155" s="389"/>
      <c r="AE155" s="389"/>
      <c r="AF155" s="389"/>
      <c r="AG155" s="389"/>
      <c r="AH155" s="389"/>
      <c r="AI155" s="389"/>
      <c r="AJ155" s="389"/>
      <c r="AK155" s="389"/>
      <c r="AL155" s="389"/>
      <c r="AM155" s="389"/>
    </row>
    <row r="156" spans="1:39" s="390" customFormat="1" ht="15.75">
      <c r="A156" s="709">
        <v>147</v>
      </c>
      <c r="B156" s="153" t="s">
        <v>347</v>
      </c>
      <c r="C156" s="561" t="s">
        <v>346</v>
      </c>
      <c r="D156" s="560" t="s">
        <v>25</v>
      </c>
      <c r="E156" s="563"/>
      <c r="F156" s="560"/>
      <c r="G156" s="712">
        <v>1</v>
      </c>
      <c r="H156" s="563"/>
      <c r="I156" s="689"/>
      <c r="J156" s="563">
        <v>1</v>
      </c>
      <c r="K156" s="554">
        <v>17697</v>
      </c>
      <c r="L156" s="554"/>
      <c r="M156" s="554">
        <v>1</v>
      </c>
      <c r="N156" s="554"/>
      <c r="O156" s="554">
        <v>2.41</v>
      </c>
      <c r="P156" s="567">
        <f t="shared" si="29"/>
        <v>42649.770000000004</v>
      </c>
      <c r="Q156" s="552">
        <f t="shared" si="31"/>
        <v>0</v>
      </c>
      <c r="R156" s="568"/>
      <c r="S156" s="708">
        <v>0.1</v>
      </c>
      <c r="T156" s="552">
        <f t="shared" si="27"/>
        <v>4264.9770000000008</v>
      </c>
      <c r="U156" s="724">
        <v>0.5</v>
      </c>
      <c r="V156" s="593">
        <v>10822.5</v>
      </c>
      <c r="W156" s="559">
        <f t="shared" si="30"/>
        <v>57737.247000000003</v>
      </c>
      <c r="X156" s="363">
        <f t="shared" ref="X156:Y165" si="33">Q156+U156+W156</f>
        <v>57737.747000000003</v>
      </c>
      <c r="Y156" s="363">
        <f t="shared" si="33"/>
        <v>68560.247000000003</v>
      </c>
      <c r="Z156" s="389"/>
      <c r="AA156" s="389"/>
      <c r="AB156" s="389"/>
      <c r="AC156" s="389"/>
      <c r="AD156" s="389"/>
      <c r="AE156" s="389"/>
      <c r="AF156" s="389"/>
      <c r="AG156" s="389"/>
      <c r="AH156" s="389"/>
      <c r="AI156" s="389"/>
      <c r="AJ156" s="389"/>
      <c r="AK156" s="389"/>
      <c r="AL156" s="389"/>
      <c r="AM156" s="389"/>
    </row>
    <row r="157" spans="1:39" s="390" customFormat="1" ht="15.75">
      <c r="A157" s="703">
        <v>148</v>
      </c>
      <c r="B157" s="153" t="s">
        <v>348</v>
      </c>
      <c r="C157" s="561" t="s">
        <v>346</v>
      </c>
      <c r="D157" s="560" t="s">
        <v>64</v>
      </c>
      <c r="E157" s="563"/>
      <c r="F157" s="560"/>
      <c r="G157" s="712">
        <v>1</v>
      </c>
      <c r="H157" s="563"/>
      <c r="I157" s="689"/>
      <c r="J157" s="563">
        <v>1</v>
      </c>
      <c r="K157" s="554">
        <v>17697</v>
      </c>
      <c r="L157" s="554"/>
      <c r="M157" s="554">
        <v>1</v>
      </c>
      <c r="N157" s="554"/>
      <c r="O157" s="554">
        <v>2.41</v>
      </c>
      <c r="P157" s="567">
        <f t="shared" si="29"/>
        <v>42649.770000000004</v>
      </c>
      <c r="Q157" s="552">
        <f t="shared" si="31"/>
        <v>0</v>
      </c>
      <c r="R157" s="568"/>
      <c r="S157" s="708">
        <v>0.1</v>
      </c>
      <c r="T157" s="552">
        <f t="shared" si="27"/>
        <v>4264.9770000000008</v>
      </c>
      <c r="U157" s="724">
        <v>0.5</v>
      </c>
      <c r="V157" s="593">
        <v>10822.5</v>
      </c>
      <c r="W157" s="559">
        <f t="shared" si="30"/>
        <v>57737.247000000003</v>
      </c>
      <c r="X157" s="363">
        <f t="shared" si="33"/>
        <v>57737.747000000003</v>
      </c>
      <c r="Y157" s="363">
        <f t="shared" si="33"/>
        <v>68560.247000000003</v>
      </c>
      <c r="Z157" s="389"/>
      <c r="AA157" s="937"/>
      <c r="AB157" s="389"/>
      <c r="AC157" s="389"/>
      <c r="AD157" s="389"/>
      <c r="AE157" s="389"/>
      <c r="AF157" s="389"/>
      <c r="AG157" s="389"/>
      <c r="AH157" s="389"/>
      <c r="AI157" s="389"/>
      <c r="AJ157" s="389"/>
      <c r="AK157" s="389"/>
      <c r="AL157" s="389"/>
      <c r="AM157" s="389"/>
    </row>
    <row r="158" spans="1:39" s="377" customFormat="1" ht="15.75">
      <c r="A158" s="709">
        <v>149</v>
      </c>
      <c r="B158" s="153" t="s">
        <v>416</v>
      </c>
      <c r="C158" s="725" t="s">
        <v>346</v>
      </c>
      <c r="D158" s="560" t="s">
        <v>64</v>
      </c>
      <c r="E158" s="563"/>
      <c r="F158" s="560"/>
      <c r="G158" s="712">
        <v>1</v>
      </c>
      <c r="H158" s="563"/>
      <c r="I158" s="689"/>
      <c r="J158" s="563">
        <v>1</v>
      </c>
      <c r="K158" s="554">
        <v>17697</v>
      </c>
      <c r="L158" s="554"/>
      <c r="M158" s="554">
        <v>1</v>
      </c>
      <c r="N158" s="554"/>
      <c r="O158" s="554">
        <v>2.41</v>
      </c>
      <c r="P158" s="567">
        <f t="shared" si="29"/>
        <v>42649.770000000004</v>
      </c>
      <c r="Q158" s="552">
        <f t="shared" si="31"/>
        <v>0</v>
      </c>
      <c r="R158" s="554"/>
      <c r="S158" s="708">
        <v>0.1</v>
      </c>
      <c r="T158" s="552">
        <f t="shared" si="27"/>
        <v>4264.9770000000008</v>
      </c>
      <c r="U158" s="724">
        <v>0.5</v>
      </c>
      <c r="V158" s="593">
        <v>10822.5</v>
      </c>
      <c r="W158" s="559">
        <f t="shared" si="30"/>
        <v>57737.247000000003</v>
      </c>
      <c r="X158" s="363">
        <f t="shared" si="33"/>
        <v>57737.747000000003</v>
      </c>
      <c r="Y158" s="363">
        <f t="shared" si="33"/>
        <v>68560.247000000003</v>
      </c>
      <c r="AA158" s="412"/>
    </row>
    <row r="159" spans="1:39" s="377" customFormat="1" ht="15.75">
      <c r="A159" s="703">
        <v>150</v>
      </c>
      <c r="B159" s="153" t="s">
        <v>333</v>
      </c>
      <c r="C159" s="725" t="s">
        <v>346</v>
      </c>
      <c r="D159" s="560" t="s">
        <v>64</v>
      </c>
      <c r="E159" s="563"/>
      <c r="F159" s="560"/>
      <c r="G159" s="712">
        <v>1</v>
      </c>
      <c r="H159" s="563"/>
      <c r="I159" s="689"/>
      <c r="J159" s="563">
        <v>1</v>
      </c>
      <c r="K159" s="554">
        <v>17697</v>
      </c>
      <c r="L159" s="554"/>
      <c r="M159" s="554">
        <v>1</v>
      </c>
      <c r="N159" s="554"/>
      <c r="O159" s="554">
        <v>2.41</v>
      </c>
      <c r="P159" s="567">
        <f t="shared" si="29"/>
        <v>42649.770000000004</v>
      </c>
      <c r="Q159" s="552">
        <f t="shared" si="31"/>
        <v>0</v>
      </c>
      <c r="R159" s="554"/>
      <c r="S159" s="708">
        <v>0.1</v>
      </c>
      <c r="T159" s="552">
        <f t="shared" si="27"/>
        <v>4264.9770000000008</v>
      </c>
      <c r="U159" s="724">
        <v>0.5</v>
      </c>
      <c r="V159" s="593">
        <v>10822.5</v>
      </c>
      <c r="W159" s="559">
        <f t="shared" si="30"/>
        <v>57737.247000000003</v>
      </c>
      <c r="X159" s="363">
        <f t="shared" si="33"/>
        <v>57737.747000000003</v>
      </c>
      <c r="Y159" s="363">
        <f t="shared" si="33"/>
        <v>68560.247000000003</v>
      </c>
      <c r="Z159" s="412"/>
    </row>
    <row r="160" spans="1:39" s="377" customFormat="1" ht="15.75">
      <c r="A160" s="709">
        <v>151</v>
      </c>
      <c r="B160" s="153" t="s">
        <v>350</v>
      </c>
      <c r="C160" s="725" t="s">
        <v>346</v>
      </c>
      <c r="D160" s="560" t="s">
        <v>64</v>
      </c>
      <c r="E160" s="563"/>
      <c r="F160" s="560"/>
      <c r="G160" s="712">
        <v>1</v>
      </c>
      <c r="H160" s="563"/>
      <c r="I160" s="689"/>
      <c r="J160" s="563">
        <v>1</v>
      </c>
      <c r="K160" s="554">
        <v>17697</v>
      </c>
      <c r="L160" s="554"/>
      <c r="M160" s="554">
        <v>1</v>
      </c>
      <c r="N160" s="554"/>
      <c r="O160" s="554">
        <v>2.41</v>
      </c>
      <c r="P160" s="567">
        <f t="shared" si="29"/>
        <v>42649.770000000004</v>
      </c>
      <c r="Q160" s="552">
        <f t="shared" si="31"/>
        <v>0</v>
      </c>
      <c r="R160" s="554"/>
      <c r="S160" s="708">
        <v>0.1</v>
      </c>
      <c r="T160" s="552">
        <f t="shared" si="27"/>
        <v>4264.9770000000008</v>
      </c>
      <c r="U160" s="724">
        <v>0.5</v>
      </c>
      <c r="V160" s="593">
        <v>10822.5</v>
      </c>
      <c r="W160" s="559">
        <f t="shared" si="30"/>
        <v>57737.247000000003</v>
      </c>
      <c r="X160" s="363">
        <f t="shared" si="33"/>
        <v>57737.747000000003</v>
      </c>
      <c r="Y160" s="363">
        <f t="shared" si="33"/>
        <v>68560.247000000003</v>
      </c>
    </row>
    <row r="161" spans="1:43" s="377" customFormat="1" ht="15.75">
      <c r="A161" s="703">
        <v>152</v>
      </c>
      <c r="B161" s="726" t="s">
        <v>351</v>
      </c>
      <c r="C161" s="662" t="s">
        <v>352</v>
      </c>
      <c r="D161" s="663" t="s">
        <v>75</v>
      </c>
      <c r="E161" s="663"/>
      <c r="F161" s="727"/>
      <c r="G161" s="663">
        <v>1</v>
      </c>
      <c r="H161" s="728"/>
      <c r="I161" s="728"/>
      <c r="J161" s="663">
        <v>1</v>
      </c>
      <c r="K161" s="567">
        <v>17697</v>
      </c>
      <c r="L161" s="567"/>
      <c r="M161" s="554">
        <v>1</v>
      </c>
      <c r="N161" s="567"/>
      <c r="O161" s="554">
        <v>2.41</v>
      </c>
      <c r="P161" s="567">
        <f t="shared" si="29"/>
        <v>42649.770000000004</v>
      </c>
      <c r="Q161" s="552">
        <f t="shared" si="31"/>
        <v>0</v>
      </c>
      <c r="R161" s="567"/>
      <c r="S161" s="708">
        <v>0.1</v>
      </c>
      <c r="T161" s="552">
        <f t="shared" si="27"/>
        <v>4264.9770000000008</v>
      </c>
      <c r="U161" s="567">
        <v>0</v>
      </c>
      <c r="V161" s="593">
        <v>10822.5</v>
      </c>
      <c r="W161" s="559">
        <f t="shared" si="30"/>
        <v>57737.247000000003</v>
      </c>
      <c r="X161" s="363">
        <f t="shared" si="33"/>
        <v>57737.247000000003</v>
      </c>
      <c r="Y161" s="363">
        <f t="shared" si="33"/>
        <v>68559.747000000003</v>
      </c>
      <c r="Z161" s="374"/>
      <c r="AA161" s="374"/>
      <c r="AB161" s="375"/>
      <c r="AC161" s="375"/>
      <c r="AD161" s="376"/>
      <c r="AE161" s="374"/>
      <c r="AF161" s="375"/>
    </row>
    <row r="162" spans="1:43" s="377" customFormat="1" ht="15.75">
      <c r="A162" s="709">
        <v>153</v>
      </c>
      <c r="B162" s="726" t="s">
        <v>353</v>
      </c>
      <c r="C162" s="662" t="s">
        <v>352</v>
      </c>
      <c r="D162" s="663" t="s">
        <v>75</v>
      </c>
      <c r="E162" s="663"/>
      <c r="F162" s="727"/>
      <c r="G162" s="663">
        <v>1</v>
      </c>
      <c r="H162" s="728"/>
      <c r="I162" s="728"/>
      <c r="J162" s="663">
        <v>1</v>
      </c>
      <c r="K162" s="567">
        <v>17697</v>
      </c>
      <c r="L162" s="567"/>
      <c r="M162" s="554">
        <v>1</v>
      </c>
      <c r="N162" s="567"/>
      <c r="O162" s="554">
        <v>2.41</v>
      </c>
      <c r="P162" s="567">
        <f t="shared" si="29"/>
        <v>42649.770000000004</v>
      </c>
      <c r="Q162" s="552">
        <f t="shared" si="31"/>
        <v>0</v>
      </c>
      <c r="R162" s="567"/>
      <c r="S162" s="708">
        <v>0.1</v>
      </c>
      <c r="T162" s="552">
        <f t="shared" si="27"/>
        <v>4264.9770000000008</v>
      </c>
      <c r="U162" s="567">
        <v>0</v>
      </c>
      <c r="V162" s="593">
        <v>10822.5</v>
      </c>
      <c r="W162" s="559">
        <f t="shared" si="30"/>
        <v>57737.247000000003</v>
      </c>
      <c r="X162" s="363">
        <f t="shared" si="33"/>
        <v>57737.247000000003</v>
      </c>
      <c r="Y162" s="363">
        <f t="shared" si="33"/>
        <v>68559.747000000003</v>
      </c>
      <c r="Z162" s="374"/>
      <c r="AA162" s="374"/>
      <c r="AB162" s="375"/>
      <c r="AC162" s="375"/>
      <c r="AD162" s="376"/>
      <c r="AE162" s="374"/>
      <c r="AF162" s="375"/>
    </row>
    <row r="163" spans="1:43" s="377" customFormat="1" ht="15.75">
      <c r="A163" s="703">
        <v>154</v>
      </c>
      <c r="B163" s="729" t="s">
        <v>354</v>
      </c>
      <c r="C163" s="662" t="s">
        <v>352</v>
      </c>
      <c r="D163" s="663" t="s">
        <v>75</v>
      </c>
      <c r="E163" s="663"/>
      <c r="F163" s="727"/>
      <c r="G163" s="663">
        <v>1</v>
      </c>
      <c r="H163" s="728"/>
      <c r="I163" s="728"/>
      <c r="J163" s="663">
        <v>1</v>
      </c>
      <c r="K163" s="567">
        <v>17697</v>
      </c>
      <c r="L163" s="567"/>
      <c r="M163" s="554">
        <v>1</v>
      </c>
      <c r="N163" s="567"/>
      <c r="O163" s="554">
        <v>2.41</v>
      </c>
      <c r="P163" s="567">
        <f t="shared" si="29"/>
        <v>42649.770000000004</v>
      </c>
      <c r="Q163" s="552">
        <f t="shared" si="31"/>
        <v>0</v>
      </c>
      <c r="R163" s="567"/>
      <c r="S163" s="708">
        <v>0.1</v>
      </c>
      <c r="T163" s="552">
        <f t="shared" si="27"/>
        <v>4264.9770000000008</v>
      </c>
      <c r="U163" s="567">
        <v>0</v>
      </c>
      <c r="V163" s="593">
        <v>10822.5</v>
      </c>
      <c r="W163" s="559">
        <f t="shared" si="30"/>
        <v>57737.247000000003</v>
      </c>
      <c r="X163" s="363">
        <f>Q163+U163+W163</f>
        <v>57737.247000000003</v>
      </c>
      <c r="Y163" s="363">
        <f>R163+V163+X163</f>
        <v>68559.747000000003</v>
      </c>
      <c r="Z163" s="374"/>
      <c r="AA163" s="374"/>
      <c r="AB163" s="375"/>
      <c r="AC163" s="375"/>
      <c r="AD163" s="376"/>
      <c r="AE163" s="374"/>
      <c r="AF163" s="375"/>
    </row>
    <row r="164" spans="1:43" s="364" customFormat="1" ht="15.75">
      <c r="A164" s="709">
        <v>155</v>
      </c>
      <c r="B164" s="646" t="s">
        <v>355</v>
      </c>
      <c r="C164" s="647" t="s">
        <v>356</v>
      </c>
      <c r="D164" s="663" t="s">
        <v>75</v>
      </c>
      <c r="E164" s="646"/>
      <c r="F164" s="646"/>
      <c r="G164" s="628">
        <v>1</v>
      </c>
      <c r="H164" s="714"/>
      <c r="I164" s="715"/>
      <c r="J164" s="628">
        <v>1</v>
      </c>
      <c r="K164" s="715">
        <v>17697</v>
      </c>
      <c r="L164" s="715"/>
      <c r="M164" s="554">
        <v>1</v>
      </c>
      <c r="N164" s="554"/>
      <c r="O164" s="554">
        <v>2.41</v>
      </c>
      <c r="P164" s="567">
        <f t="shared" si="29"/>
        <v>42649.770000000004</v>
      </c>
      <c r="Q164" s="552">
        <f t="shared" si="31"/>
        <v>0</v>
      </c>
      <c r="R164" s="554"/>
      <c r="S164" s="708">
        <v>0.1</v>
      </c>
      <c r="T164" s="552">
        <f t="shared" si="27"/>
        <v>4264.9770000000008</v>
      </c>
      <c r="U164" s="567">
        <v>0</v>
      </c>
      <c r="V164" s="567">
        <v>0</v>
      </c>
      <c r="W164" s="559">
        <f t="shared" si="30"/>
        <v>46914.747000000003</v>
      </c>
      <c r="X164" s="363">
        <f t="shared" si="33"/>
        <v>46914.747000000003</v>
      </c>
      <c r="Y164" s="363">
        <f t="shared" si="33"/>
        <v>46914.747000000003</v>
      </c>
      <c r="AB164" s="422"/>
    </row>
    <row r="165" spans="1:43" s="364" customFormat="1" ht="15.75">
      <c r="A165" s="703">
        <v>156</v>
      </c>
      <c r="B165" s="646" t="s">
        <v>357</v>
      </c>
      <c r="C165" s="561" t="s">
        <v>358</v>
      </c>
      <c r="D165" s="560" t="s">
        <v>64</v>
      </c>
      <c r="E165" s="646"/>
      <c r="F165" s="646"/>
      <c r="G165" s="628">
        <v>1</v>
      </c>
      <c r="H165" s="714"/>
      <c r="I165" s="715"/>
      <c r="J165" s="628">
        <v>1</v>
      </c>
      <c r="K165" s="715">
        <v>17697</v>
      </c>
      <c r="L165" s="715"/>
      <c r="M165" s="554">
        <v>1</v>
      </c>
      <c r="N165" s="554"/>
      <c r="O165" s="554">
        <v>2.41</v>
      </c>
      <c r="P165" s="567">
        <f t="shared" si="29"/>
        <v>42649.770000000004</v>
      </c>
      <c r="Q165" s="552">
        <f t="shared" si="31"/>
        <v>0</v>
      </c>
      <c r="R165" s="554"/>
      <c r="S165" s="708">
        <v>0.1</v>
      </c>
      <c r="T165" s="552">
        <f t="shared" si="27"/>
        <v>4264.9770000000008</v>
      </c>
      <c r="U165" s="567">
        <v>0</v>
      </c>
      <c r="V165" s="567">
        <v>0</v>
      </c>
      <c r="W165" s="559">
        <f t="shared" si="30"/>
        <v>46914.747000000003</v>
      </c>
      <c r="X165" s="363">
        <f t="shared" si="33"/>
        <v>46914.747000000003</v>
      </c>
      <c r="Y165" s="363">
        <f t="shared" si="33"/>
        <v>46914.747000000003</v>
      </c>
      <c r="Z165" s="422"/>
    </row>
    <row r="166" spans="1:43" s="84" customFormat="1" ht="22.5" customHeight="1">
      <c r="A166" s="2322" t="s">
        <v>359</v>
      </c>
      <c r="B166" s="2322"/>
      <c r="C166" s="2322"/>
      <c r="D166" s="2322"/>
      <c r="E166" s="905"/>
      <c r="F166" s="905"/>
      <c r="G166" s="678"/>
      <c r="H166" s="905"/>
      <c r="I166" s="905"/>
      <c r="J166" s="905"/>
      <c r="K166" s="905"/>
      <c r="L166" s="679"/>
      <c r="M166" s="680">
        <f>SUM(M6:M165)</f>
        <v>170.68111111111108</v>
      </c>
      <c r="N166" s="680"/>
      <c r="O166" s="680"/>
      <c r="P166" s="680">
        <f>SUM(P6:P165)</f>
        <v>10945167.805666653</v>
      </c>
      <c r="Q166" s="680"/>
      <c r="R166" s="680">
        <f>SUM(R6:R165)</f>
        <v>253942.11833333332</v>
      </c>
      <c r="S166" s="680"/>
      <c r="T166" s="680">
        <f>SUM(T6:T165)</f>
        <v>1117632.5436499987</v>
      </c>
      <c r="U166" s="680"/>
      <c r="V166" s="680">
        <f>SUM(V6:V165)</f>
        <v>150316.53</v>
      </c>
      <c r="W166" s="940">
        <f>SUM(W6:W165)</f>
        <v>12467058.997649986</v>
      </c>
      <c r="X166" s="141">
        <f>SUM(X6:X165)</f>
        <v>1456484.7548999998</v>
      </c>
      <c r="Y166" s="141">
        <f>SUM(Y6:Y165)</f>
        <v>1957300.4073999994</v>
      </c>
      <c r="Z166" s="262"/>
      <c r="AA166" s="262"/>
      <c r="AB166" s="262"/>
      <c r="AC166" s="262"/>
      <c r="AD166" s="262"/>
      <c r="AE166" s="262"/>
      <c r="AF166" s="262"/>
      <c r="AG166" s="262"/>
      <c r="AH166" s="262"/>
      <c r="AI166" s="262"/>
      <c r="AJ166" s="262"/>
      <c r="AK166" s="262"/>
      <c r="AL166" s="262"/>
      <c r="AM166" s="262"/>
      <c r="AN166" s="262"/>
      <c r="AO166" s="262"/>
      <c r="AP166" s="262"/>
      <c r="AQ166" s="262"/>
    </row>
    <row r="167" spans="1:43" ht="25.5" customHeight="1">
      <c r="M167" s="85"/>
      <c r="N167" s="86"/>
      <c r="O167" s="23"/>
      <c r="P167" s="87"/>
      <c r="Q167" s="88"/>
    </row>
    <row r="168" spans="1:43" s="24" customFormat="1">
      <c r="A168" s="1"/>
      <c r="B168" s="1"/>
      <c r="C168" s="895"/>
      <c r="D168" s="1"/>
      <c r="E168" s="1"/>
      <c r="F168" s="1"/>
      <c r="G168" s="1"/>
      <c r="H168" s="1"/>
      <c r="I168" s="1"/>
      <c r="J168" s="1"/>
      <c r="K168" s="1"/>
      <c r="L168" s="1"/>
      <c r="N168" s="89"/>
      <c r="Q168" s="1"/>
      <c r="R168" s="1"/>
      <c r="S168" s="1"/>
      <c r="T168" s="1"/>
      <c r="U168" s="1"/>
      <c r="V168" s="1"/>
      <c r="W168" s="3"/>
      <c r="X168" s="3"/>
      <c r="Y168" s="3"/>
    </row>
    <row r="169" spans="1:43" s="24" customFormat="1">
      <c r="A169" s="1"/>
      <c r="B169" s="1"/>
      <c r="C169" s="895"/>
      <c r="D169" s="1"/>
      <c r="E169" s="1"/>
      <c r="F169" s="1"/>
      <c r="G169" s="1"/>
      <c r="H169" s="1"/>
      <c r="I169" s="1"/>
      <c r="J169" s="1"/>
      <c r="K169" s="1"/>
      <c r="L169" s="1"/>
      <c r="M169" s="3"/>
      <c r="N169" s="895"/>
      <c r="O169" s="1"/>
      <c r="P169" s="1"/>
      <c r="Q169" s="1"/>
      <c r="R169" s="1"/>
      <c r="S169" s="1"/>
      <c r="T169" s="1"/>
      <c r="U169" s="3"/>
      <c r="V169" s="3"/>
      <c r="W169" s="3"/>
      <c r="X169" s="3"/>
      <c r="Y169" s="3"/>
    </row>
    <row r="170" spans="1:43" s="24" customFormat="1">
      <c r="A170" s="1"/>
      <c r="B170" s="1"/>
      <c r="C170" s="895"/>
      <c r="D170" s="1"/>
      <c r="E170" s="1"/>
      <c r="F170" s="1"/>
      <c r="G170" s="1"/>
      <c r="H170" s="1"/>
      <c r="I170" s="1"/>
      <c r="J170" s="1"/>
      <c r="K170" s="3"/>
      <c r="L170" s="1"/>
      <c r="M170" s="3"/>
      <c r="N170" s="895"/>
      <c r="O170" s="1"/>
      <c r="P170" s="1"/>
      <c r="Q170" s="90"/>
      <c r="R170" s="90"/>
      <c r="S170" s="1"/>
      <c r="T170" s="1"/>
      <c r="U170" s="1"/>
      <c r="V170" s="1"/>
      <c r="W170" s="1"/>
      <c r="X170" s="1"/>
      <c r="Y170" s="1"/>
    </row>
    <row r="171" spans="1:43" s="24" customFormat="1">
      <c r="A171" s="1"/>
      <c r="B171" s="1"/>
      <c r="C171" s="895"/>
      <c r="D171" s="1"/>
      <c r="E171" s="1"/>
      <c r="F171" s="1"/>
      <c r="G171" s="1"/>
      <c r="H171" s="1"/>
      <c r="I171" s="1"/>
      <c r="J171" s="1"/>
      <c r="K171" s="3"/>
      <c r="L171" s="1"/>
      <c r="M171" s="3"/>
      <c r="N171" s="895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43" s="24" customFormat="1">
      <c r="A172" s="1"/>
      <c r="B172" s="1"/>
      <c r="C172" s="895"/>
      <c r="D172" s="1"/>
      <c r="E172" s="1"/>
      <c r="F172" s="1"/>
      <c r="G172" s="1"/>
      <c r="H172" s="1"/>
      <c r="I172" s="3"/>
      <c r="J172" s="1"/>
      <c r="K172" s="3"/>
      <c r="L172" s="1"/>
      <c r="M172" s="3"/>
      <c r="N172" s="895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22"/>
    </row>
    <row r="174" spans="1:43">
      <c r="M174" s="3"/>
    </row>
    <row r="175" spans="1:43">
      <c r="Z175" s="22"/>
    </row>
    <row r="176" spans="1:43">
      <c r="M176" s="3"/>
      <c r="T176" s="3"/>
    </row>
    <row r="177" spans="1:25" s="24" customFormat="1">
      <c r="A177" s="1"/>
      <c r="B177" s="1"/>
      <c r="C177" s="895"/>
      <c r="D177" s="1"/>
      <c r="E177" s="1"/>
      <c r="F177" s="1"/>
      <c r="G177" s="1"/>
      <c r="H177" s="1"/>
      <c r="I177" s="1"/>
      <c r="J177" s="1"/>
      <c r="K177" s="1"/>
      <c r="L177" s="1"/>
      <c r="M177" s="3"/>
      <c r="N177" s="895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</sheetData>
  <mergeCells count="25">
    <mergeCell ref="X4:X5"/>
    <mergeCell ref="Y4:Y5"/>
    <mergeCell ref="A166:D166"/>
    <mergeCell ref="O4:O5"/>
    <mergeCell ref="P4:P5"/>
    <mergeCell ref="Q4:R4"/>
    <mergeCell ref="S4:T4"/>
    <mergeCell ref="U4:V4"/>
    <mergeCell ref="I4:I5"/>
    <mergeCell ref="J4:J5"/>
    <mergeCell ref="K4:K5"/>
    <mergeCell ref="L4:L5"/>
    <mergeCell ref="M4:M5"/>
    <mergeCell ref="N4:N5"/>
    <mergeCell ref="A2:W2"/>
    <mergeCell ref="A3:W3"/>
    <mergeCell ref="A4:A5"/>
    <mergeCell ref="B4:B5"/>
    <mergeCell ref="C4:C5"/>
    <mergeCell ref="D4:D5"/>
    <mergeCell ref="E4:E5"/>
    <mergeCell ref="F4:F5"/>
    <mergeCell ref="G4:G5"/>
    <mergeCell ref="H4:H5"/>
    <mergeCell ref="W4:W5"/>
  </mergeCells>
  <pageMargins left="0" right="0" top="0.62992125984251968" bottom="0" header="0.43307086614173229" footer="0.31496062992125984"/>
  <pageSetup paperSize="9" scale="53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3">
    <tabColor rgb="FF00B0F0"/>
  </sheetPr>
  <dimension ref="A1:AC58"/>
  <sheetViews>
    <sheetView view="pageBreakPreview" zoomScaleNormal="100" zoomScaleSheetLayoutView="100" workbookViewId="0">
      <selection activeCell="F7" sqref="F7"/>
    </sheetView>
  </sheetViews>
  <sheetFormatPr defaultRowHeight="12.75"/>
  <cols>
    <col min="1" max="1" width="5" style="745" customWidth="1"/>
    <col min="2" max="2" width="29.85546875" style="749" customWidth="1"/>
    <col min="3" max="3" width="6" style="749" customWidth="1"/>
    <col min="4" max="4" width="5.7109375" style="749" customWidth="1"/>
    <col min="5" max="5" width="5.85546875" style="745" customWidth="1"/>
    <col min="6" max="6" width="12.42578125" style="807" customWidth="1"/>
    <col min="7" max="7" width="6.140625" style="807" hidden="1" customWidth="1"/>
    <col min="8" max="8" width="9.42578125" style="807" customWidth="1"/>
    <col min="9" max="9" width="12.5703125" style="807" customWidth="1"/>
    <col min="10" max="10" width="6.28515625" style="807" customWidth="1"/>
    <col min="11" max="11" width="13.7109375" style="807" customWidth="1"/>
    <col min="12" max="12" width="6.85546875" style="807" customWidth="1"/>
    <col min="13" max="13" width="12.140625" style="807" customWidth="1"/>
    <col min="14" max="14" width="5.7109375" style="807" customWidth="1"/>
    <col min="15" max="15" width="11.140625" style="807" customWidth="1"/>
    <col min="16" max="16" width="15.42578125" style="807" customWidth="1"/>
    <col min="17" max="17" width="16.28515625" style="745" customWidth="1"/>
    <col min="18" max="18" width="13.42578125" style="745" customWidth="1"/>
    <col min="19" max="19" width="15" style="745" customWidth="1"/>
    <col min="20" max="20" width="25.28515625" style="745" customWidth="1"/>
    <col min="21" max="21" width="25.7109375" style="745" customWidth="1"/>
    <col min="22" max="256" width="9.140625" style="745"/>
    <col min="257" max="257" width="5" style="745" customWidth="1"/>
    <col min="258" max="258" width="29.85546875" style="745" customWidth="1"/>
    <col min="259" max="259" width="6" style="745" customWidth="1"/>
    <col min="260" max="260" width="5.7109375" style="745" customWidth="1"/>
    <col min="261" max="261" width="5.85546875" style="745" customWidth="1"/>
    <col min="262" max="262" width="12.42578125" style="745" customWidth="1"/>
    <col min="263" max="263" width="6.140625" style="745" customWidth="1"/>
    <col min="264" max="264" width="9.42578125" style="745" customWidth="1"/>
    <col min="265" max="265" width="12.5703125" style="745" customWidth="1"/>
    <col min="266" max="266" width="6.28515625" style="745" customWidth="1"/>
    <col min="267" max="267" width="11.42578125" style="745" customWidth="1"/>
    <col min="268" max="268" width="6.85546875" style="745" customWidth="1"/>
    <col min="269" max="269" width="12.140625" style="745" customWidth="1"/>
    <col min="270" max="270" width="5.7109375" style="745" customWidth="1"/>
    <col min="271" max="271" width="11.140625" style="745" customWidth="1"/>
    <col min="272" max="272" width="15.42578125" style="745" customWidth="1"/>
    <col min="273" max="273" width="14.7109375" style="745" customWidth="1"/>
    <col min="274" max="274" width="13.42578125" style="745" customWidth="1"/>
    <col min="275" max="275" width="15" style="745" customWidth="1"/>
    <col min="276" max="276" width="25.28515625" style="745" customWidth="1"/>
    <col min="277" max="277" width="25.7109375" style="745" customWidth="1"/>
    <col min="278" max="512" width="9.140625" style="745"/>
    <col min="513" max="513" width="5" style="745" customWidth="1"/>
    <col min="514" max="514" width="29.85546875" style="745" customWidth="1"/>
    <col min="515" max="515" width="6" style="745" customWidth="1"/>
    <col min="516" max="516" width="5.7109375" style="745" customWidth="1"/>
    <col min="517" max="517" width="5.85546875" style="745" customWidth="1"/>
    <col min="518" max="518" width="12.42578125" style="745" customWidth="1"/>
    <col min="519" max="519" width="6.140625" style="745" customWidth="1"/>
    <col min="520" max="520" width="9.42578125" style="745" customWidth="1"/>
    <col min="521" max="521" width="12.5703125" style="745" customWidth="1"/>
    <col min="522" max="522" width="6.28515625" style="745" customWidth="1"/>
    <col min="523" max="523" width="11.42578125" style="745" customWidth="1"/>
    <col min="524" max="524" width="6.85546875" style="745" customWidth="1"/>
    <col min="525" max="525" width="12.140625" style="745" customWidth="1"/>
    <col min="526" max="526" width="5.7109375" style="745" customWidth="1"/>
    <col min="527" max="527" width="11.140625" style="745" customWidth="1"/>
    <col min="528" max="528" width="15.42578125" style="745" customWidth="1"/>
    <col min="529" max="529" width="14.7109375" style="745" customWidth="1"/>
    <col min="530" max="530" width="13.42578125" style="745" customWidth="1"/>
    <col min="531" max="531" width="15" style="745" customWidth="1"/>
    <col min="532" max="532" width="25.28515625" style="745" customWidth="1"/>
    <col min="533" max="533" width="25.7109375" style="745" customWidth="1"/>
    <col min="534" max="768" width="9.140625" style="745"/>
    <col min="769" max="769" width="5" style="745" customWidth="1"/>
    <col min="770" max="770" width="29.85546875" style="745" customWidth="1"/>
    <col min="771" max="771" width="6" style="745" customWidth="1"/>
    <col min="772" max="772" width="5.7109375" style="745" customWidth="1"/>
    <col min="773" max="773" width="5.85546875" style="745" customWidth="1"/>
    <col min="774" max="774" width="12.42578125" style="745" customWidth="1"/>
    <col min="775" max="775" width="6.140625" style="745" customWidth="1"/>
    <col min="776" max="776" width="9.42578125" style="745" customWidth="1"/>
    <col min="777" max="777" width="12.5703125" style="745" customWidth="1"/>
    <col min="778" max="778" width="6.28515625" style="745" customWidth="1"/>
    <col min="779" max="779" width="11.42578125" style="745" customWidth="1"/>
    <col min="780" max="780" width="6.85546875" style="745" customWidth="1"/>
    <col min="781" max="781" width="12.140625" style="745" customWidth="1"/>
    <col min="782" max="782" width="5.7109375" style="745" customWidth="1"/>
    <col min="783" max="783" width="11.140625" style="745" customWidth="1"/>
    <col min="784" max="784" width="15.42578125" style="745" customWidth="1"/>
    <col min="785" max="785" width="14.7109375" style="745" customWidth="1"/>
    <col min="786" max="786" width="13.42578125" style="745" customWidth="1"/>
    <col min="787" max="787" width="15" style="745" customWidth="1"/>
    <col min="788" max="788" width="25.28515625" style="745" customWidth="1"/>
    <col min="789" max="789" width="25.7109375" style="745" customWidth="1"/>
    <col min="790" max="1024" width="9.140625" style="745"/>
    <col min="1025" max="1025" width="5" style="745" customWidth="1"/>
    <col min="1026" max="1026" width="29.85546875" style="745" customWidth="1"/>
    <col min="1027" max="1027" width="6" style="745" customWidth="1"/>
    <col min="1028" max="1028" width="5.7109375" style="745" customWidth="1"/>
    <col min="1029" max="1029" width="5.85546875" style="745" customWidth="1"/>
    <col min="1030" max="1030" width="12.42578125" style="745" customWidth="1"/>
    <col min="1031" max="1031" width="6.140625" style="745" customWidth="1"/>
    <col min="1032" max="1032" width="9.42578125" style="745" customWidth="1"/>
    <col min="1033" max="1033" width="12.5703125" style="745" customWidth="1"/>
    <col min="1034" max="1034" width="6.28515625" style="745" customWidth="1"/>
    <col min="1035" max="1035" width="11.42578125" style="745" customWidth="1"/>
    <col min="1036" max="1036" width="6.85546875" style="745" customWidth="1"/>
    <col min="1037" max="1037" width="12.140625" style="745" customWidth="1"/>
    <col min="1038" max="1038" width="5.7109375" style="745" customWidth="1"/>
    <col min="1039" max="1039" width="11.140625" style="745" customWidth="1"/>
    <col min="1040" max="1040" width="15.42578125" style="745" customWidth="1"/>
    <col min="1041" max="1041" width="14.7109375" style="745" customWidth="1"/>
    <col min="1042" max="1042" width="13.42578125" style="745" customWidth="1"/>
    <col min="1043" max="1043" width="15" style="745" customWidth="1"/>
    <col min="1044" max="1044" width="25.28515625" style="745" customWidth="1"/>
    <col min="1045" max="1045" width="25.7109375" style="745" customWidth="1"/>
    <col min="1046" max="1280" width="9.140625" style="745"/>
    <col min="1281" max="1281" width="5" style="745" customWidth="1"/>
    <col min="1282" max="1282" width="29.85546875" style="745" customWidth="1"/>
    <col min="1283" max="1283" width="6" style="745" customWidth="1"/>
    <col min="1284" max="1284" width="5.7109375" style="745" customWidth="1"/>
    <col min="1285" max="1285" width="5.85546875" style="745" customWidth="1"/>
    <col min="1286" max="1286" width="12.42578125" style="745" customWidth="1"/>
    <col min="1287" max="1287" width="6.140625" style="745" customWidth="1"/>
    <col min="1288" max="1288" width="9.42578125" style="745" customWidth="1"/>
    <col min="1289" max="1289" width="12.5703125" style="745" customWidth="1"/>
    <col min="1290" max="1290" width="6.28515625" style="745" customWidth="1"/>
    <col min="1291" max="1291" width="11.42578125" style="745" customWidth="1"/>
    <col min="1292" max="1292" width="6.85546875" style="745" customWidth="1"/>
    <col min="1293" max="1293" width="12.140625" style="745" customWidth="1"/>
    <col min="1294" max="1294" width="5.7109375" style="745" customWidth="1"/>
    <col min="1295" max="1295" width="11.140625" style="745" customWidth="1"/>
    <col min="1296" max="1296" width="15.42578125" style="745" customWidth="1"/>
    <col min="1297" max="1297" width="14.7109375" style="745" customWidth="1"/>
    <col min="1298" max="1298" width="13.42578125" style="745" customWidth="1"/>
    <col min="1299" max="1299" width="15" style="745" customWidth="1"/>
    <col min="1300" max="1300" width="25.28515625" style="745" customWidth="1"/>
    <col min="1301" max="1301" width="25.7109375" style="745" customWidth="1"/>
    <col min="1302" max="1536" width="9.140625" style="745"/>
    <col min="1537" max="1537" width="5" style="745" customWidth="1"/>
    <col min="1538" max="1538" width="29.85546875" style="745" customWidth="1"/>
    <col min="1539" max="1539" width="6" style="745" customWidth="1"/>
    <col min="1540" max="1540" width="5.7109375" style="745" customWidth="1"/>
    <col min="1541" max="1541" width="5.85546875" style="745" customWidth="1"/>
    <col min="1542" max="1542" width="12.42578125" style="745" customWidth="1"/>
    <col min="1543" max="1543" width="6.140625" style="745" customWidth="1"/>
    <col min="1544" max="1544" width="9.42578125" style="745" customWidth="1"/>
    <col min="1545" max="1545" width="12.5703125" style="745" customWidth="1"/>
    <col min="1546" max="1546" width="6.28515625" style="745" customWidth="1"/>
    <col min="1547" max="1547" width="11.42578125" style="745" customWidth="1"/>
    <col min="1548" max="1548" width="6.85546875" style="745" customWidth="1"/>
    <col min="1549" max="1549" width="12.140625" style="745" customWidth="1"/>
    <col min="1550" max="1550" width="5.7109375" style="745" customWidth="1"/>
    <col min="1551" max="1551" width="11.140625" style="745" customWidth="1"/>
    <col min="1552" max="1552" width="15.42578125" style="745" customWidth="1"/>
    <col min="1553" max="1553" width="14.7109375" style="745" customWidth="1"/>
    <col min="1554" max="1554" width="13.42578125" style="745" customWidth="1"/>
    <col min="1555" max="1555" width="15" style="745" customWidth="1"/>
    <col min="1556" max="1556" width="25.28515625" style="745" customWidth="1"/>
    <col min="1557" max="1557" width="25.7109375" style="745" customWidth="1"/>
    <col min="1558" max="1792" width="9.140625" style="745"/>
    <col min="1793" max="1793" width="5" style="745" customWidth="1"/>
    <col min="1794" max="1794" width="29.85546875" style="745" customWidth="1"/>
    <col min="1795" max="1795" width="6" style="745" customWidth="1"/>
    <col min="1796" max="1796" width="5.7109375" style="745" customWidth="1"/>
    <col min="1797" max="1797" width="5.85546875" style="745" customWidth="1"/>
    <col min="1798" max="1798" width="12.42578125" style="745" customWidth="1"/>
    <col min="1799" max="1799" width="6.140625" style="745" customWidth="1"/>
    <col min="1800" max="1800" width="9.42578125" style="745" customWidth="1"/>
    <col min="1801" max="1801" width="12.5703125" style="745" customWidth="1"/>
    <col min="1802" max="1802" width="6.28515625" style="745" customWidth="1"/>
    <col min="1803" max="1803" width="11.42578125" style="745" customWidth="1"/>
    <col min="1804" max="1804" width="6.85546875" style="745" customWidth="1"/>
    <col min="1805" max="1805" width="12.140625" style="745" customWidth="1"/>
    <col min="1806" max="1806" width="5.7109375" style="745" customWidth="1"/>
    <col min="1807" max="1807" width="11.140625" style="745" customWidth="1"/>
    <col min="1808" max="1808" width="15.42578125" style="745" customWidth="1"/>
    <col min="1809" max="1809" width="14.7109375" style="745" customWidth="1"/>
    <col min="1810" max="1810" width="13.42578125" style="745" customWidth="1"/>
    <col min="1811" max="1811" width="15" style="745" customWidth="1"/>
    <col min="1812" max="1812" width="25.28515625" style="745" customWidth="1"/>
    <col min="1813" max="1813" width="25.7109375" style="745" customWidth="1"/>
    <col min="1814" max="2048" width="9.140625" style="745"/>
    <col min="2049" max="2049" width="5" style="745" customWidth="1"/>
    <col min="2050" max="2050" width="29.85546875" style="745" customWidth="1"/>
    <col min="2051" max="2051" width="6" style="745" customWidth="1"/>
    <col min="2052" max="2052" width="5.7109375" style="745" customWidth="1"/>
    <col min="2053" max="2053" width="5.85546875" style="745" customWidth="1"/>
    <col min="2054" max="2054" width="12.42578125" style="745" customWidth="1"/>
    <col min="2055" max="2055" width="6.140625" style="745" customWidth="1"/>
    <col min="2056" max="2056" width="9.42578125" style="745" customWidth="1"/>
    <col min="2057" max="2057" width="12.5703125" style="745" customWidth="1"/>
    <col min="2058" max="2058" width="6.28515625" style="745" customWidth="1"/>
    <col min="2059" max="2059" width="11.42578125" style="745" customWidth="1"/>
    <col min="2060" max="2060" width="6.85546875" style="745" customWidth="1"/>
    <col min="2061" max="2061" width="12.140625" style="745" customWidth="1"/>
    <col min="2062" max="2062" width="5.7109375" style="745" customWidth="1"/>
    <col min="2063" max="2063" width="11.140625" style="745" customWidth="1"/>
    <col min="2064" max="2064" width="15.42578125" style="745" customWidth="1"/>
    <col min="2065" max="2065" width="14.7109375" style="745" customWidth="1"/>
    <col min="2066" max="2066" width="13.42578125" style="745" customWidth="1"/>
    <col min="2067" max="2067" width="15" style="745" customWidth="1"/>
    <col min="2068" max="2068" width="25.28515625" style="745" customWidth="1"/>
    <col min="2069" max="2069" width="25.7109375" style="745" customWidth="1"/>
    <col min="2070" max="2304" width="9.140625" style="745"/>
    <col min="2305" max="2305" width="5" style="745" customWidth="1"/>
    <col min="2306" max="2306" width="29.85546875" style="745" customWidth="1"/>
    <col min="2307" max="2307" width="6" style="745" customWidth="1"/>
    <col min="2308" max="2308" width="5.7109375" style="745" customWidth="1"/>
    <col min="2309" max="2309" width="5.85546875" style="745" customWidth="1"/>
    <col min="2310" max="2310" width="12.42578125" style="745" customWidth="1"/>
    <col min="2311" max="2311" width="6.140625" style="745" customWidth="1"/>
    <col min="2312" max="2312" width="9.42578125" style="745" customWidth="1"/>
    <col min="2313" max="2313" width="12.5703125" style="745" customWidth="1"/>
    <col min="2314" max="2314" width="6.28515625" style="745" customWidth="1"/>
    <col min="2315" max="2315" width="11.42578125" style="745" customWidth="1"/>
    <col min="2316" max="2316" width="6.85546875" style="745" customWidth="1"/>
    <col min="2317" max="2317" width="12.140625" style="745" customWidth="1"/>
    <col min="2318" max="2318" width="5.7109375" style="745" customWidth="1"/>
    <col min="2319" max="2319" width="11.140625" style="745" customWidth="1"/>
    <col min="2320" max="2320" width="15.42578125" style="745" customWidth="1"/>
    <col min="2321" max="2321" width="14.7109375" style="745" customWidth="1"/>
    <col min="2322" max="2322" width="13.42578125" style="745" customWidth="1"/>
    <col min="2323" max="2323" width="15" style="745" customWidth="1"/>
    <col min="2324" max="2324" width="25.28515625" style="745" customWidth="1"/>
    <col min="2325" max="2325" width="25.7109375" style="745" customWidth="1"/>
    <col min="2326" max="2560" width="9.140625" style="745"/>
    <col min="2561" max="2561" width="5" style="745" customWidth="1"/>
    <col min="2562" max="2562" width="29.85546875" style="745" customWidth="1"/>
    <col min="2563" max="2563" width="6" style="745" customWidth="1"/>
    <col min="2564" max="2564" width="5.7109375" style="745" customWidth="1"/>
    <col min="2565" max="2565" width="5.85546875" style="745" customWidth="1"/>
    <col min="2566" max="2566" width="12.42578125" style="745" customWidth="1"/>
    <col min="2567" max="2567" width="6.140625" style="745" customWidth="1"/>
    <col min="2568" max="2568" width="9.42578125" style="745" customWidth="1"/>
    <col min="2569" max="2569" width="12.5703125" style="745" customWidth="1"/>
    <col min="2570" max="2570" width="6.28515625" style="745" customWidth="1"/>
    <col min="2571" max="2571" width="11.42578125" style="745" customWidth="1"/>
    <col min="2572" max="2572" width="6.85546875" style="745" customWidth="1"/>
    <col min="2573" max="2573" width="12.140625" style="745" customWidth="1"/>
    <col min="2574" max="2574" width="5.7109375" style="745" customWidth="1"/>
    <col min="2575" max="2575" width="11.140625" style="745" customWidth="1"/>
    <col min="2576" max="2576" width="15.42578125" style="745" customWidth="1"/>
    <col min="2577" max="2577" width="14.7109375" style="745" customWidth="1"/>
    <col min="2578" max="2578" width="13.42578125" style="745" customWidth="1"/>
    <col min="2579" max="2579" width="15" style="745" customWidth="1"/>
    <col min="2580" max="2580" width="25.28515625" style="745" customWidth="1"/>
    <col min="2581" max="2581" width="25.7109375" style="745" customWidth="1"/>
    <col min="2582" max="2816" width="9.140625" style="745"/>
    <col min="2817" max="2817" width="5" style="745" customWidth="1"/>
    <col min="2818" max="2818" width="29.85546875" style="745" customWidth="1"/>
    <col min="2819" max="2819" width="6" style="745" customWidth="1"/>
    <col min="2820" max="2820" width="5.7109375" style="745" customWidth="1"/>
    <col min="2821" max="2821" width="5.85546875" style="745" customWidth="1"/>
    <col min="2822" max="2822" width="12.42578125" style="745" customWidth="1"/>
    <col min="2823" max="2823" width="6.140625" style="745" customWidth="1"/>
    <col min="2824" max="2824" width="9.42578125" style="745" customWidth="1"/>
    <col min="2825" max="2825" width="12.5703125" style="745" customWidth="1"/>
    <col min="2826" max="2826" width="6.28515625" style="745" customWidth="1"/>
    <col min="2827" max="2827" width="11.42578125" style="745" customWidth="1"/>
    <col min="2828" max="2828" width="6.85546875" style="745" customWidth="1"/>
    <col min="2829" max="2829" width="12.140625" style="745" customWidth="1"/>
    <col min="2830" max="2830" width="5.7109375" style="745" customWidth="1"/>
    <col min="2831" max="2831" width="11.140625" style="745" customWidth="1"/>
    <col min="2832" max="2832" width="15.42578125" style="745" customWidth="1"/>
    <col min="2833" max="2833" width="14.7109375" style="745" customWidth="1"/>
    <col min="2834" max="2834" width="13.42578125" style="745" customWidth="1"/>
    <col min="2835" max="2835" width="15" style="745" customWidth="1"/>
    <col min="2836" max="2836" width="25.28515625" style="745" customWidth="1"/>
    <col min="2837" max="2837" width="25.7109375" style="745" customWidth="1"/>
    <col min="2838" max="3072" width="9.140625" style="745"/>
    <col min="3073" max="3073" width="5" style="745" customWidth="1"/>
    <col min="3074" max="3074" width="29.85546875" style="745" customWidth="1"/>
    <col min="3075" max="3075" width="6" style="745" customWidth="1"/>
    <col min="3076" max="3076" width="5.7109375" style="745" customWidth="1"/>
    <col min="3077" max="3077" width="5.85546875" style="745" customWidth="1"/>
    <col min="3078" max="3078" width="12.42578125" style="745" customWidth="1"/>
    <col min="3079" max="3079" width="6.140625" style="745" customWidth="1"/>
    <col min="3080" max="3080" width="9.42578125" style="745" customWidth="1"/>
    <col min="3081" max="3081" width="12.5703125" style="745" customWidth="1"/>
    <col min="3082" max="3082" width="6.28515625" style="745" customWidth="1"/>
    <col min="3083" max="3083" width="11.42578125" style="745" customWidth="1"/>
    <col min="3084" max="3084" width="6.85546875" style="745" customWidth="1"/>
    <col min="3085" max="3085" width="12.140625" style="745" customWidth="1"/>
    <col min="3086" max="3086" width="5.7109375" style="745" customWidth="1"/>
    <col min="3087" max="3087" width="11.140625" style="745" customWidth="1"/>
    <col min="3088" max="3088" width="15.42578125" style="745" customWidth="1"/>
    <col min="3089" max="3089" width="14.7109375" style="745" customWidth="1"/>
    <col min="3090" max="3090" width="13.42578125" style="745" customWidth="1"/>
    <col min="3091" max="3091" width="15" style="745" customWidth="1"/>
    <col min="3092" max="3092" width="25.28515625" style="745" customWidth="1"/>
    <col min="3093" max="3093" width="25.7109375" style="745" customWidth="1"/>
    <col min="3094" max="3328" width="9.140625" style="745"/>
    <col min="3329" max="3329" width="5" style="745" customWidth="1"/>
    <col min="3330" max="3330" width="29.85546875" style="745" customWidth="1"/>
    <col min="3331" max="3331" width="6" style="745" customWidth="1"/>
    <col min="3332" max="3332" width="5.7109375" style="745" customWidth="1"/>
    <col min="3333" max="3333" width="5.85546875" style="745" customWidth="1"/>
    <col min="3334" max="3334" width="12.42578125" style="745" customWidth="1"/>
    <col min="3335" max="3335" width="6.140625" style="745" customWidth="1"/>
    <col min="3336" max="3336" width="9.42578125" style="745" customWidth="1"/>
    <col min="3337" max="3337" width="12.5703125" style="745" customWidth="1"/>
    <col min="3338" max="3338" width="6.28515625" style="745" customWidth="1"/>
    <col min="3339" max="3339" width="11.42578125" style="745" customWidth="1"/>
    <col min="3340" max="3340" width="6.85546875" style="745" customWidth="1"/>
    <col min="3341" max="3341" width="12.140625" style="745" customWidth="1"/>
    <col min="3342" max="3342" width="5.7109375" style="745" customWidth="1"/>
    <col min="3343" max="3343" width="11.140625" style="745" customWidth="1"/>
    <col min="3344" max="3344" width="15.42578125" style="745" customWidth="1"/>
    <col min="3345" max="3345" width="14.7109375" style="745" customWidth="1"/>
    <col min="3346" max="3346" width="13.42578125" style="745" customWidth="1"/>
    <col min="3347" max="3347" width="15" style="745" customWidth="1"/>
    <col min="3348" max="3348" width="25.28515625" style="745" customWidth="1"/>
    <col min="3349" max="3349" width="25.7109375" style="745" customWidth="1"/>
    <col min="3350" max="3584" width="9.140625" style="745"/>
    <col min="3585" max="3585" width="5" style="745" customWidth="1"/>
    <col min="3586" max="3586" width="29.85546875" style="745" customWidth="1"/>
    <col min="3587" max="3587" width="6" style="745" customWidth="1"/>
    <col min="3588" max="3588" width="5.7109375" style="745" customWidth="1"/>
    <col min="3589" max="3589" width="5.85546875" style="745" customWidth="1"/>
    <col min="3590" max="3590" width="12.42578125" style="745" customWidth="1"/>
    <col min="3591" max="3591" width="6.140625" style="745" customWidth="1"/>
    <col min="3592" max="3592" width="9.42578125" style="745" customWidth="1"/>
    <col min="3593" max="3593" width="12.5703125" style="745" customWidth="1"/>
    <col min="3594" max="3594" width="6.28515625" style="745" customWidth="1"/>
    <col min="3595" max="3595" width="11.42578125" style="745" customWidth="1"/>
    <col min="3596" max="3596" width="6.85546875" style="745" customWidth="1"/>
    <col min="3597" max="3597" width="12.140625" style="745" customWidth="1"/>
    <col min="3598" max="3598" width="5.7109375" style="745" customWidth="1"/>
    <col min="3599" max="3599" width="11.140625" style="745" customWidth="1"/>
    <col min="3600" max="3600" width="15.42578125" style="745" customWidth="1"/>
    <col min="3601" max="3601" width="14.7109375" style="745" customWidth="1"/>
    <col min="3602" max="3602" width="13.42578125" style="745" customWidth="1"/>
    <col min="3603" max="3603" width="15" style="745" customWidth="1"/>
    <col min="3604" max="3604" width="25.28515625" style="745" customWidth="1"/>
    <col min="3605" max="3605" width="25.7109375" style="745" customWidth="1"/>
    <col min="3606" max="3840" width="9.140625" style="745"/>
    <col min="3841" max="3841" width="5" style="745" customWidth="1"/>
    <col min="3842" max="3842" width="29.85546875" style="745" customWidth="1"/>
    <col min="3843" max="3843" width="6" style="745" customWidth="1"/>
    <col min="3844" max="3844" width="5.7109375" style="745" customWidth="1"/>
    <col min="3845" max="3845" width="5.85546875" style="745" customWidth="1"/>
    <col min="3846" max="3846" width="12.42578125" style="745" customWidth="1"/>
    <col min="3847" max="3847" width="6.140625" style="745" customWidth="1"/>
    <col min="3848" max="3848" width="9.42578125" style="745" customWidth="1"/>
    <col min="3849" max="3849" width="12.5703125" style="745" customWidth="1"/>
    <col min="3850" max="3850" width="6.28515625" style="745" customWidth="1"/>
    <col min="3851" max="3851" width="11.42578125" style="745" customWidth="1"/>
    <col min="3852" max="3852" width="6.85546875" style="745" customWidth="1"/>
    <col min="3853" max="3853" width="12.140625" style="745" customWidth="1"/>
    <col min="3854" max="3854" width="5.7109375" style="745" customWidth="1"/>
    <col min="3855" max="3855" width="11.140625" style="745" customWidth="1"/>
    <col min="3856" max="3856" width="15.42578125" style="745" customWidth="1"/>
    <col min="3857" max="3857" width="14.7109375" style="745" customWidth="1"/>
    <col min="3858" max="3858" width="13.42578125" style="745" customWidth="1"/>
    <col min="3859" max="3859" width="15" style="745" customWidth="1"/>
    <col min="3860" max="3860" width="25.28515625" style="745" customWidth="1"/>
    <col min="3861" max="3861" width="25.7109375" style="745" customWidth="1"/>
    <col min="3862" max="4096" width="9.140625" style="745"/>
    <col min="4097" max="4097" width="5" style="745" customWidth="1"/>
    <col min="4098" max="4098" width="29.85546875" style="745" customWidth="1"/>
    <col min="4099" max="4099" width="6" style="745" customWidth="1"/>
    <col min="4100" max="4100" width="5.7109375" style="745" customWidth="1"/>
    <col min="4101" max="4101" width="5.85546875" style="745" customWidth="1"/>
    <col min="4102" max="4102" width="12.42578125" style="745" customWidth="1"/>
    <col min="4103" max="4103" width="6.140625" style="745" customWidth="1"/>
    <col min="4104" max="4104" width="9.42578125" style="745" customWidth="1"/>
    <col min="4105" max="4105" width="12.5703125" style="745" customWidth="1"/>
    <col min="4106" max="4106" width="6.28515625" style="745" customWidth="1"/>
    <col min="4107" max="4107" width="11.42578125" style="745" customWidth="1"/>
    <col min="4108" max="4108" width="6.85546875" style="745" customWidth="1"/>
    <col min="4109" max="4109" width="12.140625" style="745" customWidth="1"/>
    <col min="4110" max="4110" width="5.7109375" style="745" customWidth="1"/>
    <col min="4111" max="4111" width="11.140625" style="745" customWidth="1"/>
    <col min="4112" max="4112" width="15.42578125" style="745" customWidth="1"/>
    <col min="4113" max="4113" width="14.7109375" style="745" customWidth="1"/>
    <col min="4114" max="4114" width="13.42578125" style="745" customWidth="1"/>
    <col min="4115" max="4115" width="15" style="745" customWidth="1"/>
    <col min="4116" max="4116" width="25.28515625" style="745" customWidth="1"/>
    <col min="4117" max="4117" width="25.7109375" style="745" customWidth="1"/>
    <col min="4118" max="4352" width="9.140625" style="745"/>
    <col min="4353" max="4353" width="5" style="745" customWidth="1"/>
    <col min="4354" max="4354" width="29.85546875" style="745" customWidth="1"/>
    <col min="4355" max="4355" width="6" style="745" customWidth="1"/>
    <col min="4356" max="4356" width="5.7109375" style="745" customWidth="1"/>
    <col min="4357" max="4357" width="5.85546875" style="745" customWidth="1"/>
    <col min="4358" max="4358" width="12.42578125" style="745" customWidth="1"/>
    <col min="4359" max="4359" width="6.140625" style="745" customWidth="1"/>
    <col min="4360" max="4360" width="9.42578125" style="745" customWidth="1"/>
    <col min="4361" max="4361" width="12.5703125" style="745" customWidth="1"/>
    <col min="4362" max="4362" width="6.28515625" style="745" customWidth="1"/>
    <col min="4363" max="4363" width="11.42578125" style="745" customWidth="1"/>
    <col min="4364" max="4364" width="6.85546875" style="745" customWidth="1"/>
    <col min="4365" max="4365" width="12.140625" style="745" customWidth="1"/>
    <col min="4366" max="4366" width="5.7109375" style="745" customWidth="1"/>
    <col min="4367" max="4367" width="11.140625" style="745" customWidth="1"/>
    <col min="4368" max="4368" width="15.42578125" style="745" customWidth="1"/>
    <col min="4369" max="4369" width="14.7109375" style="745" customWidth="1"/>
    <col min="4370" max="4370" width="13.42578125" style="745" customWidth="1"/>
    <col min="4371" max="4371" width="15" style="745" customWidth="1"/>
    <col min="4372" max="4372" width="25.28515625" style="745" customWidth="1"/>
    <col min="4373" max="4373" width="25.7109375" style="745" customWidth="1"/>
    <col min="4374" max="4608" width="9.140625" style="745"/>
    <col min="4609" max="4609" width="5" style="745" customWidth="1"/>
    <col min="4610" max="4610" width="29.85546875" style="745" customWidth="1"/>
    <col min="4611" max="4611" width="6" style="745" customWidth="1"/>
    <col min="4612" max="4612" width="5.7109375" style="745" customWidth="1"/>
    <col min="4613" max="4613" width="5.85546875" style="745" customWidth="1"/>
    <col min="4614" max="4614" width="12.42578125" style="745" customWidth="1"/>
    <col min="4615" max="4615" width="6.140625" style="745" customWidth="1"/>
    <col min="4616" max="4616" width="9.42578125" style="745" customWidth="1"/>
    <col min="4617" max="4617" width="12.5703125" style="745" customWidth="1"/>
    <col min="4618" max="4618" width="6.28515625" style="745" customWidth="1"/>
    <col min="4619" max="4619" width="11.42578125" style="745" customWidth="1"/>
    <col min="4620" max="4620" width="6.85546875" style="745" customWidth="1"/>
    <col min="4621" max="4621" width="12.140625" style="745" customWidth="1"/>
    <col min="4622" max="4622" width="5.7109375" style="745" customWidth="1"/>
    <col min="4623" max="4623" width="11.140625" style="745" customWidth="1"/>
    <col min="4624" max="4624" width="15.42578125" style="745" customWidth="1"/>
    <col min="4625" max="4625" width="14.7109375" style="745" customWidth="1"/>
    <col min="4626" max="4626" width="13.42578125" style="745" customWidth="1"/>
    <col min="4627" max="4627" width="15" style="745" customWidth="1"/>
    <col min="4628" max="4628" width="25.28515625" style="745" customWidth="1"/>
    <col min="4629" max="4629" width="25.7109375" style="745" customWidth="1"/>
    <col min="4630" max="4864" width="9.140625" style="745"/>
    <col min="4865" max="4865" width="5" style="745" customWidth="1"/>
    <col min="4866" max="4866" width="29.85546875" style="745" customWidth="1"/>
    <col min="4867" max="4867" width="6" style="745" customWidth="1"/>
    <col min="4868" max="4868" width="5.7109375" style="745" customWidth="1"/>
    <col min="4869" max="4869" width="5.85546875" style="745" customWidth="1"/>
    <col min="4870" max="4870" width="12.42578125" style="745" customWidth="1"/>
    <col min="4871" max="4871" width="6.140625" style="745" customWidth="1"/>
    <col min="4872" max="4872" width="9.42578125" style="745" customWidth="1"/>
    <col min="4873" max="4873" width="12.5703125" style="745" customWidth="1"/>
    <col min="4874" max="4874" width="6.28515625" style="745" customWidth="1"/>
    <col min="4875" max="4875" width="11.42578125" style="745" customWidth="1"/>
    <col min="4876" max="4876" width="6.85546875" style="745" customWidth="1"/>
    <col min="4877" max="4877" width="12.140625" style="745" customWidth="1"/>
    <col min="4878" max="4878" width="5.7109375" style="745" customWidth="1"/>
    <col min="4879" max="4879" width="11.140625" style="745" customWidth="1"/>
    <col min="4880" max="4880" width="15.42578125" style="745" customWidth="1"/>
    <col min="4881" max="4881" width="14.7109375" style="745" customWidth="1"/>
    <col min="4882" max="4882" width="13.42578125" style="745" customWidth="1"/>
    <col min="4883" max="4883" width="15" style="745" customWidth="1"/>
    <col min="4884" max="4884" width="25.28515625" style="745" customWidth="1"/>
    <col min="4885" max="4885" width="25.7109375" style="745" customWidth="1"/>
    <col min="4886" max="5120" width="9.140625" style="745"/>
    <col min="5121" max="5121" width="5" style="745" customWidth="1"/>
    <col min="5122" max="5122" width="29.85546875" style="745" customWidth="1"/>
    <col min="5123" max="5123" width="6" style="745" customWidth="1"/>
    <col min="5124" max="5124" width="5.7109375" style="745" customWidth="1"/>
    <col min="5125" max="5125" width="5.85546875" style="745" customWidth="1"/>
    <col min="5126" max="5126" width="12.42578125" style="745" customWidth="1"/>
    <col min="5127" max="5127" width="6.140625" style="745" customWidth="1"/>
    <col min="5128" max="5128" width="9.42578125" style="745" customWidth="1"/>
    <col min="5129" max="5129" width="12.5703125" style="745" customWidth="1"/>
    <col min="5130" max="5130" width="6.28515625" style="745" customWidth="1"/>
    <col min="5131" max="5131" width="11.42578125" style="745" customWidth="1"/>
    <col min="5132" max="5132" width="6.85546875" style="745" customWidth="1"/>
    <col min="5133" max="5133" width="12.140625" style="745" customWidth="1"/>
    <col min="5134" max="5134" width="5.7109375" style="745" customWidth="1"/>
    <col min="5135" max="5135" width="11.140625" style="745" customWidth="1"/>
    <col min="5136" max="5136" width="15.42578125" style="745" customWidth="1"/>
    <col min="5137" max="5137" width="14.7109375" style="745" customWidth="1"/>
    <col min="5138" max="5138" width="13.42578125" style="745" customWidth="1"/>
    <col min="5139" max="5139" width="15" style="745" customWidth="1"/>
    <col min="5140" max="5140" width="25.28515625" style="745" customWidth="1"/>
    <col min="5141" max="5141" width="25.7109375" style="745" customWidth="1"/>
    <col min="5142" max="5376" width="9.140625" style="745"/>
    <col min="5377" max="5377" width="5" style="745" customWidth="1"/>
    <col min="5378" max="5378" width="29.85546875" style="745" customWidth="1"/>
    <col min="5379" max="5379" width="6" style="745" customWidth="1"/>
    <col min="5380" max="5380" width="5.7109375" style="745" customWidth="1"/>
    <col min="5381" max="5381" width="5.85546875" style="745" customWidth="1"/>
    <col min="5382" max="5382" width="12.42578125" style="745" customWidth="1"/>
    <col min="5383" max="5383" width="6.140625" style="745" customWidth="1"/>
    <col min="5384" max="5384" width="9.42578125" style="745" customWidth="1"/>
    <col min="5385" max="5385" width="12.5703125" style="745" customWidth="1"/>
    <col min="5386" max="5386" width="6.28515625" style="745" customWidth="1"/>
    <col min="5387" max="5387" width="11.42578125" style="745" customWidth="1"/>
    <col min="5388" max="5388" width="6.85546875" style="745" customWidth="1"/>
    <col min="5389" max="5389" width="12.140625" style="745" customWidth="1"/>
    <col min="5390" max="5390" width="5.7109375" style="745" customWidth="1"/>
    <col min="5391" max="5391" width="11.140625" style="745" customWidth="1"/>
    <col min="5392" max="5392" width="15.42578125" style="745" customWidth="1"/>
    <col min="5393" max="5393" width="14.7109375" style="745" customWidth="1"/>
    <col min="5394" max="5394" width="13.42578125" style="745" customWidth="1"/>
    <col min="5395" max="5395" width="15" style="745" customWidth="1"/>
    <col min="5396" max="5396" width="25.28515625" style="745" customWidth="1"/>
    <col min="5397" max="5397" width="25.7109375" style="745" customWidth="1"/>
    <col min="5398" max="5632" width="9.140625" style="745"/>
    <col min="5633" max="5633" width="5" style="745" customWidth="1"/>
    <col min="5634" max="5634" width="29.85546875" style="745" customWidth="1"/>
    <col min="5635" max="5635" width="6" style="745" customWidth="1"/>
    <col min="5636" max="5636" width="5.7109375" style="745" customWidth="1"/>
    <col min="5637" max="5637" width="5.85546875" style="745" customWidth="1"/>
    <col min="5638" max="5638" width="12.42578125" style="745" customWidth="1"/>
    <col min="5639" max="5639" width="6.140625" style="745" customWidth="1"/>
    <col min="5640" max="5640" width="9.42578125" style="745" customWidth="1"/>
    <col min="5641" max="5641" width="12.5703125" style="745" customWidth="1"/>
    <col min="5642" max="5642" width="6.28515625" style="745" customWidth="1"/>
    <col min="5643" max="5643" width="11.42578125" style="745" customWidth="1"/>
    <col min="5644" max="5644" width="6.85546875" style="745" customWidth="1"/>
    <col min="5645" max="5645" width="12.140625" style="745" customWidth="1"/>
    <col min="5646" max="5646" width="5.7109375" style="745" customWidth="1"/>
    <col min="5647" max="5647" width="11.140625" style="745" customWidth="1"/>
    <col min="5648" max="5648" width="15.42578125" style="745" customWidth="1"/>
    <col min="5649" max="5649" width="14.7109375" style="745" customWidth="1"/>
    <col min="5650" max="5650" width="13.42578125" style="745" customWidth="1"/>
    <col min="5651" max="5651" width="15" style="745" customWidth="1"/>
    <col min="5652" max="5652" width="25.28515625" style="745" customWidth="1"/>
    <col min="5653" max="5653" width="25.7109375" style="745" customWidth="1"/>
    <col min="5654" max="5888" width="9.140625" style="745"/>
    <col min="5889" max="5889" width="5" style="745" customWidth="1"/>
    <col min="5890" max="5890" width="29.85546875" style="745" customWidth="1"/>
    <col min="5891" max="5891" width="6" style="745" customWidth="1"/>
    <col min="5892" max="5892" width="5.7109375" style="745" customWidth="1"/>
    <col min="5893" max="5893" width="5.85546875" style="745" customWidth="1"/>
    <col min="5894" max="5894" width="12.42578125" style="745" customWidth="1"/>
    <col min="5895" max="5895" width="6.140625" style="745" customWidth="1"/>
    <col min="5896" max="5896" width="9.42578125" style="745" customWidth="1"/>
    <col min="5897" max="5897" width="12.5703125" style="745" customWidth="1"/>
    <col min="5898" max="5898" width="6.28515625" style="745" customWidth="1"/>
    <col min="5899" max="5899" width="11.42578125" style="745" customWidth="1"/>
    <col min="5900" max="5900" width="6.85546875" style="745" customWidth="1"/>
    <col min="5901" max="5901" width="12.140625" style="745" customWidth="1"/>
    <col min="5902" max="5902" width="5.7109375" style="745" customWidth="1"/>
    <col min="5903" max="5903" width="11.140625" style="745" customWidth="1"/>
    <col min="5904" max="5904" width="15.42578125" style="745" customWidth="1"/>
    <col min="5905" max="5905" width="14.7109375" style="745" customWidth="1"/>
    <col min="5906" max="5906" width="13.42578125" style="745" customWidth="1"/>
    <col min="5907" max="5907" width="15" style="745" customWidth="1"/>
    <col min="5908" max="5908" width="25.28515625" style="745" customWidth="1"/>
    <col min="5909" max="5909" width="25.7109375" style="745" customWidth="1"/>
    <col min="5910" max="6144" width="9.140625" style="745"/>
    <col min="6145" max="6145" width="5" style="745" customWidth="1"/>
    <col min="6146" max="6146" width="29.85546875" style="745" customWidth="1"/>
    <col min="6147" max="6147" width="6" style="745" customWidth="1"/>
    <col min="6148" max="6148" width="5.7109375" style="745" customWidth="1"/>
    <col min="6149" max="6149" width="5.85546875" style="745" customWidth="1"/>
    <col min="6150" max="6150" width="12.42578125" style="745" customWidth="1"/>
    <col min="6151" max="6151" width="6.140625" style="745" customWidth="1"/>
    <col min="6152" max="6152" width="9.42578125" style="745" customWidth="1"/>
    <col min="6153" max="6153" width="12.5703125" style="745" customWidth="1"/>
    <col min="6154" max="6154" width="6.28515625" style="745" customWidth="1"/>
    <col min="6155" max="6155" width="11.42578125" style="745" customWidth="1"/>
    <col min="6156" max="6156" width="6.85546875" style="745" customWidth="1"/>
    <col min="6157" max="6157" width="12.140625" style="745" customWidth="1"/>
    <col min="6158" max="6158" width="5.7109375" style="745" customWidth="1"/>
    <col min="6159" max="6159" width="11.140625" style="745" customWidth="1"/>
    <col min="6160" max="6160" width="15.42578125" style="745" customWidth="1"/>
    <col min="6161" max="6161" width="14.7109375" style="745" customWidth="1"/>
    <col min="6162" max="6162" width="13.42578125" style="745" customWidth="1"/>
    <col min="6163" max="6163" width="15" style="745" customWidth="1"/>
    <col min="6164" max="6164" width="25.28515625" style="745" customWidth="1"/>
    <col min="6165" max="6165" width="25.7109375" style="745" customWidth="1"/>
    <col min="6166" max="6400" width="9.140625" style="745"/>
    <col min="6401" max="6401" width="5" style="745" customWidth="1"/>
    <col min="6402" max="6402" width="29.85546875" style="745" customWidth="1"/>
    <col min="6403" max="6403" width="6" style="745" customWidth="1"/>
    <col min="6404" max="6404" width="5.7109375" style="745" customWidth="1"/>
    <col min="6405" max="6405" width="5.85546875" style="745" customWidth="1"/>
    <col min="6406" max="6406" width="12.42578125" style="745" customWidth="1"/>
    <col min="6407" max="6407" width="6.140625" style="745" customWidth="1"/>
    <col min="6408" max="6408" width="9.42578125" style="745" customWidth="1"/>
    <col min="6409" max="6409" width="12.5703125" style="745" customWidth="1"/>
    <col min="6410" max="6410" width="6.28515625" style="745" customWidth="1"/>
    <col min="6411" max="6411" width="11.42578125" style="745" customWidth="1"/>
    <col min="6412" max="6412" width="6.85546875" style="745" customWidth="1"/>
    <col min="6413" max="6413" width="12.140625" style="745" customWidth="1"/>
    <col min="6414" max="6414" width="5.7109375" style="745" customWidth="1"/>
    <col min="6415" max="6415" width="11.140625" style="745" customWidth="1"/>
    <col min="6416" max="6416" width="15.42578125" style="745" customWidth="1"/>
    <col min="6417" max="6417" width="14.7109375" style="745" customWidth="1"/>
    <col min="6418" max="6418" width="13.42578125" style="745" customWidth="1"/>
    <col min="6419" max="6419" width="15" style="745" customWidth="1"/>
    <col min="6420" max="6420" width="25.28515625" style="745" customWidth="1"/>
    <col min="6421" max="6421" width="25.7109375" style="745" customWidth="1"/>
    <col min="6422" max="6656" width="9.140625" style="745"/>
    <col min="6657" max="6657" width="5" style="745" customWidth="1"/>
    <col min="6658" max="6658" width="29.85546875" style="745" customWidth="1"/>
    <col min="6659" max="6659" width="6" style="745" customWidth="1"/>
    <col min="6660" max="6660" width="5.7109375" style="745" customWidth="1"/>
    <col min="6661" max="6661" width="5.85546875" style="745" customWidth="1"/>
    <col min="6662" max="6662" width="12.42578125" style="745" customWidth="1"/>
    <col min="6663" max="6663" width="6.140625" style="745" customWidth="1"/>
    <col min="6664" max="6664" width="9.42578125" style="745" customWidth="1"/>
    <col min="6665" max="6665" width="12.5703125" style="745" customWidth="1"/>
    <col min="6666" max="6666" width="6.28515625" style="745" customWidth="1"/>
    <col min="6667" max="6667" width="11.42578125" style="745" customWidth="1"/>
    <col min="6668" max="6668" width="6.85546875" style="745" customWidth="1"/>
    <col min="6669" max="6669" width="12.140625" style="745" customWidth="1"/>
    <col min="6670" max="6670" width="5.7109375" style="745" customWidth="1"/>
    <col min="6671" max="6671" width="11.140625" style="745" customWidth="1"/>
    <col min="6672" max="6672" width="15.42578125" style="745" customWidth="1"/>
    <col min="6673" max="6673" width="14.7109375" style="745" customWidth="1"/>
    <col min="6674" max="6674" width="13.42578125" style="745" customWidth="1"/>
    <col min="6675" max="6675" width="15" style="745" customWidth="1"/>
    <col min="6676" max="6676" width="25.28515625" style="745" customWidth="1"/>
    <col min="6677" max="6677" width="25.7109375" style="745" customWidth="1"/>
    <col min="6678" max="6912" width="9.140625" style="745"/>
    <col min="6913" max="6913" width="5" style="745" customWidth="1"/>
    <col min="6914" max="6914" width="29.85546875" style="745" customWidth="1"/>
    <col min="6915" max="6915" width="6" style="745" customWidth="1"/>
    <col min="6916" max="6916" width="5.7109375" style="745" customWidth="1"/>
    <col min="6917" max="6917" width="5.85546875" style="745" customWidth="1"/>
    <col min="6918" max="6918" width="12.42578125" style="745" customWidth="1"/>
    <col min="6919" max="6919" width="6.140625" style="745" customWidth="1"/>
    <col min="6920" max="6920" width="9.42578125" style="745" customWidth="1"/>
    <col min="6921" max="6921" width="12.5703125" style="745" customWidth="1"/>
    <col min="6922" max="6922" width="6.28515625" style="745" customWidth="1"/>
    <col min="6923" max="6923" width="11.42578125" style="745" customWidth="1"/>
    <col min="6924" max="6924" width="6.85546875" style="745" customWidth="1"/>
    <col min="6925" max="6925" width="12.140625" style="745" customWidth="1"/>
    <col min="6926" max="6926" width="5.7109375" style="745" customWidth="1"/>
    <col min="6927" max="6927" width="11.140625" style="745" customWidth="1"/>
    <col min="6928" max="6928" width="15.42578125" style="745" customWidth="1"/>
    <col min="6929" max="6929" width="14.7109375" style="745" customWidth="1"/>
    <col min="6930" max="6930" width="13.42578125" style="745" customWidth="1"/>
    <col min="6931" max="6931" width="15" style="745" customWidth="1"/>
    <col min="6932" max="6932" width="25.28515625" style="745" customWidth="1"/>
    <col min="6933" max="6933" width="25.7109375" style="745" customWidth="1"/>
    <col min="6934" max="7168" width="9.140625" style="745"/>
    <col min="7169" max="7169" width="5" style="745" customWidth="1"/>
    <col min="7170" max="7170" width="29.85546875" style="745" customWidth="1"/>
    <col min="7171" max="7171" width="6" style="745" customWidth="1"/>
    <col min="7172" max="7172" width="5.7109375" style="745" customWidth="1"/>
    <col min="7173" max="7173" width="5.85546875" style="745" customWidth="1"/>
    <col min="7174" max="7174" width="12.42578125" style="745" customWidth="1"/>
    <col min="7175" max="7175" width="6.140625" style="745" customWidth="1"/>
    <col min="7176" max="7176" width="9.42578125" style="745" customWidth="1"/>
    <col min="7177" max="7177" width="12.5703125" style="745" customWidth="1"/>
    <col min="7178" max="7178" width="6.28515625" style="745" customWidth="1"/>
    <col min="7179" max="7179" width="11.42578125" style="745" customWidth="1"/>
    <col min="7180" max="7180" width="6.85546875" style="745" customWidth="1"/>
    <col min="7181" max="7181" width="12.140625" style="745" customWidth="1"/>
    <col min="7182" max="7182" width="5.7109375" style="745" customWidth="1"/>
    <col min="7183" max="7183" width="11.140625" style="745" customWidth="1"/>
    <col min="7184" max="7184" width="15.42578125" style="745" customWidth="1"/>
    <col min="7185" max="7185" width="14.7109375" style="745" customWidth="1"/>
    <col min="7186" max="7186" width="13.42578125" style="745" customWidth="1"/>
    <col min="7187" max="7187" width="15" style="745" customWidth="1"/>
    <col min="7188" max="7188" width="25.28515625" style="745" customWidth="1"/>
    <col min="7189" max="7189" width="25.7109375" style="745" customWidth="1"/>
    <col min="7190" max="7424" width="9.140625" style="745"/>
    <col min="7425" max="7425" width="5" style="745" customWidth="1"/>
    <col min="7426" max="7426" width="29.85546875" style="745" customWidth="1"/>
    <col min="7427" max="7427" width="6" style="745" customWidth="1"/>
    <col min="7428" max="7428" width="5.7109375" style="745" customWidth="1"/>
    <col min="7429" max="7429" width="5.85546875" style="745" customWidth="1"/>
    <col min="7430" max="7430" width="12.42578125" style="745" customWidth="1"/>
    <col min="7431" max="7431" width="6.140625" style="745" customWidth="1"/>
    <col min="7432" max="7432" width="9.42578125" style="745" customWidth="1"/>
    <col min="7433" max="7433" width="12.5703125" style="745" customWidth="1"/>
    <col min="7434" max="7434" width="6.28515625" style="745" customWidth="1"/>
    <col min="7435" max="7435" width="11.42578125" style="745" customWidth="1"/>
    <col min="7436" max="7436" width="6.85546875" style="745" customWidth="1"/>
    <col min="7437" max="7437" width="12.140625" style="745" customWidth="1"/>
    <col min="7438" max="7438" width="5.7109375" style="745" customWidth="1"/>
    <col min="7439" max="7439" width="11.140625" style="745" customWidth="1"/>
    <col min="7440" max="7440" width="15.42578125" style="745" customWidth="1"/>
    <col min="7441" max="7441" width="14.7109375" style="745" customWidth="1"/>
    <col min="7442" max="7442" width="13.42578125" style="745" customWidth="1"/>
    <col min="7443" max="7443" width="15" style="745" customWidth="1"/>
    <col min="7444" max="7444" width="25.28515625" style="745" customWidth="1"/>
    <col min="7445" max="7445" width="25.7109375" style="745" customWidth="1"/>
    <col min="7446" max="7680" width="9.140625" style="745"/>
    <col min="7681" max="7681" width="5" style="745" customWidth="1"/>
    <col min="7682" max="7682" width="29.85546875" style="745" customWidth="1"/>
    <col min="7683" max="7683" width="6" style="745" customWidth="1"/>
    <col min="7684" max="7684" width="5.7109375" style="745" customWidth="1"/>
    <col min="7685" max="7685" width="5.85546875" style="745" customWidth="1"/>
    <col min="7686" max="7686" width="12.42578125" style="745" customWidth="1"/>
    <col min="7687" max="7687" width="6.140625" style="745" customWidth="1"/>
    <col min="7688" max="7688" width="9.42578125" style="745" customWidth="1"/>
    <col min="7689" max="7689" width="12.5703125" style="745" customWidth="1"/>
    <col min="7690" max="7690" width="6.28515625" style="745" customWidth="1"/>
    <col min="7691" max="7691" width="11.42578125" style="745" customWidth="1"/>
    <col min="7692" max="7692" width="6.85546875" style="745" customWidth="1"/>
    <col min="7693" max="7693" width="12.140625" style="745" customWidth="1"/>
    <col min="7694" max="7694" width="5.7109375" style="745" customWidth="1"/>
    <col min="7695" max="7695" width="11.140625" style="745" customWidth="1"/>
    <col min="7696" max="7696" width="15.42578125" style="745" customWidth="1"/>
    <col min="7697" max="7697" width="14.7109375" style="745" customWidth="1"/>
    <col min="7698" max="7698" width="13.42578125" style="745" customWidth="1"/>
    <col min="7699" max="7699" width="15" style="745" customWidth="1"/>
    <col min="7700" max="7700" width="25.28515625" style="745" customWidth="1"/>
    <col min="7701" max="7701" width="25.7109375" style="745" customWidth="1"/>
    <col min="7702" max="7936" width="9.140625" style="745"/>
    <col min="7937" max="7937" width="5" style="745" customWidth="1"/>
    <col min="7938" max="7938" width="29.85546875" style="745" customWidth="1"/>
    <col min="7939" max="7939" width="6" style="745" customWidth="1"/>
    <col min="7940" max="7940" width="5.7109375" style="745" customWidth="1"/>
    <col min="7941" max="7941" width="5.85546875" style="745" customWidth="1"/>
    <col min="7942" max="7942" width="12.42578125" style="745" customWidth="1"/>
    <col min="7943" max="7943" width="6.140625" style="745" customWidth="1"/>
    <col min="7944" max="7944" width="9.42578125" style="745" customWidth="1"/>
    <col min="7945" max="7945" width="12.5703125" style="745" customWidth="1"/>
    <col min="7946" max="7946" width="6.28515625" style="745" customWidth="1"/>
    <col min="7947" max="7947" width="11.42578125" style="745" customWidth="1"/>
    <col min="7948" max="7948" width="6.85546875" style="745" customWidth="1"/>
    <col min="7949" max="7949" width="12.140625" style="745" customWidth="1"/>
    <col min="7950" max="7950" width="5.7109375" style="745" customWidth="1"/>
    <col min="7951" max="7951" width="11.140625" style="745" customWidth="1"/>
    <col min="7952" max="7952" width="15.42578125" style="745" customWidth="1"/>
    <col min="7953" max="7953" width="14.7109375" style="745" customWidth="1"/>
    <col min="7954" max="7954" width="13.42578125" style="745" customWidth="1"/>
    <col min="7955" max="7955" width="15" style="745" customWidth="1"/>
    <col min="7956" max="7956" width="25.28515625" style="745" customWidth="1"/>
    <col min="7957" max="7957" width="25.7109375" style="745" customWidth="1"/>
    <col min="7958" max="8192" width="9.140625" style="745"/>
    <col min="8193" max="8193" width="5" style="745" customWidth="1"/>
    <col min="8194" max="8194" width="29.85546875" style="745" customWidth="1"/>
    <col min="8195" max="8195" width="6" style="745" customWidth="1"/>
    <col min="8196" max="8196" width="5.7109375" style="745" customWidth="1"/>
    <col min="8197" max="8197" width="5.85546875" style="745" customWidth="1"/>
    <col min="8198" max="8198" width="12.42578125" style="745" customWidth="1"/>
    <col min="8199" max="8199" width="6.140625" style="745" customWidth="1"/>
    <col min="8200" max="8200" width="9.42578125" style="745" customWidth="1"/>
    <col min="8201" max="8201" width="12.5703125" style="745" customWidth="1"/>
    <col min="8202" max="8202" width="6.28515625" style="745" customWidth="1"/>
    <col min="8203" max="8203" width="11.42578125" style="745" customWidth="1"/>
    <col min="8204" max="8204" width="6.85546875" style="745" customWidth="1"/>
    <col min="8205" max="8205" width="12.140625" style="745" customWidth="1"/>
    <col min="8206" max="8206" width="5.7109375" style="745" customWidth="1"/>
    <col min="8207" max="8207" width="11.140625" style="745" customWidth="1"/>
    <col min="8208" max="8208" width="15.42578125" style="745" customWidth="1"/>
    <col min="8209" max="8209" width="14.7109375" style="745" customWidth="1"/>
    <col min="8210" max="8210" width="13.42578125" style="745" customWidth="1"/>
    <col min="8211" max="8211" width="15" style="745" customWidth="1"/>
    <col min="8212" max="8212" width="25.28515625" style="745" customWidth="1"/>
    <col min="8213" max="8213" width="25.7109375" style="745" customWidth="1"/>
    <col min="8214" max="8448" width="9.140625" style="745"/>
    <col min="8449" max="8449" width="5" style="745" customWidth="1"/>
    <col min="8450" max="8450" width="29.85546875" style="745" customWidth="1"/>
    <col min="8451" max="8451" width="6" style="745" customWidth="1"/>
    <col min="8452" max="8452" width="5.7109375" style="745" customWidth="1"/>
    <col min="8453" max="8453" width="5.85546875" style="745" customWidth="1"/>
    <col min="8454" max="8454" width="12.42578125" style="745" customWidth="1"/>
    <col min="8455" max="8455" width="6.140625" style="745" customWidth="1"/>
    <col min="8456" max="8456" width="9.42578125" style="745" customWidth="1"/>
    <col min="8457" max="8457" width="12.5703125" style="745" customWidth="1"/>
    <col min="8458" max="8458" width="6.28515625" style="745" customWidth="1"/>
    <col min="8459" max="8459" width="11.42578125" style="745" customWidth="1"/>
    <col min="8460" max="8460" width="6.85546875" style="745" customWidth="1"/>
    <col min="8461" max="8461" width="12.140625" style="745" customWidth="1"/>
    <col min="8462" max="8462" width="5.7109375" style="745" customWidth="1"/>
    <col min="8463" max="8463" width="11.140625" style="745" customWidth="1"/>
    <col min="8464" max="8464" width="15.42578125" style="745" customWidth="1"/>
    <col min="8465" max="8465" width="14.7109375" style="745" customWidth="1"/>
    <col min="8466" max="8466" width="13.42578125" style="745" customWidth="1"/>
    <col min="8467" max="8467" width="15" style="745" customWidth="1"/>
    <col min="8468" max="8468" width="25.28515625" style="745" customWidth="1"/>
    <col min="8469" max="8469" width="25.7109375" style="745" customWidth="1"/>
    <col min="8470" max="8704" width="9.140625" style="745"/>
    <col min="8705" max="8705" width="5" style="745" customWidth="1"/>
    <col min="8706" max="8706" width="29.85546875" style="745" customWidth="1"/>
    <col min="8707" max="8707" width="6" style="745" customWidth="1"/>
    <col min="8708" max="8708" width="5.7109375" style="745" customWidth="1"/>
    <col min="8709" max="8709" width="5.85546875" style="745" customWidth="1"/>
    <col min="8710" max="8710" width="12.42578125" style="745" customWidth="1"/>
    <col min="8711" max="8711" width="6.140625" style="745" customWidth="1"/>
    <col min="8712" max="8712" width="9.42578125" style="745" customWidth="1"/>
    <col min="8713" max="8713" width="12.5703125" style="745" customWidth="1"/>
    <col min="8714" max="8714" width="6.28515625" style="745" customWidth="1"/>
    <col min="8715" max="8715" width="11.42578125" style="745" customWidth="1"/>
    <col min="8716" max="8716" width="6.85546875" style="745" customWidth="1"/>
    <col min="8717" max="8717" width="12.140625" style="745" customWidth="1"/>
    <col min="8718" max="8718" width="5.7109375" style="745" customWidth="1"/>
    <col min="8719" max="8719" width="11.140625" style="745" customWidth="1"/>
    <col min="8720" max="8720" width="15.42578125" style="745" customWidth="1"/>
    <col min="8721" max="8721" width="14.7109375" style="745" customWidth="1"/>
    <col min="8722" max="8722" width="13.42578125" style="745" customWidth="1"/>
    <col min="8723" max="8723" width="15" style="745" customWidth="1"/>
    <col min="8724" max="8724" width="25.28515625" style="745" customWidth="1"/>
    <col min="8725" max="8725" width="25.7109375" style="745" customWidth="1"/>
    <col min="8726" max="8960" width="9.140625" style="745"/>
    <col min="8961" max="8961" width="5" style="745" customWidth="1"/>
    <col min="8962" max="8962" width="29.85546875" style="745" customWidth="1"/>
    <col min="8963" max="8963" width="6" style="745" customWidth="1"/>
    <col min="8964" max="8964" width="5.7109375" style="745" customWidth="1"/>
    <col min="8965" max="8965" width="5.85546875" style="745" customWidth="1"/>
    <col min="8966" max="8966" width="12.42578125" style="745" customWidth="1"/>
    <col min="8967" max="8967" width="6.140625" style="745" customWidth="1"/>
    <col min="8968" max="8968" width="9.42578125" style="745" customWidth="1"/>
    <col min="8969" max="8969" width="12.5703125" style="745" customWidth="1"/>
    <col min="8970" max="8970" width="6.28515625" style="745" customWidth="1"/>
    <col min="8971" max="8971" width="11.42578125" style="745" customWidth="1"/>
    <col min="8972" max="8972" width="6.85546875" style="745" customWidth="1"/>
    <col min="8973" max="8973" width="12.140625" style="745" customWidth="1"/>
    <col min="8974" max="8974" width="5.7109375" style="745" customWidth="1"/>
    <col min="8975" max="8975" width="11.140625" style="745" customWidth="1"/>
    <col min="8976" max="8976" width="15.42578125" style="745" customWidth="1"/>
    <col min="8977" max="8977" width="14.7109375" style="745" customWidth="1"/>
    <col min="8978" max="8978" width="13.42578125" style="745" customWidth="1"/>
    <col min="8979" max="8979" width="15" style="745" customWidth="1"/>
    <col min="8980" max="8980" width="25.28515625" style="745" customWidth="1"/>
    <col min="8981" max="8981" width="25.7109375" style="745" customWidth="1"/>
    <col min="8982" max="9216" width="9.140625" style="745"/>
    <col min="9217" max="9217" width="5" style="745" customWidth="1"/>
    <col min="9218" max="9218" width="29.85546875" style="745" customWidth="1"/>
    <col min="9219" max="9219" width="6" style="745" customWidth="1"/>
    <col min="9220" max="9220" width="5.7109375" style="745" customWidth="1"/>
    <col min="9221" max="9221" width="5.85546875" style="745" customWidth="1"/>
    <col min="9222" max="9222" width="12.42578125" style="745" customWidth="1"/>
    <col min="9223" max="9223" width="6.140625" style="745" customWidth="1"/>
    <col min="9224" max="9224" width="9.42578125" style="745" customWidth="1"/>
    <col min="9225" max="9225" width="12.5703125" style="745" customWidth="1"/>
    <col min="9226" max="9226" width="6.28515625" style="745" customWidth="1"/>
    <col min="9227" max="9227" width="11.42578125" style="745" customWidth="1"/>
    <col min="9228" max="9228" width="6.85546875" style="745" customWidth="1"/>
    <col min="9229" max="9229" width="12.140625" style="745" customWidth="1"/>
    <col min="9230" max="9230" width="5.7109375" style="745" customWidth="1"/>
    <col min="9231" max="9231" width="11.140625" style="745" customWidth="1"/>
    <col min="9232" max="9232" width="15.42578125" style="745" customWidth="1"/>
    <col min="9233" max="9233" width="14.7109375" style="745" customWidth="1"/>
    <col min="9234" max="9234" width="13.42578125" style="745" customWidth="1"/>
    <col min="9235" max="9235" width="15" style="745" customWidth="1"/>
    <col min="9236" max="9236" width="25.28515625" style="745" customWidth="1"/>
    <col min="9237" max="9237" width="25.7109375" style="745" customWidth="1"/>
    <col min="9238" max="9472" width="9.140625" style="745"/>
    <col min="9473" max="9473" width="5" style="745" customWidth="1"/>
    <col min="9474" max="9474" width="29.85546875" style="745" customWidth="1"/>
    <col min="9475" max="9475" width="6" style="745" customWidth="1"/>
    <col min="9476" max="9476" width="5.7109375" style="745" customWidth="1"/>
    <col min="9477" max="9477" width="5.85546875" style="745" customWidth="1"/>
    <col min="9478" max="9478" width="12.42578125" style="745" customWidth="1"/>
    <col min="9479" max="9479" width="6.140625" style="745" customWidth="1"/>
    <col min="9480" max="9480" width="9.42578125" style="745" customWidth="1"/>
    <col min="9481" max="9481" width="12.5703125" style="745" customWidth="1"/>
    <col min="9482" max="9482" width="6.28515625" style="745" customWidth="1"/>
    <col min="9483" max="9483" width="11.42578125" style="745" customWidth="1"/>
    <col min="9484" max="9484" width="6.85546875" style="745" customWidth="1"/>
    <col min="9485" max="9485" width="12.140625" style="745" customWidth="1"/>
    <col min="9486" max="9486" width="5.7109375" style="745" customWidth="1"/>
    <col min="9487" max="9487" width="11.140625" style="745" customWidth="1"/>
    <col min="9488" max="9488" width="15.42578125" style="745" customWidth="1"/>
    <col min="9489" max="9489" width="14.7109375" style="745" customWidth="1"/>
    <col min="9490" max="9490" width="13.42578125" style="745" customWidth="1"/>
    <col min="9491" max="9491" width="15" style="745" customWidth="1"/>
    <col min="9492" max="9492" width="25.28515625" style="745" customWidth="1"/>
    <col min="9493" max="9493" width="25.7109375" style="745" customWidth="1"/>
    <col min="9494" max="9728" width="9.140625" style="745"/>
    <col min="9729" max="9729" width="5" style="745" customWidth="1"/>
    <col min="9730" max="9730" width="29.85546875" style="745" customWidth="1"/>
    <col min="9731" max="9731" width="6" style="745" customWidth="1"/>
    <col min="9732" max="9732" width="5.7109375" style="745" customWidth="1"/>
    <col min="9733" max="9733" width="5.85546875" style="745" customWidth="1"/>
    <col min="9734" max="9734" width="12.42578125" style="745" customWidth="1"/>
    <col min="9735" max="9735" width="6.140625" style="745" customWidth="1"/>
    <col min="9736" max="9736" width="9.42578125" style="745" customWidth="1"/>
    <col min="9737" max="9737" width="12.5703125" style="745" customWidth="1"/>
    <col min="9738" max="9738" width="6.28515625" style="745" customWidth="1"/>
    <col min="9739" max="9739" width="11.42578125" style="745" customWidth="1"/>
    <col min="9740" max="9740" width="6.85546875" style="745" customWidth="1"/>
    <col min="9741" max="9741" width="12.140625" style="745" customWidth="1"/>
    <col min="9742" max="9742" width="5.7109375" style="745" customWidth="1"/>
    <col min="9743" max="9743" width="11.140625" style="745" customWidth="1"/>
    <col min="9744" max="9744" width="15.42578125" style="745" customWidth="1"/>
    <col min="9745" max="9745" width="14.7109375" style="745" customWidth="1"/>
    <col min="9746" max="9746" width="13.42578125" style="745" customWidth="1"/>
    <col min="9747" max="9747" width="15" style="745" customWidth="1"/>
    <col min="9748" max="9748" width="25.28515625" style="745" customWidth="1"/>
    <col min="9749" max="9749" width="25.7109375" style="745" customWidth="1"/>
    <col min="9750" max="9984" width="9.140625" style="745"/>
    <col min="9985" max="9985" width="5" style="745" customWidth="1"/>
    <col min="9986" max="9986" width="29.85546875" style="745" customWidth="1"/>
    <col min="9987" max="9987" width="6" style="745" customWidth="1"/>
    <col min="9988" max="9988" width="5.7109375" style="745" customWidth="1"/>
    <col min="9989" max="9989" width="5.85546875" style="745" customWidth="1"/>
    <col min="9990" max="9990" width="12.42578125" style="745" customWidth="1"/>
    <col min="9991" max="9991" width="6.140625" style="745" customWidth="1"/>
    <col min="9992" max="9992" width="9.42578125" style="745" customWidth="1"/>
    <col min="9993" max="9993" width="12.5703125" style="745" customWidth="1"/>
    <col min="9994" max="9994" width="6.28515625" style="745" customWidth="1"/>
    <col min="9995" max="9995" width="11.42578125" style="745" customWidth="1"/>
    <col min="9996" max="9996" width="6.85546875" style="745" customWidth="1"/>
    <col min="9997" max="9997" width="12.140625" style="745" customWidth="1"/>
    <col min="9998" max="9998" width="5.7109375" style="745" customWidth="1"/>
    <col min="9999" max="9999" width="11.140625" style="745" customWidth="1"/>
    <col min="10000" max="10000" width="15.42578125" style="745" customWidth="1"/>
    <col min="10001" max="10001" width="14.7109375" style="745" customWidth="1"/>
    <col min="10002" max="10002" width="13.42578125" style="745" customWidth="1"/>
    <col min="10003" max="10003" width="15" style="745" customWidth="1"/>
    <col min="10004" max="10004" width="25.28515625" style="745" customWidth="1"/>
    <col min="10005" max="10005" width="25.7109375" style="745" customWidth="1"/>
    <col min="10006" max="10240" width="9.140625" style="745"/>
    <col min="10241" max="10241" width="5" style="745" customWidth="1"/>
    <col min="10242" max="10242" width="29.85546875" style="745" customWidth="1"/>
    <col min="10243" max="10243" width="6" style="745" customWidth="1"/>
    <col min="10244" max="10244" width="5.7109375" style="745" customWidth="1"/>
    <col min="10245" max="10245" width="5.85546875" style="745" customWidth="1"/>
    <col min="10246" max="10246" width="12.42578125" style="745" customWidth="1"/>
    <col min="10247" max="10247" width="6.140625" style="745" customWidth="1"/>
    <col min="10248" max="10248" width="9.42578125" style="745" customWidth="1"/>
    <col min="10249" max="10249" width="12.5703125" style="745" customWidth="1"/>
    <col min="10250" max="10250" width="6.28515625" style="745" customWidth="1"/>
    <col min="10251" max="10251" width="11.42578125" style="745" customWidth="1"/>
    <col min="10252" max="10252" width="6.85546875" style="745" customWidth="1"/>
    <col min="10253" max="10253" width="12.140625" style="745" customWidth="1"/>
    <col min="10254" max="10254" width="5.7109375" style="745" customWidth="1"/>
    <col min="10255" max="10255" width="11.140625" style="745" customWidth="1"/>
    <col min="10256" max="10256" width="15.42578125" style="745" customWidth="1"/>
    <col min="10257" max="10257" width="14.7109375" style="745" customWidth="1"/>
    <col min="10258" max="10258" width="13.42578125" style="745" customWidth="1"/>
    <col min="10259" max="10259" width="15" style="745" customWidth="1"/>
    <col min="10260" max="10260" width="25.28515625" style="745" customWidth="1"/>
    <col min="10261" max="10261" width="25.7109375" style="745" customWidth="1"/>
    <col min="10262" max="10496" width="9.140625" style="745"/>
    <col min="10497" max="10497" width="5" style="745" customWidth="1"/>
    <col min="10498" max="10498" width="29.85546875" style="745" customWidth="1"/>
    <col min="10499" max="10499" width="6" style="745" customWidth="1"/>
    <col min="10500" max="10500" width="5.7109375" style="745" customWidth="1"/>
    <col min="10501" max="10501" width="5.85546875" style="745" customWidth="1"/>
    <col min="10502" max="10502" width="12.42578125" style="745" customWidth="1"/>
    <col min="10503" max="10503" width="6.140625" style="745" customWidth="1"/>
    <col min="10504" max="10504" width="9.42578125" style="745" customWidth="1"/>
    <col min="10505" max="10505" width="12.5703125" style="745" customWidth="1"/>
    <col min="10506" max="10506" width="6.28515625" style="745" customWidth="1"/>
    <col min="10507" max="10507" width="11.42578125" style="745" customWidth="1"/>
    <col min="10508" max="10508" width="6.85546875" style="745" customWidth="1"/>
    <col min="10509" max="10509" width="12.140625" style="745" customWidth="1"/>
    <col min="10510" max="10510" width="5.7109375" style="745" customWidth="1"/>
    <col min="10511" max="10511" width="11.140625" style="745" customWidth="1"/>
    <col min="10512" max="10512" width="15.42578125" style="745" customWidth="1"/>
    <col min="10513" max="10513" width="14.7109375" style="745" customWidth="1"/>
    <col min="10514" max="10514" width="13.42578125" style="745" customWidth="1"/>
    <col min="10515" max="10515" width="15" style="745" customWidth="1"/>
    <col min="10516" max="10516" width="25.28515625" style="745" customWidth="1"/>
    <col min="10517" max="10517" width="25.7109375" style="745" customWidth="1"/>
    <col min="10518" max="10752" width="9.140625" style="745"/>
    <col min="10753" max="10753" width="5" style="745" customWidth="1"/>
    <col min="10754" max="10754" width="29.85546875" style="745" customWidth="1"/>
    <col min="10755" max="10755" width="6" style="745" customWidth="1"/>
    <col min="10756" max="10756" width="5.7109375" style="745" customWidth="1"/>
    <col min="10757" max="10757" width="5.85546875" style="745" customWidth="1"/>
    <col min="10758" max="10758" width="12.42578125" style="745" customWidth="1"/>
    <col min="10759" max="10759" width="6.140625" style="745" customWidth="1"/>
    <col min="10760" max="10760" width="9.42578125" style="745" customWidth="1"/>
    <col min="10761" max="10761" width="12.5703125" style="745" customWidth="1"/>
    <col min="10762" max="10762" width="6.28515625" style="745" customWidth="1"/>
    <col min="10763" max="10763" width="11.42578125" style="745" customWidth="1"/>
    <col min="10764" max="10764" width="6.85546875" style="745" customWidth="1"/>
    <col min="10765" max="10765" width="12.140625" style="745" customWidth="1"/>
    <col min="10766" max="10766" width="5.7109375" style="745" customWidth="1"/>
    <col min="10767" max="10767" width="11.140625" style="745" customWidth="1"/>
    <col min="10768" max="10768" width="15.42578125" style="745" customWidth="1"/>
    <col min="10769" max="10769" width="14.7109375" style="745" customWidth="1"/>
    <col min="10770" max="10770" width="13.42578125" style="745" customWidth="1"/>
    <col min="10771" max="10771" width="15" style="745" customWidth="1"/>
    <col min="10772" max="10772" width="25.28515625" style="745" customWidth="1"/>
    <col min="10773" max="10773" width="25.7109375" style="745" customWidth="1"/>
    <col min="10774" max="11008" width="9.140625" style="745"/>
    <col min="11009" max="11009" width="5" style="745" customWidth="1"/>
    <col min="11010" max="11010" width="29.85546875" style="745" customWidth="1"/>
    <col min="11011" max="11011" width="6" style="745" customWidth="1"/>
    <col min="11012" max="11012" width="5.7109375" style="745" customWidth="1"/>
    <col min="11013" max="11013" width="5.85546875" style="745" customWidth="1"/>
    <col min="11014" max="11014" width="12.42578125" style="745" customWidth="1"/>
    <col min="11015" max="11015" width="6.140625" style="745" customWidth="1"/>
    <col min="11016" max="11016" width="9.42578125" style="745" customWidth="1"/>
    <col min="11017" max="11017" width="12.5703125" style="745" customWidth="1"/>
    <col min="11018" max="11018" width="6.28515625" style="745" customWidth="1"/>
    <col min="11019" max="11019" width="11.42578125" style="745" customWidth="1"/>
    <col min="11020" max="11020" width="6.85546875" style="745" customWidth="1"/>
    <col min="11021" max="11021" width="12.140625" style="745" customWidth="1"/>
    <col min="11022" max="11022" width="5.7109375" style="745" customWidth="1"/>
    <col min="11023" max="11023" width="11.140625" style="745" customWidth="1"/>
    <col min="11024" max="11024" width="15.42578125" style="745" customWidth="1"/>
    <col min="11025" max="11025" width="14.7109375" style="745" customWidth="1"/>
    <col min="11026" max="11026" width="13.42578125" style="745" customWidth="1"/>
    <col min="11027" max="11027" width="15" style="745" customWidth="1"/>
    <col min="11028" max="11028" width="25.28515625" style="745" customWidth="1"/>
    <col min="11029" max="11029" width="25.7109375" style="745" customWidth="1"/>
    <col min="11030" max="11264" width="9.140625" style="745"/>
    <col min="11265" max="11265" width="5" style="745" customWidth="1"/>
    <col min="11266" max="11266" width="29.85546875" style="745" customWidth="1"/>
    <col min="11267" max="11267" width="6" style="745" customWidth="1"/>
    <col min="11268" max="11268" width="5.7109375" style="745" customWidth="1"/>
    <col min="11269" max="11269" width="5.85546875" style="745" customWidth="1"/>
    <col min="11270" max="11270" width="12.42578125" style="745" customWidth="1"/>
    <col min="11271" max="11271" width="6.140625" style="745" customWidth="1"/>
    <col min="11272" max="11272" width="9.42578125" style="745" customWidth="1"/>
    <col min="11273" max="11273" width="12.5703125" style="745" customWidth="1"/>
    <col min="11274" max="11274" width="6.28515625" style="745" customWidth="1"/>
    <col min="11275" max="11275" width="11.42578125" style="745" customWidth="1"/>
    <col min="11276" max="11276" width="6.85546875" style="745" customWidth="1"/>
    <col min="11277" max="11277" width="12.140625" style="745" customWidth="1"/>
    <col min="11278" max="11278" width="5.7109375" style="745" customWidth="1"/>
    <col min="11279" max="11279" width="11.140625" style="745" customWidth="1"/>
    <col min="11280" max="11280" width="15.42578125" style="745" customWidth="1"/>
    <col min="11281" max="11281" width="14.7109375" style="745" customWidth="1"/>
    <col min="11282" max="11282" width="13.42578125" style="745" customWidth="1"/>
    <col min="11283" max="11283" width="15" style="745" customWidth="1"/>
    <col min="11284" max="11284" width="25.28515625" style="745" customWidth="1"/>
    <col min="11285" max="11285" width="25.7109375" style="745" customWidth="1"/>
    <col min="11286" max="11520" width="9.140625" style="745"/>
    <col min="11521" max="11521" width="5" style="745" customWidth="1"/>
    <col min="11522" max="11522" width="29.85546875" style="745" customWidth="1"/>
    <col min="11523" max="11523" width="6" style="745" customWidth="1"/>
    <col min="11524" max="11524" width="5.7109375" style="745" customWidth="1"/>
    <col min="11525" max="11525" width="5.85546875" style="745" customWidth="1"/>
    <col min="11526" max="11526" width="12.42578125" style="745" customWidth="1"/>
    <col min="11527" max="11527" width="6.140625" style="745" customWidth="1"/>
    <col min="11528" max="11528" width="9.42578125" style="745" customWidth="1"/>
    <col min="11529" max="11529" width="12.5703125" style="745" customWidth="1"/>
    <col min="11530" max="11530" width="6.28515625" style="745" customWidth="1"/>
    <col min="11531" max="11531" width="11.42578125" style="745" customWidth="1"/>
    <col min="11532" max="11532" width="6.85546875" style="745" customWidth="1"/>
    <col min="11533" max="11533" width="12.140625" style="745" customWidth="1"/>
    <col min="11534" max="11534" width="5.7109375" style="745" customWidth="1"/>
    <col min="11535" max="11535" width="11.140625" style="745" customWidth="1"/>
    <col min="11536" max="11536" width="15.42578125" style="745" customWidth="1"/>
    <col min="11537" max="11537" width="14.7109375" style="745" customWidth="1"/>
    <col min="11538" max="11538" width="13.42578125" style="745" customWidth="1"/>
    <col min="11539" max="11539" width="15" style="745" customWidth="1"/>
    <col min="11540" max="11540" width="25.28515625" style="745" customWidth="1"/>
    <col min="11541" max="11541" width="25.7109375" style="745" customWidth="1"/>
    <col min="11542" max="11776" width="9.140625" style="745"/>
    <col min="11777" max="11777" width="5" style="745" customWidth="1"/>
    <col min="11778" max="11778" width="29.85546875" style="745" customWidth="1"/>
    <col min="11779" max="11779" width="6" style="745" customWidth="1"/>
    <col min="11780" max="11780" width="5.7109375" style="745" customWidth="1"/>
    <col min="11781" max="11781" width="5.85546875" style="745" customWidth="1"/>
    <col min="11782" max="11782" width="12.42578125" style="745" customWidth="1"/>
    <col min="11783" max="11783" width="6.140625" style="745" customWidth="1"/>
    <col min="11784" max="11784" width="9.42578125" style="745" customWidth="1"/>
    <col min="11785" max="11785" width="12.5703125" style="745" customWidth="1"/>
    <col min="11786" max="11786" width="6.28515625" style="745" customWidth="1"/>
    <col min="11787" max="11787" width="11.42578125" style="745" customWidth="1"/>
    <col min="11788" max="11788" width="6.85546875" style="745" customWidth="1"/>
    <col min="11789" max="11789" width="12.140625" style="745" customWidth="1"/>
    <col min="11790" max="11790" width="5.7109375" style="745" customWidth="1"/>
    <col min="11791" max="11791" width="11.140625" style="745" customWidth="1"/>
    <col min="11792" max="11792" width="15.42578125" style="745" customWidth="1"/>
    <col min="11793" max="11793" width="14.7109375" style="745" customWidth="1"/>
    <col min="11794" max="11794" width="13.42578125" style="745" customWidth="1"/>
    <col min="11795" max="11795" width="15" style="745" customWidth="1"/>
    <col min="11796" max="11796" width="25.28515625" style="745" customWidth="1"/>
    <col min="11797" max="11797" width="25.7109375" style="745" customWidth="1"/>
    <col min="11798" max="12032" width="9.140625" style="745"/>
    <col min="12033" max="12033" width="5" style="745" customWidth="1"/>
    <col min="12034" max="12034" width="29.85546875" style="745" customWidth="1"/>
    <col min="12035" max="12035" width="6" style="745" customWidth="1"/>
    <col min="12036" max="12036" width="5.7109375" style="745" customWidth="1"/>
    <col min="12037" max="12037" width="5.85546875" style="745" customWidth="1"/>
    <col min="12038" max="12038" width="12.42578125" style="745" customWidth="1"/>
    <col min="12039" max="12039" width="6.140625" style="745" customWidth="1"/>
    <col min="12040" max="12040" width="9.42578125" style="745" customWidth="1"/>
    <col min="12041" max="12041" width="12.5703125" style="745" customWidth="1"/>
    <col min="12042" max="12042" width="6.28515625" style="745" customWidth="1"/>
    <col min="12043" max="12043" width="11.42578125" style="745" customWidth="1"/>
    <col min="12044" max="12044" width="6.85546875" style="745" customWidth="1"/>
    <col min="12045" max="12045" width="12.140625" style="745" customWidth="1"/>
    <col min="12046" max="12046" width="5.7109375" style="745" customWidth="1"/>
    <col min="12047" max="12047" width="11.140625" style="745" customWidth="1"/>
    <col min="12048" max="12048" width="15.42578125" style="745" customWidth="1"/>
    <col min="12049" max="12049" width="14.7109375" style="745" customWidth="1"/>
    <col min="12050" max="12050" width="13.42578125" style="745" customWidth="1"/>
    <col min="12051" max="12051" width="15" style="745" customWidth="1"/>
    <col min="12052" max="12052" width="25.28515625" style="745" customWidth="1"/>
    <col min="12053" max="12053" width="25.7109375" style="745" customWidth="1"/>
    <col min="12054" max="12288" width="9.140625" style="745"/>
    <col min="12289" max="12289" width="5" style="745" customWidth="1"/>
    <col min="12290" max="12290" width="29.85546875" style="745" customWidth="1"/>
    <col min="12291" max="12291" width="6" style="745" customWidth="1"/>
    <col min="12292" max="12292" width="5.7109375" style="745" customWidth="1"/>
    <col min="12293" max="12293" width="5.85546875" style="745" customWidth="1"/>
    <col min="12294" max="12294" width="12.42578125" style="745" customWidth="1"/>
    <col min="12295" max="12295" width="6.140625" style="745" customWidth="1"/>
    <col min="12296" max="12296" width="9.42578125" style="745" customWidth="1"/>
    <col min="12297" max="12297" width="12.5703125" style="745" customWidth="1"/>
    <col min="12298" max="12298" width="6.28515625" style="745" customWidth="1"/>
    <col min="12299" max="12299" width="11.42578125" style="745" customWidth="1"/>
    <col min="12300" max="12300" width="6.85546875" style="745" customWidth="1"/>
    <col min="12301" max="12301" width="12.140625" style="745" customWidth="1"/>
    <col min="12302" max="12302" width="5.7109375" style="745" customWidth="1"/>
    <col min="12303" max="12303" width="11.140625" style="745" customWidth="1"/>
    <col min="12304" max="12304" width="15.42578125" style="745" customWidth="1"/>
    <col min="12305" max="12305" width="14.7109375" style="745" customWidth="1"/>
    <col min="12306" max="12306" width="13.42578125" style="745" customWidth="1"/>
    <col min="12307" max="12307" width="15" style="745" customWidth="1"/>
    <col min="12308" max="12308" width="25.28515625" style="745" customWidth="1"/>
    <col min="12309" max="12309" width="25.7109375" style="745" customWidth="1"/>
    <col min="12310" max="12544" width="9.140625" style="745"/>
    <col min="12545" max="12545" width="5" style="745" customWidth="1"/>
    <col min="12546" max="12546" width="29.85546875" style="745" customWidth="1"/>
    <col min="12547" max="12547" width="6" style="745" customWidth="1"/>
    <col min="12548" max="12548" width="5.7109375" style="745" customWidth="1"/>
    <col min="12549" max="12549" width="5.85546875" style="745" customWidth="1"/>
    <col min="12550" max="12550" width="12.42578125" style="745" customWidth="1"/>
    <col min="12551" max="12551" width="6.140625" style="745" customWidth="1"/>
    <col min="12552" max="12552" width="9.42578125" style="745" customWidth="1"/>
    <col min="12553" max="12553" width="12.5703125" style="745" customWidth="1"/>
    <col min="12554" max="12554" width="6.28515625" style="745" customWidth="1"/>
    <col min="12555" max="12555" width="11.42578125" style="745" customWidth="1"/>
    <col min="12556" max="12556" width="6.85546875" style="745" customWidth="1"/>
    <col min="12557" max="12557" width="12.140625" style="745" customWidth="1"/>
    <col min="12558" max="12558" width="5.7109375" style="745" customWidth="1"/>
    <col min="12559" max="12559" width="11.140625" style="745" customWidth="1"/>
    <col min="12560" max="12560" width="15.42578125" style="745" customWidth="1"/>
    <col min="12561" max="12561" width="14.7109375" style="745" customWidth="1"/>
    <col min="12562" max="12562" width="13.42578125" style="745" customWidth="1"/>
    <col min="12563" max="12563" width="15" style="745" customWidth="1"/>
    <col min="12564" max="12564" width="25.28515625" style="745" customWidth="1"/>
    <col min="12565" max="12565" width="25.7109375" style="745" customWidth="1"/>
    <col min="12566" max="12800" width="9.140625" style="745"/>
    <col min="12801" max="12801" width="5" style="745" customWidth="1"/>
    <col min="12802" max="12802" width="29.85546875" style="745" customWidth="1"/>
    <col min="12803" max="12803" width="6" style="745" customWidth="1"/>
    <col min="12804" max="12804" width="5.7109375" style="745" customWidth="1"/>
    <col min="12805" max="12805" width="5.85546875" style="745" customWidth="1"/>
    <col min="12806" max="12806" width="12.42578125" style="745" customWidth="1"/>
    <col min="12807" max="12807" width="6.140625" style="745" customWidth="1"/>
    <col min="12808" max="12808" width="9.42578125" style="745" customWidth="1"/>
    <col min="12809" max="12809" width="12.5703125" style="745" customWidth="1"/>
    <col min="12810" max="12810" width="6.28515625" style="745" customWidth="1"/>
    <col min="12811" max="12811" width="11.42578125" style="745" customWidth="1"/>
    <col min="12812" max="12812" width="6.85546875" style="745" customWidth="1"/>
    <col min="12813" max="12813" width="12.140625" style="745" customWidth="1"/>
    <col min="12814" max="12814" width="5.7109375" style="745" customWidth="1"/>
    <col min="12815" max="12815" width="11.140625" style="745" customWidth="1"/>
    <col min="12816" max="12816" width="15.42578125" style="745" customWidth="1"/>
    <col min="12817" max="12817" width="14.7109375" style="745" customWidth="1"/>
    <col min="12818" max="12818" width="13.42578125" style="745" customWidth="1"/>
    <col min="12819" max="12819" width="15" style="745" customWidth="1"/>
    <col min="12820" max="12820" width="25.28515625" style="745" customWidth="1"/>
    <col min="12821" max="12821" width="25.7109375" style="745" customWidth="1"/>
    <col min="12822" max="13056" width="9.140625" style="745"/>
    <col min="13057" max="13057" width="5" style="745" customWidth="1"/>
    <col min="13058" max="13058" width="29.85546875" style="745" customWidth="1"/>
    <col min="13059" max="13059" width="6" style="745" customWidth="1"/>
    <col min="13060" max="13060" width="5.7109375" style="745" customWidth="1"/>
    <col min="13061" max="13061" width="5.85546875" style="745" customWidth="1"/>
    <col min="13062" max="13062" width="12.42578125" style="745" customWidth="1"/>
    <col min="13063" max="13063" width="6.140625" style="745" customWidth="1"/>
    <col min="13064" max="13064" width="9.42578125" style="745" customWidth="1"/>
    <col min="13065" max="13065" width="12.5703125" style="745" customWidth="1"/>
    <col min="13066" max="13066" width="6.28515625" style="745" customWidth="1"/>
    <col min="13067" max="13067" width="11.42578125" style="745" customWidth="1"/>
    <col min="13068" max="13068" width="6.85546875" style="745" customWidth="1"/>
    <col min="13069" max="13069" width="12.140625" style="745" customWidth="1"/>
    <col min="13070" max="13070" width="5.7109375" style="745" customWidth="1"/>
    <col min="13071" max="13071" width="11.140625" style="745" customWidth="1"/>
    <col min="13072" max="13072" width="15.42578125" style="745" customWidth="1"/>
    <col min="13073" max="13073" width="14.7109375" style="745" customWidth="1"/>
    <col min="13074" max="13074" width="13.42578125" style="745" customWidth="1"/>
    <col min="13075" max="13075" width="15" style="745" customWidth="1"/>
    <col min="13076" max="13076" width="25.28515625" style="745" customWidth="1"/>
    <col min="13077" max="13077" width="25.7109375" style="745" customWidth="1"/>
    <col min="13078" max="13312" width="9.140625" style="745"/>
    <col min="13313" max="13313" width="5" style="745" customWidth="1"/>
    <col min="13314" max="13314" width="29.85546875" style="745" customWidth="1"/>
    <col min="13315" max="13315" width="6" style="745" customWidth="1"/>
    <col min="13316" max="13316" width="5.7109375" style="745" customWidth="1"/>
    <col min="13317" max="13317" width="5.85546875" style="745" customWidth="1"/>
    <col min="13318" max="13318" width="12.42578125" style="745" customWidth="1"/>
    <col min="13319" max="13319" width="6.140625" style="745" customWidth="1"/>
    <col min="13320" max="13320" width="9.42578125" style="745" customWidth="1"/>
    <col min="13321" max="13321" width="12.5703125" style="745" customWidth="1"/>
    <col min="13322" max="13322" width="6.28515625" style="745" customWidth="1"/>
    <col min="13323" max="13323" width="11.42578125" style="745" customWidth="1"/>
    <col min="13324" max="13324" width="6.85546875" style="745" customWidth="1"/>
    <col min="13325" max="13325" width="12.140625" style="745" customWidth="1"/>
    <col min="13326" max="13326" width="5.7109375" style="745" customWidth="1"/>
    <col min="13327" max="13327" width="11.140625" style="745" customWidth="1"/>
    <col min="13328" max="13328" width="15.42578125" style="745" customWidth="1"/>
    <col min="13329" max="13329" width="14.7109375" style="745" customWidth="1"/>
    <col min="13330" max="13330" width="13.42578125" style="745" customWidth="1"/>
    <col min="13331" max="13331" width="15" style="745" customWidth="1"/>
    <col min="13332" max="13332" width="25.28515625" style="745" customWidth="1"/>
    <col min="13333" max="13333" width="25.7109375" style="745" customWidth="1"/>
    <col min="13334" max="13568" width="9.140625" style="745"/>
    <col min="13569" max="13569" width="5" style="745" customWidth="1"/>
    <col min="13570" max="13570" width="29.85546875" style="745" customWidth="1"/>
    <col min="13571" max="13571" width="6" style="745" customWidth="1"/>
    <col min="13572" max="13572" width="5.7109375" style="745" customWidth="1"/>
    <col min="13573" max="13573" width="5.85546875" style="745" customWidth="1"/>
    <col min="13574" max="13574" width="12.42578125" style="745" customWidth="1"/>
    <col min="13575" max="13575" width="6.140625" style="745" customWidth="1"/>
    <col min="13576" max="13576" width="9.42578125" style="745" customWidth="1"/>
    <col min="13577" max="13577" width="12.5703125" style="745" customWidth="1"/>
    <col min="13578" max="13578" width="6.28515625" style="745" customWidth="1"/>
    <col min="13579" max="13579" width="11.42578125" style="745" customWidth="1"/>
    <col min="13580" max="13580" width="6.85546875" style="745" customWidth="1"/>
    <col min="13581" max="13581" width="12.140625" style="745" customWidth="1"/>
    <col min="13582" max="13582" width="5.7109375" style="745" customWidth="1"/>
    <col min="13583" max="13583" width="11.140625" style="745" customWidth="1"/>
    <col min="13584" max="13584" width="15.42578125" style="745" customWidth="1"/>
    <col min="13585" max="13585" width="14.7109375" style="745" customWidth="1"/>
    <col min="13586" max="13586" width="13.42578125" style="745" customWidth="1"/>
    <col min="13587" max="13587" width="15" style="745" customWidth="1"/>
    <col min="13588" max="13588" width="25.28515625" style="745" customWidth="1"/>
    <col min="13589" max="13589" width="25.7109375" style="745" customWidth="1"/>
    <col min="13590" max="13824" width="9.140625" style="745"/>
    <col min="13825" max="13825" width="5" style="745" customWidth="1"/>
    <col min="13826" max="13826" width="29.85546875" style="745" customWidth="1"/>
    <col min="13827" max="13827" width="6" style="745" customWidth="1"/>
    <col min="13828" max="13828" width="5.7109375" style="745" customWidth="1"/>
    <col min="13829" max="13829" width="5.85546875" style="745" customWidth="1"/>
    <col min="13830" max="13830" width="12.42578125" style="745" customWidth="1"/>
    <col min="13831" max="13831" width="6.140625" style="745" customWidth="1"/>
    <col min="13832" max="13832" width="9.42578125" style="745" customWidth="1"/>
    <col min="13833" max="13833" width="12.5703125" style="745" customWidth="1"/>
    <col min="13834" max="13834" width="6.28515625" style="745" customWidth="1"/>
    <col min="13835" max="13835" width="11.42578125" style="745" customWidth="1"/>
    <col min="13836" max="13836" width="6.85546875" style="745" customWidth="1"/>
    <col min="13837" max="13837" width="12.140625" style="745" customWidth="1"/>
    <col min="13838" max="13838" width="5.7109375" style="745" customWidth="1"/>
    <col min="13839" max="13839" width="11.140625" style="745" customWidth="1"/>
    <col min="13840" max="13840" width="15.42578125" style="745" customWidth="1"/>
    <col min="13841" max="13841" width="14.7109375" style="745" customWidth="1"/>
    <col min="13842" max="13842" width="13.42578125" style="745" customWidth="1"/>
    <col min="13843" max="13843" width="15" style="745" customWidth="1"/>
    <col min="13844" max="13844" width="25.28515625" style="745" customWidth="1"/>
    <col min="13845" max="13845" width="25.7109375" style="745" customWidth="1"/>
    <col min="13846" max="14080" width="9.140625" style="745"/>
    <col min="14081" max="14081" width="5" style="745" customWidth="1"/>
    <col min="14082" max="14082" width="29.85546875" style="745" customWidth="1"/>
    <col min="14083" max="14083" width="6" style="745" customWidth="1"/>
    <col min="14084" max="14084" width="5.7109375" style="745" customWidth="1"/>
    <col min="14085" max="14085" width="5.85546875" style="745" customWidth="1"/>
    <col min="14086" max="14086" width="12.42578125" style="745" customWidth="1"/>
    <col min="14087" max="14087" width="6.140625" style="745" customWidth="1"/>
    <col min="14088" max="14088" width="9.42578125" style="745" customWidth="1"/>
    <col min="14089" max="14089" width="12.5703125" style="745" customWidth="1"/>
    <col min="14090" max="14090" width="6.28515625" style="745" customWidth="1"/>
    <col min="14091" max="14091" width="11.42578125" style="745" customWidth="1"/>
    <col min="14092" max="14092" width="6.85546875" style="745" customWidth="1"/>
    <col min="14093" max="14093" width="12.140625" style="745" customWidth="1"/>
    <col min="14094" max="14094" width="5.7109375" style="745" customWidth="1"/>
    <col min="14095" max="14095" width="11.140625" style="745" customWidth="1"/>
    <col min="14096" max="14096" width="15.42578125" style="745" customWidth="1"/>
    <col min="14097" max="14097" width="14.7109375" style="745" customWidth="1"/>
    <col min="14098" max="14098" width="13.42578125" style="745" customWidth="1"/>
    <col min="14099" max="14099" width="15" style="745" customWidth="1"/>
    <col min="14100" max="14100" width="25.28515625" style="745" customWidth="1"/>
    <col min="14101" max="14101" width="25.7109375" style="745" customWidth="1"/>
    <col min="14102" max="14336" width="9.140625" style="745"/>
    <col min="14337" max="14337" width="5" style="745" customWidth="1"/>
    <col min="14338" max="14338" width="29.85546875" style="745" customWidth="1"/>
    <col min="14339" max="14339" width="6" style="745" customWidth="1"/>
    <col min="14340" max="14340" width="5.7109375" style="745" customWidth="1"/>
    <col min="14341" max="14341" width="5.85546875" style="745" customWidth="1"/>
    <col min="14342" max="14342" width="12.42578125" style="745" customWidth="1"/>
    <col min="14343" max="14343" width="6.140625" style="745" customWidth="1"/>
    <col min="14344" max="14344" width="9.42578125" style="745" customWidth="1"/>
    <col min="14345" max="14345" width="12.5703125" style="745" customWidth="1"/>
    <col min="14346" max="14346" width="6.28515625" style="745" customWidth="1"/>
    <col min="14347" max="14347" width="11.42578125" style="745" customWidth="1"/>
    <col min="14348" max="14348" width="6.85546875" style="745" customWidth="1"/>
    <col min="14349" max="14349" width="12.140625" style="745" customWidth="1"/>
    <col min="14350" max="14350" width="5.7109375" style="745" customWidth="1"/>
    <col min="14351" max="14351" width="11.140625" style="745" customWidth="1"/>
    <col min="14352" max="14352" width="15.42578125" style="745" customWidth="1"/>
    <col min="14353" max="14353" width="14.7109375" style="745" customWidth="1"/>
    <col min="14354" max="14354" width="13.42578125" style="745" customWidth="1"/>
    <col min="14355" max="14355" width="15" style="745" customWidth="1"/>
    <col min="14356" max="14356" width="25.28515625" style="745" customWidth="1"/>
    <col min="14357" max="14357" width="25.7109375" style="745" customWidth="1"/>
    <col min="14358" max="14592" width="9.140625" style="745"/>
    <col min="14593" max="14593" width="5" style="745" customWidth="1"/>
    <col min="14594" max="14594" width="29.85546875" style="745" customWidth="1"/>
    <col min="14595" max="14595" width="6" style="745" customWidth="1"/>
    <col min="14596" max="14596" width="5.7109375" style="745" customWidth="1"/>
    <col min="14597" max="14597" width="5.85546875" style="745" customWidth="1"/>
    <col min="14598" max="14598" width="12.42578125" style="745" customWidth="1"/>
    <col min="14599" max="14599" width="6.140625" style="745" customWidth="1"/>
    <col min="14600" max="14600" width="9.42578125" style="745" customWidth="1"/>
    <col min="14601" max="14601" width="12.5703125" style="745" customWidth="1"/>
    <col min="14602" max="14602" width="6.28515625" style="745" customWidth="1"/>
    <col min="14603" max="14603" width="11.42578125" style="745" customWidth="1"/>
    <col min="14604" max="14604" width="6.85546875" style="745" customWidth="1"/>
    <col min="14605" max="14605" width="12.140625" style="745" customWidth="1"/>
    <col min="14606" max="14606" width="5.7109375" style="745" customWidth="1"/>
    <col min="14607" max="14607" width="11.140625" style="745" customWidth="1"/>
    <col min="14608" max="14608" width="15.42578125" style="745" customWidth="1"/>
    <col min="14609" max="14609" width="14.7109375" style="745" customWidth="1"/>
    <col min="14610" max="14610" width="13.42578125" style="745" customWidth="1"/>
    <col min="14611" max="14611" width="15" style="745" customWidth="1"/>
    <col min="14612" max="14612" width="25.28515625" style="745" customWidth="1"/>
    <col min="14613" max="14613" width="25.7109375" style="745" customWidth="1"/>
    <col min="14614" max="14848" width="9.140625" style="745"/>
    <col min="14849" max="14849" width="5" style="745" customWidth="1"/>
    <col min="14850" max="14850" width="29.85546875" style="745" customWidth="1"/>
    <col min="14851" max="14851" width="6" style="745" customWidth="1"/>
    <col min="14852" max="14852" width="5.7109375" style="745" customWidth="1"/>
    <col min="14853" max="14853" width="5.85546875" style="745" customWidth="1"/>
    <col min="14854" max="14854" width="12.42578125" style="745" customWidth="1"/>
    <col min="14855" max="14855" width="6.140625" style="745" customWidth="1"/>
    <col min="14856" max="14856" width="9.42578125" style="745" customWidth="1"/>
    <col min="14857" max="14857" width="12.5703125" style="745" customWidth="1"/>
    <col min="14858" max="14858" width="6.28515625" style="745" customWidth="1"/>
    <col min="14859" max="14859" width="11.42578125" style="745" customWidth="1"/>
    <col min="14860" max="14860" width="6.85546875" style="745" customWidth="1"/>
    <col min="14861" max="14861" width="12.140625" style="745" customWidth="1"/>
    <col min="14862" max="14862" width="5.7109375" style="745" customWidth="1"/>
    <col min="14863" max="14863" width="11.140625" style="745" customWidth="1"/>
    <col min="14864" max="14864" width="15.42578125" style="745" customWidth="1"/>
    <col min="14865" max="14865" width="14.7109375" style="745" customWidth="1"/>
    <col min="14866" max="14866" width="13.42578125" style="745" customWidth="1"/>
    <col min="14867" max="14867" width="15" style="745" customWidth="1"/>
    <col min="14868" max="14868" width="25.28515625" style="745" customWidth="1"/>
    <col min="14869" max="14869" width="25.7109375" style="745" customWidth="1"/>
    <col min="14870" max="15104" width="9.140625" style="745"/>
    <col min="15105" max="15105" width="5" style="745" customWidth="1"/>
    <col min="15106" max="15106" width="29.85546875" style="745" customWidth="1"/>
    <col min="15107" max="15107" width="6" style="745" customWidth="1"/>
    <col min="15108" max="15108" width="5.7109375" style="745" customWidth="1"/>
    <col min="15109" max="15109" width="5.85546875" style="745" customWidth="1"/>
    <col min="15110" max="15110" width="12.42578125" style="745" customWidth="1"/>
    <col min="15111" max="15111" width="6.140625" style="745" customWidth="1"/>
    <col min="15112" max="15112" width="9.42578125" style="745" customWidth="1"/>
    <col min="15113" max="15113" width="12.5703125" style="745" customWidth="1"/>
    <col min="15114" max="15114" width="6.28515625" style="745" customWidth="1"/>
    <col min="15115" max="15115" width="11.42578125" style="745" customWidth="1"/>
    <col min="15116" max="15116" width="6.85546875" style="745" customWidth="1"/>
    <col min="15117" max="15117" width="12.140625" style="745" customWidth="1"/>
    <col min="15118" max="15118" width="5.7109375" style="745" customWidth="1"/>
    <col min="15119" max="15119" width="11.140625" style="745" customWidth="1"/>
    <col min="15120" max="15120" width="15.42578125" style="745" customWidth="1"/>
    <col min="15121" max="15121" width="14.7109375" style="745" customWidth="1"/>
    <col min="15122" max="15122" width="13.42578125" style="745" customWidth="1"/>
    <col min="15123" max="15123" width="15" style="745" customWidth="1"/>
    <col min="15124" max="15124" width="25.28515625" style="745" customWidth="1"/>
    <col min="15125" max="15125" width="25.7109375" style="745" customWidth="1"/>
    <col min="15126" max="15360" width="9.140625" style="745"/>
    <col min="15361" max="15361" width="5" style="745" customWidth="1"/>
    <col min="15362" max="15362" width="29.85546875" style="745" customWidth="1"/>
    <col min="15363" max="15363" width="6" style="745" customWidth="1"/>
    <col min="15364" max="15364" width="5.7109375" style="745" customWidth="1"/>
    <col min="15365" max="15365" width="5.85546875" style="745" customWidth="1"/>
    <col min="15366" max="15366" width="12.42578125" style="745" customWidth="1"/>
    <col min="15367" max="15367" width="6.140625" style="745" customWidth="1"/>
    <col min="15368" max="15368" width="9.42578125" style="745" customWidth="1"/>
    <col min="15369" max="15369" width="12.5703125" style="745" customWidth="1"/>
    <col min="15370" max="15370" width="6.28515625" style="745" customWidth="1"/>
    <col min="15371" max="15371" width="11.42578125" style="745" customWidth="1"/>
    <col min="15372" max="15372" width="6.85546875" style="745" customWidth="1"/>
    <col min="15373" max="15373" width="12.140625" style="745" customWidth="1"/>
    <col min="15374" max="15374" width="5.7109375" style="745" customWidth="1"/>
    <col min="15375" max="15375" width="11.140625" style="745" customWidth="1"/>
    <col min="15376" max="15376" width="15.42578125" style="745" customWidth="1"/>
    <col min="15377" max="15377" width="14.7109375" style="745" customWidth="1"/>
    <col min="15378" max="15378" width="13.42578125" style="745" customWidth="1"/>
    <col min="15379" max="15379" width="15" style="745" customWidth="1"/>
    <col min="15380" max="15380" width="25.28515625" style="745" customWidth="1"/>
    <col min="15381" max="15381" width="25.7109375" style="745" customWidth="1"/>
    <col min="15382" max="15616" width="9.140625" style="745"/>
    <col min="15617" max="15617" width="5" style="745" customWidth="1"/>
    <col min="15618" max="15618" width="29.85546875" style="745" customWidth="1"/>
    <col min="15619" max="15619" width="6" style="745" customWidth="1"/>
    <col min="15620" max="15620" width="5.7109375" style="745" customWidth="1"/>
    <col min="15621" max="15621" width="5.85546875" style="745" customWidth="1"/>
    <col min="15622" max="15622" width="12.42578125" style="745" customWidth="1"/>
    <col min="15623" max="15623" width="6.140625" style="745" customWidth="1"/>
    <col min="15624" max="15624" width="9.42578125" style="745" customWidth="1"/>
    <col min="15625" max="15625" width="12.5703125" style="745" customWidth="1"/>
    <col min="15626" max="15626" width="6.28515625" style="745" customWidth="1"/>
    <col min="15627" max="15627" width="11.42578125" style="745" customWidth="1"/>
    <col min="15628" max="15628" width="6.85546875" style="745" customWidth="1"/>
    <col min="15629" max="15629" width="12.140625" style="745" customWidth="1"/>
    <col min="15630" max="15630" width="5.7109375" style="745" customWidth="1"/>
    <col min="15631" max="15631" width="11.140625" style="745" customWidth="1"/>
    <col min="15632" max="15632" width="15.42578125" style="745" customWidth="1"/>
    <col min="15633" max="15633" width="14.7109375" style="745" customWidth="1"/>
    <col min="15634" max="15634" width="13.42578125" style="745" customWidth="1"/>
    <col min="15635" max="15635" width="15" style="745" customWidth="1"/>
    <col min="15636" max="15636" width="25.28515625" style="745" customWidth="1"/>
    <col min="15637" max="15637" width="25.7109375" style="745" customWidth="1"/>
    <col min="15638" max="15872" width="9.140625" style="745"/>
    <col min="15873" max="15873" width="5" style="745" customWidth="1"/>
    <col min="15874" max="15874" width="29.85546875" style="745" customWidth="1"/>
    <col min="15875" max="15875" width="6" style="745" customWidth="1"/>
    <col min="15876" max="15876" width="5.7109375" style="745" customWidth="1"/>
    <col min="15877" max="15877" width="5.85546875" style="745" customWidth="1"/>
    <col min="15878" max="15878" width="12.42578125" style="745" customWidth="1"/>
    <col min="15879" max="15879" width="6.140625" style="745" customWidth="1"/>
    <col min="15880" max="15880" width="9.42578125" style="745" customWidth="1"/>
    <col min="15881" max="15881" width="12.5703125" style="745" customWidth="1"/>
    <col min="15882" max="15882" width="6.28515625" style="745" customWidth="1"/>
    <col min="15883" max="15883" width="11.42578125" style="745" customWidth="1"/>
    <col min="15884" max="15884" width="6.85546875" style="745" customWidth="1"/>
    <col min="15885" max="15885" width="12.140625" style="745" customWidth="1"/>
    <col min="15886" max="15886" width="5.7109375" style="745" customWidth="1"/>
    <col min="15887" max="15887" width="11.140625" style="745" customWidth="1"/>
    <col min="15888" max="15888" width="15.42578125" style="745" customWidth="1"/>
    <col min="15889" max="15889" width="14.7109375" style="745" customWidth="1"/>
    <col min="15890" max="15890" width="13.42578125" style="745" customWidth="1"/>
    <col min="15891" max="15891" width="15" style="745" customWidth="1"/>
    <col min="15892" max="15892" width="25.28515625" style="745" customWidth="1"/>
    <col min="15893" max="15893" width="25.7109375" style="745" customWidth="1"/>
    <col min="15894" max="16128" width="9.140625" style="745"/>
    <col min="16129" max="16129" width="5" style="745" customWidth="1"/>
    <col min="16130" max="16130" width="29.85546875" style="745" customWidth="1"/>
    <col min="16131" max="16131" width="6" style="745" customWidth="1"/>
    <col min="16132" max="16132" width="5.7109375" style="745" customWidth="1"/>
    <col min="16133" max="16133" width="5.85546875" style="745" customWidth="1"/>
    <col min="16134" max="16134" width="12.42578125" style="745" customWidth="1"/>
    <col min="16135" max="16135" width="6.140625" style="745" customWidth="1"/>
    <col min="16136" max="16136" width="9.42578125" style="745" customWidth="1"/>
    <col min="16137" max="16137" width="12.5703125" style="745" customWidth="1"/>
    <col min="16138" max="16138" width="6.28515625" style="745" customWidth="1"/>
    <col min="16139" max="16139" width="11.42578125" style="745" customWidth="1"/>
    <col min="16140" max="16140" width="6.85546875" style="745" customWidth="1"/>
    <col min="16141" max="16141" width="12.140625" style="745" customWidth="1"/>
    <col min="16142" max="16142" width="5.7109375" style="745" customWidth="1"/>
    <col min="16143" max="16143" width="11.140625" style="745" customWidth="1"/>
    <col min="16144" max="16144" width="15.42578125" style="745" customWidth="1"/>
    <col min="16145" max="16145" width="14.7109375" style="745" customWidth="1"/>
    <col min="16146" max="16146" width="13.42578125" style="745" customWidth="1"/>
    <col min="16147" max="16147" width="15" style="745" customWidth="1"/>
    <col min="16148" max="16148" width="25.28515625" style="745" customWidth="1"/>
    <col min="16149" max="16149" width="25.7109375" style="745" customWidth="1"/>
    <col min="16150" max="16384" width="9.140625" style="745"/>
  </cols>
  <sheetData>
    <row r="1" spans="1:29" ht="14.25" customHeight="1">
      <c r="B1" s="904"/>
      <c r="C1" s="904"/>
      <c r="D1" s="904"/>
      <c r="E1" s="747"/>
      <c r="F1" s="748"/>
      <c r="G1" s="2263" t="s">
        <v>529</v>
      </c>
      <c r="H1" s="2263"/>
      <c r="I1" s="2263"/>
      <c r="J1" s="2263"/>
      <c r="K1" s="2263"/>
      <c r="L1" s="2263"/>
      <c r="M1" s="2263"/>
      <c r="N1" s="2263"/>
      <c r="O1" s="2263"/>
      <c r="P1" s="2263"/>
      <c r="Q1" s="2263"/>
    </row>
    <row r="2" spans="1:29" ht="25.5" customHeight="1">
      <c r="B2" s="2259" t="s">
        <v>530</v>
      </c>
      <c r="C2" s="2259"/>
      <c r="D2" s="2259"/>
      <c r="E2" s="2259"/>
      <c r="F2" s="748"/>
      <c r="G2" s="2264" t="s">
        <v>562</v>
      </c>
      <c r="H2" s="2264"/>
      <c r="I2" s="2264"/>
      <c r="J2" s="2264"/>
      <c r="K2" s="2264"/>
      <c r="L2" s="2264"/>
      <c r="M2" s="2264"/>
      <c r="N2" s="2264"/>
      <c r="O2" s="2264"/>
      <c r="P2" s="2264"/>
      <c r="Q2" s="2264"/>
    </row>
    <row r="3" spans="1:29" ht="12" customHeight="1">
      <c r="E3" s="747"/>
      <c r="F3" s="748"/>
      <c r="G3" s="2264" t="s">
        <v>531</v>
      </c>
      <c r="H3" s="2264"/>
      <c r="I3" s="2264"/>
      <c r="J3" s="2264"/>
      <c r="K3" s="2264"/>
      <c r="L3" s="2264"/>
      <c r="M3" s="2264"/>
      <c r="N3" s="2264"/>
      <c r="O3" s="2265"/>
      <c r="P3" s="2265"/>
      <c r="Q3" s="750"/>
    </row>
    <row r="4" spans="1:29" ht="13.5" customHeight="1">
      <c r="E4" s="747"/>
      <c r="F4" s="748"/>
      <c r="G4" s="748"/>
      <c r="H4" s="748"/>
      <c r="I4" s="2261" t="s">
        <v>565</v>
      </c>
      <c r="J4" s="2261"/>
      <c r="K4" s="2261"/>
      <c r="L4" s="2261"/>
      <c r="M4" s="2261"/>
      <c r="N4" s="2266"/>
      <c r="O4" s="2266"/>
      <c r="P4" s="2266"/>
      <c r="Q4" s="2266"/>
    </row>
    <row r="5" spans="1:29" ht="13.5" customHeight="1">
      <c r="E5" s="747"/>
      <c r="F5" s="748"/>
      <c r="G5" s="2261" t="s">
        <v>532</v>
      </c>
      <c r="H5" s="2261"/>
      <c r="I5" s="2261"/>
      <c r="J5" s="2261"/>
      <c r="K5" s="2261"/>
      <c r="L5" s="2261"/>
      <c r="M5" s="2261"/>
      <c r="N5" s="2262"/>
      <c r="O5" s="2262"/>
      <c r="P5" s="2262"/>
      <c r="Q5" s="2262"/>
    </row>
    <row r="6" spans="1:29" ht="22.5" customHeight="1">
      <c r="E6" s="747"/>
      <c r="F6" s="2267" t="s">
        <v>580</v>
      </c>
      <c r="G6" s="2267"/>
      <c r="H6" s="2267"/>
      <c r="I6" s="2267"/>
      <c r="J6" s="2267"/>
      <c r="K6" s="2267"/>
      <c r="L6" s="2267"/>
      <c r="M6" s="2267"/>
      <c r="N6" s="2268"/>
      <c r="O6" s="2268"/>
      <c r="P6" s="2268"/>
      <c r="Q6" s="2268"/>
    </row>
    <row r="7" spans="1:29" s="751" customFormat="1" ht="11.25" customHeight="1">
      <c r="B7" s="752"/>
      <c r="C7" s="752"/>
      <c r="D7" s="752"/>
      <c r="E7" s="752"/>
      <c r="F7" s="753"/>
      <c r="G7" s="2269" t="s">
        <v>533</v>
      </c>
      <c r="H7" s="2269"/>
      <c r="I7" s="2269"/>
      <c r="J7" s="2269"/>
      <c r="K7" s="2269"/>
      <c r="L7" s="2269"/>
      <c r="M7" s="2269"/>
      <c r="N7" s="2268"/>
      <c r="O7" s="2268"/>
      <c r="P7" s="2268"/>
      <c r="Q7" s="2268"/>
    </row>
    <row r="8" spans="1:29" s="751" customFormat="1" ht="14.25" customHeight="1">
      <c r="B8" s="752"/>
      <c r="C8" s="752"/>
      <c r="D8" s="752"/>
      <c r="E8" s="752"/>
      <c r="F8" s="752"/>
      <c r="G8" s="897"/>
      <c r="H8" s="897"/>
      <c r="I8" s="897"/>
      <c r="J8" s="897"/>
      <c r="K8" s="897"/>
      <c r="L8" s="897"/>
      <c r="M8" s="897"/>
    </row>
    <row r="9" spans="1:29" ht="12.75" customHeight="1">
      <c r="B9" s="2263"/>
      <c r="C9" s="2263"/>
      <c r="D9" s="2263"/>
      <c r="E9" s="2263"/>
      <c r="F9" s="2263"/>
      <c r="G9" s="2263"/>
      <c r="H9" s="2263"/>
      <c r="I9" s="2263"/>
      <c r="J9" s="2263"/>
      <c r="K9" s="2263"/>
      <c r="L9" s="2263"/>
      <c r="M9" s="2263"/>
      <c r="N9" s="2263"/>
      <c r="O9" s="2263"/>
      <c r="P9" s="2263"/>
      <c r="Q9" s="2263"/>
    </row>
    <row r="10" spans="1:29" ht="15" customHeight="1">
      <c r="A10" s="2263" t="s">
        <v>576</v>
      </c>
      <c r="B10" s="2263"/>
      <c r="C10" s="2263"/>
      <c r="D10" s="2263"/>
      <c r="E10" s="2263"/>
      <c r="F10" s="2263"/>
      <c r="G10" s="2263"/>
      <c r="H10" s="2263"/>
      <c r="I10" s="2263"/>
      <c r="J10" s="2263"/>
      <c r="K10" s="2263"/>
      <c r="L10" s="2263"/>
      <c r="M10" s="2263"/>
      <c r="N10" s="2263"/>
      <c r="O10" s="2263"/>
      <c r="P10" s="2263"/>
      <c r="Q10" s="2263"/>
      <c r="T10" s="755"/>
    </row>
    <row r="11" spans="1:29" ht="12.75" customHeight="1">
      <c r="A11" s="2270"/>
      <c r="B11" s="2271"/>
      <c r="C11" s="2271"/>
      <c r="D11" s="2271"/>
      <c r="E11" s="2271"/>
      <c r="F11" s="2271"/>
      <c r="G11" s="2271"/>
      <c r="H11" s="2271"/>
      <c r="I11" s="2271"/>
      <c r="J11" s="2271"/>
      <c r="K11" s="2271"/>
      <c r="L11" s="2271"/>
      <c r="M11" s="2271"/>
      <c r="N11" s="2271"/>
      <c r="O11" s="2271"/>
      <c r="P11" s="2271"/>
      <c r="Q11" s="2271"/>
    </row>
    <row r="12" spans="1:29">
      <c r="A12" s="2264" t="s">
        <v>561</v>
      </c>
      <c r="B12" s="2264"/>
      <c r="C12" s="2264"/>
      <c r="D12" s="2264"/>
      <c r="E12" s="2264"/>
      <c r="F12" s="2264"/>
      <c r="G12" s="2264"/>
      <c r="H12" s="2264"/>
      <c r="I12" s="2264"/>
      <c r="J12" s="2264"/>
      <c r="K12" s="2264"/>
      <c r="L12" s="2264"/>
      <c r="M12" s="2264"/>
      <c r="N12" s="2264"/>
      <c r="O12" s="2264"/>
      <c r="P12" s="2264"/>
      <c r="Q12" s="2264"/>
      <c r="T12" s="748"/>
      <c r="U12" s="748"/>
      <c r="V12" s="748"/>
      <c r="W12" s="2263"/>
      <c r="X12" s="2263"/>
      <c r="Y12" s="2263"/>
      <c r="Z12" s="2263"/>
      <c r="AA12" s="2263"/>
      <c r="AB12" s="2263"/>
      <c r="AC12" s="2263"/>
    </row>
    <row r="13" spans="1:29" ht="13.5" thickBot="1">
      <c r="B13" s="903"/>
      <c r="C13" s="903"/>
      <c r="D13" s="903"/>
      <c r="E13" s="903"/>
      <c r="F13" s="903"/>
      <c r="G13" s="903"/>
      <c r="H13" s="903"/>
      <c r="I13" s="903"/>
      <c r="J13" s="903"/>
      <c r="K13" s="903"/>
      <c r="L13" s="903"/>
      <c r="M13" s="903"/>
      <c r="N13" s="903"/>
      <c r="O13" s="903"/>
      <c r="P13" s="903"/>
      <c r="Q13" s="745" t="s">
        <v>575</v>
      </c>
      <c r="T13" s="748"/>
      <c r="U13" s="2264"/>
      <c r="V13" s="2264"/>
      <c r="W13" s="2272"/>
      <c r="X13" s="2272"/>
      <c r="Y13" s="2272"/>
      <c r="Z13" s="2272"/>
      <c r="AA13" s="2272"/>
      <c r="AB13" s="2272"/>
      <c r="AC13" s="2272"/>
    </row>
    <row r="14" spans="1:29" s="757" customFormat="1" ht="69.75" customHeight="1" thickBot="1">
      <c r="A14" s="2276" t="s">
        <v>535</v>
      </c>
      <c r="B14" s="2276" t="s">
        <v>536</v>
      </c>
      <c r="C14" s="2276" t="s">
        <v>8</v>
      </c>
      <c r="D14" s="2276" t="s">
        <v>9</v>
      </c>
      <c r="E14" s="2276" t="s">
        <v>10</v>
      </c>
      <c r="F14" s="2276" t="s">
        <v>537</v>
      </c>
      <c r="G14" s="2276" t="s">
        <v>538</v>
      </c>
      <c r="H14" s="2276" t="s">
        <v>539</v>
      </c>
      <c r="I14" s="2276" t="s">
        <v>540</v>
      </c>
      <c r="J14" s="2278" t="s">
        <v>17</v>
      </c>
      <c r="K14" s="2279"/>
      <c r="L14" s="2278" t="s">
        <v>18</v>
      </c>
      <c r="M14" s="2279"/>
      <c r="N14" s="2278" t="s">
        <v>541</v>
      </c>
      <c r="O14" s="2279"/>
      <c r="P14" s="2276" t="s">
        <v>542</v>
      </c>
      <c r="Q14" s="2273" t="s">
        <v>543</v>
      </c>
      <c r="T14" s="748"/>
      <c r="U14" s="748"/>
      <c r="V14" s="748"/>
      <c r="W14" s="2261"/>
      <c r="X14" s="2261"/>
      <c r="Y14" s="2261"/>
      <c r="Z14" s="2261"/>
      <c r="AA14" s="2261"/>
      <c r="AB14" s="2261"/>
      <c r="AC14" s="2261"/>
    </row>
    <row r="15" spans="1:29" s="757" customFormat="1" ht="58.5" customHeight="1" thickBot="1">
      <c r="A15" s="2277"/>
      <c r="B15" s="2277"/>
      <c r="C15" s="2277"/>
      <c r="D15" s="2277"/>
      <c r="E15" s="2277"/>
      <c r="F15" s="2277"/>
      <c r="G15" s="2277"/>
      <c r="H15" s="2277"/>
      <c r="I15" s="2277"/>
      <c r="J15" s="902" t="s">
        <v>21</v>
      </c>
      <c r="K15" s="902" t="s">
        <v>22</v>
      </c>
      <c r="L15" s="902" t="s">
        <v>21</v>
      </c>
      <c r="M15" s="902" t="s">
        <v>22</v>
      </c>
      <c r="N15" s="902" t="s">
        <v>21</v>
      </c>
      <c r="O15" s="902" t="s">
        <v>544</v>
      </c>
      <c r="P15" s="2277"/>
      <c r="Q15" s="2274"/>
      <c r="T15" s="748"/>
      <c r="U15" s="2275"/>
      <c r="V15" s="2275"/>
      <c r="W15" s="2275"/>
      <c r="X15" s="2275"/>
      <c r="Y15" s="2275"/>
      <c r="Z15" s="2275"/>
      <c r="AA15" s="2275"/>
      <c r="AB15" s="2275"/>
      <c r="AC15" s="2275"/>
    </row>
    <row r="16" spans="1:29" ht="35.25" customHeight="1">
      <c r="A16" s="856"/>
      <c r="B16" s="863" t="s">
        <v>545</v>
      </c>
      <c r="C16" s="863"/>
      <c r="D16" s="863"/>
      <c r="E16" s="864"/>
      <c r="F16" s="865"/>
      <c r="G16" s="865"/>
      <c r="H16" s="865"/>
      <c r="I16" s="866"/>
      <c r="J16" s="866"/>
      <c r="K16" s="866"/>
      <c r="L16" s="866"/>
      <c r="M16" s="866"/>
      <c r="N16" s="866"/>
      <c r="O16" s="866"/>
      <c r="P16" s="867"/>
      <c r="Q16" s="868"/>
      <c r="T16" s="2280"/>
      <c r="U16" s="2280"/>
      <c r="V16" s="2280"/>
      <c r="W16" s="2280"/>
      <c r="X16" s="2280"/>
      <c r="Y16" s="2280"/>
      <c r="Z16" s="2280"/>
      <c r="AA16" s="2280"/>
      <c r="AB16" s="2280"/>
      <c r="AC16" s="2280"/>
    </row>
    <row r="17" spans="1:29" ht="12.75" customHeight="1">
      <c r="A17" s="759">
        <v>1</v>
      </c>
      <c r="B17" s="760" t="s">
        <v>546</v>
      </c>
      <c r="C17" s="761" t="s">
        <v>28</v>
      </c>
      <c r="D17" s="761" t="s">
        <v>29</v>
      </c>
      <c r="E17" s="762">
        <v>3</v>
      </c>
      <c r="F17" s="763">
        <v>1</v>
      </c>
      <c r="G17" s="764">
        <v>6.22</v>
      </c>
      <c r="H17" s="765">
        <v>17697</v>
      </c>
      <c r="I17" s="765">
        <f>'ШТАТЫ по НОВОЙ МОДЕЛИ '!I17-'ШТАТЫ по старой МОДЕЛИ (3)'!I17</f>
        <v>10087.289999999994</v>
      </c>
      <c r="J17" s="766">
        <v>0</v>
      </c>
      <c r="K17" s="767">
        <f>ROUND(I17*J17,2)+(M17*J17)</f>
        <v>0</v>
      </c>
      <c r="L17" s="766">
        <v>0.1</v>
      </c>
      <c r="M17" s="768">
        <f t="shared" ref="M17:M34" si="0">ROUND(I17*L17*F17,2)</f>
        <v>1008.73</v>
      </c>
      <c r="N17" s="766"/>
      <c r="O17" s="767">
        <f>ROUND(H17*N17,2)*2</f>
        <v>0</v>
      </c>
      <c r="P17" s="765">
        <f>'ШТАТЫ по НОВОЙ МОДЕЛИ '!P17-'ШТАТЫ по старой МОДЕЛИ (3)'!P17</f>
        <v>71637.45</v>
      </c>
      <c r="Q17" s="769">
        <f>P17*12</f>
        <v>859649.39999999991</v>
      </c>
      <c r="S17" s="770"/>
      <c r="T17" s="752"/>
      <c r="U17" s="2281"/>
      <c r="V17" s="2281"/>
      <c r="W17" s="2281"/>
      <c r="X17" s="2281"/>
      <c r="Y17" s="2281"/>
      <c r="Z17" s="2281"/>
      <c r="AA17" s="2281"/>
      <c r="AB17" s="2281"/>
      <c r="AC17" s="2281"/>
    </row>
    <row r="18" spans="1:29" ht="12.75" customHeight="1">
      <c r="A18" s="759">
        <v>2</v>
      </c>
      <c r="B18" s="771" t="s">
        <v>32</v>
      </c>
      <c r="C18" s="772" t="s">
        <v>28</v>
      </c>
      <c r="D18" s="772" t="s">
        <v>29</v>
      </c>
      <c r="E18" s="773" t="s">
        <v>44</v>
      </c>
      <c r="F18" s="774">
        <v>2</v>
      </c>
      <c r="G18" s="11">
        <v>5.77</v>
      </c>
      <c r="H18" s="775">
        <v>17697</v>
      </c>
      <c r="I18" s="765">
        <f>'ШТАТЫ по НОВОЙ МОДЕЛИ '!I18-'ШТАТЫ по старой МОДЕЛИ (3)'!I18</f>
        <v>113083.82999999997</v>
      </c>
      <c r="J18" s="776">
        <v>0</v>
      </c>
      <c r="K18" s="777">
        <f>ROUND(I18*J18,2)+(M18*J18)</f>
        <v>0</v>
      </c>
      <c r="L18" s="776">
        <v>0.1</v>
      </c>
      <c r="M18" s="778">
        <f t="shared" si="0"/>
        <v>22616.77</v>
      </c>
      <c r="N18" s="776"/>
      <c r="O18" s="777">
        <f t="shared" ref="O18:O32" si="1">ROUND(H18*N18,2)</f>
        <v>0</v>
      </c>
      <c r="P18" s="765">
        <f>'ШТАТЫ по НОВОЙ МОДЕЛИ '!P18-'ШТАТЫ по старой МОДЕЛИ (3)'!P18</f>
        <v>136461.56699999992</v>
      </c>
      <c r="Q18" s="779">
        <f t="shared" ref="Q18:Q34" si="2">P18*12</f>
        <v>1637538.8039999991</v>
      </c>
      <c r="R18" s="780"/>
      <c r="S18" s="770"/>
      <c r="T18" s="752"/>
      <c r="U18" s="897"/>
      <c r="V18" s="897"/>
      <c r="W18" s="897"/>
      <c r="X18" s="897"/>
      <c r="Y18" s="897"/>
      <c r="Z18" s="897"/>
      <c r="AA18" s="897"/>
      <c r="AB18" s="897"/>
      <c r="AC18" s="897"/>
    </row>
    <row r="19" spans="1:29" ht="12.75" customHeight="1">
      <c r="A19" s="759">
        <v>3</v>
      </c>
      <c r="B19" s="771" t="s">
        <v>32</v>
      </c>
      <c r="C19" s="772" t="s">
        <v>28</v>
      </c>
      <c r="D19" s="772" t="s">
        <v>29</v>
      </c>
      <c r="E19" s="773" t="s">
        <v>44</v>
      </c>
      <c r="F19" s="774">
        <v>1</v>
      </c>
      <c r="G19" s="11">
        <v>5.77</v>
      </c>
      <c r="H19" s="775">
        <v>17697</v>
      </c>
      <c r="I19" s="765">
        <f>'ШТАТЫ по НОВОЙ МОДЕЛИ '!I19-'ШТАТЫ по старой МОДЕЛИ (3)'!I19</f>
        <v>10972.139999999985</v>
      </c>
      <c r="J19" s="776">
        <v>0.25</v>
      </c>
      <c r="K19" s="777">
        <f>I19*J19</f>
        <v>2743.0349999999962</v>
      </c>
      <c r="L19" s="776">
        <v>0.1</v>
      </c>
      <c r="M19" s="778">
        <f>ROUND(I19*L19*F19,2)</f>
        <v>1097.21</v>
      </c>
      <c r="N19" s="776"/>
      <c r="O19" s="777">
        <f>ROUND(H19*N19,2)</f>
        <v>0</v>
      </c>
      <c r="P19" s="765">
        <f>'ШТАТЫ по НОВОЙ МОДЕЛИ '!P19-'ШТАТЫ по старой МОДЕЛИ (3)'!P19</f>
        <v>83737.770000000019</v>
      </c>
      <c r="Q19" s="779">
        <f>P19*12</f>
        <v>1004853.2400000002</v>
      </c>
      <c r="R19" s="780"/>
      <c r="S19" s="770"/>
      <c r="T19" s="752"/>
      <c r="U19" s="897"/>
      <c r="V19" s="897"/>
      <c r="W19" s="897"/>
      <c r="X19" s="897"/>
      <c r="Y19" s="897"/>
      <c r="Z19" s="897"/>
      <c r="AA19" s="897"/>
      <c r="AB19" s="897"/>
      <c r="AC19" s="897"/>
    </row>
    <row r="20" spans="1:29" ht="12.75" customHeight="1">
      <c r="A20" s="759">
        <v>4</v>
      </c>
      <c r="B20" s="771" t="s">
        <v>42</v>
      </c>
      <c r="C20" s="761" t="s">
        <v>28</v>
      </c>
      <c r="D20" s="761" t="s">
        <v>29</v>
      </c>
      <c r="E20" s="781" t="s">
        <v>44</v>
      </c>
      <c r="F20" s="763">
        <v>1</v>
      </c>
      <c r="G20" s="782">
        <v>5.91</v>
      </c>
      <c r="H20" s="765">
        <v>17697</v>
      </c>
      <c r="I20" s="765">
        <f>'ШТАТЫ по НОВОЙ МОДЕЛИ '!I20-'ШТАТЫ по старой МОДЕЛИ (3)'!I20</f>
        <v>3893.3399999999965</v>
      </c>
      <c r="J20" s="766">
        <v>0</v>
      </c>
      <c r="K20" s="767">
        <f>ROUND(I20*J20,2)+(M20*J20)</f>
        <v>0</v>
      </c>
      <c r="L20" s="766">
        <v>0.1</v>
      </c>
      <c r="M20" s="768">
        <f t="shared" si="0"/>
        <v>389.33</v>
      </c>
      <c r="N20" s="783"/>
      <c r="O20" s="767">
        <f t="shared" si="1"/>
        <v>0</v>
      </c>
      <c r="P20" s="765">
        <f>'ШТАТЫ по НОВОЙ МОДЕЛИ '!P20-'ШТАТЫ по старой МОДЕЛИ (3)'!P20</f>
        <v>58692.100000000006</v>
      </c>
      <c r="Q20" s="769">
        <f t="shared" si="2"/>
        <v>704305.20000000007</v>
      </c>
      <c r="R20" s="780"/>
      <c r="S20" s="770"/>
      <c r="T20" s="784"/>
      <c r="U20" s="770"/>
    </row>
    <row r="21" spans="1:29" ht="12.75" customHeight="1">
      <c r="A21" s="759">
        <v>5</v>
      </c>
      <c r="B21" s="771" t="s">
        <v>46</v>
      </c>
      <c r="C21" s="761" t="s">
        <v>28</v>
      </c>
      <c r="D21" s="761" t="s">
        <v>29</v>
      </c>
      <c r="E21" s="781" t="s">
        <v>44</v>
      </c>
      <c r="F21" s="763">
        <v>1</v>
      </c>
      <c r="G21" s="782">
        <v>5.91</v>
      </c>
      <c r="H21" s="765">
        <v>17697</v>
      </c>
      <c r="I21" s="765">
        <f>'ШТАТЫ по НОВОЙ МОДЕЛИ '!I21-'ШТАТЫ по старой МОДЕЛИ (3)'!I21</f>
        <v>9556.3800000000047</v>
      </c>
      <c r="J21" s="785">
        <v>0</v>
      </c>
      <c r="K21" s="786">
        <v>0</v>
      </c>
      <c r="L21" s="766">
        <v>0.1</v>
      </c>
      <c r="M21" s="768">
        <f t="shared" si="0"/>
        <v>955.64</v>
      </c>
      <c r="N21" s="783"/>
      <c r="O21" s="767">
        <f t="shared" si="1"/>
        <v>0</v>
      </c>
      <c r="P21" s="765">
        <f>'ШТАТЫ по НОВОЙ МОДЕЛИ '!P21-'ШТАТЫ по старой МОДЕЛИ (3)'!P21</f>
        <v>68036.12</v>
      </c>
      <c r="Q21" s="769">
        <f t="shared" si="2"/>
        <v>816433.44</v>
      </c>
      <c r="R21" s="780"/>
      <c r="S21" s="770"/>
      <c r="T21" s="784"/>
      <c r="U21" s="770"/>
    </row>
    <row r="22" spans="1:29" ht="13.5" customHeight="1">
      <c r="A22" s="759">
        <v>6</v>
      </c>
      <c r="B22" s="760" t="s">
        <v>547</v>
      </c>
      <c r="C22" s="761" t="s">
        <v>28</v>
      </c>
      <c r="D22" s="761" t="s">
        <v>35</v>
      </c>
      <c r="E22" s="781" t="s">
        <v>30</v>
      </c>
      <c r="F22" s="763">
        <v>1</v>
      </c>
      <c r="G22" s="782">
        <v>5.61</v>
      </c>
      <c r="H22" s="765">
        <v>17697</v>
      </c>
      <c r="I22" s="765">
        <f>'ШТАТЫ по НОВОЙ МОДЕЛИ '!I22-'ШТАТЫ по старой МОДЕЛИ (3)'!I22</f>
        <v>10618.200000000012</v>
      </c>
      <c r="J22" s="766">
        <v>0</v>
      </c>
      <c r="K22" s="767">
        <f>ROUND(I22*J22,2)</f>
        <v>0</v>
      </c>
      <c r="L22" s="766">
        <v>0.1</v>
      </c>
      <c r="M22" s="768">
        <f t="shared" si="0"/>
        <v>1061.82</v>
      </c>
      <c r="N22" s="783"/>
      <c r="O22" s="767">
        <f t="shared" si="1"/>
        <v>0</v>
      </c>
      <c r="P22" s="765">
        <f>'ШТАТЫ по НОВОЙ МОДЕЛИ '!P22-'ШТАТЫ по старой МОДЕЛИ (3)'!P22</f>
        <v>11680.020000000004</v>
      </c>
      <c r="Q22" s="769">
        <f t="shared" si="2"/>
        <v>140160.24000000005</v>
      </c>
      <c r="S22" s="770"/>
      <c r="T22" s="784"/>
      <c r="U22" s="770"/>
    </row>
    <row r="23" spans="1:29" ht="13.5" customHeight="1">
      <c r="A23" s="759">
        <v>7</v>
      </c>
      <c r="B23" s="760" t="s">
        <v>548</v>
      </c>
      <c r="C23" s="761" t="s">
        <v>56</v>
      </c>
      <c r="D23" s="787" t="s">
        <v>56</v>
      </c>
      <c r="E23" s="781" t="s">
        <v>30</v>
      </c>
      <c r="F23" s="763">
        <v>1</v>
      </c>
      <c r="G23" s="782">
        <v>4.2699999999999996</v>
      </c>
      <c r="H23" s="765">
        <v>17697</v>
      </c>
      <c r="I23" s="765">
        <f>'ШТАТЫ по НОВОЙ МОДЕЛИ '!I23-'ШТАТЫ по старой МОДЕЛИ (3)'!I23</f>
        <v>18227.909999999996</v>
      </c>
      <c r="J23" s="766">
        <v>0</v>
      </c>
      <c r="K23" s="767">
        <f>ROUND(I23*J23,2)</f>
        <v>0</v>
      </c>
      <c r="L23" s="766">
        <v>0.1</v>
      </c>
      <c r="M23" s="768">
        <f t="shared" si="0"/>
        <v>1822.79</v>
      </c>
      <c r="N23" s="783"/>
      <c r="O23" s="767">
        <f t="shared" si="1"/>
        <v>0</v>
      </c>
      <c r="P23" s="765">
        <f>'ШТАТЫ по НОВОЙ МОДЕЛИ '!P23-'ШТАТЫ по старой МОДЕЛИ (3)'!P23</f>
        <v>20050.699999999997</v>
      </c>
      <c r="Q23" s="769">
        <f t="shared" si="2"/>
        <v>240608.39999999997</v>
      </c>
      <c r="S23" s="770"/>
      <c r="T23" s="784"/>
      <c r="U23" s="770"/>
    </row>
    <row r="24" spans="1:29" ht="13.5" customHeight="1">
      <c r="A24" s="759">
        <v>8</v>
      </c>
      <c r="B24" s="760" t="s">
        <v>59</v>
      </c>
      <c r="C24" s="761" t="s">
        <v>61</v>
      </c>
      <c r="D24" s="787" t="s">
        <v>61</v>
      </c>
      <c r="E24" s="781" t="s">
        <v>156</v>
      </c>
      <c r="F24" s="763">
        <v>1</v>
      </c>
      <c r="G24" s="788">
        <v>3.04</v>
      </c>
      <c r="H24" s="765">
        <v>17697</v>
      </c>
      <c r="I24" s="765">
        <f>'ШТАТЫ по НОВОЙ МОДЕЛИ '!I24-'ШТАТЫ по старой МОДЕЛИ (3)'!I24</f>
        <v>8848.5</v>
      </c>
      <c r="J24" s="766">
        <v>0</v>
      </c>
      <c r="K24" s="767">
        <f t="shared" ref="K24:K34" si="3">ROUND(I24*J24,2)</f>
        <v>0</v>
      </c>
      <c r="L24" s="766">
        <v>0.1</v>
      </c>
      <c r="M24" s="768">
        <f t="shared" si="0"/>
        <v>884.85</v>
      </c>
      <c r="N24" s="783"/>
      <c r="O24" s="767">
        <f t="shared" si="1"/>
        <v>0</v>
      </c>
      <c r="P24" s="765">
        <f>'ШТАТЫ по НОВОЙ МОДЕЛИ '!P24-'ШТАТЫ по старой МОДЕЛИ (3)'!P24</f>
        <v>9733.3499999999985</v>
      </c>
      <c r="Q24" s="769">
        <f t="shared" si="2"/>
        <v>116800.19999999998</v>
      </c>
      <c r="S24" s="770"/>
      <c r="T24" s="784"/>
      <c r="U24" s="770"/>
    </row>
    <row r="25" spans="1:29" ht="13.5" customHeight="1">
      <c r="A25" s="759">
        <v>9</v>
      </c>
      <c r="B25" s="760" t="s">
        <v>549</v>
      </c>
      <c r="C25" s="789" t="s">
        <v>69</v>
      </c>
      <c r="D25" s="789" t="s">
        <v>69</v>
      </c>
      <c r="E25" s="781" t="s">
        <v>30</v>
      </c>
      <c r="F25" s="763">
        <v>1</v>
      </c>
      <c r="G25" s="790">
        <v>3.57</v>
      </c>
      <c r="H25" s="765">
        <v>17697</v>
      </c>
      <c r="I25" s="765">
        <f>'ШТАТЫ по НОВОЙ МОДЕЛИ '!I25-'ШТАТЫ по старой МОДЕЛИ (3)'!I25</f>
        <v>11503.049999999996</v>
      </c>
      <c r="J25" s="766">
        <v>0</v>
      </c>
      <c r="K25" s="767">
        <f t="shared" si="3"/>
        <v>0</v>
      </c>
      <c r="L25" s="766">
        <v>0.1</v>
      </c>
      <c r="M25" s="768">
        <f t="shared" si="0"/>
        <v>1150.31</v>
      </c>
      <c r="N25" s="783"/>
      <c r="O25" s="767">
        <f t="shared" si="1"/>
        <v>0</v>
      </c>
      <c r="P25" s="765">
        <f>'ШТАТЫ по НОВОЙ МОДЕЛИ '!P25-'ШТАТЫ по старой МОДЕЛИ (3)'!P25</f>
        <v>12653.359999999993</v>
      </c>
      <c r="Q25" s="769">
        <f t="shared" si="2"/>
        <v>151840.31999999992</v>
      </c>
      <c r="S25" s="770"/>
      <c r="T25" s="784"/>
      <c r="U25" s="770"/>
    </row>
    <row r="26" spans="1:29" ht="13.5" customHeight="1">
      <c r="A26" s="759">
        <v>10</v>
      </c>
      <c r="B26" s="760" t="s">
        <v>549</v>
      </c>
      <c r="C26" s="789" t="s">
        <v>69</v>
      </c>
      <c r="D26" s="789" t="s">
        <v>69</v>
      </c>
      <c r="E26" s="781" t="s">
        <v>30</v>
      </c>
      <c r="F26" s="763">
        <v>2</v>
      </c>
      <c r="G26" s="790">
        <v>3.31</v>
      </c>
      <c r="H26" s="765">
        <v>17697</v>
      </c>
      <c r="I26" s="765">
        <f>'ШТАТЫ по НОВОЙ МОДЕЛИ '!I26-'ШТАТЫ по старой МОДЕЛИ (3)'!I26</f>
        <v>10441.23000000001</v>
      </c>
      <c r="J26" s="766">
        <v>0</v>
      </c>
      <c r="K26" s="767">
        <f t="shared" si="3"/>
        <v>0</v>
      </c>
      <c r="L26" s="766">
        <v>0.1</v>
      </c>
      <c r="M26" s="768">
        <f>ROUND(I26*L26*F26,2)</f>
        <v>2088.25</v>
      </c>
      <c r="N26" s="783"/>
      <c r="O26" s="767">
        <f>ROUND(H26*N26,2)</f>
        <v>0</v>
      </c>
      <c r="P26" s="765">
        <f>'ШТАТЫ по НОВОЙ МОДЕЛИ '!P26-'ШТАТЫ по старой МОДЕЛИ (3)'!P26</f>
        <v>-9636.0099999999948</v>
      </c>
      <c r="Q26" s="769">
        <f>P26*12</f>
        <v>-115632.11999999994</v>
      </c>
      <c r="S26" s="770"/>
      <c r="T26" s="784"/>
      <c r="U26" s="770"/>
    </row>
    <row r="27" spans="1:29" ht="13.5" customHeight="1">
      <c r="A27" s="759">
        <v>11</v>
      </c>
      <c r="B27" s="760" t="s">
        <v>86</v>
      </c>
      <c r="C27" s="787" t="s">
        <v>56</v>
      </c>
      <c r="D27" s="787" t="s">
        <v>56</v>
      </c>
      <c r="E27" s="781" t="s">
        <v>57</v>
      </c>
      <c r="F27" s="763">
        <v>1</v>
      </c>
      <c r="G27" s="788">
        <v>3.5</v>
      </c>
      <c r="H27" s="765">
        <v>17697</v>
      </c>
      <c r="I27" s="765">
        <f>'ШТАТЫ по НОВОЙ МОДЕЛИ '!I28-'ШТАТЫ по старой МОДЕЛИ (3)'!I27</f>
        <v>10441.229999999996</v>
      </c>
      <c r="J27" s="766">
        <v>0</v>
      </c>
      <c r="K27" s="767">
        <f t="shared" si="3"/>
        <v>0</v>
      </c>
      <c r="L27" s="766">
        <v>0.1</v>
      </c>
      <c r="M27" s="768">
        <f t="shared" si="0"/>
        <v>1044.1199999999999</v>
      </c>
      <c r="N27" s="783"/>
      <c r="O27" s="767">
        <f t="shared" si="1"/>
        <v>0</v>
      </c>
      <c r="P27" s="765">
        <f>'ШТАТЫ по НОВОЙ МОДЕЛИ '!P28-'ШТАТЫ по старой МОДЕЛИ (3)'!P27</f>
        <v>11485.349999999999</v>
      </c>
      <c r="Q27" s="769">
        <f t="shared" si="2"/>
        <v>137824.19999999998</v>
      </c>
      <c r="S27" s="770"/>
      <c r="T27" s="784"/>
      <c r="U27" s="770"/>
    </row>
    <row r="28" spans="1:29" ht="13.5" customHeight="1">
      <c r="A28" s="759">
        <v>12</v>
      </c>
      <c r="B28" s="760" t="s">
        <v>86</v>
      </c>
      <c r="C28" s="787" t="s">
        <v>56</v>
      </c>
      <c r="D28" s="787" t="s">
        <v>56</v>
      </c>
      <c r="E28" s="781" t="s">
        <v>30</v>
      </c>
      <c r="F28" s="763">
        <v>1</v>
      </c>
      <c r="G28" s="788">
        <v>4.43</v>
      </c>
      <c r="H28" s="765">
        <v>17697</v>
      </c>
      <c r="I28" s="765">
        <f>'ШТАТЫ по НОВОЙ МОДЕЛИ '!I29-'ШТАТЫ по старой МОДЕЛИ (3)'!I28</f>
        <v>20882.46</v>
      </c>
      <c r="J28" s="766">
        <v>0</v>
      </c>
      <c r="K28" s="767">
        <f t="shared" si="3"/>
        <v>0</v>
      </c>
      <c r="L28" s="766">
        <v>0.1</v>
      </c>
      <c r="M28" s="768">
        <f>ROUND(I28*L28*F28,2)</f>
        <v>2088.25</v>
      </c>
      <c r="N28" s="783"/>
      <c r="O28" s="767">
        <f>ROUND(H28*N28,2)</f>
        <v>0</v>
      </c>
      <c r="P28" s="765">
        <f>'ШТАТЫ по НОВОЙ МОДЕЛИ '!P29-'ШТАТЫ по старой МОДЕЛИ (3)'!P28</f>
        <v>22970.699999999997</v>
      </c>
      <c r="Q28" s="769">
        <f>P28*12</f>
        <v>275648.39999999997</v>
      </c>
      <c r="S28" s="770"/>
      <c r="T28" s="784"/>
      <c r="U28" s="770"/>
    </row>
    <row r="29" spans="1:29" ht="13.5" customHeight="1">
      <c r="A29" s="759">
        <v>13</v>
      </c>
      <c r="B29" s="760" t="s">
        <v>86</v>
      </c>
      <c r="C29" s="787" t="s">
        <v>56</v>
      </c>
      <c r="D29" s="787" t="s">
        <v>56</v>
      </c>
      <c r="E29" s="781" t="s">
        <v>30</v>
      </c>
      <c r="F29" s="763">
        <v>1</v>
      </c>
      <c r="G29" s="788">
        <v>4.0999999999999996</v>
      </c>
      <c r="H29" s="765">
        <v>17697</v>
      </c>
      <c r="I29" s="765" t="e">
        <f>'ШТАТЫ по НОВОЙ МОДЕЛИ '!#REF!-'ШТАТЫ по старой МОДЕЛИ (3)'!I29</f>
        <v>#REF!</v>
      </c>
      <c r="J29" s="766">
        <v>0</v>
      </c>
      <c r="K29" s="767" t="e">
        <f t="shared" si="3"/>
        <v>#REF!</v>
      </c>
      <c r="L29" s="766">
        <v>0.1</v>
      </c>
      <c r="M29" s="768" t="e">
        <f>ROUND(I29*L29*F29,2)</f>
        <v>#REF!</v>
      </c>
      <c r="N29" s="783"/>
      <c r="O29" s="767">
        <f>ROUND(H29*N29,2)</f>
        <v>0</v>
      </c>
      <c r="P29" s="765" t="e">
        <f>'ШТАТЫ по НОВОЙ МОДЕЛИ '!#REF!-'ШТАТЫ по старой МОДЕЛИ (3)'!P29</f>
        <v>#REF!</v>
      </c>
      <c r="Q29" s="769" t="e">
        <f>P29*12</f>
        <v>#REF!</v>
      </c>
      <c r="S29" s="770"/>
      <c r="T29" s="784"/>
      <c r="U29" s="770"/>
    </row>
    <row r="30" spans="1:29" ht="13.5" customHeight="1">
      <c r="A30" s="759">
        <v>14</v>
      </c>
      <c r="B30" s="760" t="s">
        <v>95</v>
      </c>
      <c r="C30" s="761" t="s">
        <v>56</v>
      </c>
      <c r="D30" s="787" t="s">
        <v>56</v>
      </c>
      <c r="E30" s="781" t="s">
        <v>57</v>
      </c>
      <c r="F30" s="763">
        <v>0.5</v>
      </c>
      <c r="G30" s="788">
        <v>4.1900000000000004</v>
      </c>
      <c r="H30" s="765">
        <v>17697</v>
      </c>
      <c r="I30" s="765">
        <f>'ШТАТЫ по НОВОЙ МОДЕЛИ '!I31-'ШТАТЫ по старой МОДЕЛИ (3)'!I30</f>
        <v>15750.330000000016</v>
      </c>
      <c r="J30" s="766">
        <v>0</v>
      </c>
      <c r="K30" s="767">
        <f t="shared" si="3"/>
        <v>0</v>
      </c>
      <c r="L30" s="766">
        <v>0.1</v>
      </c>
      <c r="M30" s="768">
        <f t="shared" si="0"/>
        <v>787.52</v>
      </c>
      <c r="N30" s="783"/>
      <c r="O30" s="767">
        <f t="shared" si="1"/>
        <v>0</v>
      </c>
      <c r="P30" s="765">
        <f>'ШТАТЫ по НОВОЙ МОДЕЛИ '!P31-'ШТАТЫ по старой МОДЕЛИ (3)'!P30</f>
        <v>49834.75</v>
      </c>
      <c r="Q30" s="769">
        <f>P30*12</f>
        <v>598017</v>
      </c>
      <c r="S30" s="770"/>
      <c r="T30" s="784"/>
      <c r="U30" s="770"/>
    </row>
    <row r="31" spans="1:29" ht="13.5" customHeight="1">
      <c r="A31" s="759">
        <v>15</v>
      </c>
      <c r="B31" s="760" t="s">
        <v>95</v>
      </c>
      <c r="C31" s="761" t="s">
        <v>56</v>
      </c>
      <c r="D31" s="787" t="s">
        <v>56</v>
      </c>
      <c r="E31" s="781" t="s">
        <v>57</v>
      </c>
      <c r="F31" s="763">
        <v>0.5</v>
      </c>
      <c r="G31" s="788">
        <v>4.43</v>
      </c>
      <c r="H31" s="765">
        <v>17697</v>
      </c>
      <c r="I31" s="765" t="e">
        <f>'ШТАТЫ по НОВОЙ МОДЕЛИ '!#REF!-'ШТАТЫ по старой МОДЕЛИ (3)'!I31</f>
        <v>#REF!</v>
      </c>
      <c r="J31" s="766">
        <v>0</v>
      </c>
      <c r="K31" s="767" t="e">
        <f t="shared" si="3"/>
        <v>#REF!</v>
      </c>
      <c r="L31" s="766">
        <v>0.1</v>
      </c>
      <c r="M31" s="768" t="e">
        <f t="shared" si="0"/>
        <v>#REF!</v>
      </c>
      <c r="N31" s="783"/>
      <c r="O31" s="767">
        <f t="shared" si="1"/>
        <v>0</v>
      </c>
      <c r="P31" s="765" t="e">
        <f>'ШТАТЫ по НОВОЙ МОДЕЛИ '!#REF!-'ШТАТЫ по старой МОДЕЛИ (3)'!P31</f>
        <v>#REF!</v>
      </c>
      <c r="Q31" s="769" t="e">
        <f>P31*12</f>
        <v>#REF!</v>
      </c>
      <c r="S31" s="770"/>
      <c r="T31" s="784"/>
      <c r="U31" s="770"/>
    </row>
    <row r="32" spans="1:29" ht="13.5" customHeight="1">
      <c r="A32" s="759">
        <v>16</v>
      </c>
      <c r="B32" s="791" t="s">
        <v>79</v>
      </c>
      <c r="C32" s="761" t="s">
        <v>56</v>
      </c>
      <c r="D32" s="787" t="s">
        <v>56</v>
      </c>
      <c r="E32" s="781" t="s">
        <v>57</v>
      </c>
      <c r="F32" s="782">
        <v>0.5</v>
      </c>
      <c r="G32" s="788">
        <v>4.43</v>
      </c>
      <c r="H32" s="765">
        <v>17697</v>
      </c>
      <c r="I32" s="765">
        <f>'ШТАТЫ по НОВОЙ МОДЕЛИ '!I32-'ШТАТЫ по старой МОДЕЛИ (3)'!I32</f>
        <v>530.90999999999622</v>
      </c>
      <c r="J32" s="766">
        <v>0</v>
      </c>
      <c r="K32" s="767">
        <f t="shared" si="3"/>
        <v>0</v>
      </c>
      <c r="L32" s="766">
        <v>0.1</v>
      </c>
      <c r="M32" s="768">
        <f t="shared" si="0"/>
        <v>26.55</v>
      </c>
      <c r="N32" s="783"/>
      <c r="O32" s="767">
        <f t="shared" si="1"/>
        <v>0</v>
      </c>
      <c r="P32" s="765">
        <f>'ШТАТЫ по НОВОЙ МОДЕЛИ '!P32-'ШТАТЫ по старой МОДЕЛИ (3)'!P32</f>
        <v>292</v>
      </c>
      <c r="Q32" s="769">
        <f t="shared" si="2"/>
        <v>3504</v>
      </c>
      <c r="S32" s="770"/>
      <c r="T32" s="784"/>
      <c r="U32" s="770"/>
    </row>
    <row r="33" spans="1:22" ht="13.5" customHeight="1">
      <c r="A33" s="759">
        <v>17</v>
      </c>
      <c r="B33" s="792" t="s">
        <v>71</v>
      </c>
      <c r="C33" s="761" t="s">
        <v>56</v>
      </c>
      <c r="D33" s="787" t="s">
        <v>56</v>
      </c>
      <c r="E33" s="781" t="s">
        <v>57</v>
      </c>
      <c r="F33" s="782">
        <v>0.5</v>
      </c>
      <c r="G33" s="788">
        <v>3.31</v>
      </c>
      <c r="H33" s="765">
        <v>17697</v>
      </c>
      <c r="I33" s="765">
        <f>'ШТАТЫ по НОВОЙ МОДЕЛИ '!I33-'ШТАТЫ по старой МОДЕЛИ (3)'!I33</f>
        <v>23713.980000000003</v>
      </c>
      <c r="J33" s="766">
        <v>0</v>
      </c>
      <c r="K33" s="767">
        <f t="shared" si="3"/>
        <v>0</v>
      </c>
      <c r="L33" s="766">
        <v>0.1</v>
      </c>
      <c r="M33" s="768">
        <f t="shared" si="0"/>
        <v>1185.7</v>
      </c>
      <c r="N33" s="783">
        <v>0.2</v>
      </c>
      <c r="O33" s="767">
        <f>ROUND(H33*N33,2)/2</f>
        <v>1769.7</v>
      </c>
      <c r="P33" s="765">
        <f>'ШТАТЫ по НОВОЙ МОДЕЛИ '!P33-'ШТАТЫ по старой МОДЕЛИ (3)'!P33</f>
        <v>13042.690000000002</v>
      </c>
      <c r="Q33" s="769">
        <f t="shared" si="2"/>
        <v>156512.28000000003</v>
      </c>
      <c r="S33" s="770"/>
      <c r="T33" s="784"/>
      <c r="U33" s="770"/>
    </row>
    <row r="34" spans="1:22" ht="13.5" customHeight="1">
      <c r="A34" s="759">
        <v>17</v>
      </c>
      <c r="B34" s="792" t="s">
        <v>71</v>
      </c>
      <c r="C34" s="761" t="s">
        <v>56</v>
      </c>
      <c r="D34" s="787" t="s">
        <v>56</v>
      </c>
      <c r="E34" s="781" t="s">
        <v>57</v>
      </c>
      <c r="F34" s="782">
        <v>0.5</v>
      </c>
      <c r="G34" s="788">
        <v>4.43</v>
      </c>
      <c r="H34" s="765">
        <v>17697</v>
      </c>
      <c r="I34" s="765">
        <f>'ШТАТЫ по НОВОЙ МОДЕЛИ '!I34-'ШТАТЫ по старой МОДЕЛИ (3)'!I34</f>
        <v>12918.80999999999</v>
      </c>
      <c r="J34" s="766">
        <v>0</v>
      </c>
      <c r="K34" s="767">
        <f t="shared" si="3"/>
        <v>0</v>
      </c>
      <c r="L34" s="766">
        <v>0.1</v>
      </c>
      <c r="M34" s="768">
        <f t="shared" si="0"/>
        <v>645.94000000000005</v>
      </c>
      <c r="N34" s="783">
        <v>0.2</v>
      </c>
      <c r="O34" s="767">
        <f>ROUND(H34*N34,2)/2</f>
        <v>1769.7</v>
      </c>
      <c r="P34" s="765">
        <f>'ШТАТЫ по НОВОЙ МОДЕЛИ '!P34-'ШТАТЫ по старой МОДЕЛИ (3)'!P34</f>
        <v>7105.3499999999985</v>
      </c>
      <c r="Q34" s="769">
        <f t="shared" si="2"/>
        <v>85264.199999999983</v>
      </c>
      <c r="S34" s="770"/>
      <c r="T34" s="784"/>
      <c r="U34" s="770"/>
    </row>
    <row r="35" spans="1:22" s="793" customFormat="1" ht="14.25" customHeight="1">
      <c r="A35" s="2293" t="s">
        <v>550</v>
      </c>
      <c r="B35" s="2294"/>
      <c r="C35" s="898"/>
      <c r="D35" s="898"/>
      <c r="E35" s="849"/>
      <c r="F35" s="841">
        <f>SUM(F17:F34)</f>
        <v>17.5</v>
      </c>
      <c r="G35" s="850"/>
      <c r="H35" s="850"/>
      <c r="I35" s="841" t="e">
        <f>SUM(I17:I34)</f>
        <v>#REF!</v>
      </c>
      <c r="J35" s="850"/>
      <c r="K35" s="841" t="e">
        <f>SUM(K17:K34)</f>
        <v>#REF!</v>
      </c>
      <c r="L35" s="850"/>
      <c r="M35" s="841" t="e">
        <f>SUM(M17:M34)</f>
        <v>#REF!</v>
      </c>
      <c r="N35" s="850"/>
      <c r="O35" s="841">
        <f>SUM(O17:O34)</f>
        <v>3539.4</v>
      </c>
      <c r="P35" s="841" t="e">
        <f>ROUND(SUM(P17:P34),2)</f>
        <v>#REF!</v>
      </c>
      <c r="Q35" s="851" t="e">
        <f>SUM(Q17:Q34)</f>
        <v>#REF!</v>
      </c>
      <c r="S35" s="794"/>
      <c r="T35" s="795"/>
      <c r="U35" s="795"/>
    </row>
    <row r="36" spans="1:22" ht="21.75" customHeight="1">
      <c r="A36" s="856"/>
      <c r="B36" s="869" t="s">
        <v>551</v>
      </c>
      <c r="C36" s="870"/>
      <c r="D36" s="870"/>
      <c r="E36" s="859"/>
      <c r="F36" s="861"/>
      <c r="G36" s="861"/>
      <c r="H36" s="861"/>
      <c r="I36" s="861"/>
      <c r="J36" s="861"/>
      <c r="K36" s="861"/>
      <c r="L36" s="861"/>
      <c r="M36" s="861"/>
      <c r="N36" s="861"/>
      <c r="O36" s="861"/>
      <c r="P36" s="861"/>
      <c r="Q36" s="862"/>
      <c r="R36" s="780"/>
      <c r="S36" s="770"/>
      <c r="U36" s="770"/>
    </row>
    <row r="37" spans="1:22" s="821" customFormat="1" ht="14.25" customHeight="1">
      <c r="A37" s="824">
        <v>1</v>
      </c>
      <c r="B37" s="797" t="s">
        <v>552</v>
      </c>
      <c r="C37" s="156"/>
      <c r="D37" s="156"/>
      <c r="E37" s="55"/>
      <c r="F37" s="798">
        <v>126.88</v>
      </c>
      <c r="G37" s="11"/>
      <c r="H37" s="775">
        <v>17697</v>
      </c>
      <c r="I37" s="775">
        <f>'ШТАТЫ по НОВОЙ МОДЕЛИ '!I37-'ШТАТЫ по старой МОДЕЛИ (3)'!I37</f>
        <v>7029695.7400000002</v>
      </c>
      <c r="J37" s="776">
        <v>0.25</v>
      </c>
      <c r="K37" s="799">
        <f>'ШТАТЫ по НОВОЙ МОДЕЛИ '!K37-'ШТАТЫ по старой МОДЕЛИ (3)'!K37</f>
        <v>155463.23000000001</v>
      </c>
      <c r="L37" s="776">
        <v>0.1</v>
      </c>
      <c r="M37" s="800">
        <f>'ШТАТЫ по НОВОЙ МОДЕЛИ '!M37-'ШТАТЫ по старой МОДЕЛИ (3)'!M37</f>
        <v>718515.89999999991</v>
      </c>
      <c r="N37" s="776"/>
      <c r="O37" s="799">
        <f>ROUND(H37*N37,2)</f>
        <v>0</v>
      </c>
      <c r="P37" s="775">
        <f>'ШТАТЫ по НОВОЙ МОДЕЛИ '!P37-'ШТАТЫ по старой МОДЕЛИ (3)'!P37</f>
        <v>8605922.7999999989</v>
      </c>
      <c r="Q37" s="779">
        <f>P37*12</f>
        <v>103271073.59999999</v>
      </c>
      <c r="S37" s="823"/>
      <c r="T37" s="822"/>
      <c r="U37" s="823"/>
    </row>
    <row r="38" spans="1:22" s="801" customFormat="1" ht="13.5" customHeight="1">
      <c r="A38" s="2285" t="s">
        <v>553</v>
      </c>
      <c r="B38" s="2286"/>
      <c r="C38" s="898"/>
      <c r="D38" s="898"/>
      <c r="E38" s="837"/>
      <c r="F38" s="838">
        <f>SUM(F37:F37)</f>
        <v>126.88</v>
      </c>
      <c r="G38" s="838"/>
      <c r="H38" s="838"/>
      <c r="I38" s="839">
        <f>SUM(I37:I37)</f>
        <v>7029695.7400000002</v>
      </c>
      <c r="J38" s="839"/>
      <c r="K38" s="839">
        <f>K37</f>
        <v>155463.23000000001</v>
      </c>
      <c r="L38" s="839"/>
      <c r="M38" s="839">
        <f>SUM(M37:M37)</f>
        <v>718515.89999999991</v>
      </c>
      <c r="N38" s="840"/>
      <c r="O38" s="839">
        <f>SUM(O37:O37)</f>
        <v>0</v>
      </c>
      <c r="P38" s="841">
        <f>SUM(P37:P37)</f>
        <v>8605922.7999999989</v>
      </c>
      <c r="Q38" s="842">
        <f>SUM(Q37:Q37)</f>
        <v>103271073.59999999</v>
      </c>
      <c r="S38" s="794"/>
      <c r="T38" s="795"/>
      <c r="U38" s="795"/>
      <c r="V38" s="794"/>
    </row>
    <row r="39" spans="1:22" ht="45.75" customHeight="1">
      <c r="A39" s="856"/>
      <c r="B39" s="857" t="s">
        <v>554</v>
      </c>
      <c r="C39" s="858"/>
      <c r="D39" s="858"/>
      <c r="E39" s="859"/>
      <c r="F39" s="860"/>
      <c r="G39" s="860"/>
      <c r="H39" s="860"/>
      <c r="I39" s="861"/>
      <c r="J39" s="861"/>
      <c r="K39" s="861"/>
      <c r="L39" s="861"/>
      <c r="M39" s="861"/>
      <c r="N39" s="861"/>
      <c r="O39" s="861"/>
      <c r="P39" s="861"/>
      <c r="Q39" s="862"/>
      <c r="R39" s="755"/>
      <c r="S39" s="784"/>
      <c r="T39" s="784"/>
      <c r="U39" s="784"/>
    </row>
    <row r="40" spans="1:22" s="821" customFormat="1" ht="15.75" customHeight="1">
      <c r="A40" s="824">
        <v>1</v>
      </c>
      <c r="B40" s="791" t="s">
        <v>555</v>
      </c>
      <c r="C40" s="825"/>
      <c r="D40" s="825"/>
      <c r="E40" s="826">
        <v>2</v>
      </c>
      <c r="F40" s="827">
        <v>9.3000000000000007</v>
      </c>
      <c r="G40" s="827">
        <v>2.81</v>
      </c>
      <c r="H40" s="828">
        <v>17697</v>
      </c>
      <c r="I40" s="828">
        <f>'ШТАТЫ по НОВОЙ МОДЕЛИ '!I40-'ШТАТЫ по старой МОДЕЛИ (3)'!I40</f>
        <v>60895.381000000052</v>
      </c>
      <c r="J40" s="829">
        <v>0</v>
      </c>
      <c r="K40" s="830">
        <f>ROUND(I40*J40,2)</f>
        <v>0</v>
      </c>
      <c r="L40" s="829">
        <v>0.1</v>
      </c>
      <c r="M40" s="831">
        <f>'ШТАТЫ по НОВОЙ МОДЕЛИ '!M40-'ШТАТЫ по старой МОДЕЛИ (3)'!M40</f>
        <v>6089.5381000000052</v>
      </c>
      <c r="N40" s="829">
        <v>0.3</v>
      </c>
      <c r="O40" s="830">
        <v>49374.63</v>
      </c>
      <c r="P40" s="828">
        <f>'ШТАТЫ по НОВОЙ МОДЕЛИ '!P40-'ШТАТЫ по старой МОДЕЛИ (3)'!P40</f>
        <v>66984.919100000116</v>
      </c>
      <c r="Q40" s="832">
        <f t="shared" ref="Q40:Q45" si="4">P40*12</f>
        <v>803819.02920000139</v>
      </c>
      <c r="S40" s="823"/>
      <c r="T40" s="822"/>
      <c r="U40" s="823"/>
    </row>
    <row r="41" spans="1:22" s="821" customFormat="1" ht="30">
      <c r="A41" s="824">
        <v>2</v>
      </c>
      <c r="B41" s="771" t="s">
        <v>556</v>
      </c>
      <c r="C41" s="825"/>
      <c r="D41" s="825"/>
      <c r="E41" s="826">
        <v>4</v>
      </c>
      <c r="F41" s="827">
        <v>1.5</v>
      </c>
      <c r="G41" s="827">
        <v>2.89</v>
      </c>
      <c r="H41" s="828">
        <v>17697</v>
      </c>
      <c r="I41" s="828">
        <f>'ШТАТЫ по НОВОЙ МОДЕЛИ '!I41-'ШТАТЫ по старой МОДЕЛИ (3)'!I41</f>
        <v>10087.290000000008</v>
      </c>
      <c r="J41" s="829">
        <v>0</v>
      </c>
      <c r="K41" s="830">
        <f>ROUND(I41*J41,2)</f>
        <v>0</v>
      </c>
      <c r="L41" s="829">
        <v>0.1</v>
      </c>
      <c r="M41" s="831">
        <f>'ШТАТЫ по НОВОЙ МОДЕЛИ '!M41-'ШТАТЫ по старой МОДЕЛИ (3)'!M41</f>
        <v>1008.7290000000003</v>
      </c>
      <c r="N41" s="829"/>
      <c r="O41" s="830">
        <f>ROUND(H41*N41,2)</f>
        <v>0</v>
      </c>
      <c r="P41" s="828">
        <f>'ШТАТЫ по НОВОЙ МОДЕЛИ '!P41-'ШТАТЫ по старой МОДЕЛИ (3)'!P41</f>
        <v>11096.019000000015</v>
      </c>
      <c r="Q41" s="832">
        <f t="shared" si="4"/>
        <v>133152.22800000018</v>
      </c>
      <c r="S41" s="822"/>
      <c r="T41" s="822"/>
      <c r="U41" s="823"/>
    </row>
    <row r="42" spans="1:22" ht="11.25" customHeight="1">
      <c r="A42" s="824">
        <v>3</v>
      </c>
      <c r="B42" s="771" t="s">
        <v>556</v>
      </c>
      <c r="C42" s="825"/>
      <c r="D42" s="825"/>
      <c r="E42" s="826">
        <v>2</v>
      </c>
      <c r="F42" s="827">
        <v>4.5</v>
      </c>
      <c r="G42" s="827">
        <v>2.81</v>
      </c>
      <c r="H42" s="828">
        <v>17697</v>
      </c>
      <c r="I42" s="828">
        <f>'ШТАТЫ по НОВОЙ МОДЕЛИ '!I42-'ШТАТЫ по старой МОДЕЛИ (3)'!I42</f>
        <v>-45127.350000000006</v>
      </c>
      <c r="J42" s="829"/>
      <c r="K42" s="830"/>
      <c r="L42" s="829">
        <v>0.1</v>
      </c>
      <c r="M42" s="831">
        <f>'ШТАТЫ по НОВОЙ МОДЕЛИ '!M42-'ШТАТЫ по старой МОДЕЛИ (3)'!M42</f>
        <v>-4512.7350000000006</v>
      </c>
      <c r="N42" s="829"/>
      <c r="O42" s="830">
        <f>ROUND(H42*N42,2)</f>
        <v>0</v>
      </c>
      <c r="P42" s="828">
        <f>'ШТАТЫ по НОВОЙ МОДЕЛИ '!P42-'ШТАТЫ по старой МОДЕЛИ (3)'!P42</f>
        <v>-49640.085000000021</v>
      </c>
      <c r="Q42" s="832">
        <f t="shared" si="4"/>
        <v>-595681.02000000025</v>
      </c>
      <c r="S42" s="784"/>
      <c r="T42" s="784"/>
      <c r="U42" s="770"/>
    </row>
    <row r="43" spans="1:22" s="821" customFormat="1" ht="11.25" customHeight="1">
      <c r="A43" s="824">
        <v>4</v>
      </c>
      <c r="B43" s="771" t="s">
        <v>358</v>
      </c>
      <c r="C43" s="825"/>
      <c r="D43" s="825"/>
      <c r="E43" s="826">
        <v>1</v>
      </c>
      <c r="F43" s="827">
        <v>1</v>
      </c>
      <c r="G43" s="827">
        <v>2.77</v>
      </c>
      <c r="H43" s="828">
        <v>17697</v>
      </c>
      <c r="I43" s="828">
        <f>'ШТАТЫ по НОВОЙ МОДЕЛИ '!I44-'ШТАТЫ по старой МОДЕЛИ (3)'!I43</f>
        <v>6370.9199999999983</v>
      </c>
      <c r="J43" s="829"/>
      <c r="K43" s="830"/>
      <c r="L43" s="829">
        <v>0.1</v>
      </c>
      <c r="M43" s="831">
        <f>'ШТАТЫ по НОВОЙ МОДЕЛИ '!M44-'ШТАТЫ по старой МОДЕЛИ (3)'!M43</f>
        <v>637.09000000000015</v>
      </c>
      <c r="N43" s="829"/>
      <c r="O43" s="830">
        <f>ROUND(H43*N43,2)</f>
        <v>0</v>
      </c>
      <c r="P43" s="828">
        <f>'ШТАТЫ по НОВОЙ МОДЕЛИ '!P44-'ШТАТЫ по старой МОДЕЛИ (3)'!P43</f>
        <v>7008.010000000002</v>
      </c>
      <c r="Q43" s="832">
        <f t="shared" si="4"/>
        <v>84096.120000000024</v>
      </c>
      <c r="S43" s="822"/>
      <c r="T43" s="822"/>
      <c r="U43" s="823"/>
    </row>
    <row r="44" spans="1:22" s="821" customFormat="1" ht="11.25" customHeight="1">
      <c r="A44" s="824">
        <v>5</v>
      </c>
      <c r="B44" s="802" t="s">
        <v>346</v>
      </c>
      <c r="C44" s="825"/>
      <c r="D44" s="825"/>
      <c r="E44" s="826">
        <v>1</v>
      </c>
      <c r="F44" s="827">
        <v>9</v>
      </c>
      <c r="G44" s="833">
        <v>2.77</v>
      </c>
      <c r="H44" s="828">
        <v>17697</v>
      </c>
      <c r="I44" s="828">
        <f>'ШТАТЫ по НОВОЙ МОДЕЛИ '!I45-'ШТАТЫ по старой МОДЕЛИ (3)'!I44</f>
        <v>57338.280000000028</v>
      </c>
      <c r="J44" s="829"/>
      <c r="K44" s="830"/>
      <c r="L44" s="829">
        <v>0.1</v>
      </c>
      <c r="M44" s="831">
        <f>'ШТАТЫ по НОВОЙ МОДЕЛИ '!M45-'ШТАТЫ по старой МОДЕЛИ (3)'!M44</f>
        <v>5733.8270000000048</v>
      </c>
      <c r="N44" s="829">
        <v>0.5</v>
      </c>
      <c r="O44" s="830">
        <v>111954.06</v>
      </c>
      <c r="P44" s="828">
        <f>'ШТАТЫ по НОВОЙ МОДЕЛИ '!P45-'ШТАТЫ по старой МОДЕЛИ (3)'!P44</f>
        <v>77623.667000000016</v>
      </c>
      <c r="Q44" s="832">
        <f t="shared" si="4"/>
        <v>931484.00400000019</v>
      </c>
      <c r="S44" s="822"/>
      <c r="T44" s="822"/>
      <c r="U44" s="823"/>
    </row>
    <row r="45" spans="1:22" s="821" customFormat="1" ht="11.25" customHeight="1">
      <c r="A45" s="824">
        <v>6</v>
      </c>
      <c r="B45" s="803" t="s">
        <v>557</v>
      </c>
      <c r="C45" s="825"/>
      <c r="D45" s="825"/>
      <c r="E45" s="834">
        <v>1</v>
      </c>
      <c r="F45" s="835">
        <v>1</v>
      </c>
      <c r="G45" s="833">
        <v>2.77</v>
      </c>
      <c r="H45" s="828">
        <v>17697</v>
      </c>
      <c r="I45" s="828">
        <f>'ШТАТЫ по НОВОЙ МОДЕЛИ '!I46-'ШТАТЫ по старой МОДЕЛИ (3)'!I45</f>
        <v>6370.9199999999983</v>
      </c>
      <c r="J45" s="829"/>
      <c r="K45" s="830"/>
      <c r="L45" s="829">
        <v>0.1</v>
      </c>
      <c r="M45" s="831">
        <f>'ШТАТЫ по НОВОЙ МОДЕЛИ '!M46-'ШТАТЫ по старой МОДЕЛИ (3)'!M45</f>
        <v>637.09000000000015</v>
      </c>
      <c r="N45" s="829"/>
      <c r="O45" s="830">
        <f>ROUND(H45*N45,2)</f>
        <v>0</v>
      </c>
      <c r="P45" s="828">
        <f>'ШТАТЫ по НОВОЙ МОДЕЛИ '!P46-'ШТАТЫ по старой МОДЕЛИ (3)'!P45</f>
        <v>7008.010000000002</v>
      </c>
      <c r="Q45" s="832">
        <f t="shared" si="4"/>
        <v>84096.120000000024</v>
      </c>
      <c r="S45" s="822"/>
      <c r="T45" s="822"/>
      <c r="U45" s="823"/>
    </row>
    <row r="46" spans="1:22" s="801" customFormat="1" ht="20.25" customHeight="1" thickBot="1">
      <c r="A46" s="2287" t="s">
        <v>359</v>
      </c>
      <c r="B46" s="2288"/>
      <c r="C46" s="843"/>
      <c r="D46" s="843"/>
      <c r="E46" s="844"/>
      <c r="F46" s="845">
        <f>SUM(F39:F45)</f>
        <v>26.3</v>
      </c>
      <c r="G46" s="846"/>
      <c r="H46" s="845"/>
      <c r="I46" s="845"/>
      <c r="J46" s="845"/>
      <c r="K46" s="845">
        <f>SUM(K39:K45)</f>
        <v>0</v>
      </c>
      <c r="L46" s="845"/>
      <c r="M46" s="847">
        <f>SUM(M39:M45)</f>
        <v>9593.5391000000091</v>
      </c>
      <c r="N46" s="845"/>
      <c r="O46" s="847">
        <f>SUM(O39:O45)</f>
        <v>161328.69</v>
      </c>
      <c r="P46" s="847">
        <f>SUM(P39:P45)</f>
        <v>120080.54010000013</v>
      </c>
      <c r="Q46" s="848">
        <f>SUM(Q39:Q45)</f>
        <v>1440966.4812000017</v>
      </c>
      <c r="S46" s="804"/>
      <c r="T46" s="805"/>
      <c r="U46" s="795"/>
    </row>
    <row r="47" spans="1:22" s="801" customFormat="1" ht="19.5" customHeight="1" thickBot="1">
      <c r="A47" s="2289" t="s">
        <v>558</v>
      </c>
      <c r="B47" s="2290"/>
      <c r="C47" s="899"/>
      <c r="D47" s="899"/>
      <c r="E47" s="853"/>
      <c r="F47" s="854">
        <f>F35+F38+F46</f>
        <v>170.68</v>
      </c>
      <c r="G47" s="855"/>
      <c r="H47" s="855"/>
      <c r="I47" s="855"/>
      <c r="J47" s="855"/>
      <c r="K47" s="853" t="e">
        <f>K38+K35</f>
        <v>#REF!</v>
      </c>
      <c r="L47" s="855"/>
      <c r="M47" s="853" t="e">
        <f>M35+M38+M46</f>
        <v>#REF!</v>
      </c>
      <c r="N47" s="855">
        <f>N35+N38+N46</f>
        <v>0</v>
      </c>
      <c r="O47" s="853">
        <f>O35+O38+O46</f>
        <v>164868.09</v>
      </c>
      <c r="P47" s="853" t="e">
        <f>P35+P38+P46-0.01</f>
        <v>#REF!</v>
      </c>
      <c r="Q47" s="854" t="e">
        <f>P47*12</f>
        <v>#REF!</v>
      </c>
      <c r="R47" s="794"/>
      <c r="S47" s="806"/>
      <c r="T47" s="806"/>
      <c r="U47" s="806"/>
    </row>
    <row r="48" spans="1:22">
      <c r="S48" s="2282"/>
      <c r="T48" s="808"/>
      <c r="U48" s="808"/>
    </row>
    <row r="49" spans="1:21" ht="15" customHeight="1">
      <c r="B49" s="904" t="s">
        <v>53</v>
      </c>
      <c r="C49" s="904"/>
      <c r="D49" s="904"/>
      <c r="E49" s="900"/>
      <c r="F49" s="900"/>
      <c r="G49" s="900"/>
      <c r="H49" s="810"/>
      <c r="I49" s="2291"/>
      <c r="J49" s="2291"/>
      <c r="K49" s="2291"/>
      <c r="L49" s="2291"/>
      <c r="M49" s="2291"/>
      <c r="N49" s="2291"/>
      <c r="O49" s="2291"/>
      <c r="P49" s="811"/>
      <c r="S49" s="2282"/>
      <c r="T49" s="812"/>
      <c r="U49" s="812"/>
    </row>
    <row r="50" spans="1:21">
      <c r="F50" s="901" t="s">
        <v>559</v>
      </c>
      <c r="I50" s="2292" t="s">
        <v>560</v>
      </c>
      <c r="J50" s="2292"/>
      <c r="K50" s="2292"/>
      <c r="L50" s="2292"/>
      <c r="M50" s="2292"/>
      <c r="N50" s="2292"/>
      <c r="O50" s="2292"/>
      <c r="P50" s="811"/>
      <c r="S50" s="814"/>
      <c r="T50" s="815"/>
      <c r="U50" s="815"/>
    </row>
    <row r="51" spans="1:21">
      <c r="N51" s="816"/>
      <c r="P51" s="811"/>
      <c r="Q51" s="780"/>
      <c r="S51" s="784"/>
      <c r="T51" s="784"/>
      <c r="U51" s="784"/>
    </row>
    <row r="52" spans="1:21">
      <c r="A52" s="784"/>
      <c r="P52" s="811"/>
      <c r="S52" s="2282"/>
      <c r="T52" s="808"/>
      <c r="U52" s="808"/>
    </row>
    <row r="53" spans="1:21">
      <c r="A53" s="784"/>
      <c r="N53" s="816"/>
      <c r="S53" s="2282"/>
      <c r="T53" s="812"/>
      <c r="U53" s="812"/>
    </row>
    <row r="54" spans="1:21" s="818" customFormat="1" ht="41.25" customHeight="1">
      <c r="A54" s="817"/>
      <c r="B54" s="2283"/>
      <c r="C54" s="2283"/>
      <c r="D54" s="2283"/>
      <c r="E54" s="2284"/>
      <c r="F54" s="2284"/>
      <c r="G54" s="2284"/>
      <c r="H54" s="2284"/>
      <c r="I54" s="2284"/>
      <c r="J54" s="2284"/>
      <c r="K54" s="2284"/>
      <c r="L54" s="2284"/>
      <c r="M54" s="2284"/>
      <c r="N54" s="2284"/>
      <c r="O54" s="2284"/>
      <c r="P54" s="2284"/>
      <c r="Q54" s="2284"/>
      <c r="S54" s="817"/>
      <c r="T54" s="817"/>
      <c r="U54" s="817"/>
    </row>
    <row r="55" spans="1:21">
      <c r="A55" s="784"/>
      <c r="S55" s="2282"/>
      <c r="T55" s="808"/>
      <c r="U55" s="808"/>
    </row>
    <row r="56" spans="1:21" s="818" customFormat="1">
      <c r="A56" s="817"/>
      <c r="B56" s="2283"/>
      <c r="C56" s="2283"/>
      <c r="D56" s="2283"/>
      <c r="E56" s="2284"/>
      <c r="F56" s="2284"/>
      <c r="G56" s="2284"/>
      <c r="H56" s="2284"/>
      <c r="I56" s="2284"/>
      <c r="J56" s="2284"/>
      <c r="K56" s="2284"/>
      <c r="L56" s="2284"/>
      <c r="M56" s="2284"/>
      <c r="N56" s="819"/>
      <c r="O56" s="819"/>
      <c r="P56" s="819"/>
      <c r="S56" s="2282"/>
      <c r="T56" s="820"/>
      <c r="U56" s="820"/>
    </row>
    <row r="57" spans="1:21">
      <c r="A57" s="784"/>
    </row>
    <row r="58" spans="1:21">
      <c r="M58" s="811"/>
    </row>
  </sheetData>
  <mergeCells count="44">
    <mergeCell ref="U17:AC17"/>
    <mergeCell ref="S52:S53"/>
    <mergeCell ref="B54:Q54"/>
    <mergeCell ref="S55:S56"/>
    <mergeCell ref="B56:M56"/>
    <mergeCell ref="A38:B38"/>
    <mergeCell ref="A46:B46"/>
    <mergeCell ref="A47:B47"/>
    <mergeCell ref="S48:S49"/>
    <mergeCell ref="I49:O49"/>
    <mergeCell ref="I50:O50"/>
    <mergeCell ref="A35:B35"/>
    <mergeCell ref="F14:F15"/>
    <mergeCell ref="G14:G15"/>
    <mergeCell ref="T16:AC16"/>
    <mergeCell ref="N14:O14"/>
    <mergeCell ref="P14:P15"/>
    <mergeCell ref="W12:AC12"/>
    <mergeCell ref="U13:V13"/>
    <mergeCell ref="W13:AC13"/>
    <mergeCell ref="A12:Q12"/>
    <mergeCell ref="Q14:Q15"/>
    <mergeCell ref="W14:AC14"/>
    <mergeCell ref="U15:AC15"/>
    <mergeCell ref="H14:H15"/>
    <mergeCell ref="I14:I15"/>
    <mergeCell ref="J14:K14"/>
    <mergeCell ref="L14:M14"/>
    <mergeCell ref="A14:A15"/>
    <mergeCell ref="B14:B15"/>
    <mergeCell ref="C14:C15"/>
    <mergeCell ref="D14:D15"/>
    <mergeCell ref="E14:E15"/>
    <mergeCell ref="F6:Q6"/>
    <mergeCell ref="G7:Q7"/>
    <mergeCell ref="B9:Q9"/>
    <mergeCell ref="A10:Q10"/>
    <mergeCell ref="A11:Q11"/>
    <mergeCell ref="G5:Q5"/>
    <mergeCell ref="G1:Q1"/>
    <mergeCell ref="B2:E2"/>
    <mergeCell ref="G2:Q2"/>
    <mergeCell ref="G3:P3"/>
    <mergeCell ref="I4:Q4"/>
  </mergeCells>
  <pageMargins left="0.98425196850393704" right="0.19685039370078741" top="0.27559055118110237" bottom="0.23622047244094491" header="0.23622047244094491" footer="0.23622047244094491"/>
  <pageSetup paperSize="9" scale="65" orientation="landscape" r:id="rId1"/>
  <headerFooter alignWithMargins="0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rgb="FFFF0000"/>
  </sheetPr>
  <dimension ref="A1:AC59"/>
  <sheetViews>
    <sheetView tabSelected="1" view="pageBreakPreview" topLeftCell="A25" zoomScaleNormal="100" zoomScaleSheetLayoutView="100" workbookViewId="0">
      <selection activeCell="B55" sqref="B55:Q55"/>
    </sheetView>
  </sheetViews>
  <sheetFormatPr defaultRowHeight="12.75"/>
  <cols>
    <col min="1" max="1" width="5" style="745" customWidth="1"/>
    <col min="2" max="2" width="29.85546875" style="749" customWidth="1"/>
    <col min="3" max="3" width="6" style="749" customWidth="1"/>
    <col min="4" max="4" width="5.7109375" style="749" customWidth="1"/>
    <col min="5" max="5" width="5.85546875" style="745" customWidth="1"/>
    <col min="6" max="6" width="12.42578125" style="807" customWidth="1"/>
    <col min="7" max="7" width="6.140625" style="807" customWidth="1"/>
    <col min="8" max="8" width="9.42578125" style="807" customWidth="1"/>
    <col min="9" max="9" width="13.85546875" style="807" customWidth="1"/>
    <col min="10" max="10" width="6.28515625" style="807" customWidth="1"/>
    <col min="11" max="11" width="13.7109375" style="807" customWidth="1"/>
    <col min="12" max="12" width="6.85546875" style="807" customWidth="1"/>
    <col min="13" max="13" width="12.140625" style="807" customWidth="1"/>
    <col min="14" max="14" width="5.7109375" style="807" customWidth="1"/>
    <col min="15" max="15" width="13.7109375" style="807" customWidth="1"/>
    <col min="16" max="16" width="15.42578125" style="807" customWidth="1"/>
    <col min="17" max="17" width="16.28515625" style="745" customWidth="1"/>
    <col min="18" max="18" width="16.42578125" style="745" customWidth="1"/>
    <col min="19" max="19" width="15" style="745" customWidth="1"/>
    <col min="20" max="20" width="25.28515625" style="745" customWidth="1"/>
    <col min="21" max="21" width="25.7109375" style="745" customWidth="1"/>
    <col min="22" max="256" width="9.140625" style="745"/>
    <col min="257" max="257" width="5" style="745" customWidth="1"/>
    <col min="258" max="258" width="29.85546875" style="745" customWidth="1"/>
    <col min="259" max="259" width="6" style="745" customWidth="1"/>
    <col min="260" max="260" width="5.7109375" style="745" customWidth="1"/>
    <col min="261" max="261" width="5.85546875" style="745" customWidth="1"/>
    <col min="262" max="262" width="12.42578125" style="745" customWidth="1"/>
    <col min="263" max="263" width="6.140625" style="745" customWidth="1"/>
    <col min="264" max="264" width="9.42578125" style="745" customWidth="1"/>
    <col min="265" max="265" width="12.5703125" style="745" customWidth="1"/>
    <col min="266" max="266" width="6.28515625" style="745" customWidth="1"/>
    <col min="267" max="267" width="11.42578125" style="745" customWidth="1"/>
    <col min="268" max="268" width="6.85546875" style="745" customWidth="1"/>
    <col min="269" max="269" width="12.140625" style="745" customWidth="1"/>
    <col min="270" max="270" width="5.7109375" style="745" customWidth="1"/>
    <col min="271" max="271" width="11.140625" style="745" customWidth="1"/>
    <col min="272" max="272" width="15.42578125" style="745" customWidth="1"/>
    <col min="273" max="273" width="14.7109375" style="745" customWidth="1"/>
    <col min="274" max="274" width="13.42578125" style="745" customWidth="1"/>
    <col min="275" max="275" width="15" style="745" customWidth="1"/>
    <col min="276" max="276" width="25.28515625" style="745" customWidth="1"/>
    <col min="277" max="277" width="25.7109375" style="745" customWidth="1"/>
    <col min="278" max="512" width="9.140625" style="745"/>
    <col min="513" max="513" width="5" style="745" customWidth="1"/>
    <col min="514" max="514" width="29.85546875" style="745" customWidth="1"/>
    <col min="515" max="515" width="6" style="745" customWidth="1"/>
    <col min="516" max="516" width="5.7109375" style="745" customWidth="1"/>
    <col min="517" max="517" width="5.85546875" style="745" customWidth="1"/>
    <col min="518" max="518" width="12.42578125" style="745" customWidth="1"/>
    <col min="519" max="519" width="6.140625" style="745" customWidth="1"/>
    <col min="520" max="520" width="9.42578125" style="745" customWidth="1"/>
    <col min="521" max="521" width="12.5703125" style="745" customWidth="1"/>
    <col min="522" max="522" width="6.28515625" style="745" customWidth="1"/>
    <col min="523" max="523" width="11.42578125" style="745" customWidth="1"/>
    <col min="524" max="524" width="6.85546875" style="745" customWidth="1"/>
    <col min="525" max="525" width="12.140625" style="745" customWidth="1"/>
    <col min="526" max="526" width="5.7109375" style="745" customWidth="1"/>
    <col min="527" max="527" width="11.140625" style="745" customWidth="1"/>
    <col min="528" max="528" width="15.42578125" style="745" customWidth="1"/>
    <col min="529" max="529" width="14.7109375" style="745" customWidth="1"/>
    <col min="530" max="530" width="13.42578125" style="745" customWidth="1"/>
    <col min="531" max="531" width="15" style="745" customWidth="1"/>
    <col min="532" max="532" width="25.28515625" style="745" customWidth="1"/>
    <col min="533" max="533" width="25.7109375" style="745" customWidth="1"/>
    <col min="534" max="768" width="9.140625" style="745"/>
    <col min="769" max="769" width="5" style="745" customWidth="1"/>
    <col min="770" max="770" width="29.85546875" style="745" customWidth="1"/>
    <col min="771" max="771" width="6" style="745" customWidth="1"/>
    <col min="772" max="772" width="5.7109375" style="745" customWidth="1"/>
    <col min="773" max="773" width="5.85546875" style="745" customWidth="1"/>
    <col min="774" max="774" width="12.42578125" style="745" customWidth="1"/>
    <col min="775" max="775" width="6.140625" style="745" customWidth="1"/>
    <col min="776" max="776" width="9.42578125" style="745" customWidth="1"/>
    <col min="777" max="777" width="12.5703125" style="745" customWidth="1"/>
    <col min="778" max="778" width="6.28515625" style="745" customWidth="1"/>
    <col min="779" max="779" width="11.42578125" style="745" customWidth="1"/>
    <col min="780" max="780" width="6.85546875" style="745" customWidth="1"/>
    <col min="781" max="781" width="12.140625" style="745" customWidth="1"/>
    <col min="782" max="782" width="5.7109375" style="745" customWidth="1"/>
    <col min="783" max="783" width="11.140625" style="745" customWidth="1"/>
    <col min="784" max="784" width="15.42578125" style="745" customWidth="1"/>
    <col min="785" max="785" width="14.7109375" style="745" customWidth="1"/>
    <col min="786" max="786" width="13.42578125" style="745" customWidth="1"/>
    <col min="787" max="787" width="15" style="745" customWidth="1"/>
    <col min="788" max="788" width="25.28515625" style="745" customWidth="1"/>
    <col min="789" max="789" width="25.7109375" style="745" customWidth="1"/>
    <col min="790" max="1024" width="9.140625" style="745"/>
    <col min="1025" max="1025" width="5" style="745" customWidth="1"/>
    <col min="1026" max="1026" width="29.85546875" style="745" customWidth="1"/>
    <col min="1027" max="1027" width="6" style="745" customWidth="1"/>
    <col min="1028" max="1028" width="5.7109375" style="745" customWidth="1"/>
    <col min="1029" max="1029" width="5.85546875" style="745" customWidth="1"/>
    <col min="1030" max="1030" width="12.42578125" style="745" customWidth="1"/>
    <col min="1031" max="1031" width="6.140625" style="745" customWidth="1"/>
    <col min="1032" max="1032" width="9.42578125" style="745" customWidth="1"/>
    <col min="1033" max="1033" width="12.5703125" style="745" customWidth="1"/>
    <col min="1034" max="1034" width="6.28515625" style="745" customWidth="1"/>
    <col min="1035" max="1035" width="11.42578125" style="745" customWidth="1"/>
    <col min="1036" max="1036" width="6.85546875" style="745" customWidth="1"/>
    <col min="1037" max="1037" width="12.140625" style="745" customWidth="1"/>
    <col min="1038" max="1038" width="5.7109375" style="745" customWidth="1"/>
    <col min="1039" max="1039" width="11.140625" style="745" customWidth="1"/>
    <col min="1040" max="1040" width="15.42578125" style="745" customWidth="1"/>
    <col min="1041" max="1041" width="14.7109375" style="745" customWidth="1"/>
    <col min="1042" max="1042" width="13.42578125" style="745" customWidth="1"/>
    <col min="1043" max="1043" width="15" style="745" customWidth="1"/>
    <col min="1044" max="1044" width="25.28515625" style="745" customWidth="1"/>
    <col min="1045" max="1045" width="25.7109375" style="745" customWidth="1"/>
    <col min="1046" max="1280" width="9.140625" style="745"/>
    <col min="1281" max="1281" width="5" style="745" customWidth="1"/>
    <col min="1282" max="1282" width="29.85546875" style="745" customWidth="1"/>
    <col min="1283" max="1283" width="6" style="745" customWidth="1"/>
    <col min="1284" max="1284" width="5.7109375" style="745" customWidth="1"/>
    <col min="1285" max="1285" width="5.85546875" style="745" customWidth="1"/>
    <col min="1286" max="1286" width="12.42578125" style="745" customWidth="1"/>
    <col min="1287" max="1287" width="6.140625" style="745" customWidth="1"/>
    <col min="1288" max="1288" width="9.42578125" style="745" customWidth="1"/>
    <col min="1289" max="1289" width="12.5703125" style="745" customWidth="1"/>
    <col min="1290" max="1290" width="6.28515625" style="745" customWidth="1"/>
    <col min="1291" max="1291" width="11.42578125" style="745" customWidth="1"/>
    <col min="1292" max="1292" width="6.85546875" style="745" customWidth="1"/>
    <col min="1293" max="1293" width="12.140625" style="745" customWidth="1"/>
    <col min="1294" max="1294" width="5.7109375" style="745" customWidth="1"/>
    <col min="1295" max="1295" width="11.140625" style="745" customWidth="1"/>
    <col min="1296" max="1296" width="15.42578125" style="745" customWidth="1"/>
    <col min="1297" max="1297" width="14.7109375" style="745" customWidth="1"/>
    <col min="1298" max="1298" width="13.42578125" style="745" customWidth="1"/>
    <col min="1299" max="1299" width="15" style="745" customWidth="1"/>
    <col min="1300" max="1300" width="25.28515625" style="745" customWidth="1"/>
    <col min="1301" max="1301" width="25.7109375" style="745" customWidth="1"/>
    <col min="1302" max="1536" width="9.140625" style="745"/>
    <col min="1537" max="1537" width="5" style="745" customWidth="1"/>
    <col min="1538" max="1538" width="29.85546875" style="745" customWidth="1"/>
    <col min="1539" max="1539" width="6" style="745" customWidth="1"/>
    <col min="1540" max="1540" width="5.7109375" style="745" customWidth="1"/>
    <col min="1541" max="1541" width="5.85546875" style="745" customWidth="1"/>
    <col min="1542" max="1542" width="12.42578125" style="745" customWidth="1"/>
    <col min="1543" max="1543" width="6.140625" style="745" customWidth="1"/>
    <col min="1544" max="1544" width="9.42578125" style="745" customWidth="1"/>
    <col min="1545" max="1545" width="12.5703125" style="745" customWidth="1"/>
    <col min="1546" max="1546" width="6.28515625" style="745" customWidth="1"/>
    <col min="1547" max="1547" width="11.42578125" style="745" customWidth="1"/>
    <col min="1548" max="1548" width="6.85546875" style="745" customWidth="1"/>
    <col min="1549" max="1549" width="12.140625" style="745" customWidth="1"/>
    <col min="1550" max="1550" width="5.7109375" style="745" customWidth="1"/>
    <col min="1551" max="1551" width="11.140625" style="745" customWidth="1"/>
    <col min="1552" max="1552" width="15.42578125" style="745" customWidth="1"/>
    <col min="1553" max="1553" width="14.7109375" style="745" customWidth="1"/>
    <col min="1554" max="1554" width="13.42578125" style="745" customWidth="1"/>
    <col min="1555" max="1555" width="15" style="745" customWidth="1"/>
    <col min="1556" max="1556" width="25.28515625" style="745" customWidth="1"/>
    <col min="1557" max="1557" width="25.7109375" style="745" customWidth="1"/>
    <col min="1558" max="1792" width="9.140625" style="745"/>
    <col min="1793" max="1793" width="5" style="745" customWidth="1"/>
    <col min="1794" max="1794" width="29.85546875" style="745" customWidth="1"/>
    <col min="1795" max="1795" width="6" style="745" customWidth="1"/>
    <col min="1796" max="1796" width="5.7109375" style="745" customWidth="1"/>
    <col min="1797" max="1797" width="5.85546875" style="745" customWidth="1"/>
    <col min="1798" max="1798" width="12.42578125" style="745" customWidth="1"/>
    <col min="1799" max="1799" width="6.140625" style="745" customWidth="1"/>
    <col min="1800" max="1800" width="9.42578125" style="745" customWidth="1"/>
    <col min="1801" max="1801" width="12.5703125" style="745" customWidth="1"/>
    <col min="1802" max="1802" width="6.28515625" style="745" customWidth="1"/>
    <col min="1803" max="1803" width="11.42578125" style="745" customWidth="1"/>
    <col min="1804" max="1804" width="6.85546875" style="745" customWidth="1"/>
    <col min="1805" max="1805" width="12.140625" style="745" customWidth="1"/>
    <col min="1806" max="1806" width="5.7109375" style="745" customWidth="1"/>
    <col min="1807" max="1807" width="11.140625" style="745" customWidth="1"/>
    <col min="1808" max="1808" width="15.42578125" style="745" customWidth="1"/>
    <col min="1809" max="1809" width="14.7109375" style="745" customWidth="1"/>
    <col min="1810" max="1810" width="13.42578125" style="745" customWidth="1"/>
    <col min="1811" max="1811" width="15" style="745" customWidth="1"/>
    <col min="1812" max="1812" width="25.28515625" style="745" customWidth="1"/>
    <col min="1813" max="1813" width="25.7109375" style="745" customWidth="1"/>
    <col min="1814" max="2048" width="9.140625" style="745"/>
    <col min="2049" max="2049" width="5" style="745" customWidth="1"/>
    <col min="2050" max="2050" width="29.85546875" style="745" customWidth="1"/>
    <col min="2051" max="2051" width="6" style="745" customWidth="1"/>
    <col min="2052" max="2052" width="5.7109375" style="745" customWidth="1"/>
    <col min="2053" max="2053" width="5.85546875" style="745" customWidth="1"/>
    <col min="2054" max="2054" width="12.42578125" style="745" customWidth="1"/>
    <col min="2055" max="2055" width="6.140625" style="745" customWidth="1"/>
    <col min="2056" max="2056" width="9.42578125" style="745" customWidth="1"/>
    <col min="2057" max="2057" width="12.5703125" style="745" customWidth="1"/>
    <col min="2058" max="2058" width="6.28515625" style="745" customWidth="1"/>
    <col min="2059" max="2059" width="11.42578125" style="745" customWidth="1"/>
    <col min="2060" max="2060" width="6.85546875" style="745" customWidth="1"/>
    <col min="2061" max="2061" width="12.140625" style="745" customWidth="1"/>
    <col min="2062" max="2062" width="5.7109375" style="745" customWidth="1"/>
    <col min="2063" max="2063" width="11.140625" style="745" customWidth="1"/>
    <col min="2064" max="2064" width="15.42578125" style="745" customWidth="1"/>
    <col min="2065" max="2065" width="14.7109375" style="745" customWidth="1"/>
    <col min="2066" max="2066" width="13.42578125" style="745" customWidth="1"/>
    <col min="2067" max="2067" width="15" style="745" customWidth="1"/>
    <col min="2068" max="2068" width="25.28515625" style="745" customWidth="1"/>
    <col min="2069" max="2069" width="25.7109375" style="745" customWidth="1"/>
    <col min="2070" max="2304" width="9.140625" style="745"/>
    <col min="2305" max="2305" width="5" style="745" customWidth="1"/>
    <col min="2306" max="2306" width="29.85546875" style="745" customWidth="1"/>
    <col min="2307" max="2307" width="6" style="745" customWidth="1"/>
    <col min="2308" max="2308" width="5.7109375" style="745" customWidth="1"/>
    <col min="2309" max="2309" width="5.85546875" style="745" customWidth="1"/>
    <col min="2310" max="2310" width="12.42578125" style="745" customWidth="1"/>
    <col min="2311" max="2311" width="6.140625" style="745" customWidth="1"/>
    <col min="2312" max="2312" width="9.42578125" style="745" customWidth="1"/>
    <col min="2313" max="2313" width="12.5703125" style="745" customWidth="1"/>
    <col min="2314" max="2314" width="6.28515625" style="745" customWidth="1"/>
    <col min="2315" max="2315" width="11.42578125" style="745" customWidth="1"/>
    <col min="2316" max="2316" width="6.85546875" style="745" customWidth="1"/>
    <col min="2317" max="2317" width="12.140625" style="745" customWidth="1"/>
    <col min="2318" max="2318" width="5.7109375" style="745" customWidth="1"/>
    <col min="2319" max="2319" width="11.140625" style="745" customWidth="1"/>
    <col min="2320" max="2320" width="15.42578125" style="745" customWidth="1"/>
    <col min="2321" max="2321" width="14.7109375" style="745" customWidth="1"/>
    <col min="2322" max="2322" width="13.42578125" style="745" customWidth="1"/>
    <col min="2323" max="2323" width="15" style="745" customWidth="1"/>
    <col min="2324" max="2324" width="25.28515625" style="745" customWidth="1"/>
    <col min="2325" max="2325" width="25.7109375" style="745" customWidth="1"/>
    <col min="2326" max="2560" width="9.140625" style="745"/>
    <col min="2561" max="2561" width="5" style="745" customWidth="1"/>
    <col min="2562" max="2562" width="29.85546875" style="745" customWidth="1"/>
    <col min="2563" max="2563" width="6" style="745" customWidth="1"/>
    <col min="2564" max="2564" width="5.7109375" style="745" customWidth="1"/>
    <col min="2565" max="2565" width="5.85546875" style="745" customWidth="1"/>
    <col min="2566" max="2566" width="12.42578125" style="745" customWidth="1"/>
    <col min="2567" max="2567" width="6.140625" style="745" customWidth="1"/>
    <col min="2568" max="2568" width="9.42578125" style="745" customWidth="1"/>
    <col min="2569" max="2569" width="12.5703125" style="745" customWidth="1"/>
    <col min="2570" max="2570" width="6.28515625" style="745" customWidth="1"/>
    <col min="2571" max="2571" width="11.42578125" style="745" customWidth="1"/>
    <col min="2572" max="2572" width="6.85546875" style="745" customWidth="1"/>
    <col min="2573" max="2573" width="12.140625" style="745" customWidth="1"/>
    <col min="2574" max="2574" width="5.7109375" style="745" customWidth="1"/>
    <col min="2575" max="2575" width="11.140625" style="745" customWidth="1"/>
    <col min="2576" max="2576" width="15.42578125" style="745" customWidth="1"/>
    <col min="2577" max="2577" width="14.7109375" style="745" customWidth="1"/>
    <col min="2578" max="2578" width="13.42578125" style="745" customWidth="1"/>
    <col min="2579" max="2579" width="15" style="745" customWidth="1"/>
    <col min="2580" max="2580" width="25.28515625" style="745" customWidth="1"/>
    <col min="2581" max="2581" width="25.7109375" style="745" customWidth="1"/>
    <col min="2582" max="2816" width="9.140625" style="745"/>
    <col min="2817" max="2817" width="5" style="745" customWidth="1"/>
    <col min="2818" max="2818" width="29.85546875" style="745" customWidth="1"/>
    <col min="2819" max="2819" width="6" style="745" customWidth="1"/>
    <col min="2820" max="2820" width="5.7109375" style="745" customWidth="1"/>
    <col min="2821" max="2821" width="5.85546875" style="745" customWidth="1"/>
    <col min="2822" max="2822" width="12.42578125" style="745" customWidth="1"/>
    <col min="2823" max="2823" width="6.140625" style="745" customWidth="1"/>
    <col min="2824" max="2824" width="9.42578125" style="745" customWidth="1"/>
    <col min="2825" max="2825" width="12.5703125" style="745" customWidth="1"/>
    <col min="2826" max="2826" width="6.28515625" style="745" customWidth="1"/>
    <col min="2827" max="2827" width="11.42578125" style="745" customWidth="1"/>
    <col min="2828" max="2828" width="6.85546875" style="745" customWidth="1"/>
    <col min="2829" max="2829" width="12.140625" style="745" customWidth="1"/>
    <col min="2830" max="2830" width="5.7109375" style="745" customWidth="1"/>
    <col min="2831" max="2831" width="11.140625" style="745" customWidth="1"/>
    <col min="2832" max="2832" width="15.42578125" style="745" customWidth="1"/>
    <col min="2833" max="2833" width="14.7109375" style="745" customWidth="1"/>
    <col min="2834" max="2834" width="13.42578125" style="745" customWidth="1"/>
    <col min="2835" max="2835" width="15" style="745" customWidth="1"/>
    <col min="2836" max="2836" width="25.28515625" style="745" customWidth="1"/>
    <col min="2837" max="2837" width="25.7109375" style="745" customWidth="1"/>
    <col min="2838" max="3072" width="9.140625" style="745"/>
    <col min="3073" max="3073" width="5" style="745" customWidth="1"/>
    <col min="3074" max="3074" width="29.85546875" style="745" customWidth="1"/>
    <col min="3075" max="3075" width="6" style="745" customWidth="1"/>
    <col min="3076" max="3076" width="5.7109375" style="745" customWidth="1"/>
    <col min="3077" max="3077" width="5.85546875" style="745" customWidth="1"/>
    <col min="3078" max="3078" width="12.42578125" style="745" customWidth="1"/>
    <col min="3079" max="3079" width="6.140625" style="745" customWidth="1"/>
    <col min="3080" max="3080" width="9.42578125" style="745" customWidth="1"/>
    <col min="3081" max="3081" width="12.5703125" style="745" customWidth="1"/>
    <col min="3082" max="3082" width="6.28515625" style="745" customWidth="1"/>
    <col min="3083" max="3083" width="11.42578125" style="745" customWidth="1"/>
    <col min="3084" max="3084" width="6.85546875" style="745" customWidth="1"/>
    <col min="3085" max="3085" width="12.140625" style="745" customWidth="1"/>
    <col min="3086" max="3086" width="5.7109375" style="745" customWidth="1"/>
    <col min="3087" max="3087" width="11.140625" style="745" customWidth="1"/>
    <col min="3088" max="3088" width="15.42578125" style="745" customWidth="1"/>
    <col min="3089" max="3089" width="14.7109375" style="745" customWidth="1"/>
    <col min="3090" max="3090" width="13.42578125" style="745" customWidth="1"/>
    <col min="3091" max="3091" width="15" style="745" customWidth="1"/>
    <col min="3092" max="3092" width="25.28515625" style="745" customWidth="1"/>
    <col min="3093" max="3093" width="25.7109375" style="745" customWidth="1"/>
    <col min="3094" max="3328" width="9.140625" style="745"/>
    <col min="3329" max="3329" width="5" style="745" customWidth="1"/>
    <col min="3330" max="3330" width="29.85546875" style="745" customWidth="1"/>
    <col min="3331" max="3331" width="6" style="745" customWidth="1"/>
    <col min="3332" max="3332" width="5.7109375" style="745" customWidth="1"/>
    <col min="3333" max="3333" width="5.85546875" style="745" customWidth="1"/>
    <col min="3334" max="3334" width="12.42578125" style="745" customWidth="1"/>
    <col min="3335" max="3335" width="6.140625" style="745" customWidth="1"/>
    <col min="3336" max="3336" width="9.42578125" style="745" customWidth="1"/>
    <col min="3337" max="3337" width="12.5703125" style="745" customWidth="1"/>
    <col min="3338" max="3338" width="6.28515625" style="745" customWidth="1"/>
    <col min="3339" max="3339" width="11.42578125" style="745" customWidth="1"/>
    <col min="3340" max="3340" width="6.85546875" style="745" customWidth="1"/>
    <col min="3341" max="3341" width="12.140625" style="745" customWidth="1"/>
    <col min="3342" max="3342" width="5.7109375" style="745" customWidth="1"/>
    <col min="3343" max="3343" width="11.140625" style="745" customWidth="1"/>
    <col min="3344" max="3344" width="15.42578125" style="745" customWidth="1"/>
    <col min="3345" max="3345" width="14.7109375" style="745" customWidth="1"/>
    <col min="3346" max="3346" width="13.42578125" style="745" customWidth="1"/>
    <col min="3347" max="3347" width="15" style="745" customWidth="1"/>
    <col min="3348" max="3348" width="25.28515625" style="745" customWidth="1"/>
    <col min="3349" max="3349" width="25.7109375" style="745" customWidth="1"/>
    <col min="3350" max="3584" width="9.140625" style="745"/>
    <col min="3585" max="3585" width="5" style="745" customWidth="1"/>
    <col min="3586" max="3586" width="29.85546875" style="745" customWidth="1"/>
    <col min="3587" max="3587" width="6" style="745" customWidth="1"/>
    <col min="3588" max="3588" width="5.7109375" style="745" customWidth="1"/>
    <col min="3589" max="3589" width="5.85546875" style="745" customWidth="1"/>
    <col min="3590" max="3590" width="12.42578125" style="745" customWidth="1"/>
    <col min="3591" max="3591" width="6.140625" style="745" customWidth="1"/>
    <col min="3592" max="3592" width="9.42578125" style="745" customWidth="1"/>
    <col min="3593" max="3593" width="12.5703125" style="745" customWidth="1"/>
    <col min="3594" max="3594" width="6.28515625" style="745" customWidth="1"/>
    <col min="3595" max="3595" width="11.42578125" style="745" customWidth="1"/>
    <col min="3596" max="3596" width="6.85546875" style="745" customWidth="1"/>
    <col min="3597" max="3597" width="12.140625" style="745" customWidth="1"/>
    <col min="3598" max="3598" width="5.7109375" style="745" customWidth="1"/>
    <col min="3599" max="3599" width="11.140625" style="745" customWidth="1"/>
    <col min="3600" max="3600" width="15.42578125" style="745" customWidth="1"/>
    <col min="3601" max="3601" width="14.7109375" style="745" customWidth="1"/>
    <col min="3602" max="3602" width="13.42578125" style="745" customWidth="1"/>
    <col min="3603" max="3603" width="15" style="745" customWidth="1"/>
    <col min="3604" max="3604" width="25.28515625" style="745" customWidth="1"/>
    <col min="3605" max="3605" width="25.7109375" style="745" customWidth="1"/>
    <col min="3606" max="3840" width="9.140625" style="745"/>
    <col min="3841" max="3841" width="5" style="745" customWidth="1"/>
    <col min="3842" max="3842" width="29.85546875" style="745" customWidth="1"/>
    <col min="3843" max="3843" width="6" style="745" customWidth="1"/>
    <col min="3844" max="3844" width="5.7109375" style="745" customWidth="1"/>
    <col min="3845" max="3845" width="5.85546875" style="745" customWidth="1"/>
    <col min="3846" max="3846" width="12.42578125" style="745" customWidth="1"/>
    <col min="3847" max="3847" width="6.140625" style="745" customWidth="1"/>
    <col min="3848" max="3848" width="9.42578125" style="745" customWidth="1"/>
    <col min="3849" max="3849" width="12.5703125" style="745" customWidth="1"/>
    <col min="3850" max="3850" width="6.28515625" style="745" customWidth="1"/>
    <col min="3851" max="3851" width="11.42578125" style="745" customWidth="1"/>
    <col min="3852" max="3852" width="6.85546875" style="745" customWidth="1"/>
    <col min="3853" max="3853" width="12.140625" style="745" customWidth="1"/>
    <col min="3854" max="3854" width="5.7109375" style="745" customWidth="1"/>
    <col min="3855" max="3855" width="11.140625" style="745" customWidth="1"/>
    <col min="3856" max="3856" width="15.42578125" style="745" customWidth="1"/>
    <col min="3857" max="3857" width="14.7109375" style="745" customWidth="1"/>
    <col min="3858" max="3858" width="13.42578125" style="745" customWidth="1"/>
    <col min="3859" max="3859" width="15" style="745" customWidth="1"/>
    <col min="3860" max="3860" width="25.28515625" style="745" customWidth="1"/>
    <col min="3861" max="3861" width="25.7109375" style="745" customWidth="1"/>
    <col min="3862" max="4096" width="9.140625" style="745"/>
    <col min="4097" max="4097" width="5" style="745" customWidth="1"/>
    <col min="4098" max="4098" width="29.85546875" style="745" customWidth="1"/>
    <col min="4099" max="4099" width="6" style="745" customWidth="1"/>
    <col min="4100" max="4100" width="5.7109375" style="745" customWidth="1"/>
    <col min="4101" max="4101" width="5.85546875" style="745" customWidth="1"/>
    <col min="4102" max="4102" width="12.42578125" style="745" customWidth="1"/>
    <col min="4103" max="4103" width="6.140625" style="745" customWidth="1"/>
    <col min="4104" max="4104" width="9.42578125" style="745" customWidth="1"/>
    <col min="4105" max="4105" width="12.5703125" style="745" customWidth="1"/>
    <col min="4106" max="4106" width="6.28515625" style="745" customWidth="1"/>
    <col min="4107" max="4107" width="11.42578125" style="745" customWidth="1"/>
    <col min="4108" max="4108" width="6.85546875" style="745" customWidth="1"/>
    <col min="4109" max="4109" width="12.140625" style="745" customWidth="1"/>
    <col min="4110" max="4110" width="5.7109375" style="745" customWidth="1"/>
    <col min="4111" max="4111" width="11.140625" style="745" customWidth="1"/>
    <col min="4112" max="4112" width="15.42578125" style="745" customWidth="1"/>
    <col min="4113" max="4113" width="14.7109375" style="745" customWidth="1"/>
    <col min="4114" max="4114" width="13.42578125" style="745" customWidth="1"/>
    <col min="4115" max="4115" width="15" style="745" customWidth="1"/>
    <col min="4116" max="4116" width="25.28515625" style="745" customWidth="1"/>
    <col min="4117" max="4117" width="25.7109375" style="745" customWidth="1"/>
    <col min="4118" max="4352" width="9.140625" style="745"/>
    <col min="4353" max="4353" width="5" style="745" customWidth="1"/>
    <col min="4354" max="4354" width="29.85546875" style="745" customWidth="1"/>
    <col min="4355" max="4355" width="6" style="745" customWidth="1"/>
    <col min="4356" max="4356" width="5.7109375" style="745" customWidth="1"/>
    <col min="4357" max="4357" width="5.85546875" style="745" customWidth="1"/>
    <col min="4358" max="4358" width="12.42578125" style="745" customWidth="1"/>
    <col min="4359" max="4359" width="6.140625" style="745" customWidth="1"/>
    <col min="4360" max="4360" width="9.42578125" style="745" customWidth="1"/>
    <col min="4361" max="4361" width="12.5703125" style="745" customWidth="1"/>
    <col min="4362" max="4362" width="6.28515625" style="745" customWidth="1"/>
    <col min="4363" max="4363" width="11.42578125" style="745" customWidth="1"/>
    <col min="4364" max="4364" width="6.85546875" style="745" customWidth="1"/>
    <col min="4365" max="4365" width="12.140625" style="745" customWidth="1"/>
    <col min="4366" max="4366" width="5.7109375" style="745" customWidth="1"/>
    <col min="4367" max="4367" width="11.140625" style="745" customWidth="1"/>
    <col min="4368" max="4368" width="15.42578125" style="745" customWidth="1"/>
    <col min="4369" max="4369" width="14.7109375" style="745" customWidth="1"/>
    <col min="4370" max="4370" width="13.42578125" style="745" customWidth="1"/>
    <col min="4371" max="4371" width="15" style="745" customWidth="1"/>
    <col min="4372" max="4372" width="25.28515625" style="745" customWidth="1"/>
    <col min="4373" max="4373" width="25.7109375" style="745" customWidth="1"/>
    <col min="4374" max="4608" width="9.140625" style="745"/>
    <col min="4609" max="4609" width="5" style="745" customWidth="1"/>
    <col min="4610" max="4610" width="29.85546875" style="745" customWidth="1"/>
    <col min="4611" max="4611" width="6" style="745" customWidth="1"/>
    <col min="4612" max="4612" width="5.7109375" style="745" customWidth="1"/>
    <col min="4613" max="4613" width="5.85546875" style="745" customWidth="1"/>
    <col min="4614" max="4614" width="12.42578125" style="745" customWidth="1"/>
    <col min="4615" max="4615" width="6.140625" style="745" customWidth="1"/>
    <col min="4616" max="4616" width="9.42578125" style="745" customWidth="1"/>
    <col min="4617" max="4617" width="12.5703125" style="745" customWidth="1"/>
    <col min="4618" max="4618" width="6.28515625" style="745" customWidth="1"/>
    <col min="4619" max="4619" width="11.42578125" style="745" customWidth="1"/>
    <col min="4620" max="4620" width="6.85546875" style="745" customWidth="1"/>
    <col min="4621" max="4621" width="12.140625" style="745" customWidth="1"/>
    <col min="4622" max="4622" width="5.7109375" style="745" customWidth="1"/>
    <col min="4623" max="4623" width="11.140625" style="745" customWidth="1"/>
    <col min="4624" max="4624" width="15.42578125" style="745" customWidth="1"/>
    <col min="4625" max="4625" width="14.7109375" style="745" customWidth="1"/>
    <col min="4626" max="4626" width="13.42578125" style="745" customWidth="1"/>
    <col min="4627" max="4627" width="15" style="745" customWidth="1"/>
    <col min="4628" max="4628" width="25.28515625" style="745" customWidth="1"/>
    <col min="4629" max="4629" width="25.7109375" style="745" customWidth="1"/>
    <col min="4630" max="4864" width="9.140625" style="745"/>
    <col min="4865" max="4865" width="5" style="745" customWidth="1"/>
    <col min="4866" max="4866" width="29.85546875" style="745" customWidth="1"/>
    <col min="4867" max="4867" width="6" style="745" customWidth="1"/>
    <col min="4868" max="4868" width="5.7109375" style="745" customWidth="1"/>
    <col min="4869" max="4869" width="5.85546875" style="745" customWidth="1"/>
    <col min="4870" max="4870" width="12.42578125" style="745" customWidth="1"/>
    <col min="4871" max="4871" width="6.140625" style="745" customWidth="1"/>
    <col min="4872" max="4872" width="9.42578125" style="745" customWidth="1"/>
    <col min="4873" max="4873" width="12.5703125" style="745" customWidth="1"/>
    <col min="4874" max="4874" width="6.28515625" style="745" customWidth="1"/>
    <col min="4875" max="4875" width="11.42578125" style="745" customWidth="1"/>
    <col min="4876" max="4876" width="6.85546875" style="745" customWidth="1"/>
    <col min="4877" max="4877" width="12.140625" style="745" customWidth="1"/>
    <col min="4878" max="4878" width="5.7109375" style="745" customWidth="1"/>
    <col min="4879" max="4879" width="11.140625" style="745" customWidth="1"/>
    <col min="4880" max="4880" width="15.42578125" style="745" customWidth="1"/>
    <col min="4881" max="4881" width="14.7109375" style="745" customWidth="1"/>
    <col min="4882" max="4882" width="13.42578125" style="745" customWidth="1"/>
    <col min="4883" max="4883" width="15" style="745" customWidth="1"/>
    <col min="4884" max="4884" width="25.28515625" style="745" customWidth="1"/>
    <col min="4885" max="4885" width="25.7109375" style="745" customWidth="1"/>
    <col min="4886" max="5120" width="9.140625" style="745"/>
    <col min="5121" max="5121" width="5" style="745" customWidth="1"/>
    <col min="5122" max="5122" width="29.85546875" style="745" customWidth="1"/>
    <col min="5123" max="5123" width="6" style="745" customWidth="1"/>
    <col min="5124" max="5124" width="5.7109375" style="745" customWidth="1"/>
    <col min="5125" max="5125" width="5.85546875" style="745" customWidth="1"/>
    <col min="5126" max="5126" width="12.42578125" style="745" customWidth="1"/>
    <col min="5127" max="5127" width="6.140625" style="745" customWidth="1"/>
    <col min="5128" max="5128" width="9.42578125" style="745" customWidth="1"/>
    <col min="5129" max="5129" width="12.5703125" style="745" customWidth="1"/>
    <col min="5130" max="5130" width="6.28515625" style="745" customWidth="1"/>
    <col min="5131" max="5131" width="11.42578125" style="745" customWidth="1"/>
    <col min="5132" max="5132" width="6.85546875" style="745" customWidth="1"/>
    <col min="5133" max="5133" width="12.140625" style="745" customWidth="1"/>
    <col min="5134" max="5134" width="5.7109375" style="745" customWidth="1"/>
    <col min="5135" max="5135" width="11.140625" style="745" customWidth="1"/>
    <col min="5136" max="5136" width="15.42578125" style="745" customWidth="1"/>
    <col min="5137" max="5137" width="14.7109375" style="745" customWidth="1"/>
    <col min="5138" max="5138" width="13.42578125" style="745" customWidth="1"/>
    <col min="5139" max="5139" width="15" style="745" customWidth="1"/>
    <col min="5140" max="5140" width="25.28515625" style="745" customWidth="1"/>
    <col min="5141" max="5141" width="25.7109375" style="745" customWidth="1"/>
    <col min="5142" max="5376" width="9.140625" style="745"/>
    <col min="5377" max="5377" width="5" style="745" customWidth="1"/>
    <col min="5378" max="5378" width="29.85546875" style="745" customWidth="1"/>
    <col min="5379" max="5379" width="6" style="745" customWidth="1"/>
    <col min="5380" max="5380" width="5.7109375" style="745" customWidth="1"/>
    <col min="5381" max="5381" width="5.85546875" style="745" customWidth="1"/>
    <col min="5382" max="5382" width="12.42578125" style="745" customWidth="1"/>
    <col min="5383" max="5383" width="6.140625" style="745" customWidth="1"/>
    <col min="5384" max="5384" width="9.42578125" style="745" customWidth="1"/>
    <col min="5385" max="5385" width="12.5703125" style="745" customWidth="1"/>
    <col min="5386" max="5386" width="6.28515625" style="745" customWidth="1"/>
    <col min="5387" max="5387" width="11.42578125" style="745" customWidth="1"/>
    <col min="5388" max="5388" width="6.85546875" style="745" customWidth="1"/>
    <col min="5389" max="5389" width="12.140625" style="745" customWidth="1"/>
    <col min="5390" max="5390" width="5.7109375" style="745" customWidth="1"/>
    <col min="5391" max="5391" width="11.140625" style="745" customWidth="1"/>
    <col min="5392" max="5392" width="15.42578125" style="745" customWidth="1"/>
    <col min="5393" max="5393" width="14.7109375" style="745" customWidth="1"/>
    <col min="5394" max="5394" width="13.42578125" style="745" customWidth="1"/>
    <col min="5395" max="5395" width="15" style="745" customWidth="1"/>
    <col min="5396" max="5396" width="25.28515625" style="745" customWidth="1"/>
    <col min="5397" max="5397" width="25.7109375" style="745" customWidth="1"/>
    <col min="5398" max="5632" width="9.140625" style="745"/>
    <col min="5633" max="5633" width="5" style="745" customWidth="1"/>
    <col min="5634" max="5634" width="29.85546875" style="745" customWidth="1"/>
    <col min="5635" max="5635" width="6" style="745" customWidth="1"/>
    <col min="5636" max="5636" width="5.7109375" style="745" customWidth="1"/>
    <col min="5637" max="5637" width="5.85546875" style="745" customWidth="1"/>
    <col min="5638" max="5638" width="12.42578125" style="745" customWidth="1"/>
    <col min="5639" max="5639" width="6.140625" style="745" customWidth="1"/>
    <col min="5640" max="5640" width="9.42578125" style="745" customWidth="1"/>
    <col min="5641" max="5641" width="12.5703125" style="745" customWidth="1"/>
    <col min="5642" max="5642" width="6.28515625" style="745" customWidth="1"/>
    <col min="5643" max="5643" width="11.42578125" style="745" customWidth="1"/>
    <col min="5644" max="5644" width="6.85546875" style="745" customWidth="1"/>
    <col min="5645" max="5645" width="12.140625" style="745" customWidth="1"/>
    <col min="5646" max="5646" width="5.7109375" style="745" customWidth="1"/>
    <col min="5647" max="5647" width="11.140625" style="745" customWidth="1"/>
    <col min="5648" max="5648" width="15.42578125" style="745" customWidth="1"/>
    <col min="5649" max="5649" width="14.7109375" style="745" customWidth="1"/>
    <col min="5650" max="5650" width="13.42578125" style="745" customWidth="1"/>
    <col min="5651" max="5651" width="15" style="745" customWidth="1"/>
    <col min="5652" max="5652" width="25.28515625" style="745" customWidth="1"/>
    <col min="5653" max="5653" width="25.7109375" style="745" customWidth="1"/>
    <col min="5654" max="5888" width="9.140625" style="745"/>
    <col min="5889" max="5889" width="5" style="745" customWidth="1"/>
    <col min="5890" max="5890" width="29.85546875" style="745" customWidth="1"/>
    <col min="5891" max="5891" width="6" style="745" customWidth="1"/>
    <col min="5892" max="5892" width="5.7109375" style="745" customWidth="1"/>
    <col min="5893" max="5893" width="5.85546875" style="745" customWidth="1"/>
    <col min="5894" max="5894" width="12.42578125" style="745" customWidth="1"/>
    <col min="5895" max="5895" width="6.140625" style="745" customWidth="1"/>
    <col min="5896" max="5896" width="9.42578125" style="745" customWidth="1"/>
    <col min="5897" max="5897" width="12.5703125" style="745" customWidth="1"/>
    <col min="5898" max="5898" width="6.28515625" style="745" customWidth="1"/>
    <col min="5899" max="5899" width="11.42578125" style="745" customWidth="1"/>
    <col min="5900" max="5900" width="6.85546875" style="745" customWidth="1"/>
    <col min="5901" max="5901" width="12.140625" style="745" customWidth="1"/>
    <col min="5902" max="5902" width="5.7109375" style="745" customWidth="1"/>
    <col min="5903" max="5903" width="11.140625" style="745" customWidth="1"/>
    <col min="5904" max="5904" width="15.42578125" style="745" customWidth="1"/>
    <col min="5905" max="5905" width="14.7109375" style="745" customWidth="1"/>
    <col min="5906" max="5906" width="13.42578125" style="745" customWidth="1"/>
    <col min="5907" max="5907" width="15" style="745" customWidth="1"/>
    <col min="5908" max="5908" width="25.28515625" style="745" customWidth="1"/>
    <col min="5909" max="5909" width="25.7109375" style="745" customWidth="1"/>
    <col min="5910" max="6144" width="9.140625" style="745"/>
    <col min="6145" max="6145" width="5" style="745" customWidth="1"/>
    <col min="6146" max="6146" width="29.85546875" style="745" customWidth="1"/>
    <col min="6147" max="6147" width="6" style="745" customWidth="1"/>
    <col min="6148" max="6148" width="5.7109375" style="745" customWidth="1"/>
    <col min="6149" max="6149" width="5.85546875" style="745" customWidth="1"/>
    <col min="6150" max="6150" width="12.42578125" style="745" customWidth="1"/>
    <col min="6151" max="6151" width="6.140625" style="745" customWidth="1"/>
    <col min="6152" max="6152" width="9.42578125" style="745" customWidth="1"/>
    <col min="6153" max="6153" width="12.5703125" style="745" customWidth="1"/>
    <col min="6154" max="6154" width="6.28515625" style="745" customWidth="1"/>
    <col min="6155" max="6155" width="11.42578125" style="745" customWidth="1"/>
    <col min="6156" max="6156" width="6.85546875" style="745" customWidth="1"/>
    <col min="6157" max="6157" width="12.140625" style="745" customWidth="1"/>
    <col min="6158" max="6158" width="5.7109375" style="745" customWidth="1"/>
    <col min="6159" max="6159" width="11.140625" style="745" customWidth="1"/>
    <col min="6160" max="6160" width="15.42578125" style="745" customWidth="1"/>
    <col min="6161" max="6161" width="14.7109375" style="745" customWidth="1"/>
    <col min="6162" max="6162" width="13.42578125" style="745" customWidth="1"/>
    <col min="6163" max="6163" width="15" style="745" customWidth="1"/>
    <col min="6164" max="6164" width="25.28515625" style="745" customWidth="1"/>
    <col min="6165" max="6165" width="25.7109375" style="745" customWidth="1"/>
    <col min="6166" max="6400" width="9.140625" style="745"/>
    <col min="6401" max="6401" width="5" style="745" customWidth="1"/>
    <col min="6402" max="6402" width="29.85546875" style="745" customWidth="1"/>
    <col min="6403" max="6403" width="6" style="745" customWidth="1"/>
    <col min="6404" max="6404" width="5.7109375" style="745" customWidth="1"/>
    <col min="6405" max="6405" width="5.85546875" style="745" customWidth="1"/>
    <col min="6406" max="6406" width="12.42578125" style="745" customWidth="1"/>
    <col min="6407" max="6407" width="6.140625" style="745" customWidth="1"/>
    <col min="6408" max="6408" width="9.42578125" style="745" customWidth="1"/>
    <col min="6409" max="6409" width="12.5703125" style="745" customWidth="1"/>
    <col min="6410" max="6410" width="6.28515625" style="745" customWidth="1"/>
    <col min="6411" max="6411" width="11.42578125" style="745" customWidth="1"/>
    <col min="6412" max="6412" width="6.85546875" style="745" customWidth="1"/>
    <col min="6413" max="6413" width="12.140625" style="745" customWidth="1"/>
    <col min="6414" max="6414" width="5.7109375" style="745" customWidth="1"/>
    <col min="6415" max="6415" width="11.140625" style="745" customWidth="1"/>
    <col min="6416" max="6416" width="15.42578125" style="745" customWidth="1"/>
    <col min="6417" max="6417" width="14.7109375" style="745" customWidth="1"/>
    <col min="6418" max="6418" width="13.42578125" style="745" customWidth="1"/>
    <col min="6419" max="6419" width="15" style="745" customWidth="1"/>
    <col min="6420" max="6420" width="25.28515625" style="745" customWidth="1"/>
    <col min="6421" max="6421" width="25.7109375" style="745" customWidth="1"/>
    <col min="6422" max="6656" width="9.140625" style="745"/>
    <col min="6657" max="6657" width="5" style="745" customWidth="1"/>
    <col min="6658" max="6658" width="29.85546875" style="745" customWidth="1"/>
    <col min="6659" max="6659" width="6" style="745" customWidth="1"/>
    <col min="6660" max="6660" width="5.7109375" style="745" customWidth="1"/>
    <col min="6661" max="6661" width="5.85546875" style="745" customWidth="1"/>
    <col min="6662" max="6662" width="12.42578125" style="745" customWidth="1"/>
    <col min="6663" max="6663" width="6.140625" style="745" customWidth="1"/>
    <col min="6664" max="6664" width="9.42578125" style="745" customWidth="1"/>
    <col min="6665" max="6665" width="12.5703125" style="745" customWidth="1"/>
    <col min="6666" max="6666" width="6.28515625" style="745" customWidth="1"/>
    <col min="6667" max="6667" width="11.42578125" style="745" customWidth="1"/>
    <col min="6668" max="6668" width="6.85546875" style="745" customWidth="1"/>
    <col min="6669" max="6669" width="12.140625" style="745" customWidth="1"/>
    <col min="6670" max="6670" width="5.7109375" style="745" customWidth="1"/>
    <col min="6671" max="6671" width="11.140625" style="745" customWidth="1"/>
    <col min="6672" max="6672" width="15.42578125" style="745" customWidth="1"/>
    <col min="6673" max="6673" width="14.7109375" style="745" customWidth="1"/>
    <col min="6674" max="6674" width="13.42578125" style="745" customWidth="1"/>
    <col min="6675" max="6675" width="15" style="745" customWidth="1"/>
    <col min="6676" max="6676" width="25.28515625" style="745" customWidth="1"/>
    <col min="6677" max="6677" width="25.7109375" style="745" customWidth="1"/>
    <col min="6678" max="6912" width="9.140625" style="745"/>
    <col min="6913" max="6913" width="5" style="745" customWidth="1"/>
    <col min="6914" max="6914" width="29.85546875" style="745" customWidth="1"/>
    <col min="6915" max="6915" width="6" style="745" customWidth="1"/>
    <col min="6916" max="6916" width="5.7109375" style="745" customWidth="1"/>
    <col min="6917" max="6917" width="5.85546875" style="745" customWidth="1"/>
    <col min="6918" max="6918" width="12.42578125" style="745" customWidth="1"/>
    <col min="6919" max="6919" width="6.140625" style="745" customWidth="1"/>
    <col min="6920" max="6920" width="9.42578125" style="745" customWidth="1"/>
    <col min="6921" max="6921" width="12.5703125" style="745" customWidth="1"/>
    <col min="6922" max="6922" width="6.28515625" style="745" customWidth="1"/>
    <col min="6923" max="6923" width="11.42578125" style="745" customWidth="1"/>
    <col min="6924" max="6924" width="6.85546875" style="745" customWidth="1"/>
    <col min="6925" max="6925" width="12.140625" style="745" customWidth="1"/>
    <col min="6926" max="6926" width="5.7109375" style="745" customWidth="1"/>
    <col min="6927" max="6927" width="11.140625" style="745" customWidth="1"/>
    <col min="6928" max="6928" width="15.42578125" style="745" customWidth="1"/>
    <col min="6929" max="6929" width="14.7109375" style="745" customWidth="1"/>
    <col min="6930" max="6930" width="13.42578125" style="745" customWidth="1"/>
    <col min="6931" max="6931" width="15" style="745" customWidth="1"/>
    <col min="6932" max="6932" width="25.28515625" style="745" customWidth="1"/>
    <col min="6933" max="6933" width="25.7109375" style="745" customWidth="1"/>
    <col min="6934" max="7168" width="9.140625" style="745"/>
    <col min="7169" max="7169" width="5" style="745" customWidth="1"/>
    <col min="7170" max="7170" width="29.85546875" style="745" customWidth="1"/>
    <col min="7171" max="7171" width="6" style="745" customWidth="1"/>
    <col min="7172" max="7172" width="5.7109375" style="745" customWidth="1"/>
    <col min="7173" max="7173" width="5.85546875" style="745" customWidth="1"/>
    <col min="7174" max="7174" width="12.42578125" style="745" customWidth="1"/>
    <col min="7175" max="7175" width="6.140625" style="745" customWidth="1"/>
    <col min="7176" max="7176" width="9.42578125" style="745" customWidth="1"/>
    <col min="7177" max="7177" width="12.5703125" style="745" customWidth="1"/>
    <col min="7178" max="7178" width="6.28515625" style="745" customWidth="1"/>
    <col min="7179" max="7179" width="11.42578125" style="745" customWidth="1"/>
    <col min="7180" max="7180" width="6.85546875" style="745" customWidth="1"/>
    <col min="7181" max="7181" width="12.140625" style="745" customWidth="1"/>
    <col min="7182" max="7182" width="5.7109375" style="745" customWidth="1"/>
    <col min="7183" max="7183" width="11.140625" style="745" customWidth="1"/>
    <col min="7184" max="7184" width="15.42578125" style="745" customWidth="1"/>
    <col min="7185" max="7185" width="14.7109375" style="745" customWidth="1"/>
    <col min="7186" max="7186" width="13.42578125" style="745" customWidth="1"/>
    <col min="7187" max="7187" width="15" style="745" customWidth="1"/>
    <col min="7188" max="7188" width="25.28515625" style="745" customWidth="1"/>
    <col min="7189" max="7189" width="25.7109375" style="745" customWidth="1"/>
    <col min="7190" max="7424" width="9.140625" style="745"/>
    <col min="7425" max="7425" width="5" style="745" customWidth="1"/>
    <col min="7426" max="7426" width="29.85546875" style="745" customWidth="1"/>
    <col min="7427" max="7427" width="6" style="745" customWidth="1"/>
    <col min="7428" max="7428" width="5.7109375" style="745" customWidth="1"/>
    <col min="7429" max="7429" width="5.85546875" style="745" customWidth="1"/>
    <col min="7430" max="7430" width="12.42578125" style="745" customWidth="1"/>
    <col min="7431" max="7431" width="6.140625" style="745" customWidth="1"/>
    <col min="7432" max="7432" width="9.42578125" style="745" customWidth="1"/>
    <col min="7433" max="7433" width="12.5703125" style="745" customWidth="1"/>
    <col min="7434" max="7434" width="6.28515625" style="745" customWidth="1"/>
    <col min="7435" max="7435" width="11.42578125" style="745" customWidth="1"/>
    <col min="7436" max="7436" width="6.85546875" style="745" customWidth="1"/>
    <col min="7437" max="7437" width="12.140625" style="745" customWidth="1"/>
    <col min="7438" max="7438" width="5.7109375" style="745" customWidth="1"/>
    <col min="7439" max="7439" width="11.140625" style="745" customWidth="1"/>
    <col min="7440" max="7440" width="15.42578125" style="745" customWidth="1"/>
    <col min="7441" max="7441" width="14.7109375" style="745" customWidth="1"/>
    <col min="7442" max="7442" width="13.42578125" style="745" customWidth="1"/>
    <col min="7443" max="7443" width="15" style="745" customWidth="1"/>
    <col min="7444" max="7444" width="25.28515625" style="745" customWidth="1"/>
    <col min="7445" max="7445" width="25.7109375" style="745" customWidth="1"/>
    <col min="7446" max="7680" width="9.140625" style="745"/>
    <col min="7681" max="7681" width="5" style="745" customWidth="1"/>
    <col min="7682" max="7682" width="29.85546875" style="745" customWidth="1"/>
    <col min="7683" max="7683" width="6" style="745" customWidth="1"/>
    <col min="7684" max="7684" width="5.7109375" style="745" customWidth="1"/>
    <col min="7685" max="7685" width="5.85546875" style="745" customWidth="1"/>
    <col min="7686" max="7686" width="12.42578125" style="745" customWidth="1"/>
    <col min="7687" max="7687" width="6.140625" style="745" customWidth="1"/>
    <col min="7688" max="7688" width="9.42578125" style="745" customWidth="1"/>
    <col min="7689" max="7689" width="12.5703125" style="745" customWidth="1"/>
    <col min="7690" max="7690" width="6.28515625" style="745" customWidth="1"/>
    <col min="7691" max="7691" width="11.42578125" style="745" customWidth="1"/>
    <col min="7692" max="7692" width="6.85546875" style="745" customWidth="1"/>
    <col min="7693" max="7693" width="12.140625" style="745" customWidth="1"/>
    <col min="7694" max="7694" width="5.7109375" style="745" customWidth="1"/>
    <col min="7695" max="7695" width="11.140625" style="745" customWidth="1"/>
    <col min="7696" max="7696" width="15.42578125" style="745" customWidth="1"/>
    <col min="7697" max="7697" width="14.7109375" style="745" customWidth="1"/>
    <col min="7698" max="7698" width="13.42578125" style="745" customWidth="1"/>
    <col min="7699" max="7699" width="15" style="745" customWidth="1"/>
    <col min="7700" max="7700" width="25.28515625" style="745" customWidth="1"/>
    <col min="7701" max="7701" width="25.7109375" style="745" customWidth="1"/>
    <col min="7702" max="7936" width="9.140625" style="745"/>
    <col min="7937" max="7937" width="5" style="745" customWidth="1"/>
    <col min="7938" max="7938" width="29.85546875" style="745" customWidth="1"/>
    <col min="7939" max="7939" width="6" style="745" customWidth="1"/>
    <col min="7940" max="7940" width="5.7109375" style="745" customWidth="1"/>
    <col min="7941" max="7941" width="5.85546875" style="745" customWidth="1"/>
    <col min="7942" max="7942" width="12.42578125" style="745" customWidth="1"/>
    <col min="7943" max="7943" width="6.140625" style="745" customWidth="1"/>
    <col min="7944" max="7944" width="9.42578125" style="745" customWidth="1"/>
    <col min="7945" max="7945" width="12.5703125" style="745" customWidth="1"/>
    <col min="7946" max="7946" width="6.28515625" style="745" customWidth="1"/>
    <col min="7947" max="7947" width="11.42578125" style="745" customWidth="1"/>
    <col min="7948" max="7948" width="6.85546875" style="745" customWidth="1"/>
    <col min="7949" max="7949" width="12.140625" style="745" customWidth="1"/>
    <col min="7950" max="7950" width="5.7109375" style="745" customWidth="1"/>
    <col min="7951" max="7951" width="11.140625" style="745" customWidth="1"/>
    <col min="7952" max="7952" width="15.42578125" style="745" customWidth="1"/>
    <col min="7953" max="7953" width="14.7109375" style="745" customWidth="1"/>
    <col min="7954" max="7954" width="13.42578125" style="745" customWidth="1"/>
    <col min="7955" max="7955" width="15" style="745" customWidth="1"/>
    <col min="7956" max="7956" width="25.28515625" style="745" customWidth="1"/>
    <col min="7957" max="7957" width="25.7109375" style="745" customWidth="1"/>
    <col min="7958" max="8192" width="9.140625" style="745"/>
    <col min="8193" max="8193" width="5" style="745" customWidth="1"/>
    <col min="8194" max="8194" width="29.85546875" style="745" customWidth="1"/>
    <col min="8195" max="8195" width="6" style="745" customWidth="1"/>
    <col min="8196" max="8196" width="5.7109375" style="745" customWidth="1"/>
    <col min="8197" max="8197" width="5.85546875" style="745" customWidth="1"/>
    <col min="8198" max="8198" width="12.42578125" style="745" customWidth="1"/>
    <col min="8199" max="8199" width="6.140625" style="745" customWidth="1"/>
    <col min="8200" max="8200" width="9.42578125" style="745" customWidth="1"/>
    <col min="8201" max="8201" width="12.5703125" style="745" customWidth="1"/>
    <col min="8202" max="8202" width="6.28515625" style="745" customWidth="1"/>
    <col min="8203" max="8203" width="11.42578125" style="745" customWidth="1"/>
    <col min="8204" max="8204" width="6.85546875" style="745" customWidth="1"/>
    <col min="8205" max="8205" width="12.140625" style="745" customWidth="1"/>
    <col min="8206" max="8206" width="5.7109375" style="745" customWidth="1"/>
    <col min="8207" max="8207" width="11.140625" style="745" customWidth="1"/>
    <col min="8208" max="8208" width="15.42578125" style="745" customWidth="1"/>
    <col min="8209" max="8209" width="14.7109375" style="745" customWidth="1"/>
    <col min="8210" max="8210" width="13.42578125" style="745" customWidth="1"/>
    <col min="8211" max="8211" width="15" style="745" customWidth="1"/>
    <col min="8212" max="8212" width="25.28515625" style="745" customWidth="1"/>
    <col min="8213" max="8213" width="25.7109375" style="745" customWidth="1"/>
    <col min="8214" max="8448" width="9.140625" style="745"/>
    <col min="8449" max="8449" width="5" style="745" customWidth="1"/>
    <col min="8450" max="8450" width="29.85546875" style="745" customWidth="1"/>
    <col min="8451" max="8451" width="6" style="745" customWidth="1"/>
    <col min="8452" max="8452" width="5.7109375" style="745" customWidth="1"/>
    <col min="8453" max="8453" width="5.85546875" style="745" customWidth="1"/>
    <col min="8454" max="8454" width="12.42578125" style="745" customWidth="1"/>
    <col min="8455" max="8455" width="6.140625" style="745" customWidth="1"/>
    <col min="8456" max="8456" width="9.42578125" style="745" customWidth="1"/>
    <col min="8457" max="8457" width="12.5703125" style="745" customWidth="1"/>
    <col min="8458" max="8458" width="6.28515625" style="745" customWidth="1"/>
    <col min="8459" max="8459" width="11.42578125" style="745" customWidth="1"/>
    <col min="8460" max="8460" width="6.85546875" style="745" customWidth="1"/>
    <col min="8461" max="8461" width="12.140625" style="745" customWidth="1"/>
    <col min="8462" max="8462" width="5.7109375" style="745" customWidth="1"/>
    <col min="8463" max="8463" width="11.140625" style="745" customWidth="1"/>
    <col min="8464" max="8464" width="15.42578125" style="745" customWidth="1"/>
    <col min="8465" max="8465" width="14.7109375" style="745" customWidth="1"/>
    <col min="8466" max="8466" width="13.42578125" style="745" customWidth="1"/>
    <col min="8467" max="8467" width="15" style="745" customWidth="1"/>
    <col min="8468" max="8468" width="25.28515625" style="745" customWidth="1"/>
    <col min="8469" max="8469" width="25.7109375" style="745" customWidth="1"/>
    <col min="8470" max="8704" width="9.140625" style="745"/>
    <col min="8705" max="8705" width="5" style="745" customWidth="1"/>
    <col min="8706" max="8706" width="29.85546875" style="745" customWidth="1"/>
    <col min="8707" max="8707" width="6" style="745" customWidth="1"/>
    <col min="8708" max="8708" width="5.7109375" style="745" customWidth="1"/>
    <col min="8709" max="8709" width="5.85546875" style="745" customWidth="1"/>
    <col min="8710" max="8710" width="12.42578125" style="745" customWidth="1"/>
    <col min="8711" max="8711" width="6.140625" style="745" customWidth="1"/>
    <col min="8712" max="8712" width="9.42578125" style="745" customWidth="1"/>
    <col min="8713" max="8713" width="12.5703125" style="745" customWidth="1"/>
    <col min="8714" max="8714" width="6.28515625" style="745" customWidth="1"/>
    <col min="8715" max="8715" width="11.42578125" style="745" customWidth="1"/>
    <col min="8716" max="8716" width="6.85546875" style="745" customWidth="1"/>
    <col min="8717" max="8717" width="12.140625" style="745" customWidth="1"/>
    <col min="8718" max="8718" width="5.7109375" style="745" customWidth="1"/>
    <col min="8719" max="8719" width="11.140625" style="745" customWidth="1"/>
    <col min="8720" max="8720" width="15.42578125" style="745" customWidth="1"/>
    <col min="8721" max="8721" width="14.7109375" style="745" customWidth="1"/>
    <col min="8722" max="8722" width="13.42578125" style="745" customWidth="1"/>
    <col min="8723" max="8723" width="15" style="745" customWidth="1"/>
    <col min="8724" max="8724" width="25.28515625" style="745" customWidth="1"/>
    <col min="8725" max="8725" width="25.7109375" style="745" customWidth="1"/>
    <col min="8726" max="8960" width="9.140625" style="745"/>
    <col min="8961" max="8961" width="5" style="745" customWidth="1"/>
    <col min="8962" max="8962" width="29.85546875" style="745" customWidth="1"/>
    <col min="8963" max="8963" width="6" style="745" customWidth="1"/>
    <col min="8964" max="8964" width="5.7109375" style="745" customWidth="1"/>
    <col min="8965" max="8965" width="5.85546875" style="745" customWidth="1"/>
    <col min="8966" max="8966" width="12.42578125" style="745" customWidth="1"/>
    <col min="8967" max="8967" width="6.140625" style="745" customWidth="1"/>
    <col min="8968" max="8968" width="9.42578125" style="745" customWidth="1"/>
    <col min="8969" max="8969" width="12.5703125" style="745" customWidth="1"/>
    <col min="8970" max="8970" width="6.28515625" style="745" customWidth="1"/>
    <col min="8971" max="8971" width="11.42578125" style="745" customWidth="1"/>
    <col min="8972" max="8972" width="6.85546875" style="745" customWidth="1"/>
    <col min="8973" max="8973" width="12.140625" style="745" customWidth="1"/>
    <col min="8974" max="8974" width="5.7109375" style="745" customWidth="1"/>
    <col min="8975" max="8975" width="11.140625" style="745" customWidth="1"/>
    <col min="8976" max="8976" width="15.42578125" style="745" customWidth="1"/>
    <col min="8977" max="8977" width="14.7109375" style="745" customWidth="1"/>
    <col min="8978" max="8978" width="13.42578125" style="745" customWidth="1"/>
    <col min="8979" max="8979" width="15" style="745" customWidth="1"/>
    <col min="8980" max="8980" width="25.28515625" style="745" customWidth="1"/>
    <col min="8981" max="8981" width="25.7109375" style="745" customWidth="1"/>
    <col min="8982" max="9216" width="9.140625" style="745"/>
    <col min="9217" max="9217" width="5" style="745" customWidth="1"/>
    <col min="9218" max="9218" width="29.85546875" style="745" customWidth="1"/>
    <col min="9219" max="9219" width="6" style="745" customWidth="1"/>
    <col min="9220" max="9220" width="5.7109375" style="745" customWidth="1"/>
    <col min="9221" max="9221" width="5.85546875" style="745" customWidth="1"/>
    <col min="9222" max="9222" width="12.42578125" style="745" customWidth="1"/>
    <col min="9223" max="9223" width="6.140625" style="745" customWidth="1"/>
    <col min="9224" max="9224" width="9.42578125" style="745" customWidth="1"/>
    <col min="9225" max="9225" width="12.5703125" style="745" customWidth="1"/>
    <col min="9226" max="9226" width="6.28515625" style="745" customWidth="1"/>
    <col min="9227" max="9227" width="11.42578125" style="745" customWidth="1"/>
    <col min="9228" max="9228" width="6.85546875" style="745" customWidth="1"/>
    <col min="9229" max="9229" width="12.140625" style="745" customWidth="1"/>
    <col min="9230" max="9230" width="5.7109375" style="745" customWidth="1"/>
    <col min="9231" max="9231" width="11.140625" style="745" customWidth="1"/>
    <col min="9232" max="9232" width="15.42578125" style="745" customWidth="1"/>
    <col min="9233" max="9233" width="14.7109375" style="745" customWidth="1"/>
    <col min="9234" max="9234" width="13.42578125" style="745" customWidth="1"/>
    <col min="9235" max="9235" width="15" style="745" customWidth="1"/>
    <col min="9236" max="9236" width="25.28515625" style="745" customWidth="1"/>
    <col min="9237" max="9237" width="25.7109375" style="745" customWidth="1"/>
    <col min="9238" max="9472" width="9.140625" style="745"/>
    <col min="9473" max="9473" width="5" style="745" customWidth="1"/>
    <col min="9474" max="9474" width="29.85546875" style="745" customWidth="1"/>
    <col min="9475" max="9475" width="6" style="745" customWidth="1"/>
    <col min="9476" max="9476" width="5.7109375" style="745" customWidth="1"/>
    <col min="9477" max="9477" width="5.85546875" style="745" customWidth="1"/>
    <col min="9478" max="9478" width="12.42578125" style="745" customWidth="1"/>
    <col min="9479" max="9479" width="6.140625" style="745" customWidth="1"/>
    <col min="9480" max="9480" width="9.42578125" style="745" customWidth="1"/>
    <col min="9481" max="9481" width="12.5703125" style="745" customWidth="1"/>
    <col min="9482" max="9482" width="6.28515625" style="745" customWidth="1"/>
    <col min="9483" max="9483" width="11.42578125" style="745" customWidth="1"/>
    <col min="9484" max="9484" width="6.85546875" style="745" customWidth="1"/>
    <col min="9485" max="9485" width="12.140625" style="745" customWidth="1"/>
    <col min="9486" max="9486" width="5.7109375" style="745" customWidth="1"/>
    <col min="9487" max="9487" width="11.140625" style="745" customWidth="1"/>
    <col min="9488" max="9488" width="15.42578125" style="745" customWidth="1"/>
    <col min="9489" max="9489" width="14.7109375" style="745" customWidth="1"/>
    <col min="9490" max="9490" width="13.42578125" style="745" customWidth="1"/>
    <col min="9491" max="9491" width="15" style="745" customWidth="1"/>
    <col min="9492" max="9492" width="25.28515625" style="745" customWidth="1"/>
    <col min="9493" max="9493" width="25.7109375" style="745" customWidth="1"/>
    <col min="9494" max="9728" width="9.140625" style="745"/>
    <col min="9729" max="9729" width="5" style="745" customWidth="1"/>
    <col min="9730" max="9730" width="29.85546875" style="745" customWidth="1"/>
    <col min="9731" max="9731" width="6" style="745" customWidth="1"/>
    <col min="9732" max="9732" width="5.7109375" style="745" customWidth="1"/>
    <col min="9733" max="9733" width="5.85546875" style="745" customWidth="1"/>
    <col min="9734" max="9734" width="12.42578125" style="745" customWidth="1"/>
    <col min="9735" max="9735" width="6.140625" style="745" customWidth="1"/>
    <col min="9736" max="9736" width="9.42578125" style="745" customWidth="1"/>
    <col min="9737" max="9737" width="12.5703125" style="745" customWidth="1"/>
    <col min="9738" max="9738" width="6.28515625" style="745" customWidth="1"/>
    <col min="9739" max="9739" width="11.42578125" style="745" customWidth="1"/>
    <col min="9740" max="9740" width="6.85546875" style="745" customWidth="1"/>
    <col min="9741" max="9741" width="12.140625" style="745" customWidth="1"/>
    <col min="9742" max="9742" width="5.7109375" style="745" customWidth="1"/>
    <col min="9743" max="9743" width="11.140625" style="745" customWidth="1"/>
    <col min="9744" max="9744" width="15.42578125" style="745" customWidth="1"/>
    <col min="9745" max="9745" width="14.7109375" style="745" customWidth="1"/>
    <col min="9746" max="9746" width="13.42578125" style="745" customWidth="1"/>
    <col min="9747" max="9747" width="15" style="745" customWidth="1"/>
    <col min="9748" max="9748" width="25.28515625" style="745" customWidth="1"/>
    <col min="9749" max="9749" width="25.7109375" style="745" customWidth="1"/>
    <col min="9750" max="9984" width="9.140625" style="745"/>
    <col min="9985" max="9985" width="5" style="745" customWidth="1"/>
    <col min="9986" max="9986" width="29.85546875" style="745" customWidth="1"/>
    <col min="9987" max="9987" width="6" style="745" customWidth="1"/>
    <col min="9988" max="9988" width="5.7109375" style="745" customWidth="1"/>
    <col min="9989" max="9989" width="5.85546875" style="745" customWidth="1"/>
    <col min="9990" max="9990" width="12.42578125" style="745" customWidth="1"/>
    <col min="9991" max="9991" width="6.140625" style="745" customWidth="1"/>
    <col min="9992" max="9992" width="9.42578125" style="745" customWidth="1"/>
    <col min="9993" max="9993" width="12.5703125" style="745" customWidth="1"/>
    <col min="9994" max="9994" width="6.28515625" style="745" customWidth="1"/>
    <col min="9995" max="9995" width="11.42578125" style="745" customWidth="1"/>
    <col min="9996" max="9996" width="6.85546875" style="745" customWidth="1"/>
    <col min="9997" max="9997" width="12.140625" style="745" customWidth="1"/>
    <col min="9998" max="9998" width="5.7109375" style="745" customWidth="1"/>
    <col min="9999" max="9999" width="11.140625" style="745" customWidth="1"/>
    <col min="10000" max="10000" width="15.42578125" style="745" customWidth="1"/>
    <col min="10001" max="10001" width="14.7109375" style="745" customWidth="1"/>
    <col min="10002" max="10002" width="13.42578125" style="745" customWidth="1"/>
    <col min="10003" max="10003" width="15" style="745" customWidth="1"/>
    <col min="10004" max="10004" width="25.28515625" style="745" customWidth="1"/>
    <col min="10005" max="10005" width="25.7109375" style="745" customWidth="1"/>
    <col min="10006" max="10240" width="9.140625" style="745"/>
    <col min="10241" max="10241" width="5" style="745" customWidth="1"/>
    <col min="10242" max="10242" width="29.85546875" style="745" customWidth="1"/>
    <col min="10243" max="10243" width="6" style="745" customWidth="1"/>
    <col min="10244" max="10244" width="5.7109375" style="745" customWidth="1"/>
    <col min="10245" max="10245" width="5.85546875" style="745" customWidth="1"/>
    <col min="10246" max="10246" width="12.42578125" style="745" customWidth="1"/>
    <col min="10247" max="10247" width="6.140625" style="745" customWidth="1"/>
    <col min="10248" max="10248" width="9.42578125" style="745" customWidth="1"/>
    <col min="10249" max="10249" width="12.5703125" style="745" customWidth="1"/>
    <col min="10250" max="10250" width="6.28515625" style="745" customWidth="1"/>
    <col min="10251" max="10251" width="11.42578125" style="745" customWidth="1"/>
    <col min="10252" max="10252" width="6.85546875" style="745" customWidth="1"/>
    <col min="10253" max="10253" width="12.140625" style="745" customWidth="1"/>
    <col min="10254" max="10254" width="5.7109375" style="745" customWidth="1"/>
    <col min="10255" max="10255" width="11.140625" style="745" customWidth="1"/>
    <col min="10256" max="10256" width="15.42578125" style="745" customWidth="1"/>
    <col min="10257" max="10257" width="14.7109375" style="745" customWidth="1"/>
    <col min="10258" max="10258" width="13.42578125" style="745" customWidth="1"/>
    <col min="10259" max="10259" width="15" style="745" customWidth="1"/>
    <col min="10260" max="10260" width="25.28515625" style="745" customWidth="1"/>
    <col min="10261" max="10261" width="25.7109375" style="745" customWidth="1"/>
    <col min="10262" max="10496" width="9.140625" style="745"/>
    <col min="10497" max="10497" width="5" style="745" customWidth="1"/>
    <col min="10498" max="10498" width="29.85546875" style="745" customWidth="1"/>
    <col min="10499" max="10499" width="6" style="745" customWidth="1"/>
    <col min="10500" max="10500" width="5.7109375" style="745" customWidth="1"/>
    <col min="10501" max="10501" width="5.85546875" style="745" customWidth="1"/>
    <col min="10502" max="10502" width="12.42578125" style="745" customWidth="1"/>
    <col min="10503" max="10503" width="6.140625" style="745" customWidth="1"/>
    <col min="10504" max="10504" width="9.42578125" style="745" customWidth="1"/>
    <col min="10505" max="10505" width="12.5703125" style="745" customWidth="1"/>
    <col min="10506" max="10506" width="6.28515625" style="745" customWidth="1"/>
    <col min="10507" max="10507" width="11.42578125" style="745" customWidth="1"/>
    <col min="10508" max="10508" width="6.85546875" style="745" customWidth="1"/>
    <col min="10509" max="10509" width="12.140625" style="745" customWidth="1"/>
    <col min="10510" max="10510" width="5.7109375" style="745" customWidth="1"/>
    <col min="10511" max="10511" width="11.140625" style="745" customWidth="1"/>
    <col min="10512" max="10512" width="15.42578125" style="745" customWidth="1"/>
    <col min="10513" max="10513" width="14.7109375" style="745" customWidth="1"/>
    <col min="10514" max="10514" width="13.42578125" style="745" customWidth="1"/>
    <col min="10515" max="10515" width="15" style="745" customWidth="1"/>
    <col min="10516" max="10516" width="25.28515625" style="745" customWidth="1"/>
    <col min="10517" max="10517" width="25.7109375" style="745" customWidth="1"/>
    <col min="10518" max="10752" width="9.140625" style="745"/>
    <col min="10753" max="10753" width="5" style="745" customWidth="1"/>
    <col min="10754" max="10754" width="29.85546875" style="745" customWidth="1"/>
    <col min="10755" max="10755" width="6" style="745" customWidth="1"/>
    <col min="10756" max="10756" width="5.7109375" style="745" customWidth="1"/>
    <col min="10757" max="10757" width="5.85546875" style="745" customWidth="1"/>
    <col min="10758" max="10758" width="12.42578125" style="745" customWidth="1"/>
    <col min="10759" max="10759" width="6.140625" style="745" customWidth="1"/>
    <col min="10760" max="10760" width="9.42578125" style="745" customWidth="1"/>
    <col min="10761" max="10761" width="12.5703125" style="745" customWidth="1"/>
    <col min="10762" max="10762" width="6.28515625" style="745" customWidth="1"/>
    <col min="10763" max="10763" width="11.42578125" style="745" customWidth="1"/>
    <col min="10764" max="10764" width="6.85546875" style="745" customWidth="1"/>
    <col min="10765" max="10765" width="12.140625" style="745" customWidth="1"/>
    <col min="10766" max="10766" width="5.7109375" style="745" customWidth="1"/>
    <col min="10767" max="10767" width="11.140625" style="745" customWidth="1"/>
    <col min="10768" max="10768" width="15.42578125" style="745" customWidth="1"/>
    <col min="10769" max="10769" width="14.7109375" style="745" customWidth="1"/>
    <col min="10770" max="10770" width="13.42578125" style="745" customWidth="1"/>
    <col min="10771" max="10771" width="15" style="745" customWidth="1"/>
    <col min="10772" max="10772" width="25.28515625" style="745" customWidth="1"/>
    <col min="10773" max="10773" width="25.7109375" style="745" customWidth="1"/>
    <col min="10774" max="11008" width="9.140625" style="745"/>
    <col min="11009" max="11009" width="5" style="745" customWidth="1"/>
    <col min="11010" max="11010" width="29.85546875" style="745" customWidth="1"/>
    <col min="11011" max="11011" width="6" style="745" customWidth="1"/>
    <col min="11012" max="11012" width="5.7109375" style="745" customWidth="1"/>
    <col min="11013" max="11013" width="5.85546875" style="745" customWidth="1"/>
    <col min="11014" max="11014" width="12.42578125" style="745" customWidth="1"/>
    <col min="11015" max="11015" width="6.140625" style="745" customWidth="1"/>
    <col min="11016" max="11016" width="9.42578125" style="745" customWidth="1"/>
    <col min="11017" max="11017" width="12.5703125" style="745" customWidth="1"/>
    <col min="11018" max="11018" width="6.28515625" style="745" customWidth="1"/>
    <col min="11019" max="11019" width="11.42578125" style="745" customWidth="1"/>
    <col min="11020" max="11020" width="6.85546875" style="745" customWidth="1"/>
    <col min="11021" max="11021" width="12.140625" style="745" customWidth="1"/>
    <col min="11022" max="11022" width="5.7109375" style="745" customWidth="1"/>
    <col min="11023" max="11023" width="11.140625" style="745" customWidth="1"/>
    <col min="11024" max="11024" width="15.42578125" style="745" customWidth="1"/>
    <col min="11025" max="11025" width="14.7109375" style="745" customWidth="1"/>
    <col min="11026" max="11026" width="13.42578125" style="745" customWidth="1"/>
    <col min="11027" max="11027" width="15" style="745" customWidth="1"/>
    <col min="11028" max="11028" width="25.28515625" style="745" customWidth="1"/>
    <col min="11029" max="11029" width="25.7109375" style="745" customWidth="1"/>
    <col min="11030" max="11264" width="9.140625" style="745"/>
    <col min="11265" max="11265" width="5" style="745" customWidth="1"/>
    <col min="11266" max="11266" width="29.85546875" style="745" customWidth="1"/>
    <col min="11267" max="11267" width="6" style="745" customWidth="1"/>
    <col min="11268" max="11268" width="5.7109375" style="745" customWidth="1"/>
    <col min="11269" max="11269" width="5.85546875" style="745" customWidth="1"/>
    <col min="11270" max="11270" width="12.42578125" style="745" customWidth="1"/>
    <col min="11271" max="11271" width="6.140625" style="745" customWidth="1"/>
    <col min="11272" max="11272" width="9.42578125" style="745" customWidth="1"/>
    <col min="11273" max="11273" width="12.5703125" style="745" customWidth="1"/>
    <col min="11274" max="11274" width="6.28515625" style="745" customWidth="1"/>
    <col min="11275" max="11275" width="11.42578125" style="745" customWidth="1"/>
    <col min="11276" max="11276" width="6.85546875" style="745" customWidth="1"/>
    <col min="11277" max="11277" width="12.140625" style="745" customWidth="1"/>
    <col min="11278" max="11278" width="5.7109375" style="745" customWidth="1"/>
    <col min="11279" max="11279" width="11.140625" style="745" customWidth="1"/>
    <col min="11280" max="11280" width="15.42578125" style="745" customWidth="1"/>
    <col min="11281" max="11281" width="14.7109375" style="745" customWidth="1"/>
    <col min="11282" max="11282" width="13.42578125" style="745" customWidth="1"/>
    <col min="11283" max="11283" width="15" style="745" customWidth="1"/>
    <col min="11284" max="11284" width="25.28515625" style="745" customWidth="1"/>
    <col min="11285" max="11285" width="25.7109375" style="745" customWidth="1"/>
    <col min="11286" max="11520" width="9.140625" style="745"/>
    <col min="11521" max="11521" width="5" style="745" customWidth="1"/>
    <col min="11522" max="11522" width="29.85546875" style="745" customWidth="1"/>
    <col min="11523" max="11523" width="6" style="745" customWidth="1"/>
    <col min="11524" max="11524" width="5.7109375" style="745" customWidth="1"/>
    <col min="11525" max="11525" width="5.85546875" style="745" customWidth="1"/>
    <col min="11526" max="11526" width="12.42578125" style="745" customWidth="1"/>
    <col min="11527" max="11527" width="6.140625" style="745" customWidth="1"/>
    <col min="11528" max="11528" width="9.42578125" style="745" customWidth="1"/>
    <col min="11529" max="11529" width="12.5703125" style="745" customWidth="1"/>
    <col min="11530" max="11530" width="6.28515625" style="745" customWidth="1"/>
    <col min="11531" max="11531" width="11.42578125" style="745" customWidth="1"/>
    <col min="11532" max="11532" width="6.85546875" style="745" customWidth="1"/>
    <col min="11533" max="11533" width="12.140625" style="745" customWidth="1"/>
    <col min="11534" max="11534" width="5.7109375" style="745" customWidth="1"/>
    <col min="11535" max="11535" width="11.140625" style="745" customWidth="1"/>
    <col min="11536" max="11536" width="15.42578125" style="745" customWidth="1"/>
    <col min="11537" max="11537" width="14.7109375" style="745" customWidth="1"/>
    <col min="11538" max="11538" width="13.42578125" style="745" customWidth="1"/>
    <col min="11539" max="11539" width="15" style="745" customWidth="1"/>
    <col min="11540" max="11540" width="25.28515625" style="745" customWidth="1"/>
    <col min="11541" max="11541" width="25.7109375" style="745" customWidth="1"/>
    <col min="11542" max="11776" width="9.140625" style="745"/>
    <col min="11777" max="11777" width="5" style="745" customWidth="1"/>
    <col min="11778" max="11778" width="29.85546875" style="745" customWidth="1"/>
    <col min="11779" max="11779" width="6" style="745" customWidth="1"/>
    <col min="11780" max="11780" width="5.7109375" style="745" customWidth="1"/>
    <col min="11781" max="11781" width="5.85546875" style="745" customWidth="1"/>
    <col min="11782" max="11782" width="12.42578125" style="745" customWidth="1"/>
    <col min="11783" max="11783" width="6.140625" style="745" customWidth="1"/>
    <col min="11784" max="11784" width="9.42578125" style="745" customWidth="1"/>
    <col min="11785" max="11785" width="12.5703125" style="745" customWidth="1"/>
    <col min="11786" max="11786" width="6.28515625" style="745" customWidth="1"/>
    <col min="11787" max="11787" width="11.42578125" style="745" customWidth="1"/>
    <col min="11788" max="11788" width="6.85546875" style="745" customWidth="1"/>
    <col min="11789" max="11789" width="12.140625" style="745" customWidth="1"/>
    <col min="11790" max="11790" width="5.7109375" style="745" customWidth="1"/>
    <col min="11791" max="11791" width="11.140625" style="745" customWidth="1"/>
    <col min="11792" max="11792" width="15.42578125" style="745" customWidth="1"/>
    <col min="11793" max="11793" width="14.7109375" style="745" customWidth="1"/>
    <col min="11794" max="11794" width="13.42578125" style="745" customWidth="1"/>
    <col min="11795" max="11795" width="15" style="745" customWidth="1"/>
    <col min="11796" max="11796" width="25.28515625" style="745" customWidth="1"/>
    <col min="11797" max="11797" width="25.7109375" style="745" customWidth="1"/>
    <col min="11798" max="12032" width="9.140625" style="745"/>
    <col min="12033" max="12033" width="5" style="745" customWidth="1"/>
    <col min="12034" max="12034" width="29.85546875" style="745" customWidth="1"/>
    <col min="12035" max="12035" width="6" style="745" customWidth="1"/>
    <col min="12036" max="12036" width="5.7109375" style="745" customWidth="1"/>
    <col min="12037" max="12037" width="5.85546875" style="745" customWidth="1"/>
    <col min="12038" max="12038" width="12.42578125" style="745" customWidth="1"/>
    <col min="12039" max="12039" width="6.140625" style="745" customWidth="1"/>
    <col min="12040" max="12040" width="9.42578125" style="745" customWidth="1"/>
    <col min="12041" max="12041" width="12.5703125" style="745" customWidth="1"/>
    <col min="12042" max="12042" width="6.28515625" style="745" customWidth="1"/>
    <col min="12043" max="12043" width="11.42578125" style="745" customWidth="1"/>
    <col min="12044" max="12044" width="6.85546875" style="745" customWidth="1"/>
    <col min="12045" max="12045" width="12.140625" style="745" customWidth="1"/>
    <col min="12046" max="12046" width="5.7109375" style="745" customWidth="1"/>
    <col min="12047" max="12047" width="11.140625" style="745" customWidth="1"/>
    <col min="12048" max="12048" width="15.42578125" style="745" customWidth="1"/>
    <col min="12049" max="12049" width="14.7109375" style="745" customWidth="1"/>
    <col min="12050" max="12050" width="13.42578125" style="745" customWidth="1"/>
    <col min="12051" max="12051" width="15" style="745" customWidth="1"/>
    <col min="12052" max="12052" width="25.28515625" style="745" customWidth="1"/>
    <col min="12053" max="12053" width="25.7109375" style="745" customWidth="1"/>
    <col min="12054" max="12288" width="9.140625" style="745"/>
    <col min="12289" max="12289" width="5" style="745" customWidth="1"/>
    <col min="12290" max="12290" width="29.85546875" style="745" customWidth="1"/>
    <col min="12291" max="12291" width="6" style="745" customWidth="1"/>
    <col min="12292" max="12292" width="5.7109375" style="745" customWidth="1"/>
    <col min="12293" max="12293" width="5.85546875" style="745" customWidth="1"/>
    <col min="12294" max="12294" width="12.42578125" style="745" customWidth="1"/>
    <col min="12295" max="12295" width="6.140625" style="745" customWidth="1"/>
    <col min="12296" max="12296" width="9.42578125" style="745" customWidth="1"/>
    <col min="12297" max="12297" width="12.5703125" style="745" customWidth="1"/>
    <col min="12298" max="12298" width="6.28515625" style="745" customWidth="1"/>
    <col min="12299" max="12299" width="11.42578125" style="745" customWidth="1"/>
    <col min="12300" max="12300" width="6.85546875" style="745" customWidth="1"/>
    <col min="12301" max="12301" width="12.140625" style="745" customWidth="1"/>
    <col min="12302" max="12302" width="5.7109375" style="745" customWidth="1"/>
    <col min="12303" max="12303" width="11.140625" style="745" customWidth="1"/>
    <col min="12304" max="12304" width="15.42578125" style="745" customWidth="1"/>
    <col min="12305" max="12305" width="14.7109375" style="745" customWidth="1"/>
    <col min="12306" max="12306" width="13.42578125" style="745" customWidth="1"/>
    <col min="12307" max="12307" width="15" style="745" customWidth="1"/>
    <col min="12308" max="12308" width="25.28515625" style="745" customWidth="1"/>
    <col min="12309" max="12309" width="25.7109375" style="745" customWidth="1"/>
    <col min="12310" max="12544" width="9.140625" style="745"/>
    <col min="12545" max="12545" width="5" style="745" customWidth="1"/>
    <col min="12546" max="12546" width="29.85546875" style="745" customWidth="1"/>
    <col min="12547" max="12547" width="6" style="745" customWidth="1"/>
    <col min="12548" max="12548" width="5.7109375" style="745" customWidth="1"/>
    <col min="12549" max="12549" width="5.85546875" style="745" customWidth="1"/>
    <col min="12550" max="12550" width="12.42578125" style="745" customWidth="1"/>
    <col min="12551" max="12551" width="6.140625" style="745" customWidth="1"/>
    <col min="12552" max="12552" width="9.42578125" style="745" customWidth="1"/>
    <col min="12553" max="12553" width="12.5703125" style="745" customWidth="1"/>
    <col min="12554" max="12554" width="6.28515625" style="745" customWidth="1"/>
    <col min="12555" max="12555" width="11.42578125" style="745" customWidth="1"/>
    <col min="12556" max="12556" width="6.85546875" style="745" customWidth="1"/>
    <col min="12557" max="12557" width="12.140625" style="745" customWidth="1"/>
    <col min="12558" max="12558" width="5.7109375" style="745" customWidth="1"/>
    <col min="12559" max="12559" width="11.140625" style="745" customWidth="1"/>
    <col min="12560" max="12560" width="15.42578125" style="745" customWidth="1"/>
    <col min="12561" max="12561" width="14.7109375" style="745" customWidth="1"/>
    <col min="12562" max="12562" width="13.42578125" style="745" customWidth="1"/>
    <col min="12563" max="12563" width="15" style="745" customWidth="1"/>
    <col min="12564" max="12564" width="25.28515625" style="745" customWidth="1"/>
    <col min="12565" max="12565" width="25.7109375" style="745" customWidth="1"/>
    <col min="12566" max="12800" width="9.140625" style="745"/>
    <col min="12801" max="12801" width="5" style="745" customWidth="1"/>
    <col min="12802" max="12802" width="29.85546875" style="745" customWidth="1"/>
    <col min="12803" max="12803" width="6" style="745" customWidth="1"/>
    <col min="12804" max="12804" width="5.7109375" style="745" customWidth="1"/>
    <col min="12805" max="12805" width="5.85546875" style="745" customWidth="1"/>
    <col min="12806" max="12806" width="12.42578125" style="745" customWidth="1"/>
    <col min="12807" max="12807" width="6.140625" style="745" customWidth="1"/>
    <col min="12808" max="12808" width="9.42578125" style="745" customWidth="1"/>
    <col min="12809" max="12809" width="12.5703125" style="745" customWidth="1"/>
    <col min="12810" max="12810" width="6.28515625" style="745" customWidth="1"/>
    <col min="12811" max="12811" width="11.42578125" style="745" customWidth="1"/>
    <col min="12812" max="12812" width="6.85546875" style="745" customWidth="1"/>
    <col min="12813" max="12813" width="12.140625" style="745" customWidth="1"/>
    <col min="12814" max="12814" width="5.7109375" style="745" customWidth="1"/>
    <col min="12815" max="12815" width="11.140625" style="745" customWidth="1"/>
    <col min="12816" max="12816" width="15.42578125" style="745" customWidth="1"/>
    <col min="12817" max="12817" width="14.7109375" style="745" customWidth="1"/>
    <col min="12818" max="12818" width="13.42578125" style="745" customWidth="1"/>
    <col min="12819" max="12819" width="15" style="745" customWidth="1"/>
    <col min="12820" max="12820" width="25.28515625" style="745" customWidth="1"/>
    <col min="12821" max="12821" width="25.7109375" style="745" customWidth="1"/>
    <col min="12822" max="13056" width="9.140625" style="745"/>
    <col min="13057" max="13057" width="5" style="745" customWidth="1"/>
    <col min="13058" max="13058" width="29.85546875" style="745" customWidth="1"/>
    <col min="13059" max="13059" width="6" style="745" customWidth="1"/>
    <col min="13060" max="13060" width="5.7109375" style="745" customWidth="1"/>
    <col min="13061" max="13061" width="5.85546875" style="745" customWidth="1"/>
    <col min="13062" max="13062" width="12.42578125" style="745" customWidth="1"/>
    <col min="13063" max="13063" width="6.140625" style="745" customWidth="1"/>
    <col min="13064" max="13064" width="9.42578125" style="745" customWidth="1"/>
    <col min="13065" max="13065" width="12.5703125" style="745" customWidth="1"/>
    <col min="13066" max="13066" width="6.28515625" style="745" customWidth="1"/>
    <col min="13067" max="13067" width="11.42578125" style="745" customWidth="1"/>
    <col min="13068" max="13068" width="6.85546875" style="745" customWidth="1"/>
    <col min="13069" max="13069" width="12.140625" style="745" customWidth="1"/>
    <col min="13070" max="13070" width="5.7109375" style="745" customWidth="1"/>
    <col min="13071" max="13071" width="11.140625" style="745" customWidth="1"/>
    <col min="13072" max="13072" width="15.42578125" style="745" customWidth="1"/>
    <col min="13073" max="13073" width="14.7109375" style="745" customWidth="1"/>
    <col min="13074" max="13074" width="13.42578125" style="745" customWidth="1"/>
    <col min="13075" max="13075" width="15" style="745" customWidth="1"/>
    <col min="13076" max="13076" width="25.28515625" style="745" customWidth="1"/>
    <col min="13077" max="13077" width="25.7109375" style="745" customWidth="1"/>
    <col min="13078" max="13312" width="9.140625" style="745"/>
    <col min="13313" max="13313" width="5" style="745" customWidth="1"/>
    <col min="13314" max="13314" width="29.85546875" style="745" customWidth="1"/>
    <col min="13315" max="13315" width="6" style="745" customWidth="1"/>
    <col min="13316" max="13316" width="5.7109375" style="745" customWidth="1"/>
    <col min="13317" max="13317" width="5.85546875" style="745" customWidth="1"/>
    <col min="13318" max="13318" width="12.42578125" style="745" customWidth="1"/>
    <col min="13319" max="13319" width="6.140625" style="745" customWidth="1"/>
    <col min="13320" max="13320" width="9.42578125" style="745" customWidth="1"/>
    <col min="13321" max="13321" width="12.5703125" style="745" customWidth="1"/>
    <col min="13322" max="13322" width="6.28515625" style="745" customWidth="1"/>
    <col min="13323" max="13323" width="11.42578125" style="745" customWidth="1"/>
    <col min="13324" max="13324" width="6.85546875" style="745" customWidth="1"/>
    <col min="13325" max="13325" width="12.140625" style="745" customWidth="1"/>
    <col min="13326" max="13326" width="5.7109375" style="745" customWidth="1"/>
    <col min="13327" max="13327" width="11.140625" style="745" customWidth="1"/>
    <col min="13328" max="13328" width="15.42578125" style="745" customWidth="1"/>
    <col min="13329" max="13329" width="14.7109375" style="745" customWidth="1"/>
    <col min="13330" max="13330" width="13.42578125" style="745" customWidth="1"/>
    <col min="13331" max="13331" width="15" style="745" customWidth="1"/>
    <col min="13332" max="13332" width="25.28515625" style="745" customWidth="1"/>
    <col min="13333" max="13333" width="25.7109375" style="745" customWidth="1"/>
    <col min="13334" max="13568" width="9.140625" style="745"/>
    <col min="13569" max="13569" width="5" style="745" customWidth="1"/>
    <col min="13570" max="13570" width="29.85546875" style="745" customWidth="1"/>
    <col min="13571" max="13571" width="6" style="745" customWidth="1"/>
    <col min="13572" max="13572" width="5.7109375" style="745" customWidth="1"/>
    <col min="13573" max="13573" width="5.85546875" style="745" customWidth="1"/>
    <col min="13574" max="13574" width="12.42578125" style="745" customWidth="1"/>
    <col min="13575" max="13575" width="6.140625" style="745" customWidth="1"/>
    <col min="13576" max="13576" width="9.42578125" style="745" customWidth="1"/>
    <col min="13577" max="13577" width="12.5703125" style="745" customWidth="1"/>
    <col min="13578" max="13578" width="6.28515625" style="745" customWidth="1"/>
    <col min="13579" max="13579" width="11.42578125" style="745" customWidth="1"/>
    <col min="13580" max="13580" width="6.85546875" style="745" customWidth="1"/>
    <col min="13581" max="13581" width="12.140625" style="745" customWidth="1"/>
    <col min="13582" max="13582" width="5.7109375" style="745" customWidth="1"/>
    <col min="13583" max="13583" width="11.140625" style="745" customWidth="1"/>
    <col min="13584" max="13584" width="15.42578125" style="745" customWidth="1"/>
    <col min="13585" max="13585" width="14.7109375" style="745" customWidth="1"/>
    <col min="13586" max="13586" width="13.42578125" style="745" customWidth="1"/>
    <col min="13587" max="13587" width="15" style="745" customWidth="1"/>
    <col min="13588" max="13588" width="25.28515625" style="745" customWidth="1"/>
    <col min="13589" max="13589" width="25.7109375" style="745" customWidth="1"/>
    <col min="13590" max="13824" width="9.140625" style="745"/>
    <col min="13825" max="13825" width="5" style="745" customWidth="1"/>
    <col min="13826" max="13826" width="29.85546875" style="745" customWidth="1"/>
    <col min="13827" max="13827" width="6" style="745" customWidth="1"/>
    <col min="13828" max="13828" width="5.7109375" style="745" customWidth="1"/>
    <col min="13829" max="13829" width="5.85546875" style="745" customWidth="1"/>
    <col min="13830" max="13830" width="12.42578125" style="745" customWidth="1"/>
    <col min="13831" max="13831" width="6.140625" style="745" customWidth="1"/>
    <col min="13832" max="13832" width="9.42578125" style="745" customWidth="1"/>
    <col min="13833" max="13833" width="12.5703125" style="745" customWidth="1"/>
    <col min="13834" max="13834" width="6.28515625" style="745" customWidth="1"/>
    <col min="13835" max="13835" width="11.42578125" style="745" customWidth="1"/>
    <col min="13836" max="13836" width="6.85546875" style="745" customWidth="1"/>
    <col min="13837" max="13837" width="12.140625" style="745" customWidth="1"/>
    <col min="13838" max="13838" width="5.7109375" style="745" customWidth="1"/>
    <col min="13839" max="13839" width="11.140625" style="745" customWidth="1"/>
    <col min="13840" max="13840" width="15.42578125" style="745" customWidth="1"/>
    <col min="13841" max="13841" width="14.7109375" style="745" customWidth="1"/>
    <col min="13842" max="13842" width="13.42578125" style="745" customWidth="1"/>
    <col min="13843" max="13843" width="15" style="745" customWidth="1"/>
    <col min="13844" max="13844" width="25.28515625" style="745" customWidth="1"/>
    <col min="13845" max="13845" width="25.7109375" style="745" customWidth="1"/>
    <col min="13846" max="14080" width="9.140625" style="745"/>
    <col min="14081" max="14081" width="5" style="745" customWidth="1"/>
    <col min="14082" max="14082" width="29.85546875" style="745" customWidth="1"/>
    <col min="14083" max="14083" width="6" style="745" customWidth="1"/>
    <col min="14084" max="14084" width="5.7109375" style="745" customWidth="1"/>
    <col min="14085" max="14085" width="5.85546875" style="745" customWidth="1"/>
    <col min="14086" max="14086" width="12.42578125" style="745" customWidth="1"/>
    <col min="14087" max="14087" width="6.140625" style="745" customWidth="1"/>
    <col min="14088" max="14088" width="9.42578125" style="745" customWidth="1"/>
    <col min="14089" max="14089" width="12.5703125" style="745" customWidth="1"/>
    <col min="14090" max="14090" width="6.28515625" style="745" customWidth="1"/>
    <col min="14091" max="14091" width="11.42578125" style="745" customWidth="1"/>
    <col min="14092" max="14092" width="6.85546875" style="745" customWidth="1"/>
    <col min="14093" max="14093" width="12.140625" style="745" customWidth="1"/>
    <col min="14094" max="14094" width="5.7109375" style="745" customWidth="1"/>
    <col min="14095" max="14095" width="11.140625" style="745" customWidth="1"/>
    <col min="14096" max="14096" width="15.42578125" style="745" customWidth="1"/>
    <col min="14097" max="14097" width="14.7109375" style="745" customWidth="1"/>
    <col min="14098" max="14098" width="13.42578125" style="745" customWidth="1"/>
    <col min="14099" max="14099" width="15" style="745" customWidth="1"/>
    <col min="14100" max="14100" width="25.28515625" style="745" customWidth="1"/>
    <col min="14101" max="14101" width="25.7109375" style="745" customWidth="1"/>
    <col min="14102" max="14336" width="9.140625" style="745"/>
    <col min="14337" max="14337" width="5" style="745" customWidth="1"/>
    <col min="14338" max="14338" width="29.85546875" style="745" customWidth="1"/>
    <col min="14339" max="14339" width="6" style="745" customWidth="1"/>
    <col min="14340" max="14340" width="5.7109375" style="745" customWidth="1"/>
    <col min="14341" max="14341" width="5.85546875" style="745" customWidth="1"/>
    <col min="14342" max="14342" width="12.42578125" style="745" customWidth="1"/>
    <col min="14343" max="14343" width="6.140625" style="745" customWidth="1"/>
    <col min="14344" max="14344" width="9.42578125" style="745" customWidth="1"/>
    <col min="14345" max="14345" width="12.5703125" style="745" customWidth="1"/>
    <col min="14346" max="14346" width="6.28515625" style="745" customWidth="1"/>
    <col min="14347" max="14347" width="11.42578125" style="745" customWidth="1"/>
    <col min="14348" max="14348" width="6.85546875" style="745" customWidth="1"/>
    <col min="14349" max="14349" width="12.140625" style="745" customWidth="1"/>
    <col min="14350" max="14350" width="5.7109375" style="745" customWidth="1"/>
    <col min="14351" max="14351" width="11.140625" style="745" customWidth="1"/>
    <col min="14352" max="14352" width="15.42578125" style="745" customWidth="1"/>
    <col min="14353" max="14353" width="14.7109375" style="745" customWidth="1"/>
    <col min="14354" max="14354" width="13.42578125" style="745" customWidth="1"/>
    <col min="14355" max="14355" width="15" style="745" customWidth="1"/>
    <col min="14356" max="14356" width="25.28515625" style="745" customWidth="1"/>
    <col min="14357" max="14357" width="25.7109375" style="745" customWidth="1"/>
    <col min="14358" max="14592" width="9.140625" style="745"/>
    <col min="14593" max="14593" width="5" style="745" customWidth="1"/>
    <col min="14594" max="14594" width="29.85546875" style="745" customWidth="1"/>
    <col min="14595" max="14595" width="6" style="745" customWidth="1"/>
    <col min="14596" max="14596" width="5.7109375" style="745" customWidth="1"/>
    <col min="14597" max="14597" width="5.85546875" style="745" customWidth="1"/>
    <col min="14598" max="14598" width="12.42578125" style="745" customWidth="1"/>
    <col min="14599" max="14599" width="6.140625" style="745" customWidth="1"/>
    <col min="14600" max="14600" width="9.42578125" style="745" customWidth="1"/>
    <col min="14601" max="14601" width="12.5703125" style="745" customWidth="1"/>
    <col min="14602" max="14602" width="6.28515625" style="745" customWidth="1"/>
    <col min="14603" max="14603" width="11.42578125" style="745" customWidth="1"/>
    <col min="14604" max="14604" width="6.85546875" style="745" customWidth="1"/>
    <col min="14605" max="14605" width="12.140625" style="745" customWidth="1"/>
    <col min="14606" max="14606" width="5.7109375" style="745" customWidth="1"/>
    <col min="14607" max="14607" width="11.140625" style="745" customWidth="1"/>
    <col min="14608" max="14608" width="15.42578125" style="745" customWidth="1"/>
    <col min="14609" max="14609" width="14.7109375" style="745" customWidth="1"/>
    <col min="14610" max="14610" width="13.42578125" style="745" customWidth="1"/>
    <col min="14611" max="14611" width="15" style="745" customWidth="1"/>
    <col min="14612" max="14612" width="25.28515625" style="745" customWidth="1"/>
    <col min="14613" max="14613" width="25.7109375" style="745" customWidth="1"/>
    <col min="14614" max="14848" width="9.140625" style="745"/>
    <col min="14849" max="14849" width="5" style="745" customWidth="1"/>
    <col min="14850" max="14850" width="29.85546875" style="745" customWidth="1"/>
    <col min="14851" max="14851" width="6" style="745" customWidth="1"/>
    <col min="14852" max="14852" width="5.7109375" style="745" customWidth="1"/>
    <col min="14853" max="14853" width="5.85546875" style="745" customWidth="1"/>
    <col min="14854" max="14854" width="12.42578125" style="745" customWidth="1"/>
    <col min="14855" max="14855" width="6.140625" style="745" customWidth="1"/>
    <col min="14856" max="14856" width="9.42578125" style="745" customWidth="1"/>
    <col min="14857" max="14857" width="12.5703125" style="745" customWidth="1"/>
    <col min="14858" max="14858" width="6.28515625" style="745" customWidth="1"/>
    <col min="14859" max="14859" width="11.42578125" style="745" customWidth="1"/>
    <col min="14860" max="14860" width="6.85546875" style="745" customWidth="1"/>
    <col min="14861" max="14861" width="12.140625" style="745" customWidth="1"/>
    <col min="14862" max="14862" width="5.7109375" style="745" customWidth="1"/>
    <col min="14863" max="14863" width="11.140625" style="745" customWidth="1"/>
    <col min="14864" max="14864" width="15.42578125" style="745" customWidth="1"/>
    <col min="14865" max="14865" width="14.7109375" style="745" customWidth="1"/>
    <col min="14866" max="14866" width="13.42578125" style="745" customWidth="1"/>
    <col min="14867" max="14867" width="15" style="745" customWidth="1"/>
    <col min="14868" max="14868" width="25.28515625" style="745" customWidth="1"/>
    <col min="14869" max="14869" width="25.7109375" style="745" customWidth="1"/>
    <col min="14870" max="15104" width="9.140625" style="745"/>
    <col min="15105" max="15105" width="5" style="745" customWidth="1"/>
    <col min="15106" max="15106" width="29.85546875" style="745" customWidth="1"/>
    <col min="15107" max="15107" width="6" style="745" customWidth="1"/>
    <col min="15108" max="15108" width="5.7109375" style="745" customWidth="1"/>
    <col min="15109" max="15109" width="5.85546875" style="745" customWidth="1"/>
    <col min="15110" max="15110" width="12.42578125" style="745" customWidth="1"/>
    <col min="15111" max="15111" width="6.140625" style="745" customWidth="1"/>
    <col min="15112" max="15112" width="9.42578125" style="745" customWidth="1"/>
    <col min="15113" max="15113" width="12.5703125" style="745" customWidth="1"/>
    <col min="15114" max="15114" width="6.28515625" style="745" customWidth="1"/>
    <col min="15115" max="15115" width="11.42578125" style="745" customWidth="1"/>
    <col min="15116" max="15116" width="6.85546875" style="745" customWidth="1"/>
    <col min="15117" max="15117" width="12.140625" style="745" customWidth="1"/>
    <col min="15118" max="15118" width="5.7109375" style="745" customWidth="1"/>
    <col min="15119" max="15119" width="11.140625" style="745" customWidth="1"/>
    <col min="15120" max="15120" width="15.42578125" style="745" customWidth="1"/>
    <col min="15121" max="15121" width="14.7109375" style="745" customWidth="1"/>
    <col min="15122" max="15122" width="13.42578125" style="745" customWidth="1"/>
    <col min="15123" max="15123" width="15" style="745" customWidth="1"/>
    <col min="15124" max="15124" width="25.28515625" style="745" customWidth="1"/>
    <col min="15125" max="15125" width="25.7109375" style="745" customWidth="1"/>
    <col min="15126" max="15360" width="9.140625" style="745"/>
    <col min="15361" max="15361" width="5" style="745" customWidth="1"/>
    <col min="15362" max="15362" width="29.85546875" style="745" customWidth="1"/>
    <col min="15363" max="15363" width="6" style="745" customWidth="1"/>
    <col min="15364" max="15364" width="5.7109375" style="745" customWidth="1"/>
    <col min="15365" max="15365" width="5.85546875" style="745" customWidth="1"/>
    <col min="15366" max="15366" width="12.42578125" style="745" customWidth="1"/>
    <col min="15367" max="15367" width="6.140625" style="745" customWidth="1"/>
    <col min="15368" max="15368" width="9.42578125" style="745" customWidth="1"/>
    <col min="15369" max="15369" width="12.5703125" style="745" customWidth="1"/>
    <col min="15370" max="15370" width="6.28515625" style="745" customWidth="1"/>
    <col min="15371" max="15371" width="11.42578125" style="745" customWidth="1"/>
    <col min="15372" max="15372" width="6.85546875" style="745" customWidth="1"/>
    <col min="15373" max="15373" width="12.140625" style="745" customWidth="1"/>
    <col min="15374" max="15374" width="5.7109375" style="745" customWidth="1"/>
    <col min="15375" max="15375" width="11.140625" style="745" customWidth="1"/>
    <col min="15376" max="15376" width="15.42578125" style="745" customWidth="1"/>
    <col min="15377" max="15377" width="14.7109375" style="745" customWidth="1"/>
    <col min="15378" max="15378" width="13.42578125" style="745" customWidth="1"/>
    <col min="15379" max="15379" width="15" style="745" customWidth="1"/>
    <col min="15380" max="15380" width="25.28515625" style="745" customWidth="1"/>
    <col min="15381" max="15381" width="25.7109375" style="745" customWidth="1"/>
    <col min="15382" max="15616" width="9.140625" style="745"/>
    <col min="15617" max="15617" width="5" style="745" customWidth="1"/>
    <col min="15618" max="15618" width="29.85546875" style="745" customWidth="1"/>
    <col min="15619" max="15619" width="6" style="745" customWidth="1"/>
    <col min="15620" max="15620" width="5.7109375" style="745" customWidth="1"/>
    <col min="15621" max="15621" width="5.85546875" style="745" customWidth="1"/>
    <col min="15622" max="15622" width="12.42578125" style="745" customWidth="1"/>
    <col min="15623" max="15623" width="6.140625" style="745" customWidth="1"/>
    <col min="15624" max="15624" width="9.42578125" style="745" customWidth="1"/>
    <col min="15625" max="15625" width="12.5703125" style="745" customWidth="1"/>
    <col min="15626" max="15626" width="6.28515625" style="745" customWidth="1"/>
    <col min="15627" max="15627" width="11.42578125" style="745" customWidth="1"/>
    <col min="15628" max="15628" width="6.85546875" style="745" customWidth="1"/>
    <col min="15629" max="15629" width="12.140625" style="745" customWidth="1"/>
    <col min="15630" max="15630" width="5.7109375" style="745" customWidth="1"/>
    <col min="15631" max="15631" width="11.140625" style="745" customWidth="1"/>
    <col min="15632" max="15632" width="15.42578125" style="745" customWidth="1"/>
    <col min="15633" max="15633" width="14.7109375" style="745" customWidth="1"/>
    <col min="15634" max="15634" width="13.42578125" style="745" customWidth="1"/>
    <col min="15635" max="15635" width="15" style="745" customWidth="1"/>
    <col min="15636" max="15636" width="25.28515625" style="745" customWidth="1"/>
    <col min="15637" max="15637" width="25.7109375" style="745" customWidth="1"/>
    <col min="15638" max="15872" width="9.140625" style="745"/>
    <col min="15873" max="15873" width="5" style="745" customWidth="1"/>
    <col min="15874" max="15874" width="29.85546875" style="745" customWidth="1"/>
    <col min="15875" max="15875" width="6" style="745" customWidth="1"/>
    <col min="15876" max="15876" width="5.7109375" style="745" customWidth="1"/>
    <col min="15877" max="15877" width="5.85546875" style="745" customWidth="1"/>
    <col min="15878" max="15878" width="12.42578125" style="745" customWidth="1"/>
    <col min="15879" max="15879" width="6.140625" style="745" customWidth="1"/>
    <col min="15880" max="15880" width="9.42578125" style="745" customWidth="1"/>
    <col min="15881" max="15881" width="12.5703125" style="745" customWidth="1"/>
    <col min="15882" max="15882" width="6.28515625" style="745" customWidth="1"/>
    <col min="15883" max="15883" width="11.42578125" style="745" customWidth="1"/>
    <col min="15884" max="15884" width="6.85546875" style="745" customWidth="1"/>
    <col min="15885" max="15885" width="12.140625" style="745" customWidth="1"/>
    <col min="15886" max="15886" width="5.7109375" style="745" customWidth="1"/>
    <col min="15887" max="15887" width="11.140625" style="745" customWidth="1"/>
    <col min="15888" max="15888" width="15.42578125" style="745" customWidth="1"/>
    <col min="15889" max="15889" width="14.7109375" style="745" customWidth="1"/>
    <col min="15890" max="15890" width="13.42578125" style="745" customWidth="1"/>
    <col min="15891" max="15891" width="15" style="745" customWidth="1"/>
    <col min="15892" max="15892" width="25.28515625" style="745" customWidth="1"/>
    <col min="15893" max="15893" width="25.7109375" style="745" customWidth="1"/>
    <col min="15894" max="16128" width="9.140625" style="745"/>
    <col min="16129" max="16129" width="5" style="745" customWidth="1"/>
    <col min="16130" max="16130" width="29.85546875" style="745" customWidth="1"/>
    <col min="16131" max="16131" width="6" style="745" customWidth="1"/>
    <col min="16132" max="16132" width="5.7109375" style="745" customWidth="1"/>
    <col min="16133" max="16133" width="5.85546875" style="745" customWidth="1"/>
    <col min="16134" max="16134" width="12.42578125" style="745" customWidth="1"/>
    <col min="16135" max="16135" width="6.140625" style="745" customWidth="1"/>
    <col min="16136" max="16136" width="9.42578125" style="745" customWidth="1"/>
    <col min="16137" max="16137" width="12.5703125" style="745" customWidth="1"/>
    <col min="16138" max="16138" width="6.28515625" style="745" customWidth="1"/>
    <col min="16139" max="16139" width="11.42578125" style="745" customWidth="1"/>
    <col min="16140" max="16140" width="6.85546875" style="745" customWidth="1"/>
    <col min="16141" max="16141" width="12.140625" style="745" customWidth="1"/>
    <col min="16142" max="16142" width="5.7109375" style="745" customWidth="1"/>
    <col min="16143" max="16143" width="11.140625" style="745" customWidth="1"/>
    <col min="16144" max="16144" width="15.42578125" style="745" customWidth="1"/>
    <col min="16145" max="16145" width="14.7109375" style="745" customWidth="1"/>
    <col min="16146" max="16146" width="13.42578125" style="745" customWidth="1"/>
    <col min="16147" max="16147" width="15" style="745" customWidth="1"/>
    <col min="16148" max="16148" width="25.28515625" style="745" customWidth="1"/>
    <col min="16149" max="16149" width="25.7109375" style="745" customWidth="1"/>
    <col min="16150" max="16384" width="9.140625" style="745"/>
  </cols>
  <sheetData>
    <row r="1" spans="1:29" ht="14.25" customHeight="1">
      <c r="B1" s="746"/>
      <c r="C1" s="746"/>
      <c r="D1" s="746"/>
      <c r="E1" s="747"/>
      <c r="F1" s="748"/>
      <c r="G1" s="2295" t="s">
        <v>529</v>
      </c>
      <c r="H1" s="2295"/>
      <c r="I1" s="2295"/>
      <c r="J1" s="2295"/>
      <c r="K1" s="2295"/>
      <c r="L1" s="2295"/>
      <c r="M1" s="2295"/>
      <c r="N1" s="2295"/>
      <c r="O1" s="2295"/>
      <c r="P1" s="2295"/>
      <c r="Q1" s="2295"/>
    </row>
    <row r="2" spans="1:29" ht="25.5" customHeight="1">
      <c r="B2" s="2296" t="s">
        <v>530</v>
      </c>
      <c r="C2" s="2296"/>
      <c r="D2" s="2296"/>
      <c r="E2" s="2296"/>
      <c r="F2" s="748"/>
      <c r="G2" s="2297" t="s">
        <v>945</v>
      </c>
      <c r="H2" s="2297"/>
      <c r="I2" s="2297"/>
      <c r="J2" s="2297"/>
      <c r="K2" s="2297"/>
      <c r="L2" s="2297"/>
      <c r="M2" s="2297"/>
      <c r="N2" s="2297"/>
      <c r="O2" s="2297"/>
      <c r="P2" s="2297"/>
      <c r="Q2" s="2297"/>
    </row>
    <row r="3" spans="1:29" ht="12" customHeight="1">
      <c r="E3" s="747"/>
      <c r="F3" s="748"/>
      <c r="G3" s="2264" t="s">
        <v>531</v>
      </c>
      <c r="H3" s="2264"/>
      <c r="I3" s="2264"/>
      <c r="J3" s="2264"/>
      <c r="K3" s="2264"/>
      <c r="L3" s="2264"/>
      <c r="M3" s="2264"/>
      <c r="N3" s="2264"/>
      <c r="O3" s="2265"/>
      <c r="P3" s="2265"/>
      <c r="Q3" s="750"/>
    </row>
    <row r="4" spans="1:29" ht="13.5" customHeight="1">
      <c r="E4" s="747"/>
      <c r="F4" s="748"/>
      <c r="G4" s="748"/>
      <c r="H4" s="748"/>
      <c r="I4" s="2298" t="s">
        <v>943</v>
      </c>
      <c r="J4" s="2298"/>
      <c r="K4" s="2298"/>
      <c r="L4" s="2298"/>
      <c r="M4" s="2298"/>
      <c r="N4" s="2299"/>
      <c r="O4" s="2299"/>
      <c r="P4" s="2299"/>
      <c r="Q4" s="2299"/>
    </row>
    <row r="5" spans="1:29" ht="13.5" customHeight="1">
      <c r="E5" s="747"/>
      <c r="F5" s="748"/>
      <c r="G5" s="2261" t="s">
        <v>532</v>
      </c>
      <c r="H5" s="2261"/>
      <c r="I5" s="2261"/>
      <c r="J5" s="2261"/>
      <c r="K5" s="2261"/>
      <c r="L5" s="2261"/>
      <c r="M5" s="2261"/>
      <c r="N5" s="2262"/>
      <c r="O5" s="2262"/>
      <c r="P5" s="2262"/>
      <c r="Q5" s="2262"/>
    </row>
    <row r="6" spans="1:29" ht="30" customHeight="1">
      <c r="E6" s="747"/>
      <c r="F6" s="2300" t="s">
        <v>946</v>
      </c>
      <c r="G6" s="2300"/>
      <c r="H6" s="2300"/>
      <c r="I6" s="2300"/>
      <c r="J6" s="2300"/>
      <c r="K6" s="2300"/>
      <c r="L6" s="2300"/>
      <c r="M6" s="2300"/>
      <c r="N6" s="2301"/>
      <c r="O6" s="2301"/>
      <c r="P6" s="2301"/>
      <c r="Q6" s="2301"/>
    </row>
    <row r="7" spans="1:29" s="751" customFormat="1" ht="11.25" customHeight="1">
      <c r="B7" s="752"/>
      <c r="C7" s="752"/>
      <c r="D7" s="752"/>
      <c r="E7" s="752"/>
      <c r="F7" s="753"/>
      <c r="G7" s="2269" t="s">
        <v>533</v>
      </c>
      <c r="H7" s="2269"/>
      <c r="I7" s="2269"/>
      <c r="J7" s="2269"/>
      <c r="K7" s="2269"/>
      <c r="L7" s="2269"/>
      <c r="M7" s="2269"/>
      <c r="N7" s="2268"/>
      <c r="O7" s="2268"/>
      <c r="P7" s="2268"/>
      <c r="Q7" s="2268"/>
    </row>
    <row r="8" spans="1:29" s="751" customFormat="1" ht="14.25" customHeight="1">
      <c r="B8" s="752"/>
      <c r="C8" s="752"/>
      <c r="D8" s="752"/>
      <c r="E8" s="752"/>
      <c r="F8" s="752"/>
      <c r="G8" s="754"/>
      <c r="H8" s="754"/>
      <c r="I8" s="754"/>
      <c r="J8" s="754"/>
      <c r="K8" s="754"/>
      <c r="L8" s="754"/>
      <c r="M8" s="754"/>
    </row>
    <row r="9" spans="1:29" ht="12.75" customHeight="1">
      <c r="B9" s="2263"/>
      <c r="C9" s="2263"/>
      <c r="D9" s="2263"/>
      <c r="E9" s="2263"/>
      <c r="F9" s="2263"/>
      <c r="G9" s="2263"/>
      <c r="H9" s="2263"/>
      <c r="I9" s="2263"/>
      <c r="J9" s="2263"/>
      <c r="K9" s="2263"/>
      <c r="L9" s="2263"/>
      <c r="M9" s="2263"/>
      <c r="N9" s="2263"/>
      <c r="O9" s="2263"/>
      <c r="P9" s="2263"/>
      <c r="Q9" s="2263"/>
    </row>
    <row r="10" spans="1:29" ht="15" customHeight="1">
      <c r="A10" s="2302" t="s">
        <v>947</v>
      </c>
      <c r="B10" s="2302"/>
      <c r="C10" s="2302"/>
      <c r="D10" s="2302"/>
      <c r="E10" s="2302"/>
      <c r="F10" s="2302"/>
      <c r="G10" s="2302"/>
      <c r="H10" s="2302"/>
      <c r="I10" s="2302"/>
      <c r="J10" s="2302"/>
      <c r="K10" s="2302"/>
      <c r="L10" s="2302"/>
      <c r="M10" s="2302"/>
      <c r="N10" s="2302"/>
      <c r="O10" s="2302"/>
      <c r="P10" s="2302"/>
      <c r="Q10" s="2302"/>
      <c r="T10" s="755"/>
    </row>
    <row r="11" spans="1:29" ht="12.75" customHeight="1">
      <c r="A11" s="2270" t="s">
        <v>948</v>
      </c>
      <c r="B11" s="2271"/>
      <c r="C11" s="2271"/>
      <c r="D11" s="2271"/>
      <c r="E11" s="2271"/>
      <c r="F11" s="2271"/>
      <c r="G11" s="2271"/>
      <c r="H11" s="2271"/>
      <c r="I11" s="2271"/>
      <c r="J11" s="2271"/>
      <c r="K11" s="2271"/>
      <c r="L11" s="2271"/>
      <c r="M11" s="2271"/>
      <c r="N11" s="2271"/>
      <c r="O11" s="2271"/>
      <c r="P11" s="2271"/>
      <c r="Q11" s="2271"/>
    </row>
    <row r="12" spans="1:29" ht="15">
      <c r="A12" s="2297" t="s">
        <v>944</v>
      </c>
      <c r="B12" s="2297"/>
      <c r="C12" s="2297"/>
      <c r="D12" s="2297"/>
      <c r="E12" s="2297"/>
      <c r="F12" s="2297"/>
      <c r="G12" s="2297"/>
      <c r="H12" s="2297"/>
      <c r="I12" s="2297"/>
      <c r="J12" s="2297"/>
      <c r="K12" s="2297"/>
      <c r="L12" s="2297"/>
      <c r="M12" s="2297"/>
      <c r="N12" s="2297"/>
      <c r="O12" s="2297"/>
      <c r="P12" s="2297"/>
      <c r="Q12" s="2297"/>
      <c r="T12" s="748"/>
      <c r="U12" s="748"/>
      <c r="V12" s="748"/>
      <c r="W12" s="2263"/>
      <c r="X12" s="2263"/>
      <c r="Y12" s="2263"/>
      <c r="Z12" s="2263"/>
      <c r="AA12" s="2263"/>
      <c r="AB12" s="2263"/>
      <c r="AC12" s="2263"/>
    </row>
    <row r="13" spans="1:29" ht="13.5" thickBot="1">
      <c r="B13" s="756"/>
      <c r="C13" s="756"/>
      <c r="D13" s="756"/>
      <c r="E13" s="756"/>
      <c r="F13" s="756"/>
      <c r="G13" s="756"/>
      <c r="H13" s="756"/>
      <c r="I13" s="756"/>
      <c r="J13" s="756"/>
      <c r="K13" s="756"/>
      <c r="L13" s="756"/>
      <c r="M13" s="756"/>
      <c r="N13" s="756"/>
      <c r="O13" s="756"/>
      <c r="P13" s="756"/>
      <c r="T13" s="748"/>
      <c r="U13" s="2264"/>
      <c r="V13" s="2264"/>
      <c r="W13" s="2272"/>
      <c r="X13" s="2272"/>
      <c r="Y13" s="2272"/>
      <c r="Z13" s="2272"/>
      <c r="AA13" s="2272"/>
      <c r="AB13" s="2272"/>
      <c r="AC13" s="2272"/>
    </row>
    <row r="14" spans="1:29" s="757" customFormat="1" ht="69.75" customHeight="1" thickBot="1">
      <c r="A14" s="2276"/>
      <c r="B14" s="2276" t="s">
        <v>536</v>
      </c>
      <c r="C14" s="2276" t="s">
        <v>8</v>
      </c>
      <c r="D14" s="2276" t="s">
        <v>9</v>
      </c>
      <c r="E14" s="2276" t="s">
        <v>10</v>
      </c>
      <c r="F14" s="2276" t="s">
        <v>537</v>
      </c>
      <c r="G14" s="2276" t="s">
        <v>538</v>
      </c>
      <c r="H14" s="2276" t="s">
        <v>539</v>
      </c>
      <c r="I14" s="2276" t="s">
        <v>540</v>
      </c>
      <c r="J14" s="2278" t="s">
        <v>17</v>
      </c>
      <c r="K14" s="2279"/>
      <c r="L14" s="2278" t="s">
        <v>18</v>
      </c>
      <c r="M14" s="2279"/>
      <c r="N14" s="2278" t="s">
        <v>541</v>
      </c>
      <c r="O14" s="2279"/>
      <c r="P14" s="2276" t="s">
        <v>542</v>
      </c>
      <c r="Q14" s="2273" t="s">
        <v>543</v>
      </c>
      <c r="T14" s="748"/>
      <c r="U14" s="748"/>
      <c r="V14" s="748"/>
      <c r="W14" s="2261"/>
      <c r="X14" s="2261"/>
      <c r="Y14" s="2261"/>
      <c r="Z14" s="2261"/>
      <c r="AA14" s="2261"/>
      <c r="AB14" s="2261"/>
      <c r="AC14" s="2261"/>
    </row>
    <row r="15" spans="1:29" s="757" customFormat="1" ht="58.5" customHeight="1" thickBot="1">
      <c r="A15" s="2277"/>
      <c r="B15" s="2277"/>
      <c r="C15" s="2277"/>
      <c r="D15" s="2277"/>
      <c r="E15" s="2277"/>
      <c r="F15" s="2277"/>
      <c r="G15" s="2277"/>
      <c r="H15" s="2277"/>
      <c r="I15" s="2277"/>
      <c r="J15" s="758" t="s">
        <v>21</v>
      </c>
      <c r="K15" s="758" t="s">
        <v>22</v>
      </c>
      <c r="L15" s="758" t="s">
        <v>21</v>
      </c>
      <c r="M15" s="758" t="s">
        <v>22</v>
      </c>
      <c r="N15" s="758" t="s">
        <v>21</v>
      </c>
      <c r="O15" s="758" t="s">
        <v>544</v>
      </c>
      <c r="P15" s="2277"/>
      <c r="Q15" s="2274"/>
      <c r="T15" s="748"/>
      <c r="U15" s="2275"/>
      <c r="V15" s="2275"/>
      <c r="W15" s="2275"/>
      <c r="X15" s="2275"/>
      <c r="Y15" s="2275"/>
      <c r="Z15" s="2275"/>
      <c r="AA15" s="2275"/>
      <c r="AB15" s="2275"/>
      <c r="AC15" s="2275"/>
    </row>
    <row r="16" spans="1:29" ht="35.25" customHeight="1">
      <c r="A16" s="796"/>
      <c r="B16" s="1807" t="s">
        <v>545</v>
      </c>
      <c r="C16" s="1807"/>
      <c r="D16" s="1807"/>
      <c r="E16" s="1808"/>
      <c r="F16" s="1809"/>
      <c r="G16" s="1809"/>
      <c r="H16" s="1809"/>
      <c r="I16" s="1810"/>
      <c r="J16" s="1810"/>
      <c r="K16" s="1810"/>
      <c r="L16" s="1810"/>
      <c r="M16" s="1810"/>
      <c r="N16" s="1810"/>
      <c r="O16" s="1810"/>
      <c r="P16" s="1811"/>
      <c r="Q16" s="1812"/>
      <c r="T16" s="2280"/>
      <c r="U16" s="2280"/>
      <c r="V16" s="2280"/>
      <c r="W16" s="2280"/>
      <c r="X16" s="2280"/>
      <c r="Y16" s="2280"/>
      <c r="Z16" s="2280"/>
      <c r="AA16" s="2280"/>
      <c r="AB16" s="2280"/>
      <c r="AC16" s="2280"/>
    </row>
    <row r="17" spans="1:29" s="2229" customFormat="1" ht="12.75" customHeight="1">
      <c r="A17" s="824">
        <v>1</v>
      </c>
      <c r="B17" s="760" t="s">
        <v>546</v>
      </c>
      <c r="C17" s="772" t="s">
        <v>28</v>
      </c>
      <c r="D17" s="772" t="s">
        <v>29</v>
      </c>
      <c r="E17" s="1813">
        <v>3</v>
      </c>
      <c r="F17" s="774">
        <v>1</v>
      </c>
      <c r="G17" s="1814">
        <v>6.22</v>
      </c>
      <c r="H17" s="775">
        <v>17697</v>
      </c>
      <c r="I17" s="775">
        <f>G17*H17</f>
        <v>110075.34</v>
      </c>
      <c r="J17" s="776">
        <v>0</v>
      </c>
      <c r="K17" s="777">
        <f>ROUND(I17*J17,2)+(M17*J17)</f>
        <v>0</v>
      </c>
      <c r="L17" s="776">
        <v>0.1</v>
      </c>
      <c r="M17" s="778">
        <f>(I17+O17)*L17</f>
        <v>16511.301000000003</v>
      </c>
      <c r="N17" s="776">
        <v>0.5</v>
      </c>
      <c r="O17" s="777">
        <f>(I17)*50%</f>
        <v>55037.67</v>
      </c>
      <c r="P17" s="775">
        <f>ROUND((I17*F17)+M17+K17+O17,2)</f>
        <v>181624.31</v>
      </c>
      <c r="Q17" s="779">
        <f>P17*12</f>
        <v>2179491.7199999997</v>
      </c>
      <c r="S17" s="2230"/>
      <c r="T17" s="2233"/>
      <c r="U17" s="2303"/>
      <c r="V17" s="2303"/>
      <c r="W17" s="2303"/>
      <c r="X17" s="2303"/>
      <c r="Y17" s="2303"/>
      <c r="Z17" s="2303"/>
      <c r="AA17" s="2303"/>
      <c r="AB17" s="2303"/>
      <c r="AC17" s="2303"/>
    </row>
    <row r="18" spans="1:29" s="2229" customFormat="1" ht="12.75" customHeight="1">
      <c r="A18" s="824">
        <v>2</v>
      </c>
      <c r="B18" s="771" t="s">
        <v>32</v>
      </c>
      <c r="C18" s="772" t="s">
        <v>28</v>
      </c>
      <c r="D18" s="772" t="s">
        <v>35</v>
      </c>
      <c r="E18" s="773" t="s">
        <v>30</v>
      </c>
      <c r="F18" s="774">
        <v>2</v>
      </c>
      <c r="G18" s="774">
        <v>5.77</v>
      </c>
      <c r="H18" s="775">
        <v>17697</v>
      </c>
      <c r="I18" s="775">
        <f>(G18*H18)*2</f>
        <v>204223.37999999998</v>
      </c>
      <c r="J18" s="776">
        <v>0</v>
      </c>
      <c r="K18" s="777">
        <f>ROUND(I18*J18,2)+(M18*J18)</f>
        <v>0</v>
      </c>
      <c r="L18" s="776">
        <v>0.1</v>
      </c>
      <c r="M18" s="778">
        <f>(I18+O18)*L18</f>
        <v>30633.506999999998</v>
      </c>
      <c r="N18" s="776">
        <v>0.5</v>
      </c>
      <c r="O18" s="777">
        <f>(I18)*50%</f>
        <v>102111.68999999999</v>
      </c>
      <c r="P18" s="775">
        <f>O18+M18+I18</f>
        <v>336968.57699999993</v>
      </c>
      <c r="Q18" s="779">
        <f t="shared" ref="Q18:Q34" si="0">P18*12</f>
        <v>4043622.9239999992</v>
      </c>
      <c r="R18" s="2232"/>
      <c r="S18" s="2230"/>
      <c r="T18" s="2233"/>
      <c r="U18" s="2234"/>
      <c r="V18" s="2234"/>
      <c r="W18" s="2234"/>
      <c r="X18" s="2234"/>
      <c r="Y18" s="2234"/>
      <c r="Z18" s="2234"/>
      <c r="AA18" s="2234"/>
      <c r="AB18" s="2234"/>
      <c r="AC18" s="2234"/>
    </row>
    <row r="19" spans="1:29" s="1570" customFormat="1" ht="12.75" customHeight="1">
      <c r="A19" s="824">
        <v>3</v>
      </c>
      <c r="B19" s="771" t="s">
        <v>32</v>
      </c>
      <c r="C19" s="772" t="s">
        <v>28</v>
      </c>
      <c r="D19" s="772" t="s">
        <v>35</v>
      </c>
      <c r="E19" s="773" t="s">
        <v>30</v>
      </c>
      <c r="F19" s="774">
        <v>1</v>
      </c>
      <c r="G19" s="774">
        <v>5.77</v>
      </c>
      <c r="H19" s="775">
        <v>17697</v>
      </c>
      <c r="I19" s="775">
        <f>G19*H19</f>
        <v>102111.68999999999</v>
      </c>
      <c r="J19" s="776">
        <v>0.25</v>
      </c>
      <c r="K19" s="777">
        <f>(I19+O19)*J19</f>
        <v>38291.883749999994</v>
      </c>
      <c r="L19" s="776">
        <v>0.1</v>
      </c>
      <c r="M19" s="778">
        <f t="shared" ref="M19" si="1">(I19+O19)*L19</f>
        <v>15316.753499999999</v>
      </c>
      <c r="N19" s="776">
        <v>0.5</v>
      </c>
      <c r="O19" s="777">
        <f>(I19)*50%</f>
        <v>51055.844999999994</v>
      </c>
      <c r="P19" s="775">
        <f>ROUND((I19*F19)+M19+K19+O19,2)</f>
        <v>206776.17</v>
      </c>
      <c r="Q19" s="779">
        <f>P19*12</f>
        <v>2481314.04</v>
      </c>
      <c r="R19" s="1573"/>
      <c r="S19" s="1571"/>
      <c r="T19" s="1574"/>
      <c r="U19" s="1575"/>
      <c r="V19" s="1575"/>
      <c r="W19" s="1575"/>
      <c r="X19" s="1575"/>
      <c r="Y19" s="1575"/>
      <c r="Z19" s="1575"/>
      <c r="AA19" s="1575"/>
      <c r="AB19" s="1575"/>
      <c r="AC19" s="1575"/>
    </row>
    <row r="20" spans="1:29" s="2229" customFormat="1" ht="12.75" customHeight="1">
      <c r="A20" s="824">
        <v>4</v>
      </c>
      <c r="B20" s="771" t="s">
        <v>42</v>
      </c>
      <c r="C20" s="772" t="s">
        <v>28</v>
      </c>
      <c r="D20" s="772" t="s">
        <v>29</v>
      </c>
      <c r="E20" s="773" t="s">
        <v>44</v>
      </c>
      <c r="F20" s="774">
        <v>1</v>
      </c>
      <c r="G20" s="774">
        <v>5.59</v>
      </c>
      <c r="H20" s="775">
        <v>17697</v>
      </c>
      <c r="I20" s="775">
        <f>G20*H20</f>
        <v>98926.23</v>
      </c>
      <c r="J20" s="776">
        <v>0</v>
      </c>
      <c r="K20" s="777">
        <f>ROUND(I20*J20,2)+(M20*J20)</f>
        <v>0</v>
      </c>
      <c r="L20" s="776">
        <v>0.1</v>
      </c>
      <c r="M20" s="778">
        <f>(I20+O20)*L20</f>
        <v>14838.934500000001</v>
      </c>
      <c r="N20" s="1815">
        <v>0.5</v>
      </c>
      <c r="O20" s="777">
        <f>I20*N20</f>
        <v>49463.114999999998</v>
      </c>
      <c r="P20" s="775">
        <f>ROUND((I20*F20)+M20+K20+O20,2)</f>
        <v>163228.28</v>
      </c>
      <c r="Q20" s="779">
        <f>P20*12</f>
        <v>1958739.3599999999</v>
      </c>
      <c r="R20" s="2232"/>
      <c r="S20" s="2230"/>
      <c r="T20" s="2231"/>
      <c r="U20" s="2230"/>
    </row>
    <row r="21" spans="1:29" s="2229" customFormat="1" ht="12.75" customHeight="1">
      <c r="A21" s="824">
        <v>5</v>
      </c>
      <c r="B21" s="771" t="s">
        <v>46</v>
      </c>
      <c r="C21" s="772" t="s">
        <v>28</v>
      </c>
      <c r="D21" s="772" t="s">
        <v>29</v>
      </c>
      <c r="E21" s="773" t="s">
        <v>44</v>
      </c>
      <c r="F21" s="774">
        <v>1</v>
      </c>
      <c r="G21" s="774">
        <v>5.91</v>
      </c>
      <c r="H21" s="775">
        <v>17697</v>
      </c>
      <c r="I21" s="775">
        <f t="shared" ref="I21" si="2">G21*H21</f>
        <v>104589.27</v>
      </c>
      <c r="J21" s="1816">
        <v>0</v>
      </c>
      <c r="K21" s="799">
        <v>0</v>
      </c>
      <c r="L21" s="776">
        <v>0.1</v>
      </c>
      <c r="M21" s="778">
        <f>(I21+O21)*L21</f>
        <v>15688.390500000001</v>
      </c>
      <c r="N21" s="1815">
        <v>0.5</v>
      </c>
      <c r="O21" s="777">
        <f>I21*N21</f>
        <v>52294.635000000002</v>
      </c>
      <c r="P21" s="775">
        <f>ROUND((I21*F21)+M21+K21+O21,2)</f>
        <v>172572.3</v>
      </c>
      <c r="Q21" s="779">
        <f>P21*12</f>
        <v>2070867.5999999999</v>
      </c>
      <c r="R21" s="2232"/>
      <c r="S21" s="2230"/>
      <c r="T21" s="2231"/>
      <c r="U21" s="2230"/>
    </row>
    <row r="22" spans="1:29" s="2229" customFormat="1" ht="13.5" customHeight="1">
      <c r="A22" s="824">
        <v>6</v>
      </c>
      <c r="B22" s="760" t="s">
        <v>547</v>
      </c>
      <c r="C22" s="772" t="s">
        <v>28</v>
      </c>
      <c r="D22" s="772" t="s">
        <v>35</v>
      </c>
      <c r="E22" s="773" t="s">
        <v>30</v>
      </c>
      <c r="F22" s="774">
        <v>1</v>
      </c>
      <c r="G22" s="774">
        <v>5.61</v>
      </c>
      <c r="H22" s="775">
        <v>17697</v>
      </c>
      <c r="I22" s="775">
        <f t="shared" ref="I22:I34" si="3">G22*H22</f>
        <v>99280.170000000013</v>
      </c>
      <c r="J22" s="776">
        <v>0</v>
      </c>
      <c r="K22" s="777">
        <f>ROUND(I22*J22,2)</f>
        <v>0</v>
      </c>
      <c r="L22" s="776">
        <v>0.1</v>
      </c>
      <c r="M22" s="778">
        <f t="shared" ref="M22:M34" si="4">ROUND(I22*L22*F22,2)</f>
        <v>9928.02</v>
      </c>
      <c r="N22" s="1815"/>
      <c r="O22" s="777">
        <f t="shared" ref="O22:O32" si="5">ROUND(H22*N22,2)</f>
        <v>0</v>
      </c>
      <c r="P22" s="775">
        <f t="shared" ref="P22:P25" si="6">ROUND((I22*F22)+M22+K22+O22,2)</f>
        <v>109208.19</v>
      </c>
      <c r="Q22" s="779">
        <f t="shared" si="0"/>
        <v>1310498.28</v>
      </c>
      <c r="S22" s="2230"/>
      <c r="T22" s="2231"/>
      <c r="U22" s="2230"/>
    </row>
    <row r="23" spans="1:29" s="2229" customFormat="1" ht="13.5" customHeight="1">
      <c r="A23" s="824">
        <v>7</v>
      </c>
      <c r="B23" s="760" t="s">
        <v>548</v>
      </c>
      <c r="C23" s="772" t="s">
        <v>56</v>
      </c>
      <c r="D23" s="1814" t="s">
        <v>56</v>
      </c>
      <c r="E23" s="773" t="s">
        <v>30</v>
      </c>
      <c r="F23" s="774">
        <v>1</v>
      </c>
      <c r="G23" s="774">
        <v>4.43</v>
      </c>
      <c r="H23" s="775">
        <v>17697</v>
      </c>
      <c r="I23" s="775">
        <f t="shared" si="3"/>
        <v>78397.709999999992</v>
      </c>
      <c r="J23" s="776">
        <v>0</v>
      </c>
      <c r="K23" s="777">
        <f>ROUND(I23*J23,2)</f>
        <v>0</v>
      </c>
      <c r="L23" s="776">
        <v>0.1</v>
      </c>
      <c r="M23" s="778">
        <f t="shared" si="4"/>
        <v>7839.77</v>
      </c>
      <c r="N23" s="1815"/>
      <c r="O23" s="777">
        <f t="shared" si="5"/>
        <v>0</v>
      </c>
      <c r="P23" s="775">
        <f t="shared" si="6"/>
        <v>86237.48</v>
      </c>
      <c r="Q23" s="779">
        <f t="shared" si="0"/>
        <v>1034849.76</v>
      </c>
      <c r="R23" s="2232"/>
      <c r="S23" s="2230"/>
      <c r="T23" s="2231"/>
      <c r="U23" s="2230"/>
    </row>
    <row r="24" spans="1:29" s="2229" customFormat="1" ht="13.5" customHeight="1">
      <c r="A24" s="824">
        <v>8</v>
      </c>
      <c r="B24" s="760" t="s">
        <v>59</v>
      </c>
      <c r="C24" s="772" t="s">
        <v>61</v>
      </c>
      <c r="D24" s="1814" t="s">
        <v>61</v>
      </c>
      <c r="E24" s="773" t="s">
        <v>156</v>
      </c>
      <c r="F24" s="774">
        <v>1</v>
      </c>
      <c r="G24" s="774">
        <v>3.04</v>
      </c>
      <c r="H24" s="775">
        <v>17697</v>
      </c>
      <c r="I24" s="775">
        <f t="shared" si="3"/>
        <v>53798.879999999997</v>
      </c>
      <c r="J24" s="776">
        <v>0</v>
      </c>
      <c r="K24" s="777">
        <f t="shared" ref="K24:K34" si="7">ROUND(I24*J24,2)</f>
        <v>0</v>
      </c>
      <c r="L24" s="776">
        <v>0.1</v>
      </c>
      <c r="M24" s="778">
        <f t="shared" si="4"/>
        <v>5379.89</v>
      </c>
      <c r="N24" s="1815"/>
      <c r="O24" s="777">
        <f t="shared" si="5"/>
        <v>0</v>
      </c>
      <c r="P24" s="775">
        <f t="shared" si="6"/>
        <v>59178.77</v>
      </c>
      <c r="Q24" s="779">
        <f t="shared" si="0"/>
        <v>710145.24</v>
      </c>
      <c r="S24" s="2230"/>
      <c r="T24" s="2231"/>
      <c r="U24" s="2230"/>
    </row>
    <row r="25" spans="1:29" s="2229" customFormat="1" ht="13.5" customHeight="1">
      <c r="A25" s="824">
        <v>9</v>
      </c>
      <c r="B25" s="760" t="s">
        <v>549</v>
      </c>
      <c r="C25" s="1817" t="s">
        <v>69</v>
      </c>
      <c r="D25" s="1817" t="s">
        <v>69</v>
      </c>
      <c r="E25" s="773" t="s">
        <v>30</v>
      </c>
      <c r="F25" s="774">
        <v>1</v>
      </c>
      <c r="G25" s="12">
        <v>3.61</v>
      </c>
      <c r="H25" s="775">
        <v>17697</v>
      </c>
      <c r="I25" s="775">
        <f t="shared" si="3"/>
        <v>63886.17</v>
      </c>
      <c r="J25" s="776">
        <v>0</v>
      </c>
      <c r="K25" s="777">
        <f t="shared" si="7"/>
        <v>0</v>
      </c>
      <c r="L25" s="776">
        <v>0.1</v>
      </c>
      <c r="M25" s="778">
        <f t="shared" si="4"/>
        <v>6388.62</v>
      </c>
      <c r="N25" s="1815"/>
      <c r="O25" s="777">
        <f t="shared" si="5"/>
        <v>0</v>
      </c>
      <c r="P25" s="775">
        <f t="shared" si="6"/>
        <v>70274.789999999994</v>
      </c>
      <c r="Q25" s="779">
        <f t="shared" si="0"/>
        <v>843297.48</v>
      </c>
      <c r="S25" s="2230"/>
      <c r="T25" s="2231"/>
      <c r="U25" s="2230"/>
    </row>
    <row r="26" spans="1:29" s="2229" customFormat="1" ht="13.5" customHeight="1">
      <c r="A26" s="824">
        <v>10</v>
      </c>
      <c r="B26" s="760" t="s">
        <v>549</v>
      </c>
      <c r="C26" s="1817" t="s">
        <v>69</v>
      </c>
      <c r="D26" s="1817" t="s">
        <v>69</v>
      </c>
      <c r="E26" s="773" t="s">
        <v>30</v>
      </c>
      <c r="F26" s="774">
        <v>1.5</v>
      </c>
      <c r="G26" s="12">
        <v>3.35</v>
      </c>
      <c r="H26" s="775">
        <v>17697</v>
      </c>
      <c r="I26" s="775">
        <f>G26*H26</f>
        <v>59284.950000000004</v>
      </c>
      <c r="J26" s="776">
        <v>0</v>
      </c>
      <c r="K26" s="777">
        <f t="shared" si="7"/>
        <v>0</v>
      </c>
      <c r="L26" s="776">
        <v>0.1</v>
      </c>
      <c r="M26" s="778">
        <f>ROUND(I26*L26*F26,2)</f>
        <v>8892.74</v>
      </c>
      <c r="N26" s="1815"/>
      <c r="O26" s="777">
        <f>ROUND(H26*N26,2)</f>
        <v>0</v>
      </c>
      <c r="P26" s="775">
        <f t="shared" ref="P26:P34" si="8">ROUND((I26*F26)+M26+K26+O26,2)</f>
        <v>97820.17</v>
      </c>
      <c r="Q26" s="779">
        <f>P26*12</f>
        <v>1173842.04</v>
      </c>
      <c r="S26" s="2230"/>
      <c r="T26" s="2231"/>
      <c r="U26" s="2230"/>
    </row>
    <row r="27" spans="1:29" s="2229" customFormat="1" ht="13.5" customHeight="1">
      <c r="A27" s="824">
        <v>11</v>
      </c>
      <c r="B27" s="760" t="s">
        <v>549</v>
      </c>
      <c r="C27" s="1817" t="s">
        <v>69</v>
      </c>
      <c r="D27" s="1817" t="s">
        <v>69</v>
      </c>
      <c r="E27" s="773" t="s">
        <v>30</v>
      </c>
      <c r="F27" s="1818">
        <v>0.5</v>
      </c>
      <c r="G27" s="1819">
        <v>3.31</v>
      </c>
      <c r="H27" s="775">
        <v>17697</v>
      </c>
      <c r="I27" s="775">
        <f>G27*H27</f>
        <v>58577.07</v>
      </c>
      <c r="J27" s="1820"/>
      <c r="K27" s="777">
        <f t="shared" si="7"/>
        <v>0</v>
      </c>
      <c r="L27" s="776">
        <v>0.1</v>
      </c>
      <c r="M27" s="778">
        <f>ROUND(I27*L27*F27,2)</f>
        <v>2928.85</v>
      </c>
      <c r="N27" s="1821"/>
      <c r="O27" s="777">
        <f>ROUND(H27*N27,2)</f>
        <v>0</v>
      </c>
      <c r="P27" s="775">
        <f t="shared" si="8"/>
        <v>32217.39</v>
      </c>
      <c r="Q27" s="779">
        <f>P27*12</f>
        <v>386608.68</v>
      </c>
      <c r="S27" s="2230"/>
      <c r="T27" s="2231"/>
      <c r="U27" s="2230"/>
    </row>
    <row r="28" spans="1:29" s="2226" customFormat="1" ht="13.5" customHeight="1">
      <c r="A28" s="824">
        <v>12</v>
      </c>
      <c r="B28" s="760" t="s">
        <v>86</v>
      </c>
      <c r="C28" s="1814" t="s">
        <v>56</v>
      </c>
      <c r="D28" s="1814" t="s">
        <v>56</v>
      </c>
      <c r="E28" s="773" t="s">
        <v>30</v>
      </c>
      <c r="F28" s="774">
        <v>1</v>
      </c>
      <c r="G28" s="11">
        <v>3.5</v>
      </c>
      <c r="H28" s="775">
        <v>17697</v>
      </c>
      <c r="I28" s="775">
        <f>G28*H28</f>
        <v>61939.5</v>
      </c>
      <c r="J28" s="776">
        <v>0</v>
      </c>
      <c r="K28" s="777">
        <f t="shared" si="7"/>
        <v>0</v>
      </c>
      <c r="L28" s="776">
        <v>0.1</v>
      </c>
      <c r="M28" s="778">
        <f>ROUND(I28*L28*F28,2)</f>
        <v>6193.95</v>
      </c>
      <c r="N28" s="1815"/>
      <c r="O28" s="777">
        <f t="shared" si="5"/>
        <v>0</v>
      </c>
      <c r="P28" s="775">
        <f t="shared" si="8"/>
        <v>68133.45</v>
      </c>
      <c r="Q28" s="779">
        <f t="shared" si="0"/>
        <v>817601.39999999991</v>
      </c>
      <c r="S28" s="2227"/>
      <c r="T28" s="2228"/>
      <c r="U28" s="2227"/>
    </row>
    <row r="29" spans="1:29" s="2226" customFormat="1" ht="13.5" customHeight="1">
      <c r="A29" s="824">
        <v>13</v>
      </c>
      <c r="B29" s="760" t="s">
        <v>86</v>
      </c>
      <c r="C29" s="1814" t="s">
        <v>56</v>
      </c>
      <c r="D29" s="1814" t="s">
        <v>56</v>
      </c>
      <c r="E29" s="773" t="s">
        <v>57</v>
      </c>
      <c r="F29" s="774">
        <v>1</v>
      </c>
      <c r="G29" s="11">
        <v>4.46</v>
      </c>
      <c r="H29" s="775">
        <v>17697</v>
      </c>
      <c r="I29" s="775">
        <f>G29*H29</f>
        <v>78928.62</v>
      </c>
      <c r="J29" s="776">
        <v>0</v>
      </c>
      <c r="K29" s="777">
        <f t="shared" si="7"/>
        <v>0</v>
      </c>
      <c r="L29" s="776">
        <v>0.1</v>
      </c>
      <c r="M29" s="778">
        <f>ROUND(I29*L29*F29,2)</f>
        <v>7892.86</v>
      </c>
      <c r="N29" s="1815"/>
      <c r="O29" s="777">
        <f>ROUND(H29*N29,2)</f>
        <v>0</v>
      </c>
      <c r="P29" s="775">
        <f t="shared" si="8"/>
        <v>86821.48</v>
      </c>
      <c r="Q29" s="779">
        <f>P29*12</f>
        <v>1041857.76</v>
      </c>
      <c r="S29" s="2227"/>
      <c r="T29" s="2228"/>
      <c r="U29" s="2227"/>
    </row>
    <row r="30" spans="1:29" s="2226" customFormat="1" ht="13.5" customHeight="1">
      <c r="A30" s="824">
        <v>14</v>
      </c>
      <c r="B30" s="760" t="s">
        <v>86</v>
      </c>
      <c r="C30" s="1814" t="s">
        <v>56</v>
      </c>
      <c r="D30" s="1814" t="s">
        <v>56</v>
      </c>
      <c r="E30" s="773" t="s">
        <v>57</v>
      </c>
      <c r="F30" s="1818">
        <v>1</v>
      </c>
      <c r="G30" s="1822">
        <v>4.0999999999999996</v>
      </c>
      <c r="H30" s="775">
        <v>17697</v>
      </c>
      <c r="I30" s="775">
        <f>G30*H30</f>
        <v>72557.7</v>
      </c>
      <c r="J30" s="776">
        <v>0</v>
      </c>
      <c r="K30" s="777">
        <f>ROUND(I30*J30,2)</f>
        <v>0</v>
      </c>
      <c r="L30" s="776">
        <v>0.1</v>
      </c>
      <c r="M30" s="778">
        <f>ROUND(I30*L30*F30,2)</f>
        <v>7255.77</v>
      </c>
      <c r="N30" s="1815"/>
      <c r="O30" s="777">
        <f>ROUND(H30*N30,2)</f>
        <v>0</v>
      </c>
      <c r="P30" s="775">
        <f t="shared" si="8"/>
        <v>79813.47</v>
      </c>
      <c r="Q30" s="779">
        <f>P30*12</f>
        <v>957761.64</v>
      </c>
      <c r="S30" s="2227"/>
      <c r="T30" s="2228"/>
      <c r="U30" s="2227"/>
    </row>
    <row r="31" spans="1:29" s="1570" customFormat="1" ht="13.5" customHeight="1">
      <c r="A31" s="824">
        <v>15</v>
      </c>
      <c r="B31" s="760" t="s">
        <v>95</v>
      </c>
      <c r="C31" s="772" t="s">
        <v>56</v>
      </c>
      <c r="D31" s="1814" t="s">
        <v>56</v>
      </c>
      <c r="E31" s="773" t="s">
        <v>57</v>
      </c>
      <c r="F31" s="774">
        <v>1</v>
      </c>
      <c r="G31" s="11">
        <v>4.2300000000000004</v>
      </c>
      <c r="H31" s="775">
        <v>17697</v>
      </c>
      <c r="I31" s="775">
        <f t="shared" si="3"/>
        <v>74858.310000000012</v>
      </c>
      <c r="J31" s="776">
        <v>0</v>
      </c>
      <c r="K31" s="777">
        <f t="shared" si="7"/>
        <v>0</v>
      </c>
      <c r="L31" s="776">
        <v>0.1</v>
      </c>
      <c r="M31" s="778">
        <f t="shared" si="4"/>
        <v>7485.83</v>
      </c>
      <c r="N31" s="1815"/>
      <c r="O31" s="777">
        <f t="shared" si="5"/>
        <v>0</v>
      </c>
      <c r="P31" s="775">
        <f t="shared" si="8"/>
        <v>82344.14</v>
      </c>
      <c r="Q31" s="779">
        <f>P31*12</f>
        <v>988129.67999999993</v>
      </c>
      <c r="R31" s="1573"/>
      <c r="S31" s="1571"/>
      <c r="T31" s="1572"/>
      <c r="U31" s="1571"/>
    </row>
    <row r="32" spans="1:29" s="1570" customFormat="1" ht="13.5" customHeight="1">
      <c r="A32" s="824">
        <v>16</v>
      </c>
      <c r="B32" s="791" t="s">
        <v>79</v>
      </c>
      <c r="C32" s="772" t="s">
        <v>56</v>
      </c>
      <c r="D32" s="1814" t="s">
        <v>56</v>
      </c>
      <c r="E32" s="773" t="s">
        <v>57</v>
      </c>
      <c r="F32" s="11">
        <v>0.5</v>
      </c>
      <c r="G32" s="11">
        <v>3.57</v>
      </c>
      <c r="H32" s="775">
        <v>17697</v>
      </c>
      <c r="I32" s="775">
        <f t="shared" si="3"/>
        <v>63178.289999999994</v>
      </c>
      <c r="J32" s="776">
        <v>0</v>
      </c>
      <c r="K32" s="777">
        <f t="shared" si="7"/>
        <v>0</v>
      </c>
      <c r="L32" s="776">
        <v>0.1</v>
      </c>
      <c r="M32" s="778">
        <f t="shared" si="4"/>
        <v>3158.91</v>
      </c>
      <c r="N32" s="1815"/>
      <c r="O32" s="777">
        <f t="shared" si="5"/>
        <v>0</v>
      </c>
      <c r="P32" s="775">
        <f t="shared" si="8"/>
        <v>34748.06</v>
      </c>
      <c r="Q32" s="779">
        <f t="shared" si="0"/>
        <v>416976.72</v>
      </c>
      <c r="S32" s="1571"/>
      <c r="T32" s="1572"/>
      <c r="U32" s="1571"/>
    </row>
    <row r="33" spans="1:22" s="2229" customFormat="1" ht="13.5" customHeight="1">
      <c r="A33" s="824">
        <v>17</v>
      </c>
      <c r="B33" s="792" t="s">
        <v>71</v>
      </c>
      <c r="C33" s="772" t="s">
        <v>56</v>
      </c>
      <c r="D33" s="1814" t="s">
        <v>56</v>
      </c>
      <c r="E33" s="773" t="s">
        <v>57</v>
      </c>
      <c r="F33" s="11">
        <v>0.5</v>
      </c>
      <c r="G33" s="11">
        <v>4.0999999999999996</v>
      </c>
      <c r="H33" s="775">
        <v>17697</v>
      </c>
      <c r="I33" s="775">
        <f>G33*H33</f>
        <v>72557.7</v>
      </c>
      <c r="J33" s="776">
        <v>0</v>
      </c>
      <c r="K33" s="777">
        <f>ROUND(I33*J33,2)</f>
        <v>0</v>
      </c>
      <c r="L33" s="776">
        <v>0.1</v>
      </c>
      <c r="M33" s="778">
        <f>ROUND(I33*L33*F33,2)</f>
        <v>3627.89</v>
      </c>
      <c r="N33" s="1815">
        <v>0.2</v>
      </c>
      <c r="O33" s="777">
        <f>ROUND(H33*N33,2)/2</f>
        <v>1769.7</v>
      </c>
      <c r="P33" s="775">
        <f t="shared" si="8"/>
        <v>41676.44</v>
      </c>
      <c r="Q33" s="779">
        <f>P33*12</f>
        <v>500117.28</v>
      </c>
      <c r="R33" s="2232"/>
      <c r="S33" s="2230"/>
      <c r="T33" s="2231"/>
      <c r="U33" s="2230"/>
    </row>
    <row r="34" spans="1:22" s="2229" customFormat="1" ht="13.5" customHeight="1">
      <c r="A34" s="824">
        <v>18</v>
      </c>
      <c r="B34" s="792" t="s">
        <v>71</v>
      </c>
      <c r="C34" s="772" t="s">
        <v>56</v>
      </c>
      <c r="D34" s="1814" t="s">
        <v>56</v>
      </c>
      <c r="E34" s="773" t="s">
        <v>57</v>
      </c>
      <c r="F34" s="11">
        <v>0.5</v>
      </c>
      <c r="G34" s="11">
        <v>4.2699999999999996</v>
      </c>
      <c r="H34" s="775">
        <v>17697</v>
      </c>
      <c r="I34" s="775">
        <f t="shared" si="3"/>
        <v>75566.189999999988</v>
      </c>
      <c r="J34" s="776">
        <v>0</v>
      </c>
      <c r="K34" s="777">
        <f t="shared" si="7"/>
        <v>0</v>
      </c>
      <c r="L34" s="776">
        <v>0.1</v>
      </c>
      <c r="M34" s="778">
        <f t="shared" si="4"/>
        <v>3778.31</v>
      </c>
      <c r="N34" s="1815">
        <v>0.2</v>
      </c>
      <c r="O34" s="777">
        <f>ROUND(H34*N34,2)/2</f>
        <v>1769.7</v>
      </c>
      <c r="P34" s="775">
        <f t="shared" si="8"/>
        <v>43331.11</v>
      </c>
      <c r="Q34" s="779">
        <f t="shared" si="0"/>
        <v>519973.32</v>
      </c>
      <c r="S34" s="2230"/>
      <c r="T34" s="2231"/>
      <c r="U34" s="2230"/>
    </row>
    <row r="35" spans="1:22" s="793" customFormat="1" ht="14.25" customHeight="1">
      <c r="A35" s="2293" t="s">
        <v>550</v>
      </c>
      <c r="B35" s="2294"/>
      <c r="C35" s="836"/>
      <c r="D35" s="836"/>
      <c r="E35" s="849"/>
      <c r="F35" s="841">
        <f>SUM(F17:F34)</f>
        <v>17.5</v>
      </c>
      <c r="G35" s="850"/>
      <c r="H35" s="850"/>
      <c r="I35" s="841">
        <f>SUM(I17:I34)</f>
        <v>1532737.17</v>
      </c>
      <c r="J35" s="850"/>
      <c r="K35" s="841">
        <f>SUM(K17:K34)</f>
        <v>38291.883749999994</v>
      </c>
      <c r="L35" s="850"/>
      <c r="M35" s="841">
        <f>SUM(M17:M34)</f>
        <v>173740.2965</v>
      </c>
      <c r="N35" s="850"/>
      <c r="O35" s="841">
        <f>SUM(O17:O34)</f>
        <v>313502.35499999998</v>
      </c>
      <c r="P35" s="841">
        <f>ROUND(SUM(P17:P34),2)</f>
        <v>1952974.58</v>
      </c>
      <c r="Q35" s="851">
        <f>SUM(Q17:Q34)</f>
        <v>23435694.923999999</v>
      </c>
      <c r="S35" s="794"/>
      <c r="T35" s="795"/>
      <c r="U35" s="795"/>
    </row>
    <row r="36" spans="1:22" ht="21.75" customHeight="1">
      <c r="A36" s="856"/>
      <c r="B36" s="869" t="s">
        <v>551</v>
      </c>
      <c r="C36" s="870"/>
      <c r="D36" s="870"/>
      <c r="E36" s="859"/>
      <c r="F36" s="861"/>
      <c r="G36" s="861"/>
      <c r="H36" s="861"/>
      <c r="I36" s="861"/>
      <c r="J36" s="861"/>
      <c r="K36" s="861"/>
      <c r="L36" s="861"/>
      <c r="M36" s="861"/>
      <c r="N36" s="861"/>
      <c r="O36" s="861"/>
      <c r="P36" s="861"/>
      <c r="Q36" s="862"/>
      <c r="R36" s="780"/>
      <c r="S36" s="770"/>
      <c r="U36" s="770"/>
    </row>
    <row r="37" spans="1:22" s="821" customFormat="1" ht="14.25" customHeight="1">
      <c r="A37" s="796">
        <v>19</v>
      </c>
      <c r="B37" s="797" t="s">
        <v>552</v>
      </c>
      <c r="C37" s="156"/>
      <c r="D37" s="156"/>
      <c r="E37" s="55"/>
      <c r="F37" s="798">
        <v>133.44399999999999</v>
      </c>
      <c r="G37" s="11"/>
      <c r="H37" s="775">
        <v>17697</v>
      </c>
      <c r="I37" s="775">
        <v>15619445.939999999</v>
      </c>
      <c r="J37" s="776">
        <v>0.25</v>
      </c>
      <c r="K37" s="799">
        <v>386620.46</v>
      </c>
      <c r="L37" s="776">
        <v>0.1</v>
      </c>
      <c r="M37" s="800">
        <v>1600606.64</v>
      </c>
      <c r="N37" s="776"/>
      <c r="O37" s="799">
        <v>702247.93</v>
      </c>
      <c r="P37" s="775">
        <f>I37+K37+M37+O37</f>
        <v>18308920.969999999</v>
      </c>
      <c r="Q37" s="779">
        <f>P37*12</f>
        <v>219707051.63999999</v>
      </c>
      <c r="R37" s="1034"/>
      <c r="S37" s="823"/>
      <c r="T37" s="822"/>
      <c r="U37" s="823"/>
    </row>
    <row r="38" spans="1:22" s="801" customFormat="1" ht="13.5" customHeight="1">
      <c r="A38" s="2285" t="s">
        <v>553</v>
      </c>
      <c r="B38" s="2286"/>
      <c r="C38" s="836"/>
      <c r="D38" s="836"/>
      <c r="E38" s="837"/>
      <c r="F38" s="838">
        <f>SUM(F37:F37)</f>
        <v>133.44399999999999</v>
      </c>
      <c r="G38" s="838"/>
      <c r="H38" s="838"/>
      <c r="I38" s="839">
        <f>SUM(I37:I37)</f>
        <v>15619445.939999999</v>
      </c>
      <c r="J38" s="839"/>
      <c r="K38" s="839">
        <f t="shared" ref="K38:Q38" si="9">SUM(K37:K37)</f>
        <v>386620.46</v>
      </c>
      <c r="L38" s="839"/>
      <c r="M38" s="839">
        <f t="shared" si="9"/>
        <v>1600606.64</v>
      </c>
      <c r="N38" s="839">
        <f t="shared" si="9"/>
        <v>0</v>
      </c>
      <c r="O38" s="839">
        <f t="shared" si="9"/>
        <v>702247.93</v>
      </c>
      <c r="P38" s="839">
        <f>SUM(P37:P37)</f>
        <v>18308920.969999999</v>
      </c>
      <c r="Q38" s="839">
        <f t="shared" si="9"/>
        <v>219707051.63999999</v>
      </c>
      <c r="S38" s="794"/>
      <c r="T38" s="795"/>
      <c r="U38" s="795"/>
      <c r="V38" s="794"/>
    </row>
    <row r="39" spans="1:22" ht="45.75" customHeight="1">
      <c r="A39" s="856"/>
      <c r="B39" s="857" t="s">
        <v>554</v>
      </c>
      <c r="C39" s="858"/>
      <c r="D39" s="858"/>
      <c r="E39" s="859"/>
      <c r="F39" s="860"/>
      <c r="G39" s="860"/>
      <c r="H39" s="860"/>
      <c r="I39" s="861"/>
      <c r="J39" s="861"/>
      <c r="K39" s="861"/>
      <c r="L39" s="861"/>
      <c r="M39" s="861"/>
      <c r="N39" s="861"/>
      <c r="O39" s="861"/>
      <c r="P39" s="861"/>
      <c r="Q39" s="862"/>
      <c r="R39" s="755"/>
      <c r="S39" s="784"/>
      <c r="T39" s="784"/>
      <c r="U39" s="784"/>
    </row>
    <row r="40" spans="1:22" s="1570" customFormat="1" ht="15.75" customHeight="1">
      <c r="A40" s="824">
        <v>20</v>
      </c>
      <c r="B40" s="791" t="s">
        <v>555</v>
      </c>
      <c r="C40" s="825"/>
      <c r="D40" s="825"/>
      <c r="E40" s="826">
        <v>2</v>
      </c>
      <c r="F40" s="827">
        <v>9.3000000000000007</v>
      </c>
      <c r="G40" s="827">
        <v>2.81</v>
      </c>
      <c r="H40" s="828">
        <v>17697</v>
      </c>
      <c r="I40" s="828">
        <f>H40*G40*F40</f>
        <v>462475.70100000006</v>
      </c>
      <c r="J40" s="829">
        <v>0</v>
      </c>
      <c r="K40" s="830">
        <f>ROUND(I40*J40,2)</f>
        <v>0</v>
      </c>
      <c r="L40" s="829">
        <v>0.1</v>
      </c>
      <c r="M40" s="831">
        <f>I40*10%</f>
        <v>46247.570100000012</v>
      </c>
      <c r="N40" s="829">
        <v>0.3</v>
      </c>
      <c r="O40" s="830">
        <f>17697*30%*F40</f>
        <v>49374.63</v>
      </c>
      <c r="P40" s="828">
        <f>O40+M40+I40</f>
        <v>558097.90110000013</v>
      </c>
      <c r="Q40" s="832">
        <f t="shared" ref="Q40:Q46" si="10">P40*12</f>
        <v>6697174.8132000016</v>
      </c>
      <c r="S40" s="1571"/>
      <c r="T40" s="1572"/>
      <c r="U40" s="1571"/>
    </row>
    <row r="41" spans="1:22" s="1570" customFormat="1" ht="30">
      <c r="A41" s="824">
        <v>21</v>
      </c>
      <c r="B41" s="771" t="s">
        <v>556</v>
      </c>
      <c r="C41" s="825"/>
      <c r="D41" s="825"/>
      <c r="E41" s="826">
        <v>4</v>
      </c>
      <c r="F41" s="827">
        <v>1.5</v>
      </c>
      <c r="G41" s="827">
        <v>2.89</v>
      </c>
      <c r="H41" s="828">
        <v>17697</v>
      </c>
      <c r="I41" s="828">
        <f>G41*H41*1.5</f>
        <v>76716.494999999995</v>
      </c>
      <c r="J41" s="829">
        <v>0</v>
      </c>
      <c r="K41" s="830">
        <f>ROUND(I41*J41,2)</f>
        <v>0</v>
      </c>
      <c r="L41" s="829">
        <v>0.1</v>
      </c>
      <c r="M41" s="831">
        <f>I41*10%</f>
        <v>7671.6494999999995</v>
      </c>
      <c r="N41" s="829"/>
      <c r="O41" s="830">
        <f>ROUND(H41*N41,2)</f>
        <v>0</v>
      </c>
      <c r="P41" s="828">
        <f t="shared" ref="P41:P46" si="11">O41+M41+I41</f>
        <v>84388.144499999995</v>
      </c>
      <c r="Q41" s="832">
        <f t="shared" si="10"/>
        <v>1012657.7339999999</v>
      </c>
      <c r="R41" s="1573"/>
      <c r="S41" s="1572"/>
      <c r="T41" s="1572"/>
      <c r="U41" s="1571"/>
    </row>
    <row r="42" spans="1:22" s="1570" customFormat="1" ht="12.75" customHeight="1">
      <c r="A42" s="824">
        <v>22</v>
      </c>
      <c r="B42" s="771" t="s">
        <v>556</v>
      </c>
      <c r="C42" s="825"/>
      <c r="D42" s="825"/>
      <c r="E42" s="826">
        <v>2</v>
      </c>
      <c r="F42" s="827">
        <v>3</v>
      </c>
      <c r="G42" s="827">
        <v>2.81</v>
      </c>
      <c r="H42" s="828">
        <v>17697</v>
      </c>
      <c r="I42" s="828">
        <f>G42*H42*3</f>
        <v>149185.71</v>
      </c>
      <c r="J42" s="829"/>
      <c r="K42" s="830"/>
      <c r="L42" s="829">
        <v>0.1</v>
      </c>
      <c r="M42" s="831">
        <f>I42*10%</f>
        <v>14918.571</v>
      </c>
      <c r="N42" s="829"/>
      <c r="O42" s="830">
        <f>ROUND(H42*N42,2)</f>
        <v>0</v>
      </c>
      <c r="P42" s="828">
        <f>O42+M42+I42</f>
        <v>164104.28099999999</v>
      </c>
      <c r="Q42" s="832">
        <f t="shared" si="10"/>
        <v>1969251.372</v>
      </c>
      <c r="S42" s="1572"/>
      <c r="T42" s="1572"/>
      <c r="U42" s="1571"/>
    </row>
    <row r="43" spans="1:22" s="1570" customFormat="1" ht="12.75" customHeight="1">
      <c r="A43" s="824"/>
      <c r="B43" s="771" t="s">
        <v>556</v>
      </c>
      <c r="C43" s="825"/>
      <c r="D43" s="825"/>
      <c r="E43" s="2235">
        <v>5</v>
      </c>
      <c r="F43" s="2236">
        <v>1.5</v>
      </c>
      <c r="G43" s="2236">
        <v>2.92</v>
      </c>
      <c r="H43" s="828">
        <v>17697</v>
      </c>
      <c r="I43" s="828">
        <f>G43*H43*1.5</f>
        <v>77512.86</v>
      </c>
      <c r="J43" s="2237"/>
      <c r="K43" s="2238"/>
      <c r="L43" s="2237">
        <v>0.1</v>
      </c>
      <c r="M43" s="831">
        <f>I43*10%</f>
        <v>7751.2860000000001</v>
      </c>
      <c r="N43" s="2237"/>
      <c r="O43" s="2238"/>
      <c r="P43" s="828">
        <f>O43+M43+I43</f>
        <v>85264.146000000008</v>
      </c>
      <c r="Q43" s="832">
        <f t="shared" si="10"/>
        <v>1023169.7520000001</v>
      </c>
      <c r="S43" s="1572"/>
      <c r="T43" s="1572"/>
      <c r="U43" s="1571"/>
    </row>
    <row r="44" spans="1:22" s="1570" customFormat="1" ht="11.25" customHeight="1">
      <c r="A44" s="824">
        <v>23</v>
      </c>
      <c r="B44" s="771" t="s">
        <v>358</v>
      </c>
      <c r="C44" s="825"/>
      <c r="D44" s="825"/>
      <c r="E44" s="826">
        <v>1</v>
      </c>
      <c r="F44" s="827">
        <v>1</v>
      </c>
      <c r="G44" s="827">
        <v>2.77</v>
      </c>
      <c r="H44" s="828">
        <v>17697</v>
      </c>
      <c r="I44" s="828">
        <f>G44*H44</f>
        <v>49020.69</v>
      </c>
      <c r="J44" s="829"/>
      <c r="K44" s="830"/>
      <c r="L44" s="829">
        <v>0.1</v>
      </c>
      <c r="M44" s="831">
        <f>ROUND(I44*L44*F44,2)</f>
        <v>4902.07</v>
      </c>
      <c r="N44" s="829"/>
      <c r="O44" s="830">
        <f>ROUND(H44*N44,2)</f>
        <v>0</v>
      </c>
      <c r="P44" s="828">
        <f t="shared" si="11"/>
        <v>53922.76</v>
      </c>
      <c r="Q44" s="832">
        <f t="shared" si="10"/>
        <v>647073.12</v>
      </c>
      <c r="S44" s="1572"/>
      <c r="T44" s="1572"/>
      <c r="U44" s="1571"/>
    </row>
    <row r="45" spans="1:22" s="1570" customFormat="1" ht="11.25" customHeight="1">
      <c r="A45" s="824">
        <v>24</v>
      </c>
      <c r="B45" s="802" t="s">
        <v>346</v>
      </c>
      <c r="C45" s="825"/>
      <c r="D45" s="825"/>
      <c r="E45" s="826">
        <v>1</v>
      </c>
      <c r="F45" s="827">
        <v>9</v>
      </c>
      <c r="G45" s="833">
        <v>2.77</v>
      </c>
      <c r="H45" s="828">
        <v>17697</v>
      </c>
      <c r="I45" s="828">
        <v>441186.21</v>
      </c>
      <c r="J45" s="829"/>
      <c r="K45" s="830"/>
      <c r="L45" s="829">
        <v>0.1</v>
      </c>
      <c r="M45" s="831">
        <v>44118.62</v>
      </c>
      <c r="N45" s="829">
        <v>0.5</v>
      </c>
      <c r="O45" s="830">
        <v>111954.06</v>
      </c>
      <c r="P45" s="828">
        <f t="shared" si="11"/>
        <v>597258.89</v>
      </c>
      <c r="Q45" s="832">
        <f t="shared" si="10"/>
        <v>7167106.6799999997</v>
      </c>
      <c r="S45" s="1572"/>
      <c r="T45" s="1572"/>
      <c r="U45" s="1571"/>
    </row>
    <row r="46" spans="1:22" s="1570" customFormat="1" ht="11.25" customHeight="1">
      <c r="A46" s="824">
        <v>25</v>
      </c>
      <c r="B46" s="803" t="s">
        <v>557</v>
      </c>
      <c r="C46" s="825"/>
      <c r="D46" s="825"/>
      <c r="E46" s="834">
        <v>1</v>
      </c>
      <c r="F46" s="835">
        <v>1</v>
      </c>
      <c r="G46" s="833">
        <v>2.77</v>
      </c>
      <c r="H46" s="828">
        <v>17697</v>
      </c>
      <c r="I46" s="828">
        <f>G46*H46</f>
        <v>49020.69</v>
      </c>
      <c r="J46" s="829"/>
      <c r="K46" s="830"/>
      <c r="L46" s="829">
        <v>0.1</v>
      </c>
      <c r="M46" s="831">
        <f>ROUND(I46*L46*F46,2)</f>
        <v>4902.07</v>
      </c>
      <c r="N46" s="829"/>
      <c r="O46" s="830">
        <f>ROUND(H46*N46,2)</f>
        <v>0</v>
      </c>
      <c r="P46" s="828">
        <f t="shared" si="11"/>
        <v>53922.76</v>
      </c>
      <c r="Q46" s="832">
        <f t="shared" si="10"/>
        <v>647073.12</v>
      </c>
      <c r="S46" s="1572"/>
      <c r="T46" s="1572"/>
      <c r="U46" s="1571"/>
    </row>
    <row r="47" spans="1:22" s="801" customFormat="1" ht="20.25" customHeight="1" thickBot="1">
      <c r="A47" s="2287" t="s">
        <v>359</v>
      </c>
      <c r="B47" s="2288"/>
      <c r="C47" s="843"/>
      <c r="D47" s="843"/>
      <c r="E47" s="844"/>
      <c r="F47" s="847">
        <f>SUM(F39:F46)</f>
        <v>26.3</v>
      </c>
      <c r="G47" s="846"/>
      <c r="H47" s="845"/>
      <c r="I47" s="845"/>
      <c r="J47" s="845"/>
      <c r="K47" s="845">
        <f>SUM(K39:K46)</f>
        <v>0</v>
      </c>
      <c r="L47" s="845"/>
      <c r="M47" s="847">
        <f>SUM(M39:M46)</f>
        <v>130511.83660000001</v>
      </c>
      <c r="N47" s="845"/>
      <c r="O47" s="847">
        <f>SUM(O39:O46)</f>
        <v>161328.69</v>
      </c>
      <c r="P47" s="847">
        <f>SUM(P39:P46)</f>
        <v>1596958.8825999999</v>
      </c>
      <c r="Q47" s="848">
        <f>SUM(Q39:Q46)</f>
        <v>19163506.591200002</v>
      </c>
      <c r="R47" s="1568"/>
      <c r="S47" s="804"/>
      <c r="T47" s="805"/>
      <c r="U47" s="795"/>
    </row>
    <row r="48" spans="1:22" s="801" customFormat="1" ht="19.5" customHeight="1" thickBot="1">
      <c r="A48" s="2289" t="s">
        <v>558</v>
      </c>
      <c r="B48" s="2290"/>
      <c r="C48" s="852"/>
      <c r="D48" s="852"/>
      <c r="E48" s="853"/>
      <c r="F48" s="855">
        <f>F35+F38+F47</f>
        <v>177.244</v>
      </c>
      <c r="G48" s="855"/>
      <c r="H48" s="855"/>
      <c r="I48" s="855"/>
      <c r="J48" s="855"/>
      <c r="K48" s="853">
        <f>K38+K35</f>
        <v>424912.34375</v>
      </c>
      <c r="L48" s="855"/>
      <c r="M48" s="853">
        <f>M35+M38+M47</f>
        <v>1904858.7730999999</v>
      </c>
      <c r="N48" s="855">
        <f>N35+N38+N47</f>
        <v>0</v>
      </c>
      <c r="O48" s="853">
        <f>O35+O38+O47</f>
        <v>1177078.9750000001</v>
      </c>
      <c r="P48" s="853">
        <f>P35+P38+P47</f>
        <v>21858854.432599995</v>
      </c>
      <c r="Q48" s="853">
        <f>Q47+Q38+Q35</f>
        <v>262306253.15519997</v>
      </c>
      <c r="R48" s="794"/>
      <c r="S48" s="945"/>
      <c r="T48" s="806"/>
      <c r="U48" s="806"/>
    </row>
    <row r="49" spans="1:21">
      <c r="R49" s="755"/>
      <c r="S49" s="2282"/>
      <c r="T49" s="808"/>
      <c r="U49" s="808"/>
    </row>
    <row r="50" spans="1:21" ht="15" customHeight="1">
      <c r="B50" s="746" t="s">
        <v>53</v>
      </c>
      <c r="C50" s="746"/>
      <c r="D50" s="746"/>
      <c r="E50" s="809"/>
      <c r="F50" s="809"/>
      <c r="G50" s="809"/>
      <c r="H50" s="810"/>
      <c r="I50" s="2291"/>
      <c r="J50" s="2291"/>
      <c r="K50" s="2291"/>
      <c r="L50" s="2291"/>
      <c r="M50" s="2291"/>
      <c r="N50" s="2291"/>
      <c r="O50" s="2291"/>
      <c r="P50" s="811"/>
      <c r="Q50" s="755"/>
      <c r="S50" s="2282"/>
      <c r="T50" s="812"/>
      <c r="U50" s="812"/>
    </row>
    <row r="51" spans="1:21">
      <c r="F51" s="813" t="s">
        <v>559</v>
      </c>
      <c r="I51" s="2292" t="s">
        <v>560</v>
      </c>
      <c r="J51" s="2292"/>
      <c r="K51" s="2292"/>
      <c r="L51" s="2292"/>
      <c r="M51" s="2292"/>
      <c r="N51" s="2292"/>
      <c r="O51" s="2292"/>
      <c r="P51" s="811"/>
      <c r="Q51" s="755"/>
      <c r="S51" s="814"/>
      <c r="T51" s="815"/>
      <c r="U51" s="815"/>
    </row>
    <row r="52" spans="1:21">
      <c r="N52" s="816"/>
      <c r="P52" s="811"/>
      <c r="Q52" s="780"/>
      <c r="S52" s="784"/>
      <c r="T52" s="784"/>
      <c r="U52" s="784"/>
    </row>
    <row r="53" spans="1:21">
      <c r="A53" s="784"/>
      <c r="G53" s="2255"/>
      <c r="P53" s="811"/>
      <c r="S53" s="2282"/>
      <c r="T53" s="808"/>
      <c r="U53" s="808"/>
    </row>
    <row r="54" spans="1:21">
      <c r="A54" s="784"/>
      <c r="N54" s="816"/>
      <c r="S54" s="2282"/>
      <c r="T54" s="812"/>
      <c r="U54" s="812"/>
    </row>
    <row r="55" spans="1:21" s="818" customFormat="1" ht="41.25" customHeight="1">
      <c r="A55" s="817"/>
      <c r="B55" s="2283"/>
      <c r="C55" s="2283"/>
      <c r="D55" s="2283"/>
      <c r="E55" s="2284"/>
      <c r="F55" s="2284"/>
      <c r="G55" s="2284"/>
      <c r="H55" s="2284"/>
      <c r="I55" s="2284"/>
      <c r="J55" s="2284"/>
      <c r="K55" s="2284"/>
      <c r="L55" s="2284"/>
      <c r="M55" s="2284"/>
      <c r="N55" s="2284"/>
      <c r="O55" s="2284"/>
      <c r="P55" s="2284"/>
      <c r="Q55" s="2284"/>
      <c r="S55" s="817"/>
      <c r="T55" s="817"/>
      <c r="U55" s="817"/>
    </row>
    <row r="56" spans="1:21">
      <c r="A56" s="784"/>
      <c r="S56" s="2282"/>
      <c r="T56" s="808"/>
      <c r="U56" s="808"/>
    </row>
    <row r="57" spans="1:21" s="818" customFormat="1">
      <c r="A57" s="817"/>
      <c r="B57" s="2283"/>
      <c r="C57" s="2283"/>
      <c r="D57" s="2283"/>
      <c r="E57" s="2284"/>
      <c r="F57" s="2284"/>
      <c r="G57" s="2284"/>
      <c r="H57" s="2284"/>
      <c r="I57" s="2284"/>
      <c r="J57" s="2284"/>
      <c r="K57" s="2284"/>
      <c r="L57" s="2284"/>
      <c r="M57" s="2284"/>
      <c r="N57" s="819"/>
      <c r="O57" s="819"/>
      <c r="P57" s="819"/>
      <c r="S57" s="2282"/>
      <c r="T57" s="820"/>
      <c r="U57" s="820"/>
    </row>
    <row r="58" spans="1:21">
      <c r="A58" s="784"/>
    </row>
    <row r="59" spans="1:21">
      <c r="M59" s="811"/>
    </row>
  </sheetData>
  <mergeCells count="44">
    <mergeCell ref="U17:AC17"/>
    <mergeCell ref="S53:S54"/>
    <mergeCell ref="B55:Q55"/>
    <mergeCell ref="S56:S57"/>
    <mergeCell ref="B57:M57"/>
    <mergeCell ref="A38:B38"/>
    <mergeCell ref="A47:B47"/>
    <mergeCell ref="A48:B48"/>
    <mergeCell ref="S49:S50"/>
    <mergeCell ref="I50:O50"/>
    <mergeCell ref="I51:O51"/>
    <mergeCell ref="A35:B35"/>
    <mergeCell ref="F14:F15"/>
    <mergeCell ref="G14:G15"/>
    <mergeCell ref="T16:AC16"/>
    <mergeCell ref="N14:O14"/>
    <mergeCell ref="P14:P15"/>
    <mergeCell ref="W12:AC12"/>
    <mergeCell ref="U13:V13"/>
    <mergeCell ref="W13:AC13"/>
    <mergeCell ref="A12:Q12"/>
    <mergeCell ref="Q14:Q15"/>
    <mergeCell ref="W14:AC14"/>
    <mergeCell ref="U15:AC15"/>
    <mergeCell ref="H14:H15"/>
    <mergeCell ref="I14:I15"/>
    <mergeCell ref="J14:K14"/>
    <mergeCell ref="L14:M14"/>
    <mergeCell ref="A14:A15"/>
    <mergeCell ref="B14:B15"/>
    <mergeCell ref="C14:C15"/>
    <mergeCell ref="D14:D15"/>
    <mergeCell ref="E14:E15"/>
    <mergeCell ref="F6:Q6"/>
    <mergeCell ref="G7:Q7"/>
    <mergeCell ref="B9:Q9"/>
    <mergeCell ref="A10:Q10"/>
    <mergeCell ref="A11:Q11"/>
    <mergeCell ref="G5:Q5"/>
    <mergeCell ref="G1:Q1"/>
    <mergeCell ref="B2:E2"/>
    <mergeCell ref="G2:Q2"/>
    <mergeCell ref="G3:P3"/>
    <mergeCell ref="I4:Q4"/>
  </mergeCells>
  <pageMargins left="0.98425196850393704" right="0.19685039370078741" top="0.24" bottom="0.23622047244094491" header="0.23622047244094491" footer="0.23622047244094491"/>
  <pageSetup paperSize="9" scale="64" orientation="landscape" r:id="rId1"/>
  <headerFooter alignWithMargins="0"/>
  <colBreaks count="1" manualBreakCount="1">
    <brk id="17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24">
    <tabColor rgb="FF00B0F0"/>
  </sheetPr>
  <dimension ref="A1:AQ177"/>
  <sheetViews>
    <sheetView topLeftCell="A128" zoomScale="70" zoomScaleNormal="70" zoomScaleSheetLayoutView="40" workbookViewId="0">
      <pane xSplit="3" topLeftCell="D1" activePane="topRight" state="frozen"/>
      <selection pane="topRight" activeCell="AC147" sqref="AC147"/>
    </sheetView>
  </sheetViews>
  <sheetFormatPr defaultRowHeight="12.75"/>
  <cols>
    <col min="1" max="1" width="6.42578125" style="1" customWidth="1"/>
    <col min="2" max="2" width="21.85546875" style="1" customWidth="1"/>
    <col min="3" max="3" width="17.7109375" style="895" customWidth="1"/>
    <col min="4" max="4" width="11.140625" style="1" customWidth="1"/>
    <col min="5" max="5" width="16.7109375" style="1" customWidth="1"/>
    <col min="6" max="6" width="13.5703125" style="1" customWidth="1"/>
    <col min="7" max="7" width="7.42578125" style="1" customWidth="1"/>
    <col min="8" max="8" width="4.7109375" style="1" customWidth="1"/>
    <col min="9" max="9" width="8.5703125" style="1" customWidth="1"/>
    <col min="10" max="10" width="5.5703125" style="1" customWidth="1"/>
    <col min="11" max="11" width="11.5703125" style="1" customWidth="1"/>
    <col min="12" max="12" width="10.42578125" style="1" customWidth="1"/>
    <col min="13" max="13" width="10.85546875" style="1" customWidth="1"/>
    <col min="14" max="14" width="9.7109375" style="895" bestFit="1" customWidth="1"/>
    <col min="15" max="15" width="8" style="1" hidden="1" customWidth="1"/>
    <col min="16" max="16" width="16.28515625" style="1" customWidth="1"/>
    <col min="17" max="17" width="10.5703125" style="1" customWidth="1"/>
    <col min="18" max="18" width="11.85546875" style="1" customWidth="1"/>
    <col min="19" max="19" width="10.140625" style="1" customWidth="1"/>
    <col min="20" max="20" width="15.140625" style="1" customWidth="1"/>
    <col min="21" max="21" width="8.5703125" style="1" customWidth="1"/>
    <col min="22" max="22" width="11.7109375" style="1" customWidth="1"/>
    <col min="23" max="23" width="15.28515625" style="1" customWidth="1"/>
    <col min="24" max="25" width="18.28515625" style="1" hidden="1" customWidth="1"/>
    <col min="26" max="26" width="13" style="24" bestFit="1" customWidth="1"/>
    <col min="27" max="27" width="11.7109375" style="24" bestFit="1" customWidth="1"/>
    <col min="28" max="28" width="13" style="24" bestFit="1" customWidth="1"/>
    <col min="29" max="29" width="11" style="24" bestFit="1" customWidth="1"/>
    <col min="30" max="32" width="9.140625" style="24"/>
    <col min="33" max="33" width="11.28515625" style="24" bestFit="1" customWidth="1"/>
    <col min="34" max="34" width="10.7109375" style="24" bestFit="1" customWidth="1"/>
    <col min="35" max="43" width="9.140625" style="24"/>
    <col min="44" max="256" width="9.140625" style="1"/>
    <col min="257" max="257" width="6.42578125" style="1" customWidth="1"/>
    <col min="258" max="258" width="20.7109375" style="1" customWidth="1"/>
    <col min="259" max="259" width="24.7109375" style="1" customWidth="1"/>
    <col min="260" max="260" width="11.140625" style="1" customWidth="1"/>
    <col min="261" max="261" width="12.28515625" style="1" customWidth="1"/>
    <col min="262" max="262" width="11.140625" style="1" customWidth="1"/>
    <col min="263" max="263" width="10.42578125" style="1" customWidth="1"/>
    <col min="264" max="264" width="4.7109375" style="1" customWidth="1"/>
    <col min="265" max="265" width="8.5703125" style="1" customWidth="1"/>
    <col min="266" max="266" width="5.5703125" style="1" customWidth="1"/>
    <col min="267" max="268" width="11.5703125" style="1" customWidth="1"/>
    <col min="269" max="269" width="10.85546875" style="1" customWidth="1"/>
    <col min="270" max="270" width="7.7109375" style="1" customWidth="1"/>
    <col min="271" max="271" width="8" style="1" customWidth="1"/>
    <col min="272" max="272" width="16.28515625" style="1" customWidth="1"/>
    <col min="273" max="273" width="10.5703125" style="1" customWidth="1"/>
    <col min="274" max="274" width="14.140625" style="1" customWidth="1"/>
    <col min="275" max="275" width="10.140625" style="1" customWidth="1"/>
    <col min="276" max="276" width="15.140625" style="1" customWidth="1"/>
    <col min="277" max="277" width="8.5703125" style="1" customWidth="1"/>
    <col min="278" max="278" width="14.28515625" style="1" customWidth="1"/>
    <col min="279" max="279" width="18.28515625" style="1" customWidth="1"/>
    <col min="280" max="280" width="13" style="1" bestFit="1" customWidth="1"/>
    <col min="281" max="281" width="11.7109375" style="1" bestFit="1" customWidth="1"/>
    <col min="282" max="288" width="9.140625" style="1"/>
    <col min="289" max="289" width="11.28515625" style="1" bestFit="1" customWidth="1"/>
    <col min="290" max="290" width="10.7109375" style="1" bestFit="1" customWidth="1"/>
    <col min="291" max="512" width="9.140625" style="1"/>
    <col min="513" max="513" width="6.42578125" style="1" customWidth="1"/>
    <col min="514" max="514" width="20.7109375" style="1" customWidth="1"/>
    <col min="515" max="515" width="24.7109375" style="1" customWidth="1"/>
    <col min="516" max="516" width="11.140625" style="1" customWidth="1"/>
    <col min="517" max="517" width="12.28515625" style="1" customWidth="1"/>
    <col min="518" max="518" width="11.140625" style="1" customWidth="1"/>
    <col min="519" max="519" width="10.42578125" style="1" customWidth="1"/>
    <col min="520" max="520" width="4.7109375" style="1" customWidth="1"/>
    <col min="521" max="521" width="8.5703125" style="1" customWidth="1"/>
    <col min="522" max="522" width="5.5703125" style="1" customWidth="1"/>
    <col min="523" max="524" width="11.5703125" style="1" customWidth="1"/>
    <col min="525" max="525" width="10.85546875" style="1" customWidth="1"/>
    <col min="526" max="526" width="7.7109375" style="1" customWidth="1"/>
    <col min="527" max="527" width="8" style="1" customWidth="1"/>
    <col min="528" max="528" width="16.28515625" style="1" customWidth="1"/>
    <col min="529" max="529" width="10.5703125" style="1" customWidth="1"/>
    <col min="530" max="530" width="14.140625" style="1" customWidth="1"/>
    <col min="531" max="531" width="10.140625" style="1" customWidth="1"/>
    <col min="532" max="532" width="15.140625" style="1" customWidth="1"/>
    <col min="533" max="533" width="8.5703125" style="1" customWidth="1"/>
    <col min="534" max="534" width="14.28515625" style="1" customWidth="1"/>
    <col min="535" max="535" width="18.28515625" style="1" customWidth="1"/>
    <col min="536" max="536" width="13" style="1" bestFit="1" customWidth="1"/>
    <col min="537" max="537" width="11.7109375" style="1" bestFit="1" customWidth="1"/>
    <col min="538" max="544" width="9.140625" style="1"/>
    <col min="545" max="545" width="11.28515625" style="1" bestFit="1" customWidth="1"/>
    <col min="546" max="546" width="10.7109375" style="1" bestFit="1" customWidth="1"/>
    <col min="547" max="768" width="9.140625" style="1"/>
    <col min="769" max="769" width="6.42578125" style="1" customWidth="1"/>
    <col min="770" max="770" width="20.7109375" style="1" customWidth="1"/>
    <col min="771" max="771" width="24.7109375" style="1" customWidth="1"/>
    <col min="772" max="772" width="11.140625" style="1" customWidth="1"/>
    <col min="773" max="773" width="12.28515625" style="1" customWidth="1"/>
    <col min="774" max="774" width="11.140625" style="1" customWidth="1"/>
    <col min="775" max="775" width="10.42578125" style="1" customWidth="1"/>
    <col min="776" max="776" width="4.7109375" style="1" customWidth="1"/>
    <col min="777" max="777" width="8.5703125" style="1" customWidth="1"/>
    <col min="778" max="778" width="5.5703125" style="1" customWidth="1"/>
    <col min="779" max="780" width="11.5703125" style="1" customWidth="1"/>
    <col min="781" max="781" width="10.85546875" style="1" customWidth="1"/>
    <col min="782" max="782" width="7.7109375" style="1" customWidth="1"/>
    <col min="783" max="783" width="8" style="1" customWidth="1"/>
    <col min="784" max="784" width="16.28515625" style="1" customWidth="1"/>
    <col min="785" max="785" width="10.5703125" style="1" customWidth="1"/>
    <col min="786" max="786" width="14.140625" style="1" customWidth="1"/>
    <col min="787" max="787" width="10.140625" style="1" customWidth="1"/>
    <col min="788" max="788" width="15.140625" style="1" customWidth="1"/>
    <col min="789" max="789" width="8.5703125" style="1" customWidth="1"/>
    <col min="790" max="790" width="14.28515625" style="1" customWidth="1"/>
    <col min="791" max="791" width="18.28515625" style="1" customWidth="1"/>
    <col min="792" max="792" width="13" style="1" bestFit="1" customWidth="1"/>
    <col min="793" max="793" width="11.7109375" style="1" bestFit="1" customWidth="1"/>
    <col min="794" max="800" width="9.140625" style="1"/>
    <col min="801" max="801" width="11.28515625" style="1" bestFit="1" customWidth="1"/>
    <col min="802" max="802" width="10.7109375" style="1" bestFit="1" customWidth="1"/>
    <col min="803" max="1024" width="9.140625" style="1"/>
    <col min="1025" max="1025" width="6.42578125" style="1" customWidth="1"/>
    <col min="1026" max="1026" width="20.7109375" style="1" customWidth="1"/>
    <col min="1027" max="1027" width="24.7109375" style="1" customWidth="1"/>
    <col min="1028" max="1028" width="11.140625" style="1" customWidth="1"/>
    <col min="1029" max="1029" width="12.28515625" style="1" customWidth="1"/>
    <col min="1030" max="1030" width="11.140625" style="1" customWidth="1"/>
    <col min="1031" max="1031" width="10.42578125" style="1" customWidth="1"/>
    <col min="1032" max="1032" width="4.7109375" style="1" customWidth="1"/>
    <col min="1033" max="1033" width="8.5703125" style="1" customWidth="1"/>
    <col min="1034" max="1034" width="5.5703125" style="1" customWidth="1"/>
    <col min="1035" max="1036" width="11.5703125" style="1" customWidth="1"/>
    <col min="1037" max="1037" width="10.85546875" style="1" customWidth="1"/>
    <col min="1038" max="1038" width="7.7109375" style="1" customWidth="1"/>
    <col min="1039" max="1039" width="8" style="1" customWidth="1"/>
    <col min="1040" max="1040" width="16.28515625" style="1" customWidth="1"/>
    <col min="1041" max="1041" width="10.5703125" style="1" customWidth="1"/>
    <col min="1042" max="1042" width="14.140625" style="1" customWidth="1"/>
    <col min="1043" max="1043" width="10.140625" style="1" customWidth="1"/>
    <col min="1044" max="1044" width="15.140625" style="1" customWidth="1"/>
    <col min="1045" max="1045" width="8.5703125" style="1" customWidth="1"/>
    <col min="1046" max="1046" width="14.28515625" style="1" customWidth="1"/>
    <col min="1047" max="1047" width="18.28515625" style="1" customWidth="1"/>
    <col min="1048" max="1048" width="13" style="1" bestFit="1" customWidth="1"/>
    <col min="1049" max="1049" width="11.7109375" style="1" bestFit="1" customWidth="1"/>
    <col min="1050" max="1056" width="9.140625" style="1"/>
    <col min="1057" max="1057" width="11.28515625" style="1" bestFit="1" customWidth="1"/>
    <col min="1058" max="1058" width="10.7109375" style="1" bestFit="1" customWidth="1"/>
    <col min="1059" max="1280" width="9.140625" style="1"/>
    <col min="1281" max="1281" width="6.42578125" style="1" customWidth="1"/>
    <col min="1282" max="1282" width="20.7109375" style="1" customWidth="1"/>
    <col min="1283" max="1283" width="24.7109375" style="1" customWidth="1"/>
    <col min="1284" max="1284" width="11.140625" style="1" customWidth="1"/>
    <col min="1285" max="1285" width="12.28515625" style="1" customWidth="1"/>
    <col min="1286" max="1286" width="11.140625" style="1" customWidth="1"/>
    <col min="1287" max="1287" width="10.42578125" style="1" customWidth="1"/>
    <col min="1288" max="1288" width="4.7109375" style="1" customWidth="1"/>
    <col min="1289" max="1289" width="8.5703125" style="1" customWidth="1"/>
    <col min="1290" max="1290" width="5.5703125" style="1" customWidth="1"/>
    <col min="1291" max="1292" width="11.5703125" style="1" customWidth="1"/>
    <col min="1293" max="1293" width="10.85546875" style="1" customWidth="1"/>
    <col min="1294" max="1294" width="7.7109375" style="1" customWidth="1"/>
    <col min="1295" max="1295" width="8" style="1" customWidth="1"/>
    <col min="1296" max="1296" width="16.28515625" style="1" customWidth="1"/>
    <col min="1297" max="1297" width="10.5703125" style="1" customWidth="1"/>
    <col min="1298" max="1298" width="14.140625" style="1" customWidth="1"/>
    <col min="1299" max="1299" width="10.140625" style="1" customWidth="1"/>
    <col min="1300" max="1300" width="15.140625" style="1" customWidth="1"/>
    <col min="1301" max="1301" width="8.5703125" style="1" customWidth="1"/>
    <col min="1302" max="1302" width="14.28515625" style="1" customWidth="1"/>
    <col min="1303" max="1303" width="18.28515625" style="1" customWidth="1"/>
    <col min="1304" max="1304" width="13" style="1" bestFit="1" customWidth="1"/>
    <col min="1305" max="1305" width="11.7109375" style="1" bestFit="1" customWidth="1"/>
    <col min="1306" max="1312" width="9.140625" style="1"/>
    <col min="1313" max="1313" width="11.28515625" style="1" bestFit="1" customWidth="1"/>
    <col min="1314" max="1314" width="10.7109375" style="1" bestFit="1" customWidth="1"/>
    <col min="1315" max="1536" width="9.140625" style="1"/>
    <col min="1537" max="1537" width="6.42578125" style="1" customWidth="1"/>
    <col min="1538" max="1538" width="20.7109375" style="1" customWidth="1"/>
    <col min="1539" max="1539" width="24.7109375" style="1" customWidth="1"/>
    <col min="1540" max="1540" width="11.140625" style="1" customWidth="1"/>
    <col min="1541" max="1541" width="12.28515625" style="1" customWidth="1"/>
    <col min="1542" max="1542" width="11.140625" style="1" customWidth="1"/>
    <col min="1543" max="1543" width="10.42578125" style="1" customWidth="1"/>
    <col min="1544" max="1544" width="4.7109375" style="1" customWidth="1"/>
    <col min="1545" max="1545" width="8.5703125" style="1" customWidth="1"/>
    <col min="1546" max="1546" width="5.5703125" style="1" customWidth="1"/>
    <col min="1547" max="1548" width="11.5703125" style="1" customWidth="1"/>
    <col min="1549" max="1549" width="10.85546875" style="1" customWidth="1"/>
    <col min="1550" max="1550" width="7.7109375" style="1" customWidth="1"/>
    <col min="1551" max="1551" width="8" style="1" customWidth="1"/>
    <col min="1552" max="1552" width="16.28515625" style="1" customWidth="1"/>
    <col min="1553" max="1553" width="10.5703125" style="1" customWidth="1"/>
    <col min="1554" max="1554" width="14.140625" style="1" customWidth="1"/>
    <col min="1555" max="1555" width="10.140625" style="1" customWidth="1"/>
    <col min="1556" max="1556" width="15.140625" style="1" customWidth="1"/>
    <col min="1557" max="1557" width="8.5703125" style="1" customWidth="1"/>
    <col min="1558" max="1558" width="14.28515625" style="1" customWidth="1"/>
    <col min="1559" max="1559" width="18.28515625" style="1" customWidth="1"/>
    <col min="1560" max="1560" width="13" style="1" bestFit="1" customWidth="1"/>
    <col min="1561" max="1561" width="11.7109375" style="1" bestFit="1" customWidth="1"/>
    <col min="1562" max="1568" width="9.140625" style="1"/>
    <col min="1569" max="1569" width="11.28515625" style="1" bestFit="1" customWidth="1"/>
    <col min="1570" max="1570" width="10.7109375" style="1" bestFit="1" customWidth="1"/>
    <col min="1571" max="1792" width="9.140625" style="1"/>
    <col min="1793" max="1793" width="6.42578125" style="1" customWidth="1"/>
    <col min="1794" max="1794" width="20.7109375" style="1" customWidth="1"/>
    <col min="1795" max="1795" width="24.7109375" style="1" customWidth="1"/>
    <col min="1796" max="1796" width="11.140625" style="1" customWidth="1"/>
    <col min="1797" max="1797" width="12.28515625" style="1" customWidth="1"/>
    <col min="1798" max="1798" width="11.140625" style="1" customWidth="1"/>
    <col min="1799" max="1799" width="10.42578125" style="1" customWidth="1"/>
    <col min="1800" max="1800" width="4.7109375" style="1" customWidth="1"/>
    <col min="1801" max="1801" width="8.5703125" style="1" customWidth="1"/>
    <col min="1802" max="1802" width="5.5703125" style="1" customWidth="1"/>
    <col min="1803" max="1804" width="11.5703125" style="1" customWidth="1"/>
    <col min="1805" max="1805" width="10.85546875" style="1" customWidth="1"/>
    <col min="1806" max="1806" width="7.7109375" style="1" customWidth="1"/>
    <col min="1807" max="1807" width="8" style="1" customWidth="1"/>
    <col min="1808" max="1808" width="16.28515625" style="1" customWidth="1"/>
    <col min="1809" max="1809" width="10.5703125" style="1" customWidth="1"/>
    <col min="1810" max="1810" width="14.140625" style="1" customWidth="1"/>
    <col min="1811" max="1811" width="10.140625" style="1" customWidth="1"/>
    <col min="1812" max="1812" width="15.140625" style="1" customWidth="1"/>
    <col min="1813" max="1813" width="8.5703125" style="1" customWidth="1"/>
    <col min="1814" max="1814" width="14.28515625" style="1" customWidth="1"/>
    <col min="1815" max="1815" width="18.28515625" style="1" customWidth="1"/>
    <col min="1816" max="1816" width="13" style="1" bestFit="1" customWidth="1"/>
    <col min="1817" max="1817" width="11.7109375" style="1" bestFit="1" customWidth="1"/>
    <col min="1818" max="1824" width="9.140625" style="1"/>
    <col min="1825" max="1825" width="11.28515625" style="1" bestFit="1" customWidth="1"/>
    <col min="1826" max="1826" width="10.7109375" style="1" bestFit="1" customWidth="1"/>
    <col min="1827" max="2048" width="9.140625" style="1"/>
    <col min="2049" max="2049" width="6.42578125" style="1" customWidth="1"/>
    <col min="2050" max="2050" width="20.7109375" style="1" customWidth="1"/>
    <col min="2051" max="2051" width="24.7109375" style="1" customWidth="1"/>
    <col min="2052" max="2052" width="11.140625" style="1" customWidth="1"/>
    <col min="2053" max="2053" width="12.28515625" style="1" customWidth="1"/>
    <col min="2054" max="2054" width="11.140625" style="1" customWidth="1"/>
    <col min="2055" max="2055" width="10.42578125" style="1" customWidth="1"/>
    <col min="2056" max="2056" width="4.7109375" style="1" customWidth="1"/>
    <col min="2057" max="2057" width="8.5703125" style="1" customWidth="1"/>
    <col min="2058" max="2058" width="5.5703125" style="1" customWidth="1"/>
    <col min="2059" max="2060" width="11.5703125" style="1" customWidth="1"/>
    <col min="2061" max="2061" width="10.85546875" style="1" customWidth="1"/>
    <col min="2062" max="2062" width="7.7109375" style="1" customWidth="1"/>
    <col min="2063" max="2063" width="8" style="1" customWidth="1"/>
    <col min="2064" max="2064" width="16.28515625" style="1" customWidth="1"/>
    <col min="2065" max="2065" width="10.5703125" style="1" customWidth="1"/>
    <col min="2066" max="2066" width="14.140625" style="1" customWidth="1"/>
    <col min="2067" max="2067" width="10.140625" style="1" customWidth="1"/>
    <col min="2068" max="2068" width="15.140625" style="1" customWidth="1"/>
    <col min="2069" max="2069" width="8.5703125" style="1" customWidth="1"/>
    <col min="2070" max="2070" width="14.28515625" style="1" customWidth="1"/>
    <col min="2071" max="2071" width="18.28515625" style="1" customWidth="1"/>
    <col min="2072" max="2072" width="13" style="1" bestFit="1" customWidth="1"/>
    <col min="2073" max="2073" width="11.7109375" style="1" bestFit="1" customWidth="1"/>
    <col min="2074" max="2080" width="9.140625" style="1"/>
    <col min="2081" max="2081" width="11.28515625" style="1" bestFit="1" customWidth="1"/>
    <col min="2082" max="2082" width="10.7109375" style="1" bestFit="1" customWidth="1"/>
    <col min="2083" max="2304" width="9.140625" style="1"/>
    <col min="2305" max="2305" width="6.42578125" style="1" customWidth="1"/>
    <col min="2306" max="2306" width="20.7109375" style="1" customWidth="1"/>
    <col min="2307" max="2307" width="24.7109375" style="1" customWidth="1"/>
    <col min="2308" max="2308" width="11.140625" style="1" customWidth="1"/>
    <col min="2309" max="2309" width="12.28515625" style="1" customWidth="1"/>
    <col min="2310" max="2310" width="11.140625" style="1" customWidth="1"/>
    <col min="2311" max="2311" width="10.42578125" style="1" customWidth="1"/>
    <col min="2312" max="2312" width="4.7109375" style="1" customWidth="1"/>
    <col min="2313" max="2313" width="8.5703125" style="1" customWidth="1"/>
    <col min="2314" max="2314" width="5.5703125" style="1" customWidth="1"/>
    <col min="2315" max="2316" width="11.5703125" style="1" customWidth="1"/>
    <col min="2317" max="2317" width="10.85546875" style="1" customWidth="1"/>
    <col min="2318" max="2318" width="7.7109375" style="1" customWidth="1"/>
    <col min="2319" max="2319" width="8" style="1" customWidth="1"/>
    <col min="2320" max="2320" width="16.28515625" style="1" customWidth="1"/>
    <col min="2321" max="2321" width="10.5703125" style="1" customWidth="1"/>
    <col min="2322" max="2322" width="14.140625" style="1" customWidth="1"/>
    <col min="2323" max="2323" width="10.140625" style="1" customWidth="1"/>
    <col min="2324" max="2324" width="15.140625" style="1" customWidth="1"/>
    <col min="2325" max="2325" width="8.5703125" style="1" customWidth="1"/>
    <col min="2326" max="2326" width="14.28515625" style="1" customWidth="1"/>
    <col min="2327" max="2327" width="18.28515625" style="1" customWidth="1"/>
    <col min="2328" max="2328" width="13" style="1" bestFit="1" customWidth="1"/>
    <col min="2329" max="2329" width="11.7109375" style="1" bestFit="1" customWidth="1"/>
    <col min="2330" max="2336" width="9.140625" style="1"/>
    <col min="2337" max="2337" width="11.28515625" style="1" bestFit="1" customWidth="1"/>
    <col min="2338" max="2338" width="10.7109375" style="1" bestFit="1" customWidth="1"/>
    <col min="2339" max="2560" width="9.140625" style="1"/>
    <col min="2561" max="2561" width="6.42578125" style="1" customWidth="1"/>
    <col min="2562" max="2562" width="20.7109375" style="1" customWidth="1"/>
    <col min="2563" max="2563" width="24.7109375" style="1" customWidth="1"/>
    <col min="2564" max="2564" width="11.140625" style="1" customWidth="1"/>
    <col min="2565" max="2565" width="12.28515625" style="1" customWidth="1"/>
    <col min="2566" max="2566" width="11.140625" style="1" customWidth="1"/>
    <col min="2567" max="2567" width="10.42578125" style="1" customWidth="1"/>
    <col min="2568" max="2568" width="4.7109375" style="1" customWidth="1"/>
    <col min="2569" max="2569" width="8.5703125" style="1" customWidth="1"/>
    <col min="2570" max="2570" width="5.5703125" style="1" customWidth="1"/>
    <col min="2571" max="2572" width="11.5703125" style="1" customWidth="1"/>
    <col min="2573" max="2573" width="10.85546875" style="1" customWidth="1"/>
    <col min="2574" max="2574" width="7.7109375" style="1" customWidth="1"/>
    <col min="2575" max="2575" width="8" style="1" customWidth="1"/>
    <col min="2576" max="2576" width="16.28515625" style="1" customWidth="1"/>
    <col min="2577" max="2577" width="10.5703125" style="1" customWidth="1"/>
    <col min="2578" max="2578" width="14.140625" style="1" customWidth="1"/>
    <col min="2579" max="2579" width="10.140625" style="1" customWidth="1"/>
    <col min="2580" max="2580" width="15.140625" style="1" customWidth="1"/>
    <col min="2581" max="2581" width="8.5703125" style="1" customWidth="1"/>
    <col min="2582" max="2582" width="14.28515625" style="1" customWidth="1"/>
    <col min="2583" max="2583" width="18.28515625" style="1" customWidth="1"/>
    <col min="2584" max="2584" width="13" style="1" bestFit="1" customWidth="1"/>
    <col min="2585" max="2585" width="11.7109375" style="1" bestFit="1" customWidth="1"/>
    <col min="2586" max="2592" width="9.140625" style="1"/>
    <col min="2593" max="2593" width="11.28515625" style="1" bestFit="1" customWidth="1"/>
    <col min="2594" max="2594" width="10.7109375" style="1" bestFit="1" customWidth="1"/>
    <col min="2595" max="2816" width="9.140625" style="1"/>
    <col min="2817" max="2817" width="6.42578125" style="1" customWidth="1"/>
    <col min="2818" max="2818" width="20.7109375" style="1" customWidth="1"/>
    <col min="2819" max="2819" width="24.7109375" style="1" customWidth="1"/>
    <col min="2820" max="2820" width="11.140625" style="1" customWidth="1"/>
    <col min="2821" max="2821" width="12.28515625" style="1" customWidth="1"/>
    <col min="2822" max="2822" width="11.140625" style="1" customWidth="1"/>
    <col min="2823" max="2823" width="10.42578125" style="1" customWidth="1"/>
    <col min="2824" max="2824" width="4.7109375" style="1" customWidth="1"/>
    <col min="2825" max="2825" width="8.5703125" style="1" customWidth="1"/>
    <col min="2826" max="2826" width="5.5703125" style="1" customWidth="1"/>
    <col min="2827" max="2828" width="11.5703125" style="1" customWidth="1"/>
    <col min="2829" max="2829" width="10.85546875" style="1" customWidth="1"/>
    <col min="2830" max="2830" width="7.7109375" style="1" customWidth="1"/>
    <col min="2831" max="2831" width="8" style="1" customWidth="1"/>
    <col min="2832" max="2832" width="16.28515625" style="1" customWidth="1"/>
    <col min="2833" max="2833" width="10.5703125" style="1" customWidth="1"/>
    <col min="2834" max="2834" width="14.140625" style="1" customWidth="1"/>
    <col min="2835" max="2835" width="10.140625" style="1" customWidth="1"/>
    <col min="2836" max="2836" width="15.140625" style="1" customWidth="1"/>
    <col min="2837" max="2837" width="8.5703125" style="1" customWidth="1"/>
    <col min="2838" max="2838" width="14.28515625" style="1" customWidth="1"/>
    <col min="2839" max="2839" width="18.28515625" style="1" customWidth="1"/>
    <col min="2840" max="2840" width="13" style="1" bestFit="1" customWidth="1"/>
    <col min="2841" max="2841" width="11.7109375" style="1" bestFit="1" customWidth="1"/>
    <col min="2842" max="2848" width="9.140625" style="1"/>
    <col min="2849" max="2849" width="11.28515625" style="1" bestFit="1" customWidth="1"/>
    <col min="2850" max="2850" width="10.7109375" style="1" bestFit="1" customWidth="1"/>
    <col min="2851" max="3072" width="9.140625" style="1"/>
    <col min="3073" max="3073" width="6.42578125" style="1" customWidth="1"/>
    <col min="3074" max="3074" width="20.7109375" style="1" customWidth="1"/>
    <col min="3075" max="3075" width="24.7109375" style="1" customWidth="1"/>
    <col min="3076" max="3076" width="11.140625" style="1" customWidth="1"/>
    <col min="3077" max="3077" width="12.28515625" style="1" customWidth="1"/>
    <col min="3078" max="3078" width="11.140625" style="1" customWidth="1"/>
    <col min="3079" max="3079" width="10.42578125" style="1" customWidth="1"/>
    <col min="3080" max="3080" width="4.7109375" style="1" customWidth="1"/>
    <col min="3081" max="3081" width="8.5703125" style="1" customWidth="1"/>
    <col min="3082" max="3082" width="5.5703125" style="1" customWidth="1"/>
    <col min="3083" max="3084" width="11.5703125" style="1" customWidth="1"/>
    <col min="3085" max="3085" width="10.85546875" style="1" customWidth="1"/>
    <col min="3086" max="3086" width="7.7109375" style="1" customWidth="1"/>
    <col min="3087" max="3087" width="8" style="1" customWidth="1"/>
    <col min="3088" max="3088" width="16.28515625" style="1" customWidth="1"/>
    <col min="3089" max="3089" width="10.5703125" style="1" customWidth="1"/>
    <col min="3090" max="3090" width="14.140625" style="1" customWidth="1"/>
    <col min="3091" max="3091" width="10.140625" style="1" customWidth="1"/>
    <col min="3092" max="3092" width="15.140625" style="1" customWidth="1"/>
    <col min="3093" max="3093" width="8.5703125" style="1" customWidth="1"/>
    <col min="3094" max="3094" width="14.28515625" style="1" customWidth="1"/>
    <col min="3095" max="3095" width="18.28515625" style="1" customWidth="1"/>
    <col min="3096" max="3096" width="13" style="1" bestFit="1" customWidth="1"/>
    <col min="3097" max="3097" width="11.7109375" style="1" bestFit="1" customWidth="1"/>
    <col min="3098" max="3104" width="9.140625" style="1"/>
    <col min="3105" max="3105" width="11.28515625" style="1" bestFit="1" customWidth="1"/>
    <col min="3106" max="3106" width="10.7109375" style="1" bestFit="1" customWidth="1"/>
    <col min="3107" max="3328" width="9.140625" style="1"/>
    <col min="3329" max="3329" width="6.42578125" style="1" customWidth="1"/>
    <col min="3330" max="3330" width="20.7109375" style="1" customWidth="1"/>
    <col min="3331" max="3331" width="24.7109375" style="1" customWidth="1"/>
    <col min="3332" max="3332" width="11.140625" style="1" customWidth="1"/>
    <col min="3333" max="3333" width="12.28515625" style="1" customWidth="1"/>
    <col min="3334" max="3334" width="11.140625" style="1" customWidth="1"/>
    <col min="3335" max="3335" width="10.42578125" style="1" customWidth="1"/>
    <col min="3336" max="3336" width="4.7109375" style="1" customWidth="1"/>
    <col min="3337" max="3337" width="8.5703125" style="1" customWidth="1"/>
    <col min="3338" max="3338" width="5.5703125" style="1" customWidth="1"/>
    <col min="3339" max="3340" width="11.5703125" style="1" customWidth="1"/>
    <col min="3341" max="3341" width="10.85546875" style="1" customWidth="1"/>
    <col min="3342" max="3342" width="7.7109375" style="1" customWidth="1"/>
    <col min="3343" max="3343" width="8" style="1" customWidth="1"/>
    <col min="3344" max="3344" width="16.28515625" style="1" customWidth="1"/>
    <col min="3345" max="3345" width="10.5703125" style="1" customWidth="1"/>
    <col min="3346" max="3346" width="14.140625" style="1" customWidth="1"/>
    <col min="3347" max="3347" width="10.140625" style="1" customWidth="1"/>
    <col min="3348" max="3348" width="15.140625" style="1" customWidth="1"/>
    <col min="3349" max="3349" width="8.5703125" style="1" customWidth="1"/>
    <col min="3350" max="3350" width="14.28515625" style="1" customWidth="1"/>
    <col min="3351" max="3351" width="18.28515625" style="1" customWidth="1"/>
    <col min="3352" max="3352" width="13" style="1" bestFit="1" customWidth="1"/>
    <col min="3353" max="3353" width="11.7109375" style="1" bestFit="1" customWidth="1"/>
    <col min="3354" max="3360" width="9.140625" style="1"/>
    <col min="3361" max="3361" width="11.28515625" style="1" bestFit="1" customWidth="1"/>
    <col min="3362" max="3362" width="10.7109375" style="1" bestFit="1" customWidth="1"/>
    <col min="3363" max="3584" width="9.140625" style="1"/>
    <col min="3585" max="3585" width="6.42578125" style="1" customWidth="1"/>
    <col min="3586" max="3586" width="20.7109375" style="1" customWidth="1"/>
    <col min="3587" max="3587" width="24.7109375" style="1" customWidth="1"/>
    <col min="3588" max="3588" width="11.140625" style="1" customWidth="1"/>
    <col min="3589" max="3589" width="12.28515625" style="1" customWidth="1"/>
    <col min="3590" max="3590" width="11.140625" style="1" customWidth="1"/>
    <col min="3591" max="3591" width="10.42578125" style="1" customWidth="1"/>
    <col min="3592" max="3592" width="4.7109375" style="1" customWidth="1"/>
    <col min="3593" max="3593" width="8.5703125" style="1" customWidth="1"/>
    <col min="3594" max="3594" width="5.5703125" style="1" customWidth="1"/>
    <col min="3595" max="3596" width="11.5703125" style="1" customWidth="1"/>
    <col min="3597" max="3597" width="10.85546875" style="1" customWidth="1"/>
    <col min="3598" max="3598" width="7.7109375" style="1" customWidth="1"/>
    <col min="3599" max="3599" width="8" style="1" customWidth="1"/>
    <col min="3600" max="3600" width="16.28515625" style="1" customWidth="1"/>
    <col min="3601" max="3601" width="10.5703125" style="1" customWidth="1"/>
    <col min="3602" max="3602" width="14.140625" style="1" customWidth="1"/>
    <col min="3603" max="3603" width="10.140625" style="1" customWidth="1"/>
    <col min="3604" max="3604" width="15.140625" style="1" customWidth="1"/>
    <col min="3605" max="3605" width="8.5703125" style="1" customWidth="1"/>
    <col min="3606" max="3606" width="14.28515625" style="1" customWidth="1"/>
    <col min="3607" max="3607" width="18.28515625" style="1" customWidth="1"/>
    <col min="3608" max="3608" width="13" style="1" bestFit="1" customWidth="1"/>
    <col min="3609" max="3609" width="11.7109375" style="1" bestFit="1" customWidth="1"/>
    <col min="3610" max="3616" width="9.140625" style="1"/>
    <col min="3617" max="3617" width="11.28515625" style="1" bestFit="1" customWidth="1"/>
    <col min="3618" max="3618" width="10.7109375" style="1" bestFit="1" customWidth="1"/>
    <col min="3619" max="3840" width="9.140625" style="1"/>
    <col min="3841" max="3841" width="6.42578125" style="1" customWidth="1"/>
    <col min="3842" max="3842" width="20.7109375" style="1" customWidth="1"/>
    <col min="3843" max="3843" width="24.7109375" style="1" customWidth="1"/>
    <col min="3844" max="3844" width="11.140625" style="1" customWidth="1"/>
    <col min="3845" max="3845" width="12.28515625" style="1" customWidth="1"/>
    <col min="3846" max="3846" width="11.140625" style="1" customWidth="1"/>
    <col min="3847" max="3847" width="10.42578125" style="1" customWidth="1"/>
    <col min="3848" max="3848" width="4.7109375" style="1" customWidth="1"/>
    <col min="3849" max="3849" width="8.5703125" style="1" customWidth="1"/>
    <col min="3850" max="3850" width="5.5703125" style="1" customWidth="1"/>
    <col min="3851" max="3852" width="11.5703125" style="1" customWidth="1"/>
    <col min="3853" max="3853" width="10.85546875" style="1" customWidth="1"/>
    <col min="3854" max="3854" width="7.7109375" style="1" customWidth="1"/>
    <col min="3855" max="3855" width="8" style="1" customWidth="1"/>
    <col min="3856" max="3856" width="16.28515625" style="1" customWidth="1"/>
    <col min="3857" max="3857" width="10.5703125" style="1" customWidth="1"/>
    <col min="3858" max="3858" width="14.140625" style="1" customWidth="1"/>
    <col min="3859" max="3859" width="10.140625" style="1" customWidth="1"/>
    <col min="3860" max="3860" width="15.140625" style="1" customWidth="1"/>
    <col min="3861" max="3861" width="8.5703125" style="1" customWidth="1"/>
    <col min="3862" max="3862" width="14.28515625" style="1" customWidth="1"/>
    <col min="3863" max="3863" width="18.28515625" style="1" customWidth="1"/>
    <col min="3864" max="3864" width="13" style="1" bestFit="1" customWidth="1"/>
    <col min="3865" max="3865" width="11.7109375" style="1" bestFit="1" customWidth="1"/>
    <col min="3866" max="3872" width="9.140625" style="1"/>
    <col min="3873" max="3873" width="11.28515625" style="1" bestFit="1" customWidth="1"/>
    <col min="3874" max="3874" width="10.7109375" style="1" bestFit="1" customWidth="1"/>
    <col min="3875" max="4096" width="9.140625" style="1"/>
    <col min="4097" max="4097" width="6.42578125" style="1" customWidth="1"/>
    <col min="4098" max="4098" width="20.7109375" style="1" customWidth="1"/>
    <col min="4099" max="4099" width="24.7109375" style="1" customWidth="1"/>
    <col min="4100" max="4100" width="11.140625" style="1" customWidth="1"/>
    <col min="4101" max="4101" width="12.28515625" style="1" customWidth="1"/>
    <col min="4102" max="4102" width="11.140625" style="1" customWidth="1"/>
    <col min="4103" max="4103" width="10.42578125" style="1" customWidth="1"/>
    <col min="4104" max="4104" width="4.7109375" style="1" customWidth="1"/>
    <col min="4105" max="4105" width="8.5703125" style="1" customWidth="1"/>
    <col min="4106" max="4106" width="5.5703125" style="1" customWidth="1"/>
    <col min="4107" max="4108" width="11.5703125" style="1" customWidth="1"/>
    <col min="4109" max="4109" width="10.85546875" style="1" customWidth="1"/>
    <col min="4110" max="4110" width="7.7109375" style="1" customWidth="1"/>
    <col min="4111" max="4111" width="8" style="1" customWidth="1"/>
    <col min="4112" max="4112" width="16.28515625" style="1" customWidth="1"/>
    <col min="4113" max="4113" width="10.5703125" style="1" customWidth="1"/>
    <col min="4114" max="4114" width="14.140625" style="1" customWidth="1"/>
    <col min="4115" max="4115" width="10.140625" style="1" customWidth="1"/>
    <col min="4116" max="4116" width="15.140625" style="1" customWidth="1"/>
    <col min="4117" max="4117" width="8.5703125" style="1" customWidth="1"/>
    <col min="4118" max="4118" width="14.28515625" style="1" customWidth="1"/>
    <col min="4119" max="4119" width="18.28515625" style="1" customWidth="1"/>
    <col min="4120" max="4120" width="13" style="1" bestFit="1" customWidth="1"/>
    <col min="4121" max="4121" width="11.7109375" style="1" bestFit="1" customWidth="1"/>
    <col min="4122" max="4128" width="9.140625" style="1"/>
    <col min="4129" max="4129" width="11.28515625" style="1" bestFit="1" customWidth="1"/>
    <col min="4130" max="4130" width="10.7109375" style="1" bestFit="1" customWidth="1"/>
    <col min="4131" max="4352" width="9.140625" style="1"/>
    <col min="4353" max="4353" width="6.42578125" style="1" customWidth="1"/>
    <col min="4354" max="4354" width="20.7109375" style="1" customWidth="1"/>
    <col min="4355" max="4355" width="24.7109375" style="1" customWidth="1"/>
    <col min="4356" max="4356" width="11.140625" style="1" customWidth="1"/>
    <col min="4357" max="4357" width="12.28515625" style="1" customWidth="1"/>
    <col min="4358" max="4358" width="11.140625" style="1" customWidth="1"/>
    <col min="4359" max="4359" width="10.42578125" style="1" customWidth="1"/>
    <col min="4360" max="4360" width="4.7109375" style="1" customWidth="1"/>
    <col min="4361" max="4361" width="8.5703125" style="1" customWidth="1"/>
    <col min="4362" max="4362" width="5.5703125" style="1" customWidth="1"/>
    <col min="4363" max="4364" width="11.5703125" style="1" customWidth="1"/>
    <col min="4365" max="4365" width="10.85546875" style="1" customWidth="1"/>
    <col min="4366" max="4366" width="7.7109375" style="1" customWidth="1"/>
    <col min="4367" max="4367" width="8" style="1" customWidth="1"/>
    <col min="4368" max="4368" width="16.28515625" style="1" customWidth="1"/>
    <col min="4369" max="4369" width="10.5703125" style="1" customWidth="1"/>
    <col min="4370" max="4370" width="14.140625" style="1" customWidth="1"/>
    <col min="4371" max="4371" width="10.140625" style="1" customWidth="1"/>
    <col min="4372" max="4372" width="15.140625" style="1" customWidth="1"/>
    <col min="4373" max="4373" width="8.5703125" style="1" customWidth="1"/>
    <col min="4374" max="4374" width="14.28515625" style="1" customWidth="1"/>
    <col min="4375" max="4375" width="18.28515625" style="1" customWidth="1"/>
    <col min="4376" max="4376" width="13" style="1" bestFit="1" customWidth="1"/>
    <col min="4377" max="4377" width="11.7109375" style="1" bestFit="1" customWidth="1"/>
    <col min="4378" max="4384" width="9.140625" style="1"/>
    <col min="4385" max="4385" width="11.28515625" style="1" bestFit="1" customWidth="1"/>
    <col min="4386" max="4386" width="10.7109375" style="1" bestFit="1" customWidth="1"/>
    <col min="4387" max="4608" width="9.140625" style="1"/>
    <col min="4609" max="4609" width="6.42578125" style="1" customWidth="1"/>
    <col min="4610" max="4610" width="20.7109375" style="1" customWidth="1"/>
    <col min="4611" max="4611" width="24.7109375" style="1" customWidth="1"/>
    <col min="4612" max="4612" width="11.140625" style="1" customWidth="1"/>
    <col min="4613" max="4613" width="12.28515625" style="1" customWidth="1"/>
    <col min="4614" max="4614" width="11.140625" style="1" customWidth="1"/>
    <col min="4615" max="4615" width="10.42578125" style="1" customWidth="1"/>
    <col min="4616" max="4616" width="4.7109375" style="1" customWidth="1"/>
    <col min="4617" max="4617" width="8.5703125" style="1" customWidth="1"/>
    <col min="4618" max="4618" width="5.5703125" style="1" customWidth="1"/>
    <col min="4619" max="4620" width="11.5703125" style="1" customWidth="1"/>
    <col min="4621" max="4621" width="10.85546875" style="1" customWidth="1"/>
    <col min="4622" max="4622" width="7.7109375" style="1" customWidth="1"/>
    <col min="4623" max="4623" width="8" style="1" customWidth="1"/>
    <col min="4624" max="4624" width="16.28515625" style="1" customWidth="1"/>
    <col min="4625" max="4625" width="10.5703125" style="1" customWidth="1"/>
    <col min="4626" max="4626" width="14.140625" style="1" customWidth="1"/>
    <col min="4627" max="4627" width="10.140625" style="1" customWidth="1"/>
    <col min="4628" max="4628" width="15.140625" style="1" customWidth="1"/>
    <col min="4629" max="4629" width="8.5703125" style="1" customWidth="1"/>
    <col min="4630" max="4630" width="14.28515625" style="1" customWidth="1"/>
    <col min="4631" max="4631" width="18.28515625" style="1" customWidth="1"/>
    <col min="4632" max="4632" width="13" style="1" bestFit="1" customWidth="1"/>
    <col min="4633" max="4633" width="11.7109375" style="1" bestFit="1" customWidth="1"/>
    <col min="4634" max="4640" width="9.140625" style="1"/>
    <col min="4641" max="4641" width="11.28515625" style="1" bestFit="1" customWidth="1"/>
    <col min="4642" max="4642" width="10.7109375" style="1" bestFit="1" customWidth="1"/>
    <col min="4643" max="4864" width="9.140625" style="1"/>
    <col min="4865" max="4865" width="6.42578125" style="1" customWidth="1"/>
    <col min="4866" max="4866" width="20.7109375" style="1" customWidth="1"/>
    <col min="4867" max="4867" width="24.7109375" style="1" customWidth="1"/>
    <col min="4868" max="4868" width="11.140625" style="1" customWidth="1"/>
    <col min="4869" max="4869" width="12.28515625" style="1" customWidth="1"/>
    <col min="4870" max="4870" width="11.140625" style="1" customWidth="1"/>
    <col min="4871" max="4871" width="10.42578125" style="1" customWidth="1"/>
    <col min="4872" max="4872" width="4.7109375" style="1" customWidth="1"/>
    <col min="4873" max="4873" width="8.5703125" style="1" customWidth="1"/>
    <col min="4874" max="4874" width="5.5703125" style="1" customWidth="1"/>
    <col min="4875" max="4876" width="11.5703125" style="1" customWidth="1"/>
    <col min="4877" max="4877" width="10.85546875" style="1" customWidth="1"/>
    <col min="4878" max="4878" width="7.7109375" style="1" customWidth="1"/>
    <col min="4879" max="4879" width="8" style="1" customWidth="1"/>
    <col min="4880" max="4880" width="16.28515625" style="1" customWidth="1"/>
    <col min="4881" max="4881" width="10.5703125" style="1" customWidth="1"/>
    <col min="4882" max="4882" width="14.140625" style="1" customWidth="1"/>
    <col min="4883" max="4883" width="10.140625" style="1" customWidth="1"/>
    <col min="4884" max="4884" width="15.140625" style="1" customWidth="1"/>
    <col min="4885" max="4885" width="8.5703125" style="1" customWidth="1"/>
    <col min="4886" max="4886" width="14.28515625" style="1" customWidth="1"/>
    <col min="4887" max="4887" width="18.28515625" style="1" customWidth="1"/>
    <col min="4888" max="4888" width="13" style="1" bestFit="1" customWidth="1"/>
    <col min="4889" max="4889" width="11.7109375" style="1" bestFit="1" customWidth="1"/>
    <col min="4890" max="4896" width="9.140625" style="1"/>
    <col min="4897" max="4897" width="11.28515625" style="1" bestFit="1" customWidth="1"/>
    <col min="4898" max="4898" width="10.7109375" style="1" bestFit="1" customWidth="1"/>
    <col min="4899" max="5120" width="9.140625" style="1"/>
    <col min="5121" max="5121" width="6.42578125" style="1" customWidth="1"/>
    <col min="5122" max="5122" width="20.7109375" style="1" customWidth="1"/>
    <col min="5123" max="5123" width="24.7109375" style="1" customWidth="1"/>
    <col min="5124" max="5124" width="11.140625" style="1" customWidth="1"/>
    <col min="5125" max="5125" width="12.28515625" style="1" customWidth="1"/>
    <col min="5126" max="5126" width="11.140625" style="1" customWidth="1"/>
    <col min="5127" max="5127" width="10.42578125" style="1" customWidth="1"/>
    <col min="5128" max="5128" width="4.7109375" style="1" customWidth="1"/>
    <col min="5129" max="5129" width="8.5703125" style="1" customWidth="1"/>
    <col min="5130" max="5130" width="5.5703125" style="1" customWidth="1"/>
    <col min="5131" max="5132" width="11.5703125" style="1" customWidth="1"/>
    <col min="5133" max="5133" width="10.85546875" style="1" customWidth="1"/>
    <col min="5134" max="5134" width="7.7109375" style="1" customWidth="1"/>
    <col min="5135" max="5135" width="8" style="1" customWidth="1"/>
    <col min="5136" max="5136" width="16.28515625" style="1" customWidth="1"/>
    <col min="5137" max="5137" width="10.5703125" style="1" customWidth="1"/>
    <col min="5138" max="5138" width="14.140625" style="1" customWidth="1"/>
    <col min="5139" max="5139" width="10.140625" style="1" customWidth="1"/>
    <col min="5140" max="5140" width="15.140625" style="1" customWidth="1"/>
    <col min="5141" max="5141" width="8.5703125" style="1" customWidth="1"/>
    <col min="5142" max="5142" width="14.28515625" style="1" customWidth="1"/>
    <col min="5143" max="5143" width="18.28515625" style="1" customWidth="1"/>
    <col min="5144" max="5144" width="13" style="1" bestFit="1" customWidth="1"/>
    <col min="5145" max="5145" width="11.7109375" style="1" bestFit="1" customWidth="1"/>
    <col min="5146" max="5152" width="9.140625" style="1"/>
    <col min="5153" max="5153" width="11.28515625" style="1" bestFit="1" customWidth="1"/>
    <col min="5154" max="5154" width="10.7109375" style="1" bestFit="1" customWidth="1"/>
    <col min="5155" max="5376" width="9.140625" style="1"/>
    <col min="5377" max="5377" width="6.42578125" style="1" customWidth="1"/>
    <col min="5378" max="5378" width="20.7109375" style="1" customWidth="1"/>
    <col min="5379" max="5379" width="24.7109375" style="1" customWidth="1"/>
    <col min="5380" max="5380" width="11.140625" style="1" customWidth="1"/>
    <col min="5381" max="5381" width="12.28515625" style="1" customWidth="1"/>
    <col min="5382" max="5382" width="11.140625" style="1" customWidth="1"/>
    <col min="5383" max="5383" width="10.42578125" style="1" customWidth="1"/>
    <col min="5384" max="5384" width="4.7109375" style="1" customWidth="1"/>
    <col min="5385" max="5385" width="8.5703125" style="1" customWidth="1"/>
    <col min="5386" max="5386" width="5.5703125" style="1" customWidth="1"/>
    <col min="5387" max="5388" width="11.5703125" style="1" customWidth="1"/>
    <col min="5389" max="5389" width="10.85546875" style="1" customWidth="1"/>
    <col min="5390" max="5390" width="7.7109375" style="1" customWidth="1"/>
    <col min="5391" max="5391" width="8" style="1" customWidth="1"/>
    <col min="5392" max="5392" width="16.28515625" style="1" customWidth="1"/>
    <col min="5393" max="5393" width="10.5703125" style="1" customWidth="1"/>
    <col min="5394" max="5394" width="14.140625" style="1" customWidth="1"/>
    <col min="5395" max="5395" width="10.140625" style="1" customWidth="1"/>
    <col min="5396" max="5396" width="15.140625" style="1" customWidth="1"/>
    <col min="5397" max="5397" width="8.5703125" style="1" customWidth="1"/>
    <col min="5398" max="5398" width="14.28515625" style="1" customWidth="1"/>
    <col min="5399" max="5399" width="18.28515625" style="1" customWidth="1"/>
    <col min="5400" max="5400" width="13" style="1" bestFit="1" customWidth="1"/>
    <col min="5401" max="5401" width="11.7109375" style="1" bestFit="1" customWidth="1"/>
    <col min="5402" max="5408" width="9.140625" style="1"/>
    <col min="5409" max="5409" width="11.28515625" style="1" bestFit="1" customWidth="1"/>
    <col min="5410" max="5410" width="10.7109375" style="1" bestFit="1" customWidth="1"/>
    <col min="5411" max="5632" width="9.140625" style="1"/>
    <col min="5633" max="5633" width="6.42578125" style="1" customWidth="1"/>
    <col min="5634" max="5634" width="20.7109375" style="1" customWidth="1"/>
    <col min="5635" max="5635" width="24.7109375" style="1" customWidth="1"/>
    <col min="5636" max="5636" width="11.140625" style="1" customWidth="1"/>
    <col min="5637" max="5637" width="12.28515625" style="1" customWidth="1"/>
    <col min="5638" max="5638" width="11.140625" style="1" customWidth="1"/>
    <col min="5639" max="5639" width="10.42578125" style="1" customWidth="1"/>
    <col min="5640" max="5640" width="4.7109375" style="1" customWidth="1"/>
    <col min="5641" max="5641" width="8.5703125" style="1" customWidth="1"/>
    <col min="5642" max="5642" width="5.5703125" style="1" customWidth="1"/>
    <col min="5643" max="5644" width="11.5703125" style="1" customWidth="1"/>
    <col min="5645" max="5645" width="10.85546875" style="1" customWidth="1"/>
    <col min="5646" max="5646" width="7.7109375" style="1" customWidth="1"/>
    <col min="5647" max="5647" width="8" style="1" customWidth="1"/>
    <col min="5648" max="5648" width="16.28515625" style="1" customWidth="1"/>
    <col min="5649" max="5649" width="10.5703125" style="1" customWidth="1"/>
    <col min="5650" max="5650" width="14.140625" style="1" customWidth="1"/>
    <col min="5651" max="5651" width="10.140625" style="1" customWidth="1"/>
    <col min="5652" max="5652" width="15.140625" style="1" customWidth="1"/>
    <col min="5653" max="5653" width="8.5703125" style="1" customWidth="1"/>
    <col min="5654" max="5654" width="14.28515625" style="1" customWidth="1"/>
    <col min="5655" max="5655" width="18.28515625" style="1" customWidth="1"/>
    <col min="5656" max="5656" width="13" style="1" bestFit="1" customWidth="1"/>
    <col min="5657" max="5657" width="11.7109375" style="1" bestFit="1" customWidth="1"/>
    <col min="5658" max="5664" width="9.140625" style="1"/>
    <col min="5665" max="5665" width="11.28515625" style="1" bestFit="1" customWidth="1"/>
    <col min="5666" max="5666" width="10.7109375" style="1" bestFit="1" customWidth="1"/>
    <col min="5667" max="5888" width="9.140625" style="1"/>
    <col min="5889" max="5889" width="6.42578125" style="1" customWidth="1"/>
    <col min="5890" max="5890" width="20.7109375" style="1" customWidth="1"/>
    <col min="5891" max="5891" width="24.7109375" style="1" customWidth="1"/>
    <col min="5892" max="5892" width="11.140625" style="1" customWidth="1"/>
    <col min="5893" max="5893" width="12.28515625" style="1" customWidth="1"/>
    <col min="5894" max="5894" width="11.140625" style="1" customWidth="1"/>
    <col min="5895" max="5895" width="10.42578125" style="1" customWidth="1"/>
    <col min="5896" max="5896" width="4.7109375" style="1" customWidth="1"/>
    <col min="5897" max="5897" width="8.5703125" style="1" customWidth="1"/>
    <col min="5898" max="5898" width="5.5703125" style="1" customWidth="1"/>
    <col min="5899" max="5900" width="11.5703125" style="1" customWidth="1"/>
    <col min="5901" max="5901" width="10.85546875" style="1" customWidth="1"/>
    <col min="5902" max="5902" width="7.7109375" style="1" customWidth="1"/>
    <col min="5903" max="5903" width="8" style="1" customWidth="1"/>
    <col min="5904" max="5904" width="16.28515625" style="1" customWidth="1"/>
    <col min="5905" max="5905" width="10.5703125" style="1" customWidth="1"/>
    <col min="5906" max="5906" width="14.140625" style="1" customWidth="1"/>
    <col min="5907" max="5907" width="10.140625" style="1" customWidth="1"/>
    <col min="5908" max="5908" width="15.140625" style="1" customWidth="1"/>
    <col min="5909" max="5909" width="8.5703125" style="1" customWidth="1"/>
    <col min="5910" max="5910" width="14.28515625" style="1" customWidth="1"/>
    <col min="5911" max="5911" width="18.28515625" style="1" customWidth="1"/>
    <col min="5912" max="5912" width="13" style="1" bestFit="1" customWidth="1"/>
    <col min="5913" max="5913" width="11.7109375" style="1" bestFit="1" customWidth="1"/>
    <col min="5914" max="5920" width="9.140625" style="1"/>
    <col min="5921" max="5921" width="11.28515625" style="1" bestFit="1" customWidth="1"/>
    <col min="5922" max="5922" width="10.7109375" style="1" bestFit="1" customWidth="1"/>
    <col min="5923" max="6144" width="9.140625" style="1"/>
    <col min="6145" max="6145" width="6.42578125" style="1" customWidth="1"/>
    <col min="6146" max="6146" width="20.7109375" style="1" customWidth="1"/>
    <col min="6147" max="6147" width="24.7109375" style="1" customWidth="1"/>
    <col min="6148" max="6148" width="11.140625" style="1" customWidth="1"/>
    <col min="6149" max="6149" width="12.28515625" style="1" customWidth="1"/>
    <col min="6150" max="6150" width="11.140625" style="1" customWidth="1"/>
    <col min="6151" max="6151" width="10.42578125" style="1" customWidth="1"/>
    <col min="6152" max="6152" width="4.7109375" style="1" customWidth="1"/>
    <col min="6153" max="6153" width="8.5703125" style="1" customWidth="1"/>
    <col min="6154" max="6154" width="5.5703125" style="1" customWidth="1"/>
    <col min="6155" max="6156" width="11.5703125" style="1" customWidth="1"/>
    <col min="6157" max="6157" width="10.85546875" style="1" customWidth="1"/>
    <col min="6158" max="6158" width="7.7109375" style="1" customWidth="1"/>
    <col min="6159" max="6159" width="8" style="1" customWidth="1"/>
    <col min="6160" max="6160" width="16.28515625" style="1" customWidth="1"/>
    <col min="6161" max="6161" width="10.5703125" style="1" customWidth="1"/>
    <col min="6162" max="6162" width="14.140625" style="1" customWidth="1"/>
    <col min="6163" max="6163" width="10.140625" style="1" customWidth="1"/>
    <col min="6164" max="6164" width="15.140625" style="1" customWidth="1"/>
    <col min="6165" max="6165" width="8.5703125" style="1" customWidth="1"/>
    <col min="6166" max="6166" width="14.28515625" style="1" customWidth="1"/>
    <col min="6167" max="6167" width="18.28515625" style="1" customWidth="1"/>
    <col min="6168" max="6168" width="13" style="1" bestFit="1" customWidth="1"/>
    <col min="6169" max="6169" width="11.7109375" style="1" bestFit="1" customWidth="1"/>
    <col min="6170" max="6176" width="9.140625" style="1"/>
    <col min="6177" max="6177" width="11.28515625" style="1" bestFit="1" customWidth="1"/>
    <col min="6178" max="6178" width="10.7109375" style="1" bestFit="1" customWidth="1"/>
    <col min="6179" max="6400" width="9.140625" style="1"/>
    <col min="6401" max="6401" width="6.42578125" style="1" customWidth="1"/>
    <col min="6402" max="6402" width="20.7109375" style="1" customWidth="1"/>
    <col min="6403" max="6403" width="24.7109375" style="1" customWidth="1"/>
    <col min="6404" max="6404" width="11.140625" style="1" customWidth="1"/>
    <col min="6405" max="6405" width="12.28515625" style="1" customWidth="1"/>
    <col min="6406" max="6406" width="11.140625" style="1" customWidth="1"/>
    <col min="6407" max="6407" width="10.42578125" style="1" customWidth="1"/>
    <col min="6408" max="6408" width="4.7109375" style="1" customWidth="1"/>
    <col min="6409" max="6409" width="8.5703125" style="1" customWidth="1"/>
    <col min="6410" max="6410" width="5.5703125" style="1" customWidth="1"/>
    <col min="6411" max="6412" width="11.5703125" style="1" customWidth="1"/>
    <col min="6413" max="6413" width="10.85546875" style="1" customWidth="1"/>
    <col min="6414" max="6414" width="7.7109375" style="1" customWidth="1"/>
    <col min="6415" max="6415" width="8" style="1" customWidth="1"/>
    <col min="6416" max="6416" width="16.28515625" style="1" customWidth="1"/>
    <col min="6417" max="6417" width="10.5703125" style="1" customWidth="1"/>
    <col min="6418" max="6418" width="14.140625" style="1" customWidth="1"/>
    <col min="6419" max="6419" width="10.140625" style="1" customWidth="1"/>
    <col min="6420" max="6420" width="15.140625" style="1" customWidth="1"/>
    <col min="6421" max="6421" width="8.5703125" style="1" customWidth="1"/>
    <col min="6422" max="6422" width="14.28515625" style="1" customWidth="1"/>
    <col min="6423" max="6423" width="18.28515625" style="1" customWidth="1"/>
    <col min="6424" max="6424" width="13" style="1" bestFit="1" customWidth="1"/>
    <col min="6425" max="6425" width="11.7109375" style="1" bestFit="1" customWidth="1"/>
    <col min="6426" max="6432" width="9.140625" style="1"/>
    <col min="6433" max="6433" width="11.28515625" style="1" bestFit="1" customWidth="1"/>
    <col min="6434" max="6434" width="10.7109375" style="1" bestFit="1" customWidth="1"/>
    <col min="6435" max="6656" width="9.140625" style="1"/>
    <col min="6657" max="6657" width="6.42578125" style="1" customWidth="1"/>
    <col min="6658" max="6658" width="20.7109375" style="1" customWidth="1"/>
    <col min="6659" max="6659" width="24.7109375" style="1" customWidth="1"/>
    <col min="6660" max="6660" width="11.140625" style="1" customWidth="1"/>
    <col min="6661" max="6661" width="12.28515625" style="1" customWidth="1"/>
    <col min="6662" max="6662" width="11.140625" style="1" customWidth="1"/>
    <col min="6663" max="6663" width="10.42578125" style="1" customWidth="1"/>
    <col min="6664" max="6664" width="4.7109375" style="1" customWidth="1"/>
    <col min="6665" max="6665" width="8.5703125" style="1" customWidth="1"/>
    <col min="6666" max="6666" width="5.5703125" style="1" customWidth="1"/>
    <col min="6667" max="6668" width="11.5703125" style="1" customWidth="1"/>
    <col min="6669" max="6669" width="10.85546875" style="1" customWidth="1"/>
    <col min="6670" max="6670" width="7.7109375" style="1" customWidth="1"/>
    <col min="6671" max="6671" width="8" style="1" customWidth="1"/>
    <col min="6672" max="6672" width="16.28515625" style="1" customWidth="1"/>
    <col min="6673" max="6673" width="10.5703125" style="1" customWidth="1"/>
    <col min="6674" max="6674" width="14.140625" style="1" customWidth="1"/>
    <col min="6675" max="6675" width="10.140625" style="1" customWidth="1"/>
    <col min="6676" max="6676" width="15.140625" style="1" customWidth="1"/>
    <col min="6677" max="6677" width="8.5703125" style="1" customWidth="1"/>
    <col min="6678" max="6678" width="14.28515625" style="1" customWidth="1"/>
    <col min="6679" max="6679" width="18.28515625" style="1" customWidth="1"/>
    <col min="6680" max="6680" width="13" style="1" bestFit="1" customWidth="1"/>
    <col min="6681" max="6681" width="11.7109375" style="1" bestFit="1" customWidth="1"/>
    <col min="6682" max="6688" width="9.140625" style="1"/>
    <col min="6689" max="6689" width="11.28515625" style="1" bestFit="1" customWidth="1"/>
    <col min="6690" max="6690" width="10.7109375" style="1" bestFit="1" customWidth="1"/>
    <col min="6691" max="6912" width="9.140625" style="1"/>
    <col min="6913" max="6913" width="6.42578125" style="1" customWidth="1"/>
    <col min="6914" max="6914" width="20.7109375" style="1" customWidth="1"/>
    <col min="6915" max="6915" width="24.7109375" style="1" customWidth="1"/>
    <col min="6916" max="6916" width="11.140625" style="1" customWidth="1"/>
    <col min="6917" max="6917" width="12.28515625" style="1" customWidth="1"/>
    <col min="6918" max="6918" width="11.140625" style="1" customWidth="1"/>
    <col min="6919" max="6919" width="10.42578125" style="1" customWidth="1"/>
    <col min="6920" max="6920" width="4.7109375" style="1" customWidth="1"/>
    <col min="6921" max="6921" width="8.5703125" style="1" customWidth="1"/>
    <col min="6922" max="6922" width="5.5703125" style="1" customWidth="1"/>
    <col min="6923" max="6924" width="11.5703125" style="1" customWidth="1"/>
    <col min="6925" max="6925" width="10.85546875" style="1" customWidth="1"/>
    <col min="6926" max="6926" width="7.7109375" style="1" customWidth="1"/>
    <col min="6927" max="6927" width="8" style="1" customWidth="1"/>
    <col min="6928" max="6928" width="16.28515625" style="1" customWidth="1"/>
    <col min="6929" max="6929" width="10.5703125" style="1" customWidth="1"/>
    <col min="6930" max="6930" width="14.140625" style="1" customWidth="1"/>
    <col min="6931" max="6931" width="10.140625" style="1" customWidth="1"/>
    <col min="6932" max="6932" width="15.140625" style="1" customWidth="1"/>
    <col min="6933" max="6933" width="8.5703125" style="1" customWidth="1"/>
    <col min="6934" max="6934" width="14.28515625" style="1" customWidth="1"/>
    <col min="6935" max="6935" width="18.28515625" style="1" customWidth="1"/>
    <col min="6936" max="6936" width="13" style="1" bestFit="1" customWidth="1"/>
    <col min="6937" max="6937" width="11.7109375" style="1" bestFit="1" customWidth="1"/>
    <col min="6938" max="6944" width="9.140625" style="1"/>
    <col min="6945" max="6945" width="11.28515625" style="1" bestFit="1" customWidth="1"/>
    <col min="6946" max="6946" width="10.7109375" style="1" bestFit="1" customWidth="1"/>
    <col min="6947" max="7168" width="9.140625" style="1"/>
    <col min="7169" max="7169" width="6.42578125" style="1" customWidth="1"/>
    <col min="7170" max="7170" width="20.7109375" style="1" customWidth="1"/>
    <col min="7171" max="7171" width="24.7109375" style="1" customWidth="1"/>
    <col min="7172" max="7172" width="11.140625" style="1" customWidth="1"/>
    <col min="7173" max="7173" width="12.28515625" style="1" customWidth="1"/>
    <col min="7174" max="7174" width="11.140625" style="1" customWidth="1"/>
    <col min="7175" max="7175" width="10.42578125" style="1" customWidth="1"/>
    <col min="7176" max="7176" width="4.7109375" style="1" customWidth="1"/>
    <col min="7177" max="7177" width="8.5703125" style="1" customWidth="1"/>
    <col min="7178" max="7178" width="5.5703125" style="1" customWidth="1"/>
    <col min="7179" max="7180" width="11.5703125" style="1" customWidth="1"/>
    <col min="7181" max="7181" width="10.85546875" style="1" customWidth="1"/>
    <col min="7182" max="7182" width="7.7109375" style="1" customWidth="1"/>
    <col min="7183" max="7183" width="8" style="1" customWidth="1"/>
    <col min="7184" max="7184" width="16.28515625" style="1" customWidth="1"/>
    <col min="7185" max="7185" width="10.5703125" style="1" customWidth="1"/>
    <col min="7186" max="7186" width="14.140625" style="1" customWidth="1"/>
    <col min="7187" max="7187" width="10.140625" style="1" customWidth="1"/>
    <col min="7188" max="7188" width="15.140625" style="1" customWidth="1"/>
    <col min="7189" max="7189" width="8.5703125" style="1" customWidth="1"/>
    <col min="7190" max="7190" width="14.28515625" style="1" customWidth="1"/>
    <col min="7191" max="7191" width="18.28515625" style="1" customWidth="1"/>
    <col min="7192" max="7192" width="13" style="1" bestFit="1" customWidth="1"/>
    <col min="7193" max="7193" width="11.7109375" style="1" bestFit="1" customWidth="1"/>
    <col min="7194" max="7200" width="9.140625" style="1"/>
    <col min="7201" max="7201" width="11.28515625" style="1" bestFit="1" customWidth="1"/>
    <col min="7202" max="7202" width="10.7109375" style="1" bestFit="1" customWidth="1"/>
    <col min="7203" max="7424" width="9.140625" style="1"/>
    <col min="7425" max="7425" width="6.42578125" style="1" customWidth="1"/>
    <col min="7426" max="7426" width="20.7109375" style="1" customWidth="1"/>
    <col min="7427" max="7427" width="24.7109375" style="1" customWidth="1"/>
    <col min="7428" max="7428" width="11.140625" style="1" customWidth="1"/>
    <col min="7429" max="7429" width="12.28515625" style="1" customWidth="1"/>
    <col min="7430" max="7430" width="11.140625" style="1" customWidth="1"/>
    <col min="7431" max="7431" width="10.42578125" style="1" customWidth="1"/>
    <col min="7432" max="7432" width="4.7109375" style="1" customWidth="1"/>
    <col min="7433" max="7433" width="8.5703125" style="1" customWidth="1"/>
    <col min="7434" max="7434" width="5.5703125" style="1" customWidth="1"/>
    <col min="7435" max="7436" width="11.5703125" style="1" customWidth="1"/>
    <col min="7437" max="7437" width="10.85546875" style="1" customWidth="1"/>
    <col min="7438" max="7438" width="7.7109375" style="1" customWidth="1"/>
    <col min="7439" max="7439" width="8" style="1" customWidth="1"/>
    <col min="7440" max="7440" width="16.28515625" style="1" customWidth="1"/>
    <col min="7441" max="7441" width="10.5703125" style="1" customWidth="1"/>
    <col min="7442" max="7442" width="14.140625" style="1" customWidth="1"/>
    <col min="7443" max="7443" width="10.140625" style="1" customWidth="1"/>
    <col min="7444" max="7444" width="15.140625" style="1" customWidth="1"/>
    <col min="7445" max="7445" width="8.5703125" style="1" customWidth="1"/>
    <col min="7446" max="7446" width="14.28515625" style="1" customWidth="1"/>
    <col min="7447" max="7447" width="18.28515625" style="1" customWidth="1"/>
    <col min="7448" max="7448" width="13" style="1" bestFit="1" customWidth="1"/>
    <col min="7449" max="7449" width="11.7109375" style="1" bestFit="1" customWidth="1"/>
    <col min="7450" max="7456" width="9.140625" style="1"/>
    <col min="7457" max="7457" width="11.28515625" style="1" bestFit="1" customWidth="1"/>
    <col min="7458" max="7458" width="10.7109375" style="1" bestFit="1" customWidth="1"/>
    <col min="7459" max="7680" width="9.140625" style="1"/>
    <col min="7681" max="7681" width="6.42578125" style="1" customWidth="1"/>
    <col min="7682" max="7682" width="20.7109375" style="1" customWidth="1"/>
    <col min="7683" max="7683" width="24.7109375" style="1" customWidth="1"/>
    <col min="7684" max="7684" width="11.140625" style="1" customWidth="1"/>
    <col min="7685" max="7685" width="12.28515625" style="1" customWidth="1"/>
    <col min="7686" max="7686" width="11.140625" style="1" customWidth="1"/>
    <col min="7687" max="7687" width="10.42578125" style="1" customWidth="1"/>
    <col min="7688" max="7688" width="4.7109375" style="1" customWidth="1"/>
    <col min="7689" max="7689" width="8.5703125" style="1" customWidth="1"/>
    <col min="7690" max="7690" width="5.5703125" style="1" customWidth="1"/>
    <col min="7691" max="7692" width="11.5703125" style="1" customWidth="1"/>
    <col min="7693" max="7693" width="10.85546875" style="1" customWidth="1"/>
    <col min="7694" max="7694" width="7.7109375" style="1" customWidth="1"/>
    <col min="7695" max="7695" width="8" style="1" customWidth="1"/>
    <col min="7696" max="7696" width="16.28515625" style="1" customWidth="1"/>
    <col min="7697" max="7697" width="10.5703125" style="1" customWidth="1"/>
    <col min="7698" max="7698" width="14.140625" style="1" customWidth="1"/>
    <col min="7699" max="7699" width="10.140625" style="1" customWidth="1"/>
    <col min="7700" max="7700" width="15.140625" style="1" customWidth="1"/>
    <col min="7701" max="7701" width="8.5703125" style="1" customWidth="1"/>
    <col min="7702" max="7702" width="14.28515625" style="1" customWidth="1"/>
    <col min="7703" max="7703" width="18.28515625" style="1" customWidth="1"/>
    <col min="7704" max="7704" width="13" style="1" bestFit="1" customWidth="1"/>
    <col min="7705" max="7705" width="11.7109375" style="1" bestFit="1" customWidth="1"/>
    <col min="7706" max="7712" width="9.140625" style="1"/>
    <col min="7713" max="7713" width="11.28515625" style="1" bestFit="1" customWidth="1"/>
    <col min="7714" max="7714" width="10.7109375" style="1" bestFit="1" customWidth="1"/>
    <col min="7715" max="7936" width="9.140625" style="1"/>
    <col min="7937" max="7937" width="6.42578125" style="1" customWidth="1"/>
    <col min="7938" max="7938" width="20.7109375" style="1" customWidth="1"/>
    <col min="7939" max="7939" width="24.7109375" style="1" customWidth="1"/>
    <col min="7940" max="7940" width="11.140625" style="1" customWidth="1"/>
    <col min="7941" max="7941" width="12.28515625" style="1" customWidth="1"/>
    <col min="7942" max="7942" width="11.140625" style="1" customWidth="1"/>
    <col min="7943" max="7943" width="10.42578125" style="1" customWidth="1"/>
    <col min="7944" max="7944" width="4.7109375" style="1" customWidth="1"/>
    <col min="7945" max="7945" width="8.5703125" style="1" customWidth="1"/>
    <col min="7946" max="7946" width="5.5703125" style="1" customWidth="1"/>
    <col min="7947" max="7948" width="11.5703125" style="1" customWidth="1"/>
    <col min="7949" max="7949" width="10.85546875" style="1" customWidth="1"/>
    <col min="7950" max="7950" width="7.7109375" style="1" customWidth="1"/>
    <col min="7951" max="7951" width="8" style="1" customWidth="1"/>
    <col min="7952" max="7952" width="16.28515625" style="1" customWidth="1"/>
    <col min="7953" max="7953" width="10.5703125" style="1" customWidth="1"/>
    <col min="7954" max="7954" width="14.140625" style="1" customWidth="1"/>
    <col min="7955" max="7955" width="10.140625" style="1" customWidth="1"/>
    <col min="7956" max="7956" width="15.140625" style="1" customWidth="1"/>
    <col min="7957" max="7957" width="8.5703125" style="1" customWidth="1"/>
    <col min="7958" max="7958" width="14.28515625" style="1" customWidth="1"/>
    <col min="7959" max="7959" width="18.28515625" style="1" customWidth="1"/>
    <col min="7960" max="7960" width="13" style="1" bestFit="1" customWidth="1"/>
    <col min="7961" max="7961" width="11.7109375" style="1" bestFit="1" customWidth="1"/>
    <col min="7962" max="7968" width="9.140625" style="1"/>
    <col min="7969" max="7969" width="11.28515625" style="1" bestFit="1" customWidth="1"/>
    <col min="7970" max="7970" width="10.7109375" style="1" bestFit="1" customWidth="1"/>
    <col min="7971" max="8192" width="9.140625" style="1"/>
    <col min="8193" max="8193" width="6.42578125" style="1" customWidth="1"/>
    <col min="8194" max="8194" width="20.7109375" style="1" customWidth="1"/>
    <col min="8195" max="8195" width="24.7109375" style="1" customWidth="1"/>
    <col min="8196" max="8196" width="11.140625" style="1" customWidth="1"/>
    <col min="8197" max="8197" width="12.28515625" style="1" customWidth="1"/>
    <col min="8198" max="8198" width="11.140625" style="1" customWidth="1"/>
    <col min="8199" max="8199" width="10.42578125" style="1" customWidth="1"/>
    <col min="8200" max="8200" width="4.7109375" style="1" customWidth="1"/>
    <col min="8201" max="8201" width="8.5703125" style="1" customWidth="1"/>
    <col min="8202" max="8202" width="5.5703125" style="1" customWidth="1"/>
    <col min="8203" max="8204" width="11.5703125" style="1" customWidth="1"/>
    <col min="8205" max="8205" width="10.85546875" style="1" customWidth="1"/>
    <col min="8206" max="8206" width="7.7109375" style="1" customWidth="1"/>
    <col min="8207" max="8207" width="8" style="1" customWidth="1"/>
    <col min="8208" max="8208" width="16.28515625" style="1" customWidth="1"/>
    <col min="8209" max="8209" width="10.5703125" style="1" customWidth="1"/>
    <col min="8210" max="8210" width="14.140625" style="1" customWidth="1"/>
    <col min="8211" max="8211" width="10.140625" style="1" customWidth="1"/>
    <col min="8212" max="8212" width="15.140625" style="1" customWidth="1"/>
    <col min="8213" max="8213" width="8.5703125" style="1" customWidth="1"/>
    <col min="8214" max="8214" width="14.28515625" style="1" customWidth="1"/>
    <col min="8215" max="8215" width="18.28515625" style="1" customWidth="1"/>
    <col min="8216" max="8216" width="13" style="1" bestFit="1" customWidth="1"/>
    <col min="8217" max="8217" width="11.7109375" style="1" bestFit="1" customWidth="1"/>
    <col min="8218" max="8224" width="9.140625" style="1"/>
    <col min="8225" max="8225" width="11.28515625" style="1" bestFit="1" customWidth="1"/>
    <col min="8226" max="8226" width="10.7109375" style="1" bestFit="1" customWidth="1"/>
    <col min="8227" max="8448" width="9.140625" style="1"/>
    <col min="8449" max="8449" width="6.42578125" style="1" customWidth="1"/>
    <col min="8450" max="8450" width="20.7109375" style="1" customWidth="1"/>
    <col min="8451" max="8451" width="24.7109375" style="1" customWidth="1"/>
    <col min="8452" max="8452" width="11.140625" style="1" customWidth="1"/>
    <col min="8453" max="8453" width="12.28515625" style="1" customWidth="1"/>
    <col min="8454" max="8454" width="11.140625" style="1" customWidth="1"/>
    <col min="8455" max="8455" width="10.42578125" style="1" customWidth="1"/>
    <col min="8456" max="8456" width="4.7109375" style="1" customWidth="1"/>
    <col min="8457" max="8457" width="8.5703125" style="1" customWidth="1"/>
    <col min="8458" max="8458" width="5.5703125" style="1" customWidth="1"/>
    <col min="8459" max="8460" width="11.5703125" style="1" customWidth="1"/>
    <col min="8461" max="8461" width="10.85546875" style="1" customWidth="1"/>
    <col min="8462" max="8462" width="7.7109375" style="1" customWidth="1"/>
    <col min="8463" max="8463" width="8" style="1" customWidth="1"/>
    <col min="8464" max="8464" width="16.28515625" style="1" customWidth="1"/>
    <col min="8465" max="8465" width="10.5703125" style="1" customWidth="1"/>
    <col min="8466" max="8466" width="14.140625" style="1" customWidth="1"/>
    <col min="8467" max="8467" width="10.140625" style="1" customWidth="1"/>
    <col min="8468" max="8468" width="15.140625" style="1" customWidth="1"/>
    <col min="8469" max="8469" width="8.5703125" style="1" customWidth="1"/>
    <col min="8470" max="8470" width="14.28515625" style="1" customWidth="1"/>
    <col min="8471" max="8471" width="18.28515625" style="1" customWidth="1"/>
    <col min="8472" max="8472" width="13" style="1" bestFit="1" customWidth="1"/>
    <col min="8473" max="8473" width="11.7109375" style="1" bestFit="1" customWidth="1"/>
    <col min="8474" max="8480" width="9.140625" style="1"/>
    <col min="8481" max="8481" width="11.28515625" style="1" bestFit="1" customWidth="1"/>
    <col min="8482" max="8482" width="10.7109375" style="1" bestFit="1" customWidth="1"/>
    <col min="8483" max="8704" width="9.140625" style="1"/>
    <col min="8705" max="8705" width="6.42578125" style="1" customWidth="1"/>
    <col min="8706" max="8706" width="20.7109375" style="1" customWidth="1"/>
    <col min="8707" max="8707" width="24.7109375" style="1" customWidth="1"/>
    <col min="8708" max="8708" width="11.140625" style="1" customWidth="1"/>
    <col min="8709" max="8709" width="12.28515625" style="1" customWidth="1"/>
    <col min="8710" max="8710" width="11.140625" style="1" customWidth="1"/>
    <col min="8711" max="8711" width="10.42578125" style="1" customWidth="1"/>
    <col min="8712" max="8712" width="4.7109375" style="1" customWidth="1"/>
    <col min="8713" max="8713" width="8.5703125" style="1" customWidth="1"/>
    <col min="8714" max="8714" width="5.5703125" style="1" customWidth="1"/>
    <col min="8715" max="8716" width="11.5703125" style="1" customWidth="1"/>
    <col min="8717" max="8717" width="10.85546875" style="1" customWidth="1"/>
    <col min="8718" max="8718" width="7.7109375" style="1" customWidth="1"/>
    <col min="8719" max="8719" width="8" style="1" customWidth="1"/>
    <col min="8720" max="8720" width="16.28515625" style="1" customWidth="1"/>
    <col min="8721" max="8721" width="10.5703125" style="1" customWidth="1"/>
    <col min="8722" max="8722" width="14.140625" style="1" customWidth="1"/>
    <col min="8723" max="8723" width="10.140625" style="1" customWidth="1"/>
    <col min="8724" max="8724" width="15.140625" style="1" customWidth="1"/>
    <col min="8725" max="8725" width="8.5703125" style="1" customWidth="1"/>
    <col min="8726" max="8726" width="14.28515625" style="1" customWidth="1"/>
    <col min="8727" max="8727" width="18.28515625" style="1" customWidth="1"/>
    <col min="8728" max="8728" width="13" style="1" bestFit="1" customWidth="1"/>
    <col min="8729" max="8729" width="11.7109375" style="1" bestFit="1" customWidth="1"/>
    <col min="8730" max="8736" width="9.140625" style="1"/>
    <col min="8737" max="8737" width="11.28515625" style="1" bestFit="1" customWidth="1"/>
    <col min="8738" max="8738" width="10.7109375" style="1" bestFit="1" customWidth="1"/>
    <col min="8739" max="8960" width="9.140625" style="1"/>
    <col min="8961" max="8961" width="6.42578125" style="1" customWidth="1"/>
    <col min="8962" max="8962" width="20.7109375" style="1" customWidth="1"/>
    <col min="8963" max="8963" width="24.7109375" style="1" customWidth="1"/>
    <col min="8964" max="8964" width="11.140625" style="1" customWidth="1"/>
    <col min="8965" max="8965" width="12.28515625" style="1" customWidth="1"/>
    <col min="8966" max="8966" width="11.140625" style="1" customWidth="1"/>
    <col min="8967" max="8967" width="10.42578125" style="1" customWidth="1"/>
    <col min="8968" max="8968" width="4.7109375" style="1" customWidth="1"/>
    <col min="8969" max="8969" width="8.5703125" style="1" customWidth="1"/>
    <col min="8970" max="8970" width="5.5703125" style="1" customWidth="1"/>
    <col min="8971" max="8972" width="11.5703125" style="1" customWidth="1"/>
    <col min="8973" max="8973" width="10.85546875" style="1" customWidth="1"/>
    <col min="8974" max="8974" width="7.7109375" style="1" customWidth="1"/>
    <col min="8975" max="8975" width="8" style="1" customWidth="1"/>
    <col min="8976" max="8976" width="16.28515625" style="1" customWidth="1"/>
    <col min="8977" max="8977" width="10.5703125" style="1" customWidth="1"/>
    <col min="8978" max="8978" width="14.140625" style="1" customWidth="1"/>
    <col min="8979" max="8979" width="10.140625" style="1" customWidth="1"/>
    <col min="8980" max="8980" width="15.140625" style="1" customWidth="1"/>
    <col min="8981" max="8981" width="8.5703125" style="1" customWidth="1"/>
    <col min="8982" max="8982" width="14.28515625" style="1" customWidth="1"/>
    <col min="8983" max="8983" width="18.28515625" style="1" customWidth="1"/>
    <col min="8984" max="8984" width="13" style="1" bestFit="1" customWidth="1"/>
    <col min="8985" max="8985" width="11.7109375" style="1" bestFit="1" customWidth="1"/>
    <col min="8986" max="8992" width="9.140625" style="1"/>
    <col min="8993" max="8993" width="11.28515625" style="1" bestFit="1" customWidth="1"/>
    <col min="8994" max="8994" width="10.7109375" style="1" bestFit="1" customWidth="1"/>
    <col min="8995" max="9216" width="9.140625" style="1"/>
    <col min="9217" max="9217" width="6.42578125" style="1" customWidth="1"/>
    <col min="9218" max="9218" width="20.7109375" style="1" customWidth="1"/>
    <col min="9219" max="9219" width="24.7109375" style="1" customWidth="1"/>
    <col min="9220" max="9220" width="11.140625" style="1" customWidth="1"/>
    <col min="9221" max="9221" width="12.28515625" style="1" customWidth="1"/>
    <col min="9222" max="9222" width="11.140625" style="1" customWidth="1"/>
    <col min="9223" max="9223" width="10.42578125" style="1" customWidth="1"/>
    <col min="9224" max="9224" width="4.7109375" style="1" customWidth="1"/>
    <col min="9225" max="9225" width="8.5703125" style="1" customWidth="1"/>
    <col min="9226" max="9226" width="5.5703125" style="1" customWidth="1"/>
    <col min="9227" max="9228" width="11.5703125" style="1" customWidth="1"/>
    <col min="9229" max="9229" width="10.85546875" style="1" customWidth="1"/>
    <col min="9230" max="9230" width="7.7109375" style="1" customWidth="1"/>
    <col min="9231" max="9231" width="8" style="1" customWidth="1"/>
    <col min="9232" max="9232" width="16.28515625" style="1" customWidth="1"/>
    <col min="9233" max="9233" width="10.5703125" style="1" customWidth="1"/>
    <col min="9234" max="9234" width="14.140625" style="1" customWidth="1"/>
    <col min="9235" max="9235" width="10.140625" style="1" customWidth="1"/>
    <col min="9236" max="9236" width="15.140625" style="1" customWidth="1"/>
    <col min="9237" max="9237" width="8.5703125" style="1" customWidth="1"/>
    <col min="9238" max="9238" width="14.28515625" style="1" customWidth="1"/>
    <col min="9239" max="9239" width="18.28515625" style="1" customWidth="1"/>
    <col min="9240" max="9240" width="13" style="1" bestFit="1" customWidth="1"/>
    <col min="9241" max="9241" width="11.7109375" style="1" bestFit="1" customWidth="1"/>
    <col min="9242" max="9248" width="9.140625" style="1"/>
    <col min="9249" max="9249" width="11.28515625" style="1" bestFit="1" customWidth="1"/>
    <col min="9250" max="9250" width="10.7109375" style="1" bestFit="1" customWidth="1"/>
    <col min="9251" max="9472" width="9.140625" style="1"/>
    <col min="9473" max="9473" width="6.42578125" style="1" customWidth="1"/>
    <col min="9474" max="9474" width="20.7109375" style="1" customWidth="1"/>
    <col min="9475" max="9475" width="24.7109375" style="1" customWidth="1"/>
    <col min="9476" max="9476" width="11.140625" style="1" customWidth="1"/>
    <col min="9477" max="9477" width="12.28515625" style="1" customWidth="1"/>
    <col min="9478" max="9478" width="11.140625" style="1" customWidth="1"/>
    <col min="9479" max="9479" width="10.42578125" style="1" customWidth="1"/>
    <col min="9480" max="9480" width="4.7109375" style="1" customWidth="1"/>
    <col min="9481" max="9481" width="8.5703125" style="1" customWidth="1"/>
    <col min="9482" max="9482" width="5.5703125" style="1" customWidth="1"/>
    <col min="9483" max="9484" width="11.5703125" style="1" customWidth="1"/>
    <col min="9485" max="9485" width="10.85546875" style="1" customWidth="1"/>
    <col min="9486" max="9486" width="7.7109375" style="1" customWidth="1"/>
    <col min="9487" max="9487" width="8" style="1" customWidth="1"/>
    <col min="9488" max="9488" width="16.28515625" style="1" customWidth="1"/>
    <col min="9489" max="9489" width="10.5703125" style="1" customWidth="1"/>
    <col min="9490" max="9490" width="14.140625" style="1" customWidth="1"/>
    <col min="9491" max="9491" width="10.140625" style="1" customWidth="1"/>
    <col min="9492" max="9492" width="15.140625" style="1" customWidth="1"/>
    <col min="9493" max="9493" width="8.5703125" style="1" customWidth="1"/>
    <col min="9494" max="9494" width="14.28515625" style="1" customWidth="1"/>
    <col min="9495" max="9495" width="18.28515625" style="1" customWidth="1"/>
    <col min="9496" max="9496" width="13" style="1" bestFit="1" customWidth="1"/>
    <col min="9497" max="9497" width="11.7109375" style="1" bestFit="1" customWidth="1"/>
    <col min="9498" max="9504" width="9.140625" style="1"/>
    <col min="9505" max="9505" width="11.28515625" style="1" bestFit="1" customWidth="1"/>
    <col min="9506" max="9506" width="10.7109375" style="1" bestFit="1" customWidth="1"/>
    <col min="9507" max="9728" width="9.140625" style="1"/>
    <col min="9729" max="9729" width="6.42578125" style="1" customWidth="1"/>
    <col min="9730" max="9730" width="20.7109375" style="1" customWidth="1"/>
    <col min="9731" max="9731" width="24.7109375" style="1" customWidth="1"/>
    <col min="9732" max="9732" width="11.140625" style="1" customWidth="1"/>
    <col min="9733" max="9733" width="12.28515625" style="1" customWidth="1"/>
    <col min="9734" max="9734" width="11.140625" style="1" customWidth="1"/>
    <col min="9735" max="9735" width="10.42578125" style="1" customWidth="1"/>
    <col min="9736" max="9736" width="4.7109375" style="1" customWidth="1"/>
    <col min="9737" max="9737" width="8.5703125" style="1" customWidth="1"/>
    <col min="9738" max="9738" width="5.5703125" style="1" customWidth="1"/>
    <col min="9739" max="9740" width="11.5703125" style="1" customWidth="1"/>
    <col min="9741" max="9741" width="10.85546875" style="1" customWidth="1"/>
    <col min="9742" max="9742" width="7.7109375" style="1" customWidth="1"/>
    <col min="9743" max="9743" width="8" style="1" customWidth="1"/>
    <col min="9744" max="9744" width="16.28515625" style="1" customWidth="1"/>
    <col min="9745" max="9745" width="10.5703125" style="1" customWidth="1"/>
    <col min="9746" max="9746" width="14.140625" style="1" customWidth="1"/>
    <col min="9747" max="9747" width="10.140625" style="1" customWidth="1"/>
    <col min="9748" max="9748" width="15.140625" style="1" customWidth="1"/>
    <col min="9749" max="9749" width="8.5703125" style="1" customWidth="1"/>
    <col min="9750" max="9750" width="14.28515625" style="1" customWidth="1"/>
    <col min="9751" max="9751" width="18.28515625" style="1" customWidth="1"/>
    <col min="9752" max="9752" width="13" style="1" bestFit="1" customWidth="1"/>
    <col min="9753" max="9753" width="11.7109375" style="1" bestFit="1" customWidth="1"/>
    <col min="9754" max="9760" width="9.140625" style="1"/>
    <col min="9761" max="9761" width="11.28515625" style="1" bestFit="1" customWidth="1"/>
    <col min="9762" max="9762" width="10.7109375" style="1" bestFit="1" customWidth="1"/>
    <col min="9763" max="9984" width="9.140625" style="1"/>
    <col min="9985" max="9985" width="6.42578125" style="1" customWidth="1"/>
    <col min="9986" max="9986" width="20.7109375" style="1" customWidth="1"/>
    <col min="9987" max="9987" width="24.7109375" style="1" customWidth="1"/>
    <col min="9988" max="9988" width="11.140625" style="1" customWidth="1"/>
    <col min="9989" max="9989" width="12.28515625" style="1" customWidth="1"/>
    <col min="9990" max="9990" width="11.140625" style="1" customWidth="1"/>
    <col min="9991" max="9991" width="10.42578125" style="1" customWidth="1"/>
    <col min="9992" max="9992" width="4.7109375" style="1" customWidth="1"/>
    <col min="9993" max="9993" width="8.5703125" style="1" customWidth="1"/>
    <col min="9994" max="9994" width="5.5703125" style="1" customWidth="1"/>
    <col min="9995" max="9996" width="11.5703125" style="1" customWidth="1"/>
    <col min="9997" max="9997" width="10.85546875" style="1" customWidth="1"/>
    <col min="9998" max="9998" width="7.7109375" style="1" customWidth="1"/>
    <col min="9999" max="9999" width="8" style="1" customWidth="1"/>
    <col min="10000" max="10000" width="16.28515625" style="1" customWidth="1"/>
    <col min="10001" max="10001" width="10.5703125" style="1" customWidth="1"/>
    <col min="10002" max="10002" width="14.140625" style="1" customWidth="1"/>
    <col min="10003" max="10003" width="10.140625" style="1" customWidth="1"/>
    <col min="10004" max="10004" width="15.140625" style="1" customWidth="1"/>
    <col min="10005" max="10005" width="8.5703125" style="1" customWidth="1"/>
    <col min="10006" max="10006" width="14.28515625" style="1" customWidth="1"/>
    <col min="10007" max="10007" width="18.28515625" style="1" customWidth="1"/>
    <col min="10008" max="10008" width="13" style="1" bestFit="1" customWidth="1"/>
    <col min="10009" max="10009" width="11.7109375" style="1" bestFit="1" customWidth="1"/>
    <col min="10010" max="10016" width="9.140625" style="1"/>
    <col min="10017" max="10017" width="11.28515625" style="1" bestFit="1" customWidth="1"/>
    <col min="10018" max="10018" width="10.7109375" style="1" bestFit="1" customWidth="1"/>
    <col min="10019" max="10240" width="9.140625" style="1"/>
    <col min="10241" max="10241" width="6.42578125" style="1" customWidth="1"/>
    <col min="10242" max="10242" width="20.7109375" style="1" customWidth="1"/>
    <col min="10243" max="10243" width="24.7109375" style="1" customWidth="1"/>
    <col min="10244" max="10244" width="11.140625" style="1" customWidth="1"/>
    <col min="10245" max="10245" width="12.28515625" style="1" customWidth="1"/>
    <col min="10246" max="10246" width="11.140625" style="1" customWidth="1"/>
    <col min="10247" max="10247" width="10.42578125" style="1" customWidth="1"/>
    <col min="10248" max="10248" width="4.7109375" style="1" customWidth="1"/>
    <col min="10249" max="10249" width="8.5703125" style="1" customWidth="1"/>
    <col min="10250" max="10250" width="5.5703125" style="1" customWidth="1"/>
    <col min="10251" max="10252" width="11.5703125" style="1" customWidth="1"/>
    <col min="10253" max="10253" width="10.85546875" style="1" customWidth="1"/>
    <col min="10254" max="10254" width="7.7109375" style="1" customWidth="1"/>
    <col min="10255" max="10255" width="8" style="1" customWidth="1"/>
    <col min="10256" max="10256" width="16.28515625" style="1" customWidth="1"/>
    <col min="10257" max="10257" width="10.5703125" style="1" customWidth="1"/>
    <col min="10258" max="10258" width="14.140625" style="1" customWidth="1"/>
    <col min="10259" max="10259" width="10.140625" style="1" customWidth="1"/>
    <col min="10260" max="10260" width="15.140625" style="1" customWidth="1"/>
    <col min="10261" max="10261" width="8.5703125" style="1" customWidth="1"/>
    <col min="10262" max="10262" width="14.28515625" style="1" customWidth="1"/>
    <col min="10263" max="10263" width="18.28515625" style="1" customWidth="1"/>
    <col min="10264" max="10264" width="13" style="1" bestFit="1" customWidth="1"/>
    <col min="10265" max="10265" width="11.7109375" style="1" bestFit="1" customWidth="1"/>
    <col min="10266" max="10272" width="9.140625" style="1"/>
    <col min="10273" max="10273" width="11.28515625" style="1" bestFit="1" customWidth="1"/>
    <col min="10274" max="10274" width="10.7109375" style="1" bestFit="1" customWidth="1"/>
    <col min="10275" max="10496" width="9.140625" style="1"/>
    <col min="10497" max="10497" width="6.42578125" style="1" customWidth="1"/>
    <col min="10498" max="10498" width="20.7109375" style="1" customWidth="1"/>
    <col min="10499" max="10499" width="24.7109375" style="1" customWidth="1"/>
    <col min="10500" max="10500" width="11.140625" style="1" customWidth="1"/>
    <col min="10501" max="10501" width="12.28515625" style="1" customWidth="1"/>
    <col min="10502" max="10502" width="11.140625" style="1" customWidth="1"/>
    <col min="10503" max="10503" width="10.42578125" style="1" customWidth="1"/>
    <col min="10504" max="10504" width="4.7109375" style="1" customWidth="1"/>
    <col min="10505" max="10505" width="8.5703125" style="1" customWidth="1"/>
    <col min="10506" max="10506" width="5.5703125" style="1" customWidth="1"/>
    <col min="10507" max="10508" width="11.5703125" style="1" customWidth="1"/>
    <col min="10509" max="10509" width="10.85546875" style="1" customWidth="1"/>
    <col min="10510" max="10510" width="7.7109375" style="1" customWidth="1"/>
    <col min="10511" max="10511" width="8" style="1" customWidth="1"/>
    <col min="10512" max="10512" width="16.28515625" style="1" customWidth="1"/>
    <col min="10513" max="10513" width="10.5703125" style="1" customWidth="1"/>
    <col min="10514" max="10514" width="14.140625" style="1" customWidth="1"/>
    <col min="10515" max="10515" width="10.140625" style="1" customWidth="1"/>
    <col min="10516" max="10516" width="15.140625" style="1" customWidth="1"/>
    <col min="10517" max="10517" width="8.5703125" style="1" customWidth="1"/>
    <col min="10518" max="10518" width="14.28515625" style="1" customWidth="1"/>
    <col min="10519" max="10519" width="18.28515625" style="1" customWidth="1"/>
    <col min="10520" max="10520" width="13" style="1" bestFit="1" customWidth="1"/>
    <col min="10521" max="10521" width="11.7109375" style="1" bestFit="1" customWidth="1"/>
    <col min="10522" max="10528" width="9.140625" style="1"/>
    <col min="10529" max="10529" width="11.28515625" style="1" bestFit="1" customWidth="1"/>
    <col min="10530" max="10530" width="10.7109375" style="1" bestFit="1" customWidth="1"/>
    <col min="10531" max="10752" width="9.140625" style="1"/>
    <col min="10753" max="10753" width="6.42578125" style="1" customWidth="1"/>
    <col min="10754" max="10754" width="20.7109375" style="1" customWidth="1"/>
    <col min="10755" max="10755" width="24.7109375" style="1" customWidth="1"/>
    <col min="10756" max="10756" width="11.140625" style="1" customWidth="1"/>
    <col min="10757" max="10757" width="12.28515625" style="1" customWidth="1"/>
    <col min="10758" max="10758" width="11.140625" style="1" customWidth="1"/>
    <col min="10759" max="10759" width="10.42578125" style="1" customWidth="1"/>
    <col min="10760" max="10760" width="4.7109375" style="1" customWidth="1"/>
    <col min="10761" max="10761" width="8.5703125" style="1" customWidth="1"/>
    <col min="10762" max="10762" width="5.5703125" style="1" customWidth="1"/>
    <col min="10763" max="10764" width="11.5703125" style="1" customWidth="1"/>
    <col min="10765" max="10765" width="10.85546875" style="1" customWidth="1"/>
    <col min="10766" max="10766" width="7.7109375" style="1" customWidth="1"/>
    <col min="10767" max="10767" width="8" style="1" customWidth="1"/>
    <col min="10768" max="10768" width="16.28515625" style="1" customWidth="1"/>
    <col min="10769" max="10769" width="10.5703125" style="1" customWidth="1"/>
    <col min="10770" max="10770" width="14.140625" style="1" customWidth="1"/>
    <col min="10771" max="10771" width="10.140625" style="1" customWidth="1"/>
    <col min="10772" max="10772" width="15.140625" style="1" customWidth="1"/>
    <col min="10773" max="10773" width="8.5703125" style="1" customWidth="1"/>
    <col min="10774" max="10774" width="14.28515625" style="1" customWidth="1"/>
    <col min="10775" max="10775" width="18.28515625" style="1" customWidth="1"/>
    <col min="10776" max="10776" width="13" style="1" bestFit="1" customWidth="1"/>
    <col min="10777" max="10777" width="11.7109375" style="1" bestFit="1" customWidth="1"/>
    <col min="10778" max="10784" width="9.140625" style="1"/>
    <col min="10785" max="10785" width="11.28515625" style="1" bestFit="1" customWidth="1"/>
    <col min="10786" max="10786" width="10.7109375" style="1" bestFit="1" customWidth="1"/>
    <col min="10787" max="11008" width="9.140625" style="1"/>
    <col min="11009" max="11009" width="6.42578125" style="1" customWidth="1"/>
    <col min="11010" max="11010" width="20.7109375" style="1" customWidth="1"/>
    <col min="11011" max="11011" width="24.7109375" style="1" customWidth="1"/>
    <col min="11012" max="11012" width="11.140625" style="1" customWidth="1"/>
    <col min="11013" max="11013" width="12.28515625" style="1" customWidth="1"/>
    <col min="11014" max="11014" width="11.140625" style="1" customWidth="1"/>
    <col min="11015" max="11015" width="10.42578125" style="1" customWidth="1"/>
    <col min="11016" max="11016" width="4.7109375" style="1" customWidth="1"/>
    <col min="11017" max="11017" width="8.5703125" style="1" customWidth="1"/>
    <col min="11018" max="11018" width="5.5703125" style="1" customWidth="1"/>
    <col min="11019" max="11020" width="11.5703125" style="1" customWidth="1"/>
    <col min="11021" max="11021" width="10.85546875" style="1" customWidth="1"/>
    <col min="11022" max="11022" width="7.7109375" style="1" customWidth="1"/>
    <col min="11023" max="11023" width="8" style="1" customWidth="1"/>
    <col min="11024" max="11024" width="16.28515625" style="1" customWidth="1"/>
    <col min="11025" max="11025" width="10.5703125" style="1" customWidth="1"/>
    <col min="11026" max="11026" width="14.140625" style="1" customWidth="1"/>
    <col min="11027" max="11027" width="10.140625" style="1" customWidth="1"/>
    <col min="11028" max="11028" width="15.140625" style="1" customWidth="1"/>
    <col min="11029" max="11029" width="8.5703125" style="1" customWidth="1"/>
    <col min="11030" max="11030" width="14.28515625" style="1" customWidth="1"/>
    <col min="11031" max="11031" width="18.28515625" style="1" customWidth="1"/>
    <col min="11032" max="11032" width="13" style="1" bestFit="1" customWidth="1"/>
    <col min="11033" max="11033" width="11.7109375" style="1" bestFit="1" customWidth="1"/>
    <col min="11034" max="11040" width="9.140625" style="1"/>
    <col min="11041" max="11041" width="11.28515625" style="1" bestFit="1" customWidth="1"/>
    <col min="11042" max="11042" width="10.7109375" style="1" bestFit="1" customWidth="1"/>
    <col min="11043" max="11264" width="9.140625" style="1"/>
    <col min="11265" max="11265" width="6.42578125" style="1" customWidth="1"/>
    <col min="11266" max="11266" width="20.7109375" style="1" customWidth="1"/>
    <col min="11267" max="11267" width="24.7109375" style="1" customWidth="1"/>
    <col min="11268" max="11268" width="11.140625" style="1" customWidth="1"/>
    <col min="11269" max="11269" width="12.28515625" style="1" customWidth="1"/>
    <col min="11270" max="11270" width="11.140625" style="1" customWidth="1"/>
    <col min="11271" max="11271" width="10.42578125" style="1" customWidth="1"/>
    <col min="11272" max="11272" width="4.7109375" style="1" customWidth="1"/>
    <col min="11273" max="11273" width="8.5703125" style="1" customWidth="1"/>
    <col min="11274" max="11274" width="5.5703125" style="1" customWidth="1"/>
    <col min="11275" max="11276" width="11.5703125" style="1" customWidth="1"/>
    <col min="11277" max="11277" width="10.85546875" style="1" customWidth="1"/>
    <col min="11278" max="11278" width="7.7109375" style="1" customWidth="1"/>
    <col min="11279" max="11279" width="8" style="1" customWidth="1"/>
    <col min="11280" max="11280" width="16.28515625" style="1" customWidth="1"/>
    <col min="11281" max="11281" width="10.5703125" style="1" customWidth="1"/>
    <col min="11282" max="11282" width="14.140625" style="1" customWidth="1"/>
    <col min="11283" max="11283" width="10.140625" style="1" customWidth="1"/>
    <col min="11284" max="11284" width="15.140625" style="1" customWidth="1"/>
    <col min="11285" max="11285" width="8.5703125" style="1" customWidth="1"/>
    <col min="11286" max="11286" width="14.28515625" style="1" customWidth="1"/>
    <col min="11287" max="11287" width="18.28515625" style="1" customWidth="1"/>
    <col min="11288" max="11288" width="13" style="1" bestFit="1" customWidth="1"/>
    <col min="11289" max="11289" width="11.7109375" style="1" bestFit="1" customWidth="1"/>
    <col min="11290" max="11296" width="9.140625" style="1"/>
    <col min="11297" max="11297" width="11.28515625" style="1" bestFit="1" customWidth="1"/>
    <col min="11298" max="11298" width="10.7109375" style="1" bestFit="1" customWidth="1"/>
    <col min="11299" max="11520" width="9.140625" style="1"/>
    <col min="11521" max="11521" width="6.42578125" style="1" customWidth="1"/>
    <col min="11522" max="11522" width="20.7109375" style="1" customWidth="1"/>
    <col min="11523" max="11523" width="24.7109375" style="1" customWidth="1"/>
    <col min="11524" max="11524" width="11.140625" style="1" customWidth="1"/>
    <col min="11525" max="11525" width="12.28515625" style="1" customWidth="1"/>
    <col min="11526" max="11526" width="11.140625" style="1" customWidth="1"/>
    <col min="11527" max="11527" width="10.42578125" style="1" customWidth="1"/>
    <col min="11528" max="11528" width="4.7109375" style="1" customWidth="1"/>
    <col min="11529" max="11529" width="8.5703125" style="1" customWidth="1"/>
    <col min="11530" max="11530" width="5.5703125" style="1" customWidth="1"/>
    <col min="11531" max="11532" width="11.5703125" style="1" customWidth="1"/>
    <col min="11533" max="11533" width="10.85546875" style="1" customWidth="1"/>
    <col min="11534" max="11534" width="7.7109375" style="1" customWidth="1"/>
    <col min="11535" max="11535" width="8" style="1" customWidth="1"/>
    <col min="11536" max="11536" width="16.28515625" style="1" customWidth="1"/>
    <col min="11537" max="11537" width="10.5703125" style="1" customWidth="1"/>
    <col min="11538" max="11538" width="14.140625" style="1" customWidth="1"/>
    <col min="11539" max="11539" width="10.140625" style="1" customWidth="1"/>
    <col min="11540" max="11540" width="15.140625" style="1" customWidth="1"/>
    <col min="11541" max="11541" width="8.5703125" style="1" customWidth="1"/>
    <col min="11542" max="11542" width="14.28515625" style="1" customWidth="1"/>
    <col min="11543" max="11543" width="18.28515625" style="1" customWidth="1"/>
    <col min="11544" max="11544" width="13" style="1" bestFit="1" customWidth="1"/>
    <col min="11545" max="11545" width="11.7109375" style="1" bestFit="1" customWidth="1"/>
    <col min="11546" max="11552" width="9.140625" style="1"/>
    <col min="11553" max="11553" width="11.28515625" style="1" bestFit="1" customWidth="1"/>
    <col min="11554" max="11554" width="10.7109375" style="1" bestFit="1" customWidth="1"/>
    <col min="11555" max="11776" width="9.140625" style="1"/>
    <col min="11777" max="11777" width="6.42578125" style="1" customWidth="1"/>
    <col min="11778" max="11778" width="20.7109375" style="1" customWidth="1"/>
    <col min="11779" max="11779" width="24.7109375" style="1" customWidth="1"/>
    <col min="11780" max="11780" width="11.140625" style="1" customWidth="1"/>
    <col min="11781" max="11781" width="12.28515625" style="1" customWidth="1"/>
    <col min="11782" max="11782" width="11.140625" style="1" customWidth="1"/>
    <col min="11783" max="11783" width="10.42578125" style="1" customWidth="1"/>
    <col min="11784" max="11784" width="4.7109375" style="1" customWidth="1"/>
    <col min="11785" max="11785" width="8.5703125" style="1" customWidth="1"/>
    <col min="11786" max="11786" width="5.5703125" style="1" customWidth="1"/>
    <col min="11787" max="11788" width="11.5703125" style="1" customWidth="1"/>
    <col min="11789" max="11789" width="10.85546875" style="1" customWidth="1"/>
    <col min="11790" max="11790" width="7.7109375" style="1" customWidth="1"/>
    <col min="11791" max="11791" width="8" style="1" customWidth="1"/>
    <col min="11792" max="11792" width="16.28515625" style="1" customWidth="1"/>
    <col min="11793" max="11793" width="10.5703125" style="1" customWidth="1"/>
    <col min="11794" max="11794" width="14.140625" style="1" customWidth="1"/>
    <col min="11795" max="11795" width="10.140625" style="1" customWidth="1"/>
    <col min="11796" max="11796" width="15.140625" style="1" customWidth="1"/>
    <col min="11797" max="11797" width="8.5703125" style="1" customWidth="1"/>
    <col min="11798" max="11798" width="14.28515625" style="1" customWidth="1"/>
    <col min="11799" max="11799" width="18.28515625" style="1" customWidth="1"/>
    <col min="11800" max="11800" width="13" style="1" bestFit="1" customWidth="1"/>
    <col min="11801" max="11801" width="11.7109375" style="1" bestFit="1" customWidth="1"/>
    <col min="11802" max="11808" width="9.140625" style="1"/>
    <col min="11809" max="11809" width="11.28515625" style="1" bestFit="1" customWidth="1"/>
    <col min="11810" max="11810" width="10.7109375" style="1" bestFit="1" customWidth="1"/>
    <col min="11811" max="12032" width="9.140625" style="1"/>
    <col min="12033" max="12033" width="6.42578125" style="1" customWidth="1"/>
    <col min="12034" max="12034" width="20.7109375" style="1" customWidth="1"/>
    <col min="12035" max="12035" width="24.7109375" style="1" customWidth="1"/>
    <col min="12036" max="12036" width="11.140625" style="1" customWidth="1"/>
    <col min="12037" max="12037" width="12.28515625" style="1" customWidth="1"/>
    <col min="12038" max="12038" width="11.140625" style="1" customWidth="1"/>
    <col min="12039" max="12039" width="10.42578125" style="1" customWidth="1"/>
    <col min="12040" max="12040" width="4.7109375" style="1" customWidth="1"/>
    <col min="12041" max="12041" width="8.5703125" style="1" customWidth="1"/>
    <col min="12042" max="12042" width="5.5703125" style="1" customWidth="1"/>
    <col min="12043" max="12044" width="11.5703125" style="1" customWidth="1"/>
    <col min="12045" max="12045" width="10.85546875" style="1" customWidth="1"/>
    <col min="12046" max="12046" width="7.7109375" style="1" customWidth="1"/>
    <col min="12047" max="12047" width="8" style="1" customWidth="1"/>
    <col min="12048" max="12048" width="16.28515625" style="1" customWidth="1"/>
    <col min="12049" max="12049" width="10.5703125" style="1" customWidth="1"/>
    <col min="12050" max="12050" width="14.140625" style="1" customWidth="1"/>
    <col min="12051" max="12051" width="10.140625" style="1" customWidth="1"/>
    <col min="12052" max="12052" width="15.140625" style="1" customWidth="1"/>
    <col min="12053" max="12053" width="8.5703125" style="1" customWidth="1"/>
    <col min="12054" max="12054" width="14.28515625" style="1" customWidth="1"/>
    <col min="12055" max="12055" width="18.28515625" style="1" customWidth="1"/>
    <col min="12056" max="12056" width="13" style="1" bestFit="1" customWidth="1"/>
    <col min="12057" max="12057" width="11.7109375" style="1" bestFit="1" customWidth="1"/>
    <col min="12058" max="12064" width="9.140625" style="1"/>
    <col min="12065" max="12065" width="11.28515625" style="1" bestFit="1" customWidth="1"/>
    <col min="12066" max="12066" width="10.7109375" style="1" bestFit="1" customWidth="1"/>
    <col min="12067" max="12288" width="9.140625" style="1"/>
    <col min="12289" max="12289" width="6.42578125" style="1" customWidth="1"/>
    <col min="12290" max="12290" width="20.7109375" style="1" customWidth="1"/>
    <col min="12291" max="12291" width="24.7109375" style="1" customWidth="1"/>
    <col min="12292" max="12292" width="11.140625" style="1" customWidth="1"/>
    <col min="12293" max="12293" width="12.28515625" style="1" customWidth="1"/>
    <col min="12294" max="12294" width="11.140625" style="1" customWidth="1"/>
    <col min="12295" max="12295" width="10.42578125" style="1" customWidth="1"/>
    <col min="12296" max="12296" width="4.7109375" style="1" customWidth="1"/>
    <col min="12297" max="12297" width="8.5703125" style="1" customWidth="1"/>
    <col min="12298" max="12298" width="5.5703125" style="1" customWidth="1"/>
    <col min="12299" max="12300" width="11.5703125" style="1" customWidth="1"/>
    <col min="12301" max="12301" width="10.85546875" style="1" customWidth="1"/>
    <col min="12302" max="12302" width="7.7109375" style="1" customWidth="1"/>
    <col min="12303" max="12303" width="8" style="1" customWidth="1"/>
    <col min="12304" max="12304" width="16.28515625" style="1" customWidth="1"/>
    <col min="12305" max="12305" width="10.5703125" style="1" customWidth="1"/>
    <col min="12306" max="12306" width="14.140625" style="1" customWidth="1"/>
    <col min="12307" max="12307" width="10.140625" style="1" customWidth="1"/>
    <col min="12308" max="12308" width="15.140625" style="1" customWidth="1"/>
    <col min="12309" max="12309" width="8.5703125" style="1" customWidth="1"/>
    <col min="12310" max="12310" width="14.28515625" style="1" customWidth="1"/>
    <col min="12311" max="12311" width="18.28515625" style="1" customWidth="1"/>
    <col min="12312" max="12312" width="13" style="1" bestFit="1" customWidth="1"/>
    <col min="12313" max="12313" width="11.7109375" style="1" bestFit="1" customWidth="1"/>
    <col min="12314" max="12320" width="9.140625" style="1"/>
    <col min="12321" max="12321" width="11.28515625" style="1" bestFit="1" customWidth="1"/>
    <col min="12322" max="12322" width="10.7109375" style="1" bestFit="1" customWidth="1"/>
    <col min="12323" max="12544" width="9.140625" style="1"/>
    <col min="12545" max="12545" width="6.42578125" style="1" customWidth="1"/>
    <col min="12546" max="12546" width="20.7109375" style="1" customWidth="1"/>
    <col min="12547" max="12547" width="24.7109375" style="1" customWidth="1"/>
    <col min="12548" max="12548" width="11.140625" style="1" customWidth="1"/>
    <col min="12549" max="12549" width="12.28515625" style="1" customWidth="1"/>
    <col min="12550" max="12550" width="11.140625" style="1" customWidth="1"/>
    <col min="12551" max="12551" width="10.42578125" style="1" customWidth="1"/>
    <col min="12552" max="12552" width="4.7109375" style="1" customWidth="1"/>
    <col min="12553" max="12553" width="8.5703125" style="1" customWidth="1"/>
    <col min="12554" max="12554" width="5.5703125" style="1" customWidth="1"/>
    <col min="12555" max="12556" width="11.5703125" style="1" customWidth="1"/>
    <col min="12557" max="12557" width="10.85546875" style="1" customWidth="1"/>
    <col min="12558" max="12558" width="7.7109375" style="1" customWidth="1"/>
    <col min="12559" max="12559" width="8" style="1" customWidth="1"/>
    <col min="12560" max="12560" width="16.28515625" style="1" customWidth="1"/>
    <col min="12561" max="12561" width="10.5703125" style="1" customWidth="1"/>
    <col min="12562" max="12562" width="14.140625" style="1" customWidth="1"/>
    <col min="12563" max="12563" width="10.140625" style="1" customWidth="1"/>
    <col min="12564" max="12564" width="15.140625" style="1" customWidth="1"/>
    <col min="12565" max="12565" width="8.5703125" style="1" customWidth="1"/>
    <col min="12566" max="12566" width="14.28515625" style="1" customWidth="1"/>
    <col min="12567" max="12567" width="18.28515625" style="1" customWidth="1"/>
    <col min="12568" max="12568" width="13" style="1" bestFit="1" customWidth="1"/>
    <col min="12569" max="12569" width="11.7109375" style="1" bestFit="1" customWidth="1"/>
    <col min="12570" max="12576" width="9.140625" style="1"/>
    <col min="12577" max="12577" width="11.28515625" style="1" bestFit="1" customWidth="1"/>
    <col min="12578" max="12578" width="10.7109375" style="1" bestFit="1" customWidth="1"/>
    <col min="12579" max="12800" width="9.140625" style="1"/>
    <col min="12801" max="12801" width="6.42578125" style="1" customWidth="1"/>
    <col min="12802" max="12802" width="20.7109375" style="1" customWidth="1"/>
    <col min="12803" max="12803" width="24.7109375" style="1" customWidth="1"/>
    <col min="12804" max="12804" width="11.140625" style="1" customWidth="1"/>
    <col min="12805" max="12805" width="12.28515625" style="1" customWidth="1"/>
    <col min="12806" max="12806" width="11.140625" style="1" customWidth="1"/>
    <col min="12807" max="12807" width="10.42578125" style="1" customWidth="1"/>
    <col min="12808" max="12808" width="4.7109375" style="1" customWidth="1"/>
    <col min="12809" max="12809" width="8.5703125" style="1" customWidth="1"/>
    <col min="12810" max="12810" width="5.5703125" style="1" customWidth="1"/>
    <col min="12811" max="12812" width="11.5703125" style="1" customWidth="1"/>
    <col min="12813" max="12813" width="10.85546875" style="1" customWidth="1"/>
    <col min="12814" max="12814" width="7.7109375" style="1" customWidth="1"/>
    <col min="12815" max="12815" width="8" style="1" customWidth="1"/>
    <col min="12816" max="12816" width="16.28515625" style="1" customWidth="1"/>
    <col min="12817" max="12817" width="10.5703125" style="1" customWidth="1"/>
    <col min="12818" max="12818" width="14.140625" style="1" customWidth="1"/>
    <col min="12819" max="12819" width="10.140625" style="1" customWidth="1"/>
    <col min="12820" max="12820" width="15.140625" style="1" customWidth="1"/>
    <col min="12821" max="12821" width="8.5703125" style="1" customWidth="1"/>
    <col min="12822" max="12822" width="14.28515625" style="1" customWidth="1"/>
    <col min="12823" max="12823" width="18.28515625" style="1" customWidth="1"/>
    <col min="12824" max="12824" width="13" style="1" bestFit="1" customWidth="1"/>
    <col min="12825" max="12825" width="11.7109375" style="1" bestFit="1" customWidth="1"/>
    <col min="12826" max="12832" width="9.140625" style="1"/>
    <col min="12833" max="12833" width="11.28515625" style="1" bestFit="1" customWidth="1"/>
    <col min="12834" max="12834" width="10.7109375" style="1" bestFit="1" customWidth="1"/>
    <col min="12835" max="13056" width="9.140625" style="1"/>
    <col min="13057" max="13057" width="6.42578125" style="1" customWidth="1"/>
    <col min="13058" max="13058" width="20.7109375" style="1" customWidth="1"/>
    <col min="13059" max="13059" width="24.7109375" style="1" customWidth="1"/>
    <col min="13060" max="13060" width="11.140625" style="1" customWidth="1"/>
    <col min="13061" max="13061" width="12.28515625" style="1" customWidth="1"/>
    <col min="13062" max="13062" width="11.140625" style="1" customWidth="1"/>
    <col min="13063" max="13063" width="10.42578125" style="1" customWidth="1"/>
    <col min="13064" max="13064" width="4.7109375" style="1" customWidth="1"/>
    <col min="13065" max="13065" width="8.5703125" style="1" customWidth="1"/>
    <col min="13066" max="13066" width="5.5703125" style="1" customWidth="1"/>
    <col min="13067" max="13068" width="11.5703125" style="1" customWidth="1"/>
    <col min="13069" max="13069" width="10.85546875" style="1" customWidth="1"/>
    <col min="13070" max="13070" width="7.7109375" style="1" customWidth="1"/>
    <col min="13071" max="13071" width="8" style="1" customWidth="1"/>
    <col min="13072" max="13072" width="16.28515625" style="1" customWidth="1"/>
    <col min="13073" max="13073" width="10.5703125" style="1" customWidth="1"/>
    <col min="13074" max="13074" width="14.140625" style="1" customWidth="1"/>
    <col min="13075" max="13075" width="10.140625" style="1" customWidth="1"/>
    <col min="13076" max="13076" width="15.140625" style="1" customWidth="1"/>
    <col min="13077" max="13077" width="8.5703125" style="1" customWidth="1"/>
    <col min="13078" max="13078" width="14.28515625" style="1" customWidth="1"/>
    <col min="13079" max="13079" width="18.28515625" style="1" customWidth="1"/>
    <col min="13080" max="13080" width="13" style="1" bestFit="1" customWidth="1"/>
    <col min="13081" max="13081" width="11.7109375" style="1" bestFit="1" customWidth="1"/>
    <col min="13082" max="13088" width="9.140625" style="1"/>
    <col min="13089" max="13089" width="11.28515625" style="1" bestFit="1" customWidth="1"/>
    <col min="13090" max="13090" width="10.7109375" style="1" bestFit="1" customWidth="1"/>
    <col min="13091" max="13312" width="9.140625" style="1"/>
    <col min="13313" max="13313" width="6.42578125" style="1" customWidth="1"/>
    <col min="13314" max="13314" width="20.7109375" style="1" customWidth="1"/>
    <col min="13315" max="13315" width="24.7109375" style="1" customWidth="1"/>
    <col min="13316" max="13316" width="11.140625" style="1" customWidth="1"/>
    <col min="13317" max="13317" width="12.28515625" style="1" customWidth="1"/>
    <col min="13318" max="13318" width="11.140625" style="1" customWidth="1"/>
    <col min="13319" max="13319" width="10.42578125" style="1" customWidth="1"/>
    <col min="13320" max="13320" width="4.7109375" style="1" customWidth="1"/>
    <col min="13321" max="13321" width="8.5703125" style="1" customWidth="1"/>
    <col min="13322" max="13322" width="5.5703125" style="1" customWidth="1"/>
    <col min="13323" max="13324" width="11.5703125" style="1" customWidth="1"/>
    <col min="13325" max="13325" width="10.85546875" style="1" customWidth="1"/>
    <col min="13326" max="13326" width="7.7109375" style="1" customWidth="1"/>
    <col min="13327" max="13327" width="8" style="1" customWidth="1"/>
    <col min="13328" max="13328" width="16.28515625" style="1" customWidth="1"/>
    <col min="13329" max="13329" width="10.5703125" style="1" customWidth="1"/>
    <col min="13330" max="13330" width="14.140625" style="1" customWidth="1"/>
    <col min="13331" max="13331" width="10.140625" style="1" customWidth="1"/>
    <col min="13332" max="13332" width="15.140625" style="1" customWidth="1"/>
    <col min="13333" max="13333" width="8.5703125" style="1" customWidth="1"/>
    <col min="13334" max="13334" width="14.28515625" style="1" customWidth="1"/>
    <col min="13335" max="13335" width="18.28515625" style="1" customWidth="1"/>
    <col min="13336" max="13336" width="13" style="1" bestFit="1" customWidth="1"/>
    <col min="13337" max="13337" width="11.7109375" style="1" bestFit="1" customWidth="1"/>
    <col min="13338" max="13344" width="9.140625" style="1"/>
    <col min="13345" max="13345" width="11.28515625" style="1" bestFit="1" customWidth="1"/>
    <col min="13346" max="13346" width="10.7109375" style="1" bestFit="1" customWidth="1"/>
    <col min="13347" max="13568" width="9.140625" style="1"/>
    <col min="13569" max="13569" width="6.42578125" style="1" customWidth="1"/>
    <col min="13570" max="13570" width="20.7109375" style="1" customWidth="1"/>
    <col min="13571" max="13571" width="24.7109375" style="1" customWidth="1"/>
    <col min="13572" max="13572" width="11.140625" style="1" customWidth="1"/>
    <col min="13573" max="13573" width="12.28515625" style="1" customWidth="1"/>
    <col min="13574" max="13574" width="11.140625" style="1" customWidth="1"/>
    <col min="13575" max="13575" width="10.42578125" style="1" customWidth="1"/>
    <col min="13576" max="13576" width="4.7109375" style="1" customWidth="1"/>
    <col min="13577" max="13577" width="8.5703125" style="1" customWidth="1"/>
    <col min="13578" max="13578" width="5.5703125" style="1" customWidth="1"/>
    <col min="13579" max="13580" width="11.5703125" style="1" customWidth="1"/>
    <col min="13581" max="13581" width="10.85546875" style="1" customWidth="1"/>
    <col min="13582" max="13582" width="7.7109375" style="1" customWidth="1"/>
    <col min="13583" max="13583" width="8" style="1" customWidth="1"/>
    <col min="13584" max="13584" width="16.28515625" style="1" customWidth="1"/>
    <col min="13585" max="13585" width="10.5703125" style="1" customWidth="1"/>
    <col min="13586" max="13586" width="14.140625" style="1" customWidth="1"/>
    <col min="13587" max="13587" width="10.140625" style="1" customWidth="1"/>
    <col min="13588" max="13588" width="15.140625" style="1" customWidth="1"/>
    <col min="13589" max="13589" width="8.5703125" style="1" customWidth="1"/>
    <col min="13590" max="13590" width="14.28515625" style="1" customWidth="1"/>
    <col min="13591" max="13591" width="18.28515625" style="1" customWidth="1"/>
    <col min="13592" max="13592" width="13" style="1" bestFit="1" customWidth="1"/>
    <col min="13593" max="13593" width="11.7109375" style="1" bestFit="1" customWidth="1"/>
    <col min="13594" max="13600" width="9.140625" style="1"/>
    <col min="13601" max="13601" width="11.28515625" style="1" bestFit="1" customWidth="1"/>
    <col min="13602" max="13602" width="10.7109375" style="1" bestFit="1" customWidth="1"/>
    <col min="13603" max="13824" width="9.140625" style="1"/>
    <col min="13825" max="13825" width="6.42578125" style="1" customWidth="1"/>
    <col min="13826" max="13826" width="20.7109375" style="1" customWidth="1"/>
    <col min="13827" max="13827" width="24.7109375" style="1" customWidth="1"/>
    <col min="13828" max="13828" width="11.140625" style="1" customWidth="1"/>
    <col min="13829" max="13829" width="12.28515625" style="1" customWidth="1"/>
    <col min="13830" max="13830" width="11.140625" style="1" customWidth="1"/>
    <col min="13831" max="13831" width="10.42578125" style="1" customWidth="1"/>
    <col min="13832" max="13832" width="4.7109375" style="1" customWidth="1"/>
    <col min="13833" max="13833" width="8.5703125" style="1" customWidth="1"/>
    <col min="13834" max="13834" width="5.5703125" style="1" customWidth="1"/>
    <col min="13835" max="13836" width="11.5703125" style="1" customWidth="1"/>
    <col min="13837" max="13837" width="10.85546875" style="1" customWidth="1"/>
    <col min="13838" max="13838" width="7.7109375" style="1" customWidth="1"/>
    <col min="13839" max="13839" width="8" style="1" customWidth="1"/>
    <col min="13840" max="13840" width="16.28515625" style="1" customWidth="1"/>
    <col min="13841" max="13841" width="10.5703125" style="1" customWidth="1"/>
    <col min="13842" max="13842" width="14.140625" style="1" customWidth="1"/>
    <col min="13843" max="13843" width="10.140625" style="1" customWidth="1"/>
    <col min="13844" max="13844" width="15.140625" style="1" customWidth="1"/>
    <col min="13845" max="13845" width="8.5703125" style="1" customWidth="1"/>
    <col min="13846" max="13846" width="14.28515625" style="1" customWidth="1"/>
    <col min="13847" max="13847" width="18.28515625" style="1" customWidth="1"/>
    <col min="13848" max="13848" width="13" style="1" bestFit="1" customWidth="1"/>
    <col min="13849" max="13849" width="11.7109375" style="1" bestFit="1" customWidth="1"/>
    <col min="13850" max="13856" width="9.140625" style="1"/>
    <col min="13857" max="13857" width="11.28515625" style="1" bestFit="1" customWidth="1"/>
    <col min="13858" max="13858" width="10.7109375" style="1" bestFit="1" customWidth="1"/>
    <col min="13859" max="14080" width="9.140625" style="1"/>
    <col min="14081" max="14081" width="6.42578125" style="1" customWidth="1"/>
    <col min="14082" max="14082" width="20.7109375" style="1" customWidth="1"/>
    <col min="14083" max="14083" width="24.7109375" style="1" customWidth="1"/>
    <col min="14084" max="14084" width="11.140625" style="1" customWidth="1"/>
    <col min="14085" max="14085" width="12.28515625" style="1" customWidth="1"/>
    <col min="14086" max="14086" width="11.140625" style="1" customWidth="1"/>
    <col min="14087" max="14087" width="10.42578125" style="1" customWidth="1"/>
    <col min="14088" max="14088" width="4.7109375" style="1" customWidth="1"/>
    <col min="14089" max="14089" width="8.5703125" style="1" customWidth="1"/>
    <col min="14090" max="14090" width="5.5703125" style="1" customWidth="1"/>
    <col min="14091" max="14092" width="11.5703125" style="1" customWidth="1"/>
    <col min="14093" max="14093" width="10.85546875" style="1" customWidth="1"/>
    <col min="14094" max="14094" width="7.7109375" style="1" customWidth="1"/>
    <col min="14095" max="14095" width="8" style="1" customWidth="1"/>
    <col min="14096" max="14096" width="16.28515625" style="1" customWidth="1"/>
    <col min="14097" max="14097" width="10.5703125" style="1" customWidth="1"/>
    <col min="14098" max="14098" width="14.140625" style="1" customWidth="1"/>
    <col min="14099" max="14099" width="10.140625" style="1" customWidth="1"/>
    <col min="14100" max="14100" width="15.140625" style="1" customWidth="1"/>
    <col min="14101" max="14101" width="8.5703125" style="1" customWidth="1"/>
    <col min="14102" max="14102" width="14.28515625" style="1" customWidth="1"/>
    <col min="14103" max="14103" width="18.28515625" style="1" customWidth="1"/>
    <col min="14104" max="14104" width="13" style="1" bestFit="1" customWidth="1"/>
    <col min="14105" max="14105" width="11.7109375" style="1" bestFit="1" customWidth="1"/>
    <col min="14106" max="14112" width="9.140625" style="1"/>
    <col min="14113" max="14113" width="11.28515625" style="1" bestFit="1" customWidth="1"/>
    <col min="14114" max="14114" width="10.7109375" style="1" bestFit="1" customWidth="1"/>
    <col min="14115" max="14336" width="9.140625" style="1"/>
    <col min="14337" max="14337" width="6.42578125" style="1" customWidth="1"/>
    <col min="14338" max="14338" width="20.7109375" style="1" customWidth="1"/>
    <col min="14339" max="14339" width="24.7109375" style="1" customWidth="1"/>
    <col min="14340" max="14340" width="11.140625" style="1" customWidth="1"/>
    <col min="14341" max="14341" width="12.28515625" style="1" customWidth="1"/>
    <col min="14342" max="14342" width="11.140625" style="1" customWidth="1"/>
    <col min="14343" max="14343" width="10.42578125" style="1" customWidth="1"/>
    <col min="14344" max="14344" width="4.7109375" style="1" customWidth="1"/>
    <col min="14345" max="14345" width="8.5703125" style="1" customWidth="1"/>
    <col min="14346" max="14346" width="5.5703125" style="1" customWidth="1"/>
    <col min="14347" max="14348" width="11.5703125" style="1" customWidth="1"/>
    <col min="14349" max="14349" width="10.85546875" style="1" customWidth="1"/>
    <col min="14350" max="14350" width="7.7109375" style="1" customWidth="1"/>
    <col min="14351" max="14351" width="8" style="1" customWidth="1"/>
    <col min="14352" max="14352" width="16.28515625" style="1" customWidth="1"/>
    <col min="14353" max="14353" width="10.5703125" style="1" customWidth="1"/>
    <col min="14354" max="14354" width="14.140625" style="1" customWidth="1"/>
    <col min="14355" max="14355" width="10.140625" style="1" customWidth="1"/>
    <col min="14356" max="14356" width="15.140625" style="1" customWidth="1"/>
    <col min="14357" max="14357" width="8.5703125" style="1" customWidth="1"/>
    <col min="14358" max="14358" width="14.28515625" style="1" customWidth="1"/>
    <col min="14359" max="14359" width="18.28515625" style="1" customWidth="1"/>
    <col min="14360" max="14360" width="13" style="1" bestFit="1" customWidth="1"/>
    <col min="14361" max="14361" width="11.7109375" style="1" bestFit="1" customWidth="1"/>
    <col min="14362" max="14368" width="9.140625" style="1"/>
    <col min="14369" max="14369" width="11.28515625" style="1" bestFit="1" customWidth="1"/>
    <col min="14370" max="14370" width="10.7109375" style="1" bestFit="1" customWidth="1"/>
    <col min="14371" max="14592" width="9.140625" style="1"/>
    <col min="14593" max="14593" width="6.42578125" style="1" customWidth="1"/>
    <col min="14594" max="14594" width="20.7109375" style="1" customWidth="1"/>
    <col min="14595" max="14595" width="24.7109375" style="1" customWidth="1"/>
    <col min="14596" max="14596" width="11.140625" style="1" customWidth="1"/>
    <col min="14597" max="14597" width="12.28515625" style="1" customWidth="1"/>
    <col min="14598" max="14598" width="11.140625" style="1" customWidth="1"/>
    <col min="14599" max="14599" width="10.42578125" style="1" customWidth="1"/>
    <col min="14600" max="14600" width="4.7109375" style="1" customWidth="1"/>
    <col min="14601" max="14601" width="8.5703125" style="1" customWidth="1"/>
    <col min="14602" max="14602" width="5.5703125" style="1" customWidth="1"/>
    <col min="14603" max="14604" width="11.5703125" style="1" customWidth="1"/>
    <col min="14605" max="14605" width="10.85546875" style="1" customWidth="1"/>
    <col min="14606" max="14606" width="7.7109375" style="1" customWidth="1"/>
    <col min="14607" max="14607" width="8" style="1" customWidth="1"/>
    <col min="14608" max="14608" width="16.28515625" style="1" customWidth="1"/>
    <col min="14609" max="14609" width="10.5703125" style="1" customWidth="1"/>
    <col min="14610" max="14610" width="14.140625" style="1" customWidth="1"/>
    <col min="14611" max="14611" width="10.140625" style="1" customWidth="1"/>
    <col min="14612" max="14612" width="15.140625" style="1" customWidth="1"/>
    <col min="14613" max="14613" width="8.5703125" style="1" customWidth="1"/>
    <col min="14614" max="14614" width="14.28515625" style="1" customWidth="1"/>
    <col min="14615" max="14615" width="18.28515625" style="1" customWidth="1"/>
    <col min="14616" max="14616" width="13" style="1" bestFit="1" customWidth="1"/>
    <col min="14617" max="14617" width="11.7109375" style="1" bestFit="1" customWidth="1"/>
    <col min="14618" max="14624" width="9.140625" style="1"/>
    <col min="14625" max="14625" width="11.28515625" style="1" bestFit="1" customWidth="1"/>
    <col min="14626" max="14626" width="10.7109375" style="1" bestFit="1" customWidth="1"/>
    <col min="14627" max="14848" width="9.140625" style="1"/>
    <col min="14849" max="14849" width="6.42578125" style="1" customWidth="1"/>
    <col min="14850" max="14850" width="20.7109375" style="1" customWidth="1"/>
    <col min="14851" max="14851" width="24.7109375" style="1" customWidth="1"/>
    <col min="14852" max="14852" width="11.140625" style="1" customWidth="1"/>
    <col min="14853" max="14853" width="12.28515625" style="1" customWidth="1"/>
    <col min="14854" max="14854" width="11.140625" style="1" customWidth="1"/>
    <col min="14855" max="14855" width="10.42578125" style="1" customWidth="1"/>
    <col min="14856" max="14856" width="4.7109375" style="1" customWidth="1"/>
    <col min="14857" max="14857" width="8.5703125" style="1" customWidth="1"/>
    <col min="14858" max="14858" width="5.5703125" style="1" customWidth="1"/>
    <col min="14859" max="14860" width="11.5703125" style="1" customWidth="1"/>
    <col min="14861" max="14861" width="10.85546875" style="1" customWidth="1"/>
    <col min="14862" max="14862" width="7.7109375" style="1" customWidth="1"/>
    <col min="14863" max="14863" width="8" style="1" customWidth="1"/>
    <col min="14864" max="14864" width="16.28515625" style="1" customWidth="1"/>
    <col min="14865" max="14865" width="10.5703125" style="1" customWidth="1"/>
    <col min="14866" max="14866" width="14.140625" style="1" customWidth="1"/>
    <col min="14867" max="14867" width="10.140625" style="1" customWidth="1"/>
    <col min="14868" max="14868" width="15.140625" style="1" customWidth="1"/>
    <col min="14869" max="14869" width="8.5703125" style="1" customWidth="1"/>
    <col min="14870" max="14870" width="14.28515625" style="1" customWidth="1"/>
    <col min="14871" max="14871" width="18.28515625" style="1" customWidth="1"/>
    <col min="14872" max="14872" width="13" style="1" bestFit="1" customWidth="1"/>
    <col min="14873" max="14873" width="11.7109375" style="1" bestFit="1" customWidth="1"/>
    <col min="14874" max="14880" width="9.140625" style="1"/>
    <col min="14881" max="14881" width="11.28515625" style="1" bestFit="1" customWidth="1"/>
    <col min="14882" max="14882" width="10.7109375" style="1" bestFit="1" customWidth="1"/>
    <col min="14883" max="15104" width="9.140625" style="1"/>
    <col min="15105" max="15105" width="6.42578125" style="1" customWidth="1"/>
    <col min="15106" max="15106" width="20.7109375" style="1" customWidth="1"/>
    <col min="15107" max="15107" width="24.7109375" style="1" customWidth="1"/>
    <col min="15108" max="15108" width="11.140625" style="1" customWidth="1"/>
    <col min="15109" max="15109" width="12.28515625" style="1" customWidth="1"/>
    <col min="15110" max="15110" width="11.140625" style="1" customWidth="1"/>
    <col min="15111" max="15111" width="10.42578125" style="1" customWidth="1"/>
    <col min="15112" max="15112" width="4.7109375" style="1" customWidth="1"/>
    <col min="15113" max="15113" width="8.5703125" style="1" customWidth="1"/>
    <col min="15114" max="15114" width="5.5703125" style="1" customWidth="1"/>
    <col min="15115" max="15116" width="11.5703125" style="1" customWidth="1"/>
    <col min="15117" max="15117" width="10.85546875" style="1" customWidth="1"/>
    <col min="15118" max="15118" width="7.7109375" style="1" customWidth="1"/>
    <col min="15119" max="15119" width="8" style="1" customWidth="1"/>
    <col min="15120" max="15120" width="16.28515625" style="1" customWidth="1"/>
    <col min="15121" max="15121" width="10.5703125" style="1" customWidth="1"/>
    <col min="15122" max="15122" width="14.140625" style="1" customWidth="1"/>
    <col min="15123" max="15123" width="10.140625" style="1" customWidth="1"/>
    <col min="15124" max="15124" width="15.140625" style="1" customWidth="1"/>
    <col min="15125" max="15125" width="8.5703125" style="1" customWidth="1"/>
    <col min="15126" max="15126" width="14.28515625" style="1" customWidth="1"/>
    <col min="15127" max="15127" width="18.28515625" style="1" customWidth="1"/>
    <col min="15128" max="15128" width="13" style="1" bestFit="1" customWidth="1"/>
    <col min="15129" max="15129" width="11.7109375" style="1" bestFit="1" customWidth="1"/>
    <col min="15130" max="15136" width="9.140625" style="1"/>
    <col min="15137" max="15137" width="11.28515625" style="1" bestFit="1" customWidth="1"/>
    <col min="15138" max="15138" width="10.7109375" style="1" bestFit="1" customWidth="1"/>
    <col min="15139" max="15360" width="9.140625" style="1"/>
    <col min="15361" max="15361" width="6.42578125" style="1" customWidth="1"/>
    <col min="15362" max="15362" width="20.7109375" style="1" customWidth="1"/>
    <col min="15363" max="15363" width="24.7109375" style="1" customWidth="1"/>
    <col min="15364" max="15364" width="11.140625" style="1" customWidth="1"/>
    <col min="15365" max="15365" width="12.28515625" style="1" customWidth="1"/>
    <col min="15366" max="15366" width="11.140625" style="1" customWidth="1"/>
    <col min="15367" max="15367" width="10.42578125" style="1" customWidth="1"/>
    <col min="15368" max="15368" width="4.7109375" style="1" customWidth="1"/>
    <col min="15369" max="15369" width="8.5703125" style="1" customWidth="1"/>
    <col min="15370" max="15370" width="5.5703125" style="1" customWidth="1"/>
    <col min="15371" max="15372" width="11.5703125" style="1" customWidth="1"/>
    <col min="15373" max="15373" width="10.85546875" style="1" customWidth="1"/>
    <col min="15374" max="15374" width="7.7109375" style="1" customWidth="1"/>
    <col min="15375" max="15375" width="8" style="1" customWidth="1"/>
    <col min="15376" max="15376" width="16.28515625" style="1" customWidth="1"/>
    <col min="15377" max="15377" width="10.5703125" style="1" customWidth="1"/>
    <col min="15378" max="15378" width="14.140625" style="1" customWidth="1"/>
    <col min="15379" max="15379" width="10.140625" style="1" customWidth="1"/>
    <col min="15380" max="15380" width="15.140625" style="1" customWidth="1"/>
    <col min="15381" max="15381" width="8.5703125" style="1" customWidth="1"/>
    <col min="15382" max="15382" width="14.28515625" style="1" customWidth="1"/>
    <col min="15383" max="15383" width="18.28515625" style="1" customWidth="1"/>
    <col min="15384" max="15384" width="13" style="1" bestFit="1" customWidth="1"/>
    <col min="15385" max="15385" width="11.7109375" style="1" bestFit="1" customWidth="1"/>
    <col min="15386" max="15392" width="9.140625" style="1"/>
    <col min="15393" max="15393" width="11.28515625" style="1" bestFit="1" customWidth="1"/>
    <col min="15394" max="15394" width="10.7109375" style="1" bestFit="1" customWidth="1"/>
    <col min="15395" max="15616" width="9.140625" style="1"/>
    <col min="15617" max="15617" width="6.42578125" style="1" customWidth="1"/>
    <col min="15618" max="15618" width="20.7109375" style="1" customWidth="1"/>
    <col min="15619" max="15619" width="24.7109375" style="1" customWidth="1"/>
    <col min="15620" max="15620" width="11.140625" style="1" customWidth="1"/>
    <col min="15621" max="15621" width="12.28515625" style="1" customWidth="1"/>
    <col min="15622" max="15622" width="11.140625" style="1" customWidth="1"/>
    <col min="15623" max="15623" width="10.42578125" style="1" customWidth="1"/>
    <col min="15624" max="15624" width="4.7109375" style="1" customWidth="1"/>
    <col min="15625" max="15625" width="8.5703125" style="1" customWidth="1"/>
    <col min="15626" max="15626" width="5.5703125" style="1" customWidth="1"/>
    <col min="15627" max="15628" width="11.5703125" style="1" customWidth="1"/>
    <col min="15629" max="15629" width="10.85546875" style="1" customWidth="1"/>
    <col min="15630" max="15630" width="7.7109375" style="1" customWidth="1"/>
    <col min="15631" max="15631" width="8" style="1" customWidth="1"/>
    <col min="15632" max="15632" width="16.28515625" style="1" customWidth="1"/>
    <col min="15633" max="15633" width="10.5703125" style="1" customWidth="1"/>
    <col min="15634" max="15634" width="14.140625" style="1" customWidth="1"/>
    <col min="15635" max="15635" width="10.140625" style="1" customWidth="1"/>
    <col min="15636" max="15636" width="15.140625" style="1" customWidth="1"/>
    <col min="15637" max="15637" width="8.5703125" style="1" customWidth="1"/>
    <col min="15638" max="15638" width="14.28515625" style="1" customWidth="1"/>
    <col min="15639" max="15639" width="18.28515625" style="1" customWidth="1"/>
    <col min="15640" max="15640" width="13" style="1" bestFit="1" customWidth="1"/>
    <col min="15641" max="15641" width="11.7109375" style="1" bestFit="1" customWidth="1"/>
    <col min="15642" max="15648" width="9.140625" style="1"/>
    <col min="15649" max="15649" width="11.28515625" style="1" bestFit="1" customWidth="1"/>
    <col min="15650" max="15650" width="10.7109375" style="1" bestFit="1" customWidth="1"/>
    <col min="15651" max="15872" width="9.140625" style="1"/>
    <col min="15873" max="15873" width="6.42578125" style="1" customWidth="1"/>
    <col min="15874" max="15874" width="20.7109375" style="1" customWidth="1"/>
    <col min="15875" max="15875" width="24.7109375" style="1" customWidth="1"/>
    <col min="15876" max="15876" width="11.140625" style="1" customWidth="1"/>
    <col min="15877" max="15877" width="12.28515625" style="1" customWidth="1"/>
    <col min="15878" max="15878" width="11.140625" style="1" customWidth="1"/>
    <col min="15879" max="15879" width="10.42578125" style="1" customWidth="1"/>
    <col min="15880" max="15880" width="4.7109375" style="1" customWidth="1"/>
    <col min="15881" max="15881" width="8.5703125" style="1" customWidth="1"/>
    <col min="15882" max="15882" width="5.5703125" style="1" customWidth="1"/>
    <col min="15883" max="15884" width="11.5703125" style="1" customWidth="1"/>
    <col min="15885" max="15885" width="10.85546875" style="1" customWidth="1"/>
    <col min="15886" max="15886" width="7.7109375" style="1" customWidth="1"/>
    <col min="15887" max="15887" width="8" style="1" customWidth="1"/>
    <col min="15888" max="15888" width="16.28515625" style="1" customWidth="1"/>
    <col min="15889" max="15889" width="10.5703125" style="1" customWidth="1"/>
    <col min="15890" max="15890" width="14.140625" style="1" customWidth="1"/>
    <col min="15891" max="15891" width="10.140625" style="1" customWidth="1"/>
    <col min="15892" max="15892" width="15.140625" style="1" customWidth="1"/>
    <col min="15893" max="15893" width="8.5703125" style="1" customWidth="1"/>
    <col min="15894" max="15894" width="14.28515625" style="1" customWidth="1"/>
    <col min="15895" max="15895" width="18.28515625" style="1" customWidth="1"/>
    <col min="15896" max="15896" width="13" style="1" bestFit="1" customWidth="1"/>
    <col min="15897" max="15897" width="11.7109375" style="1" bestFit="1" customWidth="1"/>
    <col min="15898" max="15904" width="9.140625" style="1"/>
    <col min="15905" max="15905" width="11.28515625" style="1" bestFit="1" customWidth="1"/>
    <col min="15906" max="15906" width="10.7109375" style="1" bestFit="1" customWidth="1"/>
    <col min="15907" max="16128" width="9.140625" style="1"/>
    <col min="16129" max="16129" width="6.42578125" style="1" customWidth="1"/>
    <col min="16130" max="16130" width="20.7109375" style="1" customWidth="1"/>
    <col min="16131" max="16131" width="24.7109375" style="1" customWidth="1"/>
    <col min="16132" max="16132" width="11.140625" style="1" customWidth="1"/>
    <col min="16133" max="16133" width="12.28515625" style="1" customWidth="1"/>
    <col min="16134" max="16134" width="11.140625" style="1" customWidth="1"/>
    <col min="16135" max="16135" width="10.42578125" style="1" customWidth="1"/>
    <col min="16136" max="16136" width="4.7109375" style="1" customWidth="1"/>
    <col min="16137" max="16137" width="8.5703125" style="1" customWidth="1"/>
    <col min="16138" max="16138" width="5.5703125" style="1" customWidth="1"/>
    <col min="16139" max="16140" width="11.5703125" style="1" customWidth="1"/>
    <col min="16141" max="16141" width="10.85546875" style="1" customWidth="1"/>
    <col min="16142" max="16142" width="7.7109375" style="1" customWidth="1"/>
    <col min="16143" max="16143" width="8" style="1" customWidth="1"/>
    <col min="16144" max="16144" width="16.28515625" style="1" customWidth="1"/>
    <col min="16145" max="16145" width="10.5703125" style="1" customWidth="1"/>
    <col min="16146" max="16146" width="14.140625" style="1" customWidth="1"/>
    <col min="16147" max="16147" width="10.140625" style="1" customWidth="1"/>
    <col min="16148" max="16148" width="15.140625" style="1" customWidth="1"/>
    <col min="16149" max="16149" width="8.5703125" style="1" customWidth="1"/>
    <col min="16150" max="16150" width="14.28515625" style="1" customWidth="1"/>
    <col min="16151" max="16151" width="18.28515625" style="1" customWidth="1"/>
    <col min="16152" max="16152" width="13" style="1" bestFit="1" customWidth="1"/>
    <col min="16153" max="16153" width="11.7109375" style="1" bestFit="1" customWidth="1"/>
    <col min="16154" max="16160" width="9.140625" style="1"/>
    <col min="16161" max="16161" width="11.28515625" style="1" bestFit="1" customWidth="1"/>
    <col min="16162" max="16162" width="10.7109375" style="1" bestFit="1" customWidth="1"/>
    <col min="16163" max="16384" width="9.140625" style="1"/>
  </cols>
  <sheetData>
    <row r="1" spans="1:43" ht="9.75" customHeight="1">
      <c r="U1" s="3"/>
    </row>
    <row r="2" spans="1:43" ht="16.5" customHeight="1">
      <c r="A2" s="2328" t="s">
        <v>571</v>
      </c>
      <c r="B2" s="2328"/>
      <c r="C2" s="2328"/>
      <c r="D2" s="2328"/>
      <c r="E2" s="2328"/>
      <c r="F2" s="2328"/>
      <c r="G2" s="2328"/>
      <c r="H2" s="2328"/>
      <c r="I2" s="2328"/>
      <c r="J2" s="2328"/>
      <c r="K2" s="2328"/>
      <c r="L2" s="2328"/>
      <c r="M2" s="2328"/>
      <c r="N2" s="2328"/>
      <c r="O2" s="2328"/>
      <c r="P2" s="2328"/>
      <c r="Q2" s="2328"/>
      <c r="R2" s="2328"/>
      <c r="S2" s="2328"/>
      <c r="T2" s="2328"/>
      <c r="U2" s="2328"/>
      <c r="V2" s="2328"/>
      <c r="W2" s="2328"/>
      <c r="X2" s="24"/>
      <c r="Y2" s="24"/>
    </row>
    <row r="3" spans="1:43" ht="13.5" customHeight="1">
      <c r="A3" s="2309" t="s">
        <v>0</v>
      </c>
      <c r="B3" s="2309"/>
      <c r="C3" s="2309"/>
      <c r="D3" s="2309"/>
      <c r="E3" s="2309"/>
      <c r="F3" s="2309"/>
      <c r="G3" s="2309"/>
      <c r="H3" s="2309"/>
      <c r="I3" s="2309"/>
      <c r="J3" s="2309"/>
      <c r="K3" s="2309"/>
      <c r="L3" s="2309"/>
      <c r="M3" s="2309"/>
      <c r="N3" s="2309"/>
      <c r="O3" s="2309"/>
      <c r="P3" s="2309"/>
      <c r="Q3" s="2309"/>
      <c r="R3" s="2309"/>
      <c r="S3" s="2309"/>
      <c r="T3" s="2309"/>
      <c r="U3" s="2309"/>
      <c r="V3" s="2309"/>
      <c r="W3" s="2309"/>
      <c r="X3" s="24"/>
      <c r="Y3" s="24"/>
    </row>
    <row r="4" spans="1:43" s="895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528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304" t="s">
        <v>395</v>
      </c>
      <c r="P4" s="2256" t="s">
        <v>16</v>
      </c>
      <c r="Q4" s="2256" t="s">
        <v>17</v>
      </c>
      <c r="R4" s="2256"/>
      <c r="S4" s="2256" t="s">
        <v>18</v>
      </c>
      <c r="T4" s="2256"/>
      <c r="U4" s="2256" t="s">
        <v>19</v>
      </c>
      <c r="V4" s="2256"/>
      <c r="W4" s="2306" t="s">
        <v>401</v>
      </c>
      <c r="X4" s="2260" t="s">
        <v>401</v>
      </c>
      <c r="Y4" s="2305" t="s">
        <v>394</v>
      </c>
      <c r="Z4" s="24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</row>
    <row r="5" spans="1:43" s="895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304"/>
      <c r="P5" s="2256"/>
      <c r="Q5" s="896" t="s">
        <v>21</v>
      </c>
      <c r="R5" s="896" t="s">
        <v>22</v>
      </c>
      <c r="S5" s="896" t="s">
        <v>21</v>
      </c>
      <c r="T5" s="896" t="s">
        <v>22</v>
      </c>
      <c r="U5" s="896" t="s">
        <v>21</v>
      </c>
      <c r="V5" s="896" t="s">
        <v>22</v>
      </c>
      <c r="W5" s="2306"/>
      <c r="X5" s="2260"/>
      <c r="Y5" s="2305"/>
      <c r="Z5" s="24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</row>
    <row r="6" spans="1:43" s="377" customFormat="1" ht="15" customHeight="1">
      <c r="A6" s="5">
        <v>1</v>
      </c>
      <c r="B6" s="730" t="s">
        <v>23</v>
      </c>
      <c r="C6" s="6" t="s">
        <v>24</v>
      </c>
      <c r="D6" s="5" t="s">
        <v>25</v>
      </c>
      <c r="E6" s="5" t="s">
        <v>26</v>
      </c>
      <c r="F6" s="5" t="s">
        <v>27</v>
      </c>
      <c r="G6" s="5">
        <v>1</v>
      </c>
      <c r="H6" s="5" t="s">
        <v>28</v>
      </c>
      <c r="I6" s="5" t="s">
        <v>29</v>
      </c>
      <c r="J6" s="731" t="s">
        <v>30</v>
      </c>
      <c r="K6" s="7">
        <v>17697</v>
      </c>
      <c r="L6" s="7"/>
      <c r="M6" s="7">
        <v>1</v>
      </c>
      <c r="N6" s="7"/>
      <c r="O6" s="7">
        <v>6.22</v>
      </c>
      <c r="P6" s="5">
        <f>'расчеты к штатному'!P6-'расчеты к штатному старое'!P6</f>
        <v>10087.289999999994</v>
      </c>
      <c r="Q6" s="7"/>
      <c r="R6" s="8"/>
      <c r="S6" s="7">
        <v>0.1</v>
      </c>
      <c r="T6" s="732">
        <f>S6*P6</f>
        <v>1008.7289999999994</v>
      </c>
      <c r="U6" s="7"/>
      <c r="V6" s="9"/>
      <c r="W6" s="10">
        <f>P6+R6+T6</f>
        <v>11096.018999999993</v>
      </c>
      <c r="X6" s="406">
        <f>Q6+S6+U6</f>
        <v>0.1</v>
      </c>
      <c r="Y6" s="406">
        <f>R6+T6+V6</f>
        <v>1008.7289999999994</v>
      </c>
      <c r="Z6" s="375"/>
      <c r="AA6" s="407"/>
      <c r="AB6" s="374"/>
      <c r="AC6" s="375"/>
      <c r="AD6" s="375"/>
      <c r="AE6" s="375"/>
      <c r="AF6" s="375"/>
      <c r="AG6" s="375"/>
      <c r="AH6" s="375"/>
      <c r="AI6" s="375"/>
      <c r="AJ6" s="375"/>
      <c r="AK6" s="375"/>
      <c r="AL6" s="375"/>
      <c r="AM6" s="375"/>
    </row>
    <row r="7" spans="1:43" s="377" customFormat="1" ht="15" customHeight="1">
      <c r="A7" s="5">
        <v>2</v>
      </c>
      <c r="B7" s="730" t="s">
        <v>31</v>
      </c>
      <c r="C7" s="6" t="s">
        <v>32</v>
      </c>
      <c r="D7" s="5" t="s">
        <v>25</v>
      </c>
      <c r="E7" s="11" t="s">
        <v>33</v>
      </c>
      <c r="F7" s="12" t="s">
        <v>34</v>
      </c>
      <c r="G7" s="5">
        <v>1</v>
      </c>
      <c r="H7" s="5" t="s">
        <v>28</v>
      </c>
      <c r="I7" s="5" t="s">
        <v>35</v>
      </c>
      <c r="J7" s="733" t="s">
        <v>30</v>
      </c>
      <c r="K7" s="7">
        <v>17697</v>
      </c>
      <c r="L7" s="7"/>
      <c r="M7" s="7">
        <v>1</v>
      </c>
      <c r="N7" s="7"/>
      <c r="O7" s="5">
        <v>5.77</v>
      </c>
      <c r="P7" s="5">
        <f>'расчеты к штатному'!P7-'расчеты к штатному старое'!P7</f>
        <v>10972.139999999985</v>
      </c>
      <c r="Q7" s="8"/>
      <c r="R7" s="7"/>
      <c r="S7" s="7">
        <v>0.1</v>
      </c>
      <c r="T7" s="7">
        <f>ROUND(P7*S7*M7,2)</f>
        <v>1097.21</v>
      </c>
      <c r="U7" s="9"/>
      <c r="V7" s="7"/>
      <c r="W7" s="10">
        <f t="shared" ref="W7:W25" si="0">P7+R7+T7</f>
        <v>12069.349999999984</v>
      </c>
      <c r="X7" s="406">
        <f t="shared" ref="X7:Y25" si="1">Q7+S7+U7</f>
        <v>0.1</v>
      </c>
      <c r="Y7" s="406">
        <f t="shared" si="1"/>
        <v>1097.21</v>
      </c>
      <c r="AG7" s="411"/>
      <c r="AH7" s="412"/>
    </row>
    <row r="8" spans="1:43" s="364" customFormat="1" ht="15" customHeight="1">
      <c r="A8" s="5">
        <v>3</v>
      </c>
      <c r="B8" s="13" t="s">
        <v>36</v>
      </c>
      <c r="C8" s="6" t="s">
        <v>32</v>
      </c>
      <c r="D8" s="14" t="s">
        <v>25</v>
      </c>
      <c r="E8" s="14" t="s">
        <v>37</v>
      </c>
      <c r="F8" s="12" t="s">
        <v>34</v>
      </c>
      <c r="G8" s="14">
        <v>1</v>
      </c>
      <c r="H8" s="5" t="s">
        <v>28</v>
      </c>
      <c r="I8" s="5" t="s">
        <v>35</v>
      </c>
      <c r="J8" s="14">
        <v>3</v>
      </c>
      <c r="K8" s="15">
        <v>17697</v>
      </c>
      <c r="L8" s="15"/>
      <c r="M8" s="15">
        <v>1</v>
      </c>
      <c r="N8" s="7"/>
      <c r="O8" s="16">
        <v>5.77</v>
      </c>
      <c r="P8" s="5">
        <f>'расчеты к штатному'!P8-'расчеты к штатному старое'!P8</f>
        <v>10972.139999999985</v>
      </c>
      <c r="Q8" s="8"/>
      <c r="R8" s="7"/>
      <c r="S8" s="7">
        <v>0.1</v>
      </c>
      <c r="T8" s="7">
        <f>ROUND(P8*S8*M8,2)</f>
        <v>1097.21</v>
      </c>
      <c r="U8" s="9"/>
      <c r="V8" s="7"/>
      <c r="W8" s="10">
        <f t="shared" si="0"/>
        <v>12069.349999999984</v>
      </c>
      <c r="X8" s="406">
        <f t="shared" si="1"/>
        <v>0.1</v>
      </c>
      <c r="Y8" s="406">
        <f t="shared" si="1"/>
        <v>1097.21</v>
      </c>
      <c r="AG8" s="421"/>
      <c r="AH8" s="422"/>
    </row>
    <row r="9" spans="1:43" s="418" customFormat="1" ht="15">
      <c r="A9" s="5">
        <v>4</v>
      </c>
      <c r="B9" s="17" t="s">
        <v>38</v>
      </c>
      <c r="C9" s="6" t="s">
        <v>32</v>
      </c>
      <c r="D9" s="16" t="s">
        <v>25</v>
      </c>
      <c r="E9" s="16" t="s">
        <v>39</v>
      </c>
      <c r="F9" s="734" t="s">
        <v>40</v>
      </c>
      <c r="G9" s="16">
        <v>1</v>
      </c>
      <c r="H9" s="5" t="s">
        <v>28</v>
      </c>
      <c r="I9" s="5" t="s">
        <v>35</v>
      </c>
      <c r="J9" s="735">
        <v>3</v>
      </c>
      <c r="K9" s="18">
        <v>17697</v>
      </c>
      <c r="L9" s="18"/>
      <c r="M9" s="18">
        <v>1</v>
      </c>
      <c r="N9" s="18"/>
      <c r="O9" s="16">
        <v>5.77</v>
      </c>
      <c r="P9" s="5">
        <f>'расчеты к штатному'!P9-'расчеты к штатному старое'!P9</f>
        <v>10972.139999999985</v>
      </c>
      <c r="Q9" s="19">
        <v>0.25</v>
      </c>
      <c r="R9" s="18">
        <f>Q9*P9</f>
        <v>2743.0349999999962</v>
      </c>
      <c r="S9" s="7">
        <v>0.1</v>
      </c>
      <c r="T9" s="18">
        <f>ROUND(P9*S9,2)</f>
        <v>1097.21</v>
      </c>
      <c r="U9" s="736"/>
      <c r="V9" s="18"/>
      <c r="W9" s="10">
        <f t="shared" si="0"/>
        <v>14812.38499999998</v>
      </c>
      <c r="X9" s="406">
        <f t="shared" si="1"/>
        <v>0.35</v>
      </c>
      <c r="Y9" s="406">
        <f t="shared" si="1"/>
        <v>3840.2449999999963</v>
      </c>
      <c r="Z9" s="374"/>
      <c r="AA9" s="374"/>
      <c r="AB9" s="375"/>
      <c r="AC9" s="375"/>
      <c r="AD9" s="374"/>
      <c r="AE9" s="374"/>
      <c r="AF9" s="375"/>
      <c r="AO9" s="419"/>
      <c r="AP9" s="420">
        <f>P9+T9+R9+V9</f>
        <v>14812.38499999998</v>
      </c>
    </row>
    <row r="10" spans="1:43" s="377" customFormat="1" ht="15" customHeight="1">
      <c r="A10" s="5">
        <v>5</v>
      </c>
      <c r="B10" s="730" t="s">
        <v>41</v>
      </c>
      <c r="C10" s="6" t="s">
        <v>42</v>
      </c>
      <c r="D10" s="5" t="s">
        <v>25</v>
      </c>
      <c r="E10" s="5" t="s">
        <v>43</v>
      </c>
      <c r="F10" s="5" t="s">
        <v>27</v>
      </c>
      <c r="G10" s="5">
        <v>1</v>
      </c>
      <c r="H10" s="20" t="s">
        <v>28</v>
      </c>
      <c r="I10" s="20" t="s">
        <v>29</v>
      </c>
      <c r="J10" s="731" t="s">
        <v>44</v>
      </c>
      <c r="K10" s="7">
        <v>17697</v>
      </c>
      <c r="L10" s="7"/>
      <c r="M10" s="7">
        <v>1</v>
      </c>
      <c r="N10" s="7"/>
      <c r="O10" s="21" t="s">
        <v>369</v>
      </c>
      <c r="P10" s="5">
        <f>'расчеты к штатному'!P10-'расчеты к штатному старое'!P10</f>
        <v>9556.3800000000047</v>
      </c>
      <c r="Q10" s="7"/>
      <c r="R10" s="8"/>
      <c r="S10" s="7">
        <v>0.1</v>
      </c>
      <c r="T10" s="18">
        <f t="shared" ref="T10:T25" si="2">ROUND(P10*S10,2)</f>
        <v>955.64</v>
      </c>
      <c r="U10" s="7"/>
      <c r="V10" s="9"/>
      <c r="W10" s="10">
        <f t="shared" si="0"/>
        <v>10512.020000000004</v>
      </c>
      <c r="X10" s="406">
        <f t="shared" si="1"/>
        <v>0.1</v>
      </c>
      <c r="Y10" s="406">
        <f t="shared" si="1"/>
        <v>955.64</v>
      </c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5"/>
    </row>
    <row r="11" spans="1:43" s="377" customFormat="1" ht="15" customHeight="1">
      <c r="A11" s="5">
        <v>6</v>
      </c>
      <c r="B11" s="730" t="s">
        <v>45</v>
      </c>
      <c r="C11" s="6" t="s">
        <v>46</v>
      </c>
      <c r="D11" s="560" t="s">
        <v>25</v>
      </c>
      <c r="E11" s="582" t="s">
        <v>47</v>
      </c>
      <c r="F11" s="582" t="s">
        <v>34</v>
      </c>
      <c r="G11" s="560">
        <v>1</v>
      </c>
      <c r="H11" s="5" t="s">
        <v>28</v>
      </c>
      <c r="I11" s="5" t="s">
        <v>29</v>
      </c>
      <c r="J11" s="731" t="s">
        <v>44</v>
      </c>
      <c r="K11" s="7">
        <v>17697</v>
      </c>
      <c r="L11" s="7"/>
      <c r="M11" s="7">
        <v>1</v>
      </c>
      <c r="N11" s="7"/>
      <c r="O11" s="7">
        <v>5.91</v>
      </c>
      <c r="P11" s="5">
        <f>'расчеты к штатному'!P11-'расчеты к штатному старое'!P11</f>
        <v>9556.3800000000047</v>
      </c>
      <c r="Q11" s="19"/>
      <c r="R11" s="7"/>
      <c r="S11" s="7">
        <v>0.1</v>
      </c>
      <c r="T11" s="18">
        <f t="shared" si="2"/>
        <v>955.64</v>
      </c>
      <c r="U11" s="9"/>
      <c r="V11" s="7"/>
      <c r="W11" s="10">
        <f t="shared" si="0"/>
        <v>10512.020000000004</v>
      </c>
      <c r="X11" s="406">
        <f t="shared" si="1"/>
        <v>0.1</v>
      </c>
      <c r="Y11" s="406">
        <f t="shared" si="1"/>
        <v>955.64</v>
      </c>
    </row>
    <row r="12" spans="1:43" s="377" customFormat="1" ht="15" customHeight="1">
      <c r="A12" s="5">
        <v>7</v>
      </c>
      <c r="B12" s="730" t="s">
        <v>48</v>
      </c>
      <c r="C12" s="6" t="s">
        <v>49</v>
      </c>
      <c r="D12" s="5" t="s">
        <v>25</v>
      </c>
      <c r="E12" s="5" t="s">
        <v>50</v>
      </c>
      <c r="F12" s="5" t="s">
        <v>51</v>
      </c>
      <c r="G12" s="5">
        <v>1</v>
      </c>
      <c r="H12" s="20" t="s">
        <v>28</v>
      </c>
      <c r="I12" s="20" t="s">
        <v>35</v>
      </c>
      <c r="J12" s="731" t="s">
        <v>30</v>
      </c>
      <c r="K12" s="7">
        <v>17697</v>
      </c>
      <c r="L12" s="7"/>
      <c r="M12" s="7">
        <v>1</v>
      </c>
      <c r="N12" s="7"/>
      <c r="O12" s="21" t="s">
        <v>370</v>
      </c>
      <c r="P12" s="5">
        <f>'расчеты к штатному'!P12-'расчеты к штатному старое'!P12</f>
        <v>10618.200000000012</v>
      </c>
      <c r="Q12" s="7"/>
      <c r="R12" s="8"/>
      <c r="S12" s="7">
        <v>0.1</v>
      </c>
      <c r="T12" s="18">
        <f t="shared" si="2"/>
        <v>1061.82</v>
      </c>
      <c r="U12" s="7"/>
      <c r="V12" s="9"/>
      <c r="W12" s="10">
        <f t="shared" si="0"/>
        <v>11680.020000000011</v>
      </c>
      <c r="X12" s="406">
        <f t="shared" si="1"/>
        <v>0.1</v>
      </c>
      <c r="Y12" s="406">
        <f t="shared" si="1"/>
        <v>1061.82</v>
      </c>
      <c r="Z12" s="375"/>
      <c r="AA12" s="375"/>
      <c r="AB12" s="375"/>
      <c r="AC12" s="375"/>
      <c r="AD12" s="375"/>
      <c r="AE12" s="375"/>
      <c r="AF12" s="375"/>
      <c r="AG12" s="375"/>
      <c r="AH12" s="375"/>
      <c r="AI12" s="375"/>
      <c r="AJ12" s="375"/>
      <c r="AK12" s="375"/>
      <c r="AL12" s="375"/>
      <c r="AM12" s="375"/>
    </row>
    <row r="13" spans="1:43" s="377" customFormat="1" ht="15" customHeight="1">
      <c r="A13" s="5">
        <v>8</v>
      </c>
      <c r="B13" s="26" t="s">
        <v>52</v>
      </c>
      <c r="C13" s="6" t="s">
        <v>53</v>
      </c>
      <c r="D13" s="5" t="s">
        <v>25</v>
      </c>
      <c r="E13" s="5" t="s">
        <v>54</v>
      </c>
      <c r="F13" s="5" t="s">
        <v>55</v>
      </c>
      <c r="G13" s="5">
        <v>1</v>
      </c>
      <c r="H13" s="20" t="s">
        <v>56</v>
      </c>
      <c r="I13" s="20" t="s">
        <v>56</v>
      </c>
      <c r="J13" s="731" t="s">
        <v>57</v>
      </c>
      <c r="K13" s="7">
        <v>17697</v>
      </c>
      <c r="L13" s="7"/>
      <c r="M13" s="7">
        <v>1</v>
      </c>
      <c r="N13" s="7"/>
      <c r="O13" s="21" t="s">
        <v>371</v>
      </c>
      <c r="P13" s="5">
        <f>'расчеты к штатному'!P13-'расчеты к штатному старое'!P13</f>
        <v>18227.909999999996</v>
      </c>
      <c r="Q13" s="7"/>
      <c r="R13" s="8"/>
      <c r="S13" s="7">
        <v>0.1</v>
      </c>
      <c r="T13" s="18">
        <f t="shared" si="2"/>
        <v>1822.79</v>
      </c>
      <c r="U13" s="7"/>
      <c r="V13" s="9"/>
      <c r="W13" s="10">
        <f t="shared" si="0"/>
        <v>20050.699999999997</v>
      </c>
      <c r="X13" s="406">
        <f t="shared" si="1"/>
        <v>0.1</v>
      </c>
      <c r="Y13" s="406">
        <f t="shared" si="1"/>
        <v>1822.79</v>
      </c>
      <c r="Z13" s="375"/>
      <c r="AA13" s="375"/>
      <c r="AB13" s="375"/>
      <c r="AC13" s="375"/>
      <c r="AD13" s="375"/>
      <c r="AE13" s="375"/>
      <c r="AF13" s="375"/>
      <c r="AG13" s="375"/>
      <c r="AH13" s="375"/>
      <c r="AI13" s="375"/>
      <c r="AJ13" s="375"/>
      <c r="AK13" s="375"/>
      <c r="AL13" s="375"/>
      <c r="AM13" s="375"/>
    </row>
    <row r="14" spans="1:43" s="377" customFormat="1" ht="18" customHeight="1">
      <c r="A14" s="5">
        <v>9</v>
      </c>
      <c r="B14" s="26" t="s">
        <v>399</v>
      </c>
      <c r="C14" s="6" t="s">
        <v>59</v>
      </c>
      <c r="D14" s="5" t="s">
        <v>25</v>
      </c>
      <c r="E14" s="34" t="s">
        <v>418</v>
      </c>
      <c r="F14" s="5" t="s">
        <v>77</v>
      </c>
      <c r="G14" s="40">
        <v>1</v>
      </c>
      <c r="H14" s="5" t="s">
        <v>61</v>
      </c>
      <c r="I14" s="5" t="s">
        <v>61</v>
      </c>
      <c r="J14" s="27">
        <v>1</v>
      </c>
      <c r="K14" s="7">
        <v>17697</v>
      </c>
      <c r="L14" s="7"/>
      <c r="M14" s="7">
        <v>1</v>
      </c>
      <c r="N14" s="732"/>
      <c r="O14" s="21" t="s">
        <v>402</v>
      </c>
      <c r="P14" s="5">
        <f>'расчеты к штатному'!P14-'расчеты к штатному старое'!P14</f>
        <v>8848.5</v>
      </c>
      <c r="Q14" s="7"/>
      <c r="R14" s="8"/>
      <c r="S14" s="7">
        <v>0.1</v>
      </c>
      <c r="T14" s="18">
        <f>ROUND(P14*S14,2)</f>
        <v>884.85</v>
      </c>
      <c r="U14" s="7"/>
      <c r="V14" s="9"/>
      <c r="W14" s="10">
        <f t="shared" si="0"/>
        <v>9733.35</v>
      </c>
      <c r="X14" s="406">
        <f t="shared" si="1"/>
        <v>0.1</v>
      </c>
      <c r="Y14" s="406">
        <f t="shared" si="1"/>
        <v>884.85</v>
      </c>
      <c r="Z14" s="375"/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5"/>
    </row>
    <row r="15" spans="1:43" s="377" customFormat="1" ht="15" customHeight="1">
      <c r="A15" s="5">
        <v>10</v>
      </c>
      <c r="B15" s="26" t="s">
        <v>62</v>
      </c>
      <c r="C15" s="13" t="s">
        <v>63</v>
      </c>
      <c r="D15" s="5" t="s">
        <v>64</v>
      </c>
      <c r="E15" s="5" t="s">
        <v>412</v>
      </c>
      <c r="F15" s="5" t="s">
        <v>66</v>
      </c>
      <c r="G15" s="5">
        <v>1</v>
      </c>
      <c r="H15" s="20" t="s">
        <v>56</v>
      </c>
      <c r="I15" s="20" t="s">
        <v>56</v>
      </c>
      <c r="J15" s="27">
        <v>3</v>
      </c>
      <c r="K15" s="7">
        <v>17697</v>
      </c>
      <c r="L15" s="7"/>
      <c r="M15" s="7">
        <v>1</v>
      </c>
      <c r="N15" s="7"/>
      <c r="O15" s="7">
        <v>3.57</v>
      </c>
      <c r="P15" s="5">
        <f>'расчеты к штатному'!P15-'расчеты к штатному старое'!P15</f>
        <v>11503.049999999996</v>
      </c>
      <c r="Q15" s="7"/>
      <c r="R15" s="8"/>
      <c r="S15" s="7">
        <v>0.1</v>
      </c>
      <c r="T15" s="18">
        <f t="shared" si="2"/>
        <v>1150.31</v>
      </c>
      <c r="U15" s="7"/>
      <c r="V15" s="9"/>
      <c r="W15" s="10">
        <f t="shared" si="0"/>
        <v>12653.359999999995</v>
      </c>
      <c r="X15" s="406">
        <f t="shared" si="1"/>
        <v>0.1</v>
      </c>
      <c r="Y15" s="406">
        <f t="shared" si="1"/>
        <v>1150.31</v>
      </c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</row>
    <row r="16" spans="1:43" s="377" customFormat="1" ht="15" customHeight="1">
      <c r="A16" s="5">
        <v>11</v>
      </c>
      <c r="B16" s="26" t="s">
        <v>400</v>
      </c>
      <c r="C16" s="13" t="s">
        <v>63</v>
      </c>
      <c r="D16" s="5" t="s">
        <v>64</v>
      </c>
      <c r="E16" s="732">
        <v>0</v>
      </c>
      <c r="F16" s="5" t="s">
        <v>159</v>
      </c>
      <c r="G16" s="5">
        <v>1.5</v>
      </c>
      <c r="H16" s="20" t="s">
        <v>69</v>
      </c>
      <c r="I16" s="20" t="s">
        <v>69</v>
      </c>
      <c r="J16" s="737" t="s">
        <v>30</v>
      </c>
      <c r="K16" s="7">
        <v>17697</v>
      </c>
      <c r="L16" s="7"/>
      <c r="M16" s="7">
        <v>1.5</v>
      </c>
      <c r="N16" s="7"/>
      <c r="O16" s="5">
        <v>3.31</v>
      </c>
      <c r="P16" s="5">
        <f>'расчеты к штатному'!P16-'расчеты к штатному старое'!P16</f>
        <v>15661.845000000016</v>
      </c>
      <c r="Q16" s="8"/>
      <c r="R16" s="7"/>
      <c r="S16" s="7">
        <v>0.1</v>
      </c>
      <c r="T16" s="18">
        <f t="shared" si="2"/>
        <v>1566.18</v>
      </c>
      <c r="U16" s="9"/>
      <c r="V16" s="7"/>
      <c r="W16" s="10">
        <f t="shared" si="0"/>
        <v>17228.025000000016</v>
      </c>
      <c r="X16" s="406">
        <f t="shared" si="1"/>
        <v>0.1</v>
      </c>
      <c r="Y16" s="406">
        <f t="shared" si="1"/>
        <v>1566.18</v>
      </c>
    </row>
    <row r="17" spans="1:39" s="364" customFormat="1" ht="15.75" customHeight="1">
      <c r="A17" s="5">
        <v>12</v>
      </c>
      <c r="B17" s="13" t="s">
        <v>378</v>
      </c>
      <c r="C17" s="13" t="s">
        <v>63</v>
      </c>
      <c r="D17" s="5" t="s">
        <v>64</v>
      </c>
      <c r="E17" s="14">
        <v>0</v>
      </c>
      <c r="F17" s="5" t="s">
        <v>159</v>
      </c>
      <c r="G17" s="5">
        <v>0.5</v>
      </c>
      <c r="H17" s="15" t="s">
        <v>56</v>
      </c>
      <c r="I17" s="15" t="s">
        <v>56</v>
      </c>
      <c r="J17" s="14">
        <v>3</v>
      </c>
      <c r="K17" s="15">
        <v>17697</v>
      </c>
      <c r="L17" s="15"/>
      <c r="M17" s="7">
        <v>0.5</v>
      </c>
      <c r="N17" s="21"/>
      <c r="O17" s="7">
        <v>3.31</v>
      </c>
      <c r="P17" s="5">
        <f>'расчеты к штатному'!P17-'расчеты к штатному старое'!P17</f>
        <v>4866.6750000000029</v>
      </c>
      <c r="Q17" s="8"/>
      <c r="R17" s="7"/>
      <c r="S17" s="7">
        <v>0.1</v>
      </c>
      <c r="T17" s="18">
        <f t="shared" si="2"/>
        <v>486.67</v>
      </c>
      <c r="U17" s="9"/>
      <c r="V17" s="7"/>
      <c r="W17" s="10">
        <f t="shared" si="0"/>
        <v>5353.345000000003</v>
      </c>
      <c r="X17" s="406">
        <f t="shared" si="1"/>
        <v>0.1</v>
      </c>
      <c r="Y17" s="406">
        <f t="shared" si="1"/>
        <v>486.67</v>
      </c>
    </row>
    <row r="18" spans="1:39" s="364" customFormat="1" ht="15.75" customHeight="1">
      <c r="A18" s="5">
        <v>13</v>
      </c>
      <c r="B18" s="13" t="s">
        <v>70</v>
      </c>
      <c r="C18" s="13" t="s">
        <v>71</v>
      </c>
      <c r="D18" s="5" t="s">
        <v>25</v>
      </c>
      <c r="E18" s="14" t="s">
        <v>72</v>
      </c>
      <c r="F18" s="5" t="s">
        <v>73</v>
      </c>
      <c r="G18" s="5">
        <v>1</v>
      </c>
      <c r="H18" s="738" t="s">
        <v>56</v>
      </c>
      <c r="I18" s="738" t="s">
        <v>56</v>
      </c>
      <c r="J18" s="738">
        <v>2</v>
      </c>
      <c r="K18" s="15">
        <v>17697</v>
      </c>
      <c r="L18" s="15"/>
      <c r="M18" s="10">
        <v>0.5</v>
      </c>
      <c r="N18" s="21"/>
      <c r="O18" s="7">
        <v>4.43</v>
      </c>
      <c r="P18" s="5">
        <f>'расчеты к штатному'!P18-'расчеты к штатному старое'!P18</f>
        <v>8140.619999999999</v>
      </c>
      <c r="Q18" s="8"/>
      <c r="R18" s="7"/>
      <c r="S18" s="7">
        <v>0.1</v>
      </c>
      <c r="T18" s="18">
        <f>ROUND(P18*S18,2)</f>
        <v>814.06</v>
      </c>
      <c r="U18" s="9">
        <v>0.2</v>
      </c>
      <c r="V18" s="7">
        <f>U18*K18*50%</f>
        <v>1769.7</v>
      </c>
      <c r="W18" s="10">
        <f t="shared" si="0"/>
        <v>8954.6799999999985</v>
      </c>
      <c r="X18" s="406">
        <f>Q18+S18+U18+W18</f>
        <v>8954.9799999999977</v>
      </c>
      <c r="Y18" s="406">
        <f>R18+T18+V18+X18</f>
        <v>11538.739999999998</v>
      </c>
    </row>
    <row r="19" spans="1:39" s="364" customFormat="1" ht="15.75" customHeight="1">
      <c r="A19" s="5">
        <v>14</v>
      </c>
      <c r="B19" s="13" t="s">
        <v>378</v>
      </c>
      <c r="C19" s="13" t="s">
        <v>71</v>
      </c>
      <c r="D19" s="5" t="s">
        <v>75</v>
      </c>
      <c r="E19" s="14">
        <v>0</v>
      </c>
      <c r="F19" s="5" t="s">
        <v>159</v>
      </c>
      <c r="G19" s="5">
        <v>0.5</v>
      </c>
      <c r="H19" s="15" t="s">
        <v>56</v>
      </c>
      <c r="I19" s="15" t="s">
        <v>56</v>
      </c>
      <c r="J19" s="14">
        <v>3</v>
      </c>
      <c r="K19" s="15">
        <v>17697</v>
      </c>
      <c r="L19" s="15"/>
      <c r="M19" s="10">
        <v>0.5</v>
      </c>
      <c r="N19" s="21"/>
      <c r="O19" s="7">
        <v>3.31</v>
      </c>
      <c r="P19" s="5">
        <f>'расчеты к штатному'!P19-'расчеты к штатному старое'!P19</f>
        <v>12210.929999999997</v>
      </c>
      <c r="Q19" s="8"/>
      <c r="R19" s="7"/>
      <c r="S19" s="7">
        <v>0.1</v>
      </c>
      <c r="T19" s="18">
        <f t="shared" si="2"/>
        <v>1221.0899999999999</v>
      </c>
      <c r="U19" s="9">
        <v>0.2</v>
      </c>
      <c r="V19" s="7">
        <f>U19*K19*50%</f>
        <v>1769.7</v>
      </c>
      <c r="W19" s="10">
        <f t="shared" si="0"/>
        <v>13432.019999999997</v>
      </c>
      <c r="X19" s="406">
        <f>Q19+S19+U19+W19</f>
        <v>13432.319999999996</v>
      </c>
      <c r="Y19" s="406">
        <f>R19+T19+V19+X19</f>
        <v>16423.109999999997</v>
      </c>
    </row>
    <row r="20" spans="1:39" s="377" customFormat="1" ht="15" customHeight="1">
      <c r="A20" s="5">
        <v>15</v>
      </c>
      <c r="B20" s="26" t="s">
        <v>78</v>
      </c>
      <c r="C20" s="6" t="s">
        <v>79</v>
      </c>
      <c r="D20" s="5" t="s">
        <v>25</v>
      </c>
      <c r="E20" s="5" t="s">
        <v>413</v>
      </c>
      <c r="F20" s="5" t="s">
        <v>73</v>
      </c>
      <c r="G20" s="5">
        <v>1</v>
      </c>
      <c r="H20" s="5" t="s">
        <v>56</v>
      </c>
      <c r="I20" s="5" t="s">
        <v>56</v>
      </c>
      <c r="J20" s="27">
        <v>2</v>
      </c>
      <c r="K20" s="7">
        <v>17697</v>
      </c>
      <c r="L20" s="7"/>
      <c r="M20" s="7">
        <v>0.5</v>
      </c>
      <c r="N20" s="739"/>
      <c r="O20" s="7">
        <v>4.43</v>
      </c>
      <c r="P20" s="5">
        <f>'расчеты к штатному'!P20-'расчеты к штатному старое'!P20</f>
        <v>0</v>
      </c>
      <c r="Q20" s="7"/>
      <c r="R20" s="8"/>
      <c r="S20" s="7">
        <v>0.1</v>
      </c>
      <c r="T20" s="18">
        <f t="shared" si="2"/>
        <v>0</v>
      </c>
      <c r="U20" s="7"/>
      <c r="V20" s="9"/>
      <c r="W20" s="10">
        <f t="shared" si="0"/>
        <v>0</v>
      </c>
      <c r="X20" s="406">
        <f t="shared" si="1"/>
        <v>0.1</v>
      </c>
      <c r="Y20" s="406">
        <f t="shared" si="1"/>
        <v>0</v>
      </c>
      <c r="Z20" s="375"/>
      <c r="AA20" s="375"/>
      <c r="AB20" s="375"/>
      <c r="AC20" s="375"/>
      <c r="AD20" s="375"/>
      <c r="AE20" s="375"/>
      <c r="AF20" s="375"/>
      <c r="AG20" s="375"/>
      <c r="AH20" s="375"/>
      <c r="AI20" s="375"/>
      <c r="AJ20" s="375"/>
      <c r="AK20" s="375"/>
      <c r="AL20" s="375"/>
      <c r="AM20" s="375"/>
    </row>
    <row r="21" spans="1:39" s="390" customFormat="1" ht="15.75" customHeight="1">
      <c r="A21" s="5">
        <v>16</v>
      </c>
      <c r="B21" s="29" t="s">
        <v>81</v>
      </c>
      <c r="C21" s="6" t="s">
        <v>82</v>
      </c>
      <c r="D21" s="30" t="s">
        <v>64</v>
      </c>
      <c r="E21" s="5" t="s">
        <v>413</v>
      </c>
      <c r="F21" s="30" t="s">
        <v>84</v>
      </c>
      <c r="G21" s="21">
        <v>1</v>
      </c>
      <c r="H21" s="20" t="s">
        <v>56</v>
      </c>
      <c r="I21" s="5" t="s">
        <v>56</v>
      </c>
      <c r="J21" s="20">
        <v>3</v>
      </c>
      <c r="K21" s="7">
        <v>17697</v>
      </c>
      <c r="L21" s="7"/>
      <c r="M21" s="7">
        <v>1</v>
      </c>
      <c r="N21" s="7"/>
      <c r="O21" s="7">
        <v>3.5</v>
      </c>
      <c r="P21" s="5">
        <f>'расчеты к штатному'!P21-'расчеты к штатному старое'!P21</f>
        <v>10441.229999999996</v>
      </c>
      <c r="Q21" s="7"/>
      <c r="R21" s="8"/>
      <c r="S21" s="7">
        <v>0.1</v>
      </c>
      <c r="T21" s="18">
        <f t="shared" si="2"/>
        <v>1044.1199999999999</v>
      </c>
      <c r="U21" s="7"/>
      <c r="V21" s="9"/>
      <c r="W21" s="10">
        <f t="shared" si="0"/>
        <v>11485.349999999995</v>
      </c>
      <c r="X21" s="406">
        <f t="shared" si="1"/>
        <v>0.1</v>
      </c>
      <c r="Y21" s="406">
        <f t="shared" si="1"/>
        <v>1044.1199999999999</v>
      </c>
      <c r="Z21" s="389"/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</row>
    <row r="22" spans="1:39" s="377" customFormat="1" ht="18" customHeight="1">
      <c r="A22" s="5">
        <v>17</v>
      </c>
      <c r="B22" s="26" t="s">
        <v>85</v>
      </c>
      <c r="C22" s="6" t="s">
        <v>86</v>
      </c>
      <c r="D22" s="5" t="s">
        <v>25</v>
      </c>
      <c r="E22" s="7" t="s">
        <v>515</v>
      </c>
      <c r="F22" s="5" t="s">
        <v>249</v>
      </c>
      <c r="G22" s="5">
        <v>1</v>
      </c>
      <c r="H22" s="5" t="s">
        <v>56</v>
      </c>
      <c r="I22" s="5" t="s">
        <v>56</v>
      </c>
      <c r="J22" s="731" t="s">
        <v>57</v>
      </c>
      <c r="K22" s="7">
        <v>17697</v>
      </c>
      <c r="L22" s="7"/>
      <c r="M22" s="7">
        <v>1</v>
      </c>
      <c r="N22" s="7"/>
      <c r="O22" s="7">
        <v>4.43</v>
      </c>
      <c r="P22" s="5">
        <f>'расчеты к штатному'!P22-'расчеты к штатному старое'!P22</f>
        <v>18227.909999999996</v>
      </c>
      <c r="Q22" s="8"/>
      <c r="R22" s="740"/>
      <c r="S22" s="7">
        <v>0.1</v>
      </c>
      <c r="T22" s="18">
        <f t="shared" si="2"/>
        <v>1822.79</v>
      </c>
      <c r="U22" s="741"/>
      <c r="V22" s="740"/>
      <c r="W22" s="10">
        <f t="shared" si="0"/>
        <v>20050.699999999997</v>
      </c>
      <c r="X22" s="406">
        <f t="shared" si="1"/>
        <v>0.1</v>
      </c>
      <c r="Y22" s="406">
        <f t="shared" si="1"/>
        <v>1822.79</v>
      </c>
    </row>
    <row r="23" spans="1:39" s="377" customFormat="1" ht="17.25" customHeight="1">
      <c r="A23" s="5">
        <v>18</v>
      </c>
      <c r="B23" s="690" t="s">
        <v>294</v>
      </c>
      <c r="C23" s="6" t="s">
        <v>86</v>
      </c>
      <c r="D23" s="20" t="s">
        <v>25</v>
      </c>
      <c r="E23" s="742">
        <v>0</v>
      </c>
      <c r="F23" s="742" t="s">
        <v>159</v>
      </c>
      <c r="G23" s="743">
        <v>1</v>
      </c>
      <c r="H23" s="5" t="s">
        <v>56</v>
      </c>
      <c r="I23" s="5" t="s">
        <v>56</v>
      </c>
      <c r="J23" s="731" t="s">
        <v>57</v>
      </c>
      <c r="K23" s="7">
        <v>17697</v>
      </c>
      <c r="L23" s="34"/>
      <c r="M23" s="35">
        <v>1</v>
      </c>
      <c r="N23" s="34"/>
      <c r="O23" s="34">
        <v>4.0999999999999996</v>
      </c>
      <c r="P23" s="5">
        <f>'расчеты к штатному'!P23-'расчеты к штатному старое'!P23</f>
        <v>-21767.309999999998</v>
      </c>
      <c r="Q23" s="37"/>
      <c r="R23" s="34"/>
      <c r="S23" s="34">
        <v>0.1</v>
      </c>
      <c r="T23" s="36">
        <f>ROUND(P23*S23,2)</f>
        <v>-2176.73</v>
      </c>
      <c r="U23" s="38"/>
      <c r="V23" s="34"/>
      <c r="W23" s="10">
        <f t="shared" si="0"/>
        <v>-23944.039999999997</v>
      </c>
      <c r="X23" s="437">
        <f t="shared" si="1"/>
        <v>0.1</v>
      </c>
      <c r="Y23" s="437">
        <f t="shared" si="1"/>
        <v>-2176.73</v>
      </c>
    </row>
    <row r="24" spans="1:39" s="377" customFormat="1" ht="17.25" customHeight="1">
      <c r="A24" s="5">
        <v>19</v>
      </c>
      <c r="B24" s="32" t="s">
        <v>373</v>
      </c>
      <c r="C24" s="39" t="s">
        <v>95</v>
      </c>
      <c r="D24" s="40" t="s">
        <v>25</v>
      </c>
      <c r="E24" s="34" t="s">
        <v>415</v>
      </c>
      <c r="F24" s="40" t="s">
        <v>376</v>
      </c>
      <c r="G24" s="40">
        <v>0.5</v>
      </c>
      <c r="H24" s="40" t="s">
        <v>56</v>
      </c>
      <c r="I24" s="40" t="s">
        <v>56</v>
      </c>
      <c r="J24" s="41" t="s">
        <v>57</v>
      </c>
      <c r="K24" s="34">
        <v>17697</v>
      </c>
      <c r="L24" s="34"/>
      <c r="M24" s="34">
        <v>0.5</v>
      </c>
      <c r="N24" s="34"/>
      <c r="O24" s="34">
        <v>4.1900000000000004</v>
      </c>
      <c r="P24" s="5" t="e">
        <f>'расчеты к штатному'!#REF!-'расчеты к штатному старое'!P24</f>
        <v>#REF!</v>
      </c>
      <c r="Q24" s="37"/>
      <c r="R24" s="34"/>
      <c r="S24" s="34">
        <v>0.1</v>
      </c>
      <c r="T24" s="36" t="e">
        <f t="shared" si="2"/>
        <v>#REF!</v>
      </c>
      <c r="U24" s="38"/>
      <c r="V24" s="34"/>
      <c r="W24" s="10" t="e">
        <f t="shared" si="0"/>
        <v>#REF!</v>
      </c>
      <c r="X24" s="437">
        <f t="shared" si="1"/>
        <v>0.1</v>
      </c>
      <c r="Y24" s="437" t="e">
        <f t="shared" si="1"/>
        <v>#REF!</v>
      </c>
      <c r="AC24" s="412"/>
    </row>
    <row r="25" spans="1:39" s="377" customFormat="1" ht="17.25" customHeight="1">
      <c r="A25" s="5">
        <v>20</v>
      </c>
      <c r="B25" s="32" t="s">
        <v>399</v>
      </c>
      <c r="C25" s="39" t="s">
        <v>95</v>
      </c>
      <c r="D25" s="40" t="s">
        <v>25</v>
      </c>
      <c r="E25" s="34" t="s">
        <v>419</v>
      </c>
      <c r="F25" s="5" t="s">
        <v>403</v>
      </c>
      <c r="G25" s="40">
        <v>0.5</v>
      </c>
      <c r="H25" s="40" t="s">
        <v>56</v>
      </c>
      <c r="I25" s="40" t="s">
        <v>56</v>
      </c>
      <c r="J25" s="41" t="s">
        <v>57</v>
      </c>
      <c r="K25" s="34">
        <v>17697</v>
      </c>
      <c r="L25" s="34"/>
      <c r="M25" s="34">
        <v>0.5</v>
      </c>
      <c r="N25" s="34"/>
      <c r="O25" s="34">
        <v>4.43</v>
      </c>
      <c r="P25" s="7">
        <f>'расчеты к штатному'!P24-'расчеты к штатному старое'!P25</f>
        <v>9113.9549999999981</v>
      </c>
      <c r="Q25" s="37"/>
      <c r="R25" s="34"/>
      <c r="S25" s="34">
        <v>0.1</v>
      </c>
      <c r="T25" s="36">
        <f t="shared" si="2"/>
        <v>911.4</v>
      </c>
      <c r="U25" s="38"/>
      <c r="V25" s="34"/>
      <c r="W25" s="10">
        <f t="shared" si="0"/>
        <v>10025.354999999998</v>
      </c>
      <c r="X25" s="437">
        <f t="shared" si="1"/>
        <v>0.1</v>
      </c>
      <c r="Y25" s="437">
        <f t="shared" si="1"/>
        <v>911.4</v>
      </c>
    </row>
    <row r="26" spans="1:39" s="24" customFormat="1" ht="17.25" customHeight="1">
      <c r="A26" s="95"/>
      <c r="B26" s="105"/>
      <c r="C26" s="106"/>
      <c r="D26" s="95"/>
      <c r="E26" s="97"/>
      <c r="F26" s="95"/>
      <c r="G26" s="95"/>
      <c r="H26" s="95"/>
      <c r="I26" s="95"/>
      <c r="J26" s="123"/>
      <c r="K26" s="97"/>
      <c r="L26" s="97"/>
      <c r="M26" s="97"/>
      <c r="N26" s="97"/>
      <c r="O26" s="197"/>
      <c r="P26" s="101"/>
      <c r="Q26" s="102"/>
      <c r="R26" s="97"/>
      <c r="S26" s="97"/>
      <c r="T26" s="101"/>
      <c r="U26" s="103"/>
      <c r="V26" s="97"/>
      <c r="W26" s="203"/>
      <c r="X26" s="104"/>
      <c r="Y26" s="104"/>
      <c r="AB26" s="22" t="e">
        <f>SUM(W6:W25)</f>
        <v>#REF!</v>
      </c>
      <c r="AC26" s="683"/>
    </row>
    <row r="27" spans="1:39" s="24" customFormat="1" ht="17.25" customHeight="1">
      <c r="A27" s="547">
        <v>22</v>
      </c>
      <c r="B27" s="548" t="s">
        <v>98</v>
      </c>
      <c r="C27" s="549" t="s">
        <v>99</v>
      </c>
      <c r="D27" s="547" t="s">
        <v>25</v>
      </c>
      <c r="E27" s="550" t="s">
        <v>462</v>
      </c>
      <c r="F27" s="550" t="s">
        <v>463</v>
      </c>
      <c r="G27" s="547">
        <v>1</v>
      </c>
      <c r="H27" s="547" t="s">
        <v>102</v>
      </c>
      <c r="I27" s="547" t="s">
        <v>103</v>
      </c>
      <c r="J27" s="551">
        <v>1</v>
      </c>
      <c r="K27" s="552">
        <v>17697</v>
      </c>
      <c r="L27" s="553">
        <v>35</v>
      </c>
      <c r="M27" s="554">
        <f>L27/18</f>
        <v>1.9444444444444444</v>
      </c>
      <c r="N27" s="555" t="s">
        <v>104</v>
      </c>
      <c r="O27" s="550">
        <v>4.55</v>
      </c>
      <c r="P27" s="556">
        <f>'расчеты к штатному'!P26-'расчеты к штатному старое'!P27</f>
        <v>14108.44166666668</v>
      </c>
      <c r="Q27" s="557"/>
      <c r="R27" s="552"/>
      <c r="S27" s="552">
        <v>0.1</v>
      </c>
      <c r="T27" s="556">
        <f>S27*P27</f>
        <v>1410.8441666666681</v>
      </c>
      <c r="U27" s="558"/>
      <c r="V27" s="552"/>
      <c r="W27" s="559">
        <f>T27+P27</f>
        <v>15519.285833333348</v>
      </c>
      <c r="X27" s="70">
        <f>U27+Q27</f>
        <v>0</v>
      </c>
      <c r="Y27" s="70">
        <f>V27+R27</f>
        <v>0</v>
      </c>
    </row>
    <row r="28" spans="1:39" s="24" customFormat="1" ht="17.25" customHeight="1">
      <c r="A28" s="560">
        <v>23</v>
      </c>
      <c r="B28" s="153" t="s">
        <v>41</v>
      </c>
      <c r="C28" s="561" t="s">
        <v>99</v>
      </c>
      <c r="D28" s="560" t="s">
        <v>25</v>
      </c>
      <c r="E28" s="562" t="s">
        <v>466</v>
      </c>
      <c r="F28" s="562" t="s">
        <v>34</v>
      </c>
      <c r="G28" s="560">
        <v>1</v>
      </c>
      <c r="H28" s="563" t="s">
        <v>102</v>
      </c>
      <c r="I28" s="563" t="s">
        <v>103</v>
      </c>
      <c r="J28" s="564">
        <v>2</v>
      </c>
      <c r="K28" s="554">
        <v>17697</v>
      </c>
      <c r="L28" s="565">
        <v>9</v>
      </c>
      <c r="M28" s="554">
        <f t="shared" ref="M28:M77" si="3">L28/18</f>
        <v>0.5</v>
      </c>
      <c r="N28" s="566" t="s">
        <v>104</v>
      </c>
      <c r="O28" s="566">
        <v>4.51</v>
      </c>
      <c r="P28" s="556">
        <f>'расчеты к штатному'!P27-'расчеты к штатному старое'!P28</f>
        <v>5220.614999999998</v>
      </c>
      <c r="Q28" s="568"/>
      <c r="R28" s="554"/>
      <c r="S28" s="554">
        <v>0.1</v>
      </c>
      <c r="T28" s="567">
        <f>S28*P28</f>
        <v>522.0614999999998</v>
      </c>
      <c r="U28" s="569"/>
      <c r="V28" s="554"/>
      <c r="W28" s="559">
        <f t="shared" ref="W28:W77" si="4">T28+P28</f>
        <v>5742.6764999999978</v>
      </c>
      <c r="X28" s="10">
        <f t="shared" ref="X28:Y58" si="5">U28+Q28</f>
        <v>0</v>
      </c>
      <c r="Y28" s="10">
        <f t="shared" si="5"/>
        <v>0</v>
      </c>
      <c r="AC28" s="22"/>
    </row>
    <row r="29" spans="1:39" s="24" customFormat="1" ht="15.75">
      <c r="A29" s="547">
        <v>24</v>
      </c>
      <c r="B29" s="153" t="s">
        <v>445</v>
      </c>
      <c r="C29" s="561" t="s">
        <v>99</v>
      </c>
      <c r="D29" s="563" t="s">
        <v>25</v>
      </c>
      <c r="E29" s="562" t="s">
        <v>464</v>
      </c>
      <c r="F29" s="562" t="s">
        <v>217</v>
      </c>
      <c r="G29" s="571">
        <v>1</v>
      </c>
      <c r="H29" s="560" t="s">
        <v>102</v>
      </c>
      <c r="I29" s="560" t="s">
        <v>103</v>
      </c>
      <c r="J29" s="572">
        <v>1</v>
      </c>
      <c r="K29" s="554">
        <v>17697</v>
      </c>
      <c r="L29" s="573">
        <v>10</v>
      </c>
      <c r="M29" s="554">
        <f t="shared" si="3"/>
        <v>0.55555555555555558</v>
      </c>
      <c r="N29" s="574" t="s">
        <v>152</v>
      </c>
      <c r="O29" s="575">
        <v>4.6900000000000004</v>
      </c>
      <c r="P29" s="556">
        <f>'расчеты к штатному'!P28-'расчеты к штатному старое'!P29</f>
        <v>4227.6166666666686</v>
      </c>
      <c r="Q29" s="568"/>
      <c r="R29" s="554"/>
      <c r="S29" s="554">
        <v>0.1</v>
      </c>
      <c r="T29" s="567">
        <f t="shared" ref="T29:T43" si="6">S29*P29</f>
        <v>422.76166666666688</v>
      </c>
      <c r="U29" s="569"/>
      <c r="V29" s="554"/>
      <c r="W29" s="559">
        <f t="shared" si="4"/>
        <v>4650.3783333333358</v>
      </c>
      <c r="X29" s="10">
        <f t="shared" si="5"/>
        <v>0</v>
      </c>
      <c r="Y29" s="10">
        <f t="shared" si="5"/>
        <v>0</v>
      </c>
    </row>
    <row r="30" spans="1:39" s="24" customFormat="1" ht="15.75">
      <c r="A30" s="560">
        <v>25</v>
      </c>
      <c r="B30" s="576" t="s">
        <v>110</v>
      </c>
      <c r="C30" s="561" t="s">
        <v>99</v>
      </c>
      <c r="D30" s="560" t="s">
        <v>25</v>
      </c>
      <c r="E30" s="562" t="s">
        <v>467</v>
      </c>
      <c r="F30" s="562" t="s">
        <v>468</v>
      </c>
      <c r="G30" s="560">
        <v>1</v>
      </c>
      <c r="H30" s="577" t="s">
        <v>102</v>
      </c>
      <c r="I30" s="577" t="s">
        <v>103</v>
      </c>
      <c r="J30" s="578">
        <v>4</v>
      </c>
      <c r="K30" s="554">
        <v>17697</v>
      </c>
      <c r="L30" s="565">
        <v>31</v>
      </c>
      <c r="M30" s="554">
        <f t="shared" si="3"/>
        <v>1.7222222222222223</v>
      </c>
      <c r="N30" s="574" t="s">
        <v>112</v>
      </c>
      <c r="O30" s="579">
        <v>3.71</v>
      </c>
      <c r="P30" s="556">
        <f>'расчеты к штатному'!P29-'расчеты к штатному старое'!P30</f>
        <v>32916.42</v>
      </c>
      <c r="Q30" s="568"/>
      <c r="R30" s="554"/>
      <c r="S30" s="554">
        <v>0.1</v>
      </c>
      <c r="T30" s="567">
        <f t="shared" si="6"/>
        <v>3291.6419999999998</v>
      </c>
      <c r="U30" s="569"/>
      <c r="V30" s="554"/>
      <c r="W30" s="559">
        <f t="shared" si="4"/>
        <v>36208.061999999998</v>
      </c>
      <c r="X30" s="10"/>
      <c r="Y30" s="10"/>
    </row>
    <row r="31" spans="1:39" s="24" customFormat="1" ht="17.25" customHeight="1">
      <c r="A31" s="547">
        <v>26</v>
      </c>
      <c r="B31" s="153" t="s">
        <v>106</v>
      </c>
      <c r="C31" s="561" t="s">
        <v>99</v>
      </c>
      <c r="D31" s="560" t="s">
        <v>25</v>
      </c>
      <c r="E31" s="562" t="s">
        <v>107</v>
      </c>
      <c r="F31" s="562" t="s">
        <v>108</v>
      </c>
      <c r="G31" s="560">
        <v>1</v>
      </c>
      <c r="H31" s="563" t="s">
        <v>102</v>
      </c>
      <c r="I31" s="563" t="s">
        <v>103</v>
      </c>
      <c r="J31" s="564">
        <v>3</v>
      </c>
      <c r="K31" s="554">
        <v>17697</v>
      </c>
      <c r="L31" s="565">
        <v>15</v>
      </c>
      <c r="M31" s="554">
        <f t="shared" si="3"/>
        <v>0.83333333333333337</v>
      </c>
      <c r="N31" s="566" t="s">
        <v>109</v>
      </c>
      <c r="O31" s="579">
        <v>4</v>
      </c>
      <c r="P31" s="556">
        <f>'расчеты к штатному'!P30-'расчеты к штатному старое'!P31</f>
        <v>-1917.1750000000029</v>
      </c>
      <c r="Q31" s="568"/>
      <c r="R31" s="554"/>
      <c r="S31" s="554">
        <v>0.1</v>
      </c>
      <c r="T31" s="567">
        <f t="shared" si="6"/>
        <v>-191.71750000000031</v>
      </c>
      <c r="U31" s="569"/>
      <c r="V31" s="554"/>
      <c r="W31" s="559">
        <f t="shared" si="4"/>
        <v>-2108.8925000000031</v>
      </c>
      <c r="X31" s="10">
        <f t="shared" si="5"/>
        <v>0</v>
      </c>
      <c r="Y31" s="10">
        <f t="shared" si="5"/>
        <v>0</v>
      </c>
    </row>
    <row r="32" spans="1:39" s="24" customFormat="1" ht="15.75">
      <c r="A32" s="560">
        <v>27</v>
      </c>
      <c r="B32" s="153" t="s">
        <v>215</v>
      </c>
      <c r="C32" s="561" t="s">
        <v>99</v>
      </c>
      <c r="D32" s="563" t="s">
        <v>25</v>
      </c>
      <c r="E32" s="562" t="s">
        <v>441</v>
      </c>
      <c r="F32" s="562" t="s">
        <v>217</v>
      </c>
      <c r="G32" s="571">
        <v>1</v>
      </c>
      <c r="H32" s="580" t="s">
        <v>102</v>
      </c>
      <c r="I32" s="580" t="s">
        <v>103</v>
      </c>
      <c r="J32" s="574">
        <v>1</v>
      </c>
      <c r="K32" s="554">
        <v>17697</v>
      </c>
      <c r="L32" s="573">
        <v>6</v>
      </c>
      <c r="M32" s="554">
        <f t="shared" si="3"/>
        <v>0.33333333333333331</v>
      </c>
      <c r="N32" s="574" t="s">
        <v>152</v>
      </c>
      <c r="O32" s="575">
        <v>4.6900000000000004</v>
      </c>
      <c r="P32" s="556">
        <f>'расчеты к штатному'!P31-'расчеты к штатному старое'!P32</f>
        <v>2536.570000000007</v>
      </c>
      <c r="Q32" s="568"/>
      <c r="R32" s="554"/>
      <c r="S32" s="554">
        <v>0.1</v>
      </c>
      <c r="T32" s="567">
        <f t="shared" si="6"/>
        <v>253.65700000000072</v>
      </c>
      <c r="U32" s="569"/>
      <c r="V32" s="554"/>
      <c r="W32" s="559">
        <f t="shared" si="4"/>
        <v>2790.2270000000076</v>
      </c>
      <c r="X32" s="10">
        <f t="shared" si="5"/>
        <v>0</v>
      </c>
      <c r="Y32" s="10">
        <f t="shared" si="5"/>
        <v>0</v>
      </c>
    </row>
    <row r="33" spans="1:25" s="24" customFormat="1" ht="17.25" customHeight="1">
      <c r="A33" s="547">
        <v>28</v>
      </c>
      <c r="B33" s="153" t="s">
        <v>23</v>
      </c>
      <c r="C33" s="561" t="s">
        <v>99</v>
      </c>
      <c r="D33" s="560" t="s">
        <v>25</v>
      </c>
      <c r="E33" s="562" t="s">
        <v>469</v>
      </c>
      <c r="F33" s="562" t="s">
        <v>114</v>
      </c>
      <c r="G33" s="560">
        <v>1</v>
      </c>
      <c r="H33" s="563" t="s">
        <v>102</v>
      </c>
      <c r="I33" s="563" t="s">
        <v>103</v>
      </c>
      <c r="J33" s="581">
        <v>1</v>
      </c>
      <c r="K33" s="554">
        <v>17697</v>
      </c>
      <c r="L33" s="565">
        <v>9</v>
      </c>
      <c r="M33" s="554">
        <f t="shared" si="3"/>
        <v>0.5</v>
      </c>
      <c r="N33" s="574" t="s">
        <v>152</v>
      </c>
      <c r="O33" s="555">
        <v>4.75</v>
      </c>
      <c r="P33" s="556">
        <f>'расчеты к штатному'!P32-'расчеты к штатному старое'!P33</f>
        <v>3804.8549999999959</v>
      </c>
      <c r="Q33" s="568"/>
      <c r="R33" s="554"/>
      <c r="S33" s="554">
        <v>0.1</v>
      </c>
      <c r="T33" s="567">
        <f t="shared" si="6"/>
        <v>380.4854999999996</v>
      </c>
      <c r="U33" s="569"/>
      <c r="V33" s="554"/>
      <c r="W33" s="559">
        <f t="shared" si="4"/>
        <v>4185.3404999999957</v>
      </c>
      <c r="X33" s="10">
        <f t="shared" si="5"/>
        <v>0</v>
      </c>
      <c r="Y33" s="10">
        <f t="shared" si="5"/>
        <v>0</v>
      </c>
    </row>
    <row r="34" spans="1:25" s="24" customFormat="1" ht="17.25" customHeight="1">
      <c r="A34" s="560">
        <v>29</v>
      </c>
      <c r="B34" s="153" t="s">
        <v>124</v>
      </c>
      <c r="C34" s="561" t="s">
        <v>125</v>
      </c>
      <c r="D34" s="560" t="s">
        <v>75</v>
      </c>
      <c r="E34" s="582" t="s">
        <v>126</v>
      </c>
      <c r="F34" s="562" t="s">
        <v>108</v>
      </c>
      <c r="G34" s="560">
        <v>1</v>
      </c>
      <c r="H34" s="563" t="s">
        <v>102</v>
      </c>
      <c r="I34" s="563" t="s">
        <v>118</v>
      </c>
      <c r="J34" s="581">
        <v>3</v>
      </c>
      <c r="K34" s="554">
        <v>17697</v>
      </c>
      <c r="L34" s="565">
        <v>22.5</v>
      </c>
      <c r="M34" s="554">
        <f t="shared" si="3"/>
        <v>1.25</v>
      </c>
      <c r="N34" s="566" t="s">
        <v>109</v>
      </c>
      <c r="O34" s="566">
        <v>3.85</v>
      </c>
      <c r="P34" s="556">
        <f>'расчеты к штатному'!P35-'расчеты к штатному старое'!P34</f>
        <v>-6016.9800000000032</v>
      </c>
      <c r="Q34" s="568"/>
      <c r="R34" s="554"/>
      <c r="S34" s="554">
        <v>0.1</v>
      </c>
      <c r="T34" s="567">
        <f t="shared" si="6"/>
        <v>-601.69800000000032</v>
      </c>
      <c r="U34" s="569"/>
      <c r="V34" s="554"/>
      <c r="W34" s="559">
        <f t="shared" si="4"/>
        <v>-6618.6780000000035</v>
      </c>
      <c r="X34" s="10">
        <f t="shared" si="5"/>
        <v>0</v>
      </c>
      <c r="Y34" s="10">
        <f t="shared" si="5"/>
        <v>0</v>
      </c>
    </row>
    <row r="35" spans="1:25" s="24" customFormat="1" ht="17.25" customHeight="1">
      <c r="A35" s="547">
        <v>30</v>
      </c>
      <c r="B35" s="153" t="s">
        <v>116</v>
      </c>
      <c r="C35" s="561" t="s">
        <v>99</v>
      </c>
      <c r="D35" s="560" t="s">
        <v>64</v>
      </c>
      <c r="E35" s="583" t="s">
        <v>470</v>
      </c>
      <c r="F35" s="562" t="s">
        <v>114</v>
      </c>
      <c r="G35" s="560">
        <v>1</v>
      </c>
      <c r="H35" s="563" t="s">
        <v>102</v>
      </c>
      <c r="I35" s="563" t="s">
        <v>118</v>
      </c>
      <c r="J35" s="564">
        <v>1</v>
      </c>
      <c r="K35" s="554">
        <v>17697</v>
      </c>
      <c r="L35" s="565">
        <v>19</v>
      </c>
      <c r="M35" s="554">
        <f t="shared" si="3"/>
        <v>1.0555555555555556</v>
      </c>
      <c r="N35" s="574" t="s">
        <v>152</v>
      </c>
      <c r="O35" s="566">
        <v>4.5199999999999996</v>
      </c>
      <c r="P35" s="556">
        <f>'расчеты к штатному'!P36-'расчеты к штатному старое'!P35</f>
        <v>7324.5916666666599</v>
      </c>
      <c r="Q35" s="568"/>
      <c r="R35" s="554"/>
      <c r="S35" s="554">
        <v>0.1</v>
      </c>
      <c r="T35" s="567">
        <f t="shared" si="6"/>
        <v>732.45916666666608</v>
      </c>
      <c r="U35" s="569"/>
      <c r="V35" s="554"/>
      <c r="W35" s="559">
        <f t="shared" si="4"/>
        <v>8057.0508333333255</v>
      </c>
      <c r="X35" s="10">
        <f t="shared" si="5"/>
        <v>0</v>
      </c>
      <c r="Y35" s="10">
        <f t="shared" si="5"/>
        <v>0</v>
      </c>
    </row>
    <row r="36" spans="1:25" s="24" customFormat="1" ht="17.25" customHeight="1">
      <c r="A36" s="560">
        <v>31</v>
      </c>
      <c r="B36" s="153" t="s">
        <v>127</v>
      </c>
      <c r="C36" s="561" t="s">
        <v>99</v>
      </c>
      <c r="D36" s="560" t="s">
        <v>25</v>
      </c>
      <c r="E36" s="562" t="s">
        <v>471</v>
      </c>
      <c r="F36" s="562" t="s">
        <v>34</v>
      </c>
      <c r="G36" s="560">
        <v>1</v>
      </c>
      <c r="H36" s="563" t="s">
        <v>102</v>
      </c>
      <c r="I36" s="563" t="s">
        <v>103</v>
      </c>
      <c r="J36" s="564">
        <v>1</v>
      </c>
      <c r="K36" s="554">
        <v>17697</v>
      </c>
      <c r="L36" s="565">
        <v>26</v>
      </c>
      <c r="M36" s="554">
        <f t="shared" si="3"/>
        <v>1.4444444444444444</v>
      </c>
      <c r="N36" s="574" t="s">
        <v>152</v>
      </c>
      <c r="O36" s="566">
        <v>4.75</v>
      </c>
      <c r="P36" s="556">
        <f>'расчеты к штатному'!P37-'расчеты к штатному старое'!P36</f>
        <v>-12879.483333333337</v>
      </c>
      <c r="Q36" s="568"/>
      <c r="R36" s="554"/>
      <c r="S36" s="554">
        <v>0.1</v>
      </c>
      <c r="T36" s="567">
        <f t="shared" si="6"/>
        <v>-1287.9483333333337</v>
      </c>
      <c r="U36" s="569"/>
      <c r="V36" s="554"/>
      <c r="W36" s="559">
        <f t="shared" si="4"/>
        <v>-14167.431666666671</v>
      </c>
      <c r="X36" s="10">
        <f t="shared" si="5"/>
        <v>0</v>
      </c>
      <c r="Y36" s="10">
        <f t="shared" si="5"/>
        <v>0</v>
      </c>
    </row>
    <row r="37" spans="1:25" s="24" customFormat="1" ht="17.25" customHeight="1">
      <c r="A37" s="547">
        <v>32</v>
      </c>
      <c r="B37" s="52" t="s">
        <v>386</v>
      </c>
      <c r="C37" s="52" t="s">
        <v>99</v>
      </c>
      <c r="D37" s="210" t="s">
        <v>25</v>
      </c>
      <c r="E37" s="584" t="s">
        <v>472</v>
      </c>
      <c r="F37" s="584" t="s">
        <v>34</v>
      </c>
      <c r="G37" s="562" t="s">
        <v>156</v>
      </c>
      <c r="H37" s="563" t="s">
        <v>102</v>
      </c>
      <c r="I37" s="563" t="s">
        <v>103</v>
      </c>
      <c r="J37" s="581">
        <v>1</v>
      </c>
      <c r="K37" s="554">
        <v>17697</v>
      </c>
      <c r="L37" s="565">
        <v>18</v>
      </c>
      <c r="M37" s="554">
        <f t="shared" si="3"/>
        <v>1</v>
      </c>
      <c r="N37" s="574" t="s">
        <v>152</v>
      </c>
      <c r="O37" s="566">
        <v>4.75</v>
      </c>
      <c r="P37" s="556" t="e">
        <f>'расчеты к штатному'!#REF!-'расчеты к штатному старое'!P37</f>
        <v>#REF!</v>
      </c>
      <c r="Q37" s="568"/>
      <c r="R37" s="554"/>
      <c r="S37" s="554">
        <v>0.1</v>
      </c>
      <c r="T37" s="567" t="e">
        <f t="shared" si="6"/>
        <v>#REF!</v>
      </c>
      <c r="U37" s="569"/>
      <c r="V37" s="554"/>
      <c r="W37" s="559" t="e">
        <f t="shared" si="4"/>
        <v>#REF!</v>
      </c>
      <c r="X37" s="10">
        <f t="shared" si="5"/>
        <v>0</v>
      </c>
      <c r="Y37" s="10">
        <f t="shared" si="5"/>
        <v>0</v>
      </c>
    </row>
    <row r="38" spans="1:25" s="24" customFormat="1" ht="17.25" customHeight="1">
      <c r="A38" s="560">
        <v>33</v>
      </c>
      <c r="B38" s="153" t="s">
        <v>458</v>
      </c>
      <c r="C38" s="561" t="s">
        <v>99</v>
      </c>
      <c r="D38" s="560" t="s">
        <v>25</v>
      </c>
      <c r="E38" s="582" t="s">
        <v>501</v>
      </c>
      <c r="F38" s="582" t="s">
        <v>34</v>
      </c>
      <c r="G38" s="560">
        <v>1</v>
      </c>
      <c r="H38" s="563" t="s">
        <v>102</v>
      </c>
      <c r="I38" s="563" t="s">
        <v>103</v>
      </c>
      <c r="J38" s="581">
        <v>1</v>
      </c>
      <c r="K38" s="554">
        <v>17697</v>
      </c>
      <c r="L38" s="565">
        <v>23</v>
      </c>
      <c r="M38" s="554">
        <f t="shared" si="3"/>
        <v>1.2777777777777777</v>
      </c>
      <c r="N38" s="574" t="s">
        <v>152</v>
      </c>
      <c r="O38" s="566">
        <v>4.75</v>
      </c>
      <c r="P38" s="556">
        <f>'расчеты к штатному'!P38-'расчеты к штатному старое'!P38</f>
        <v>9723.5183333333262</v>
      </c>
      <c r="Q38" s="568"/>
      <c r="R38" s="554"/>
      <c r="S38" s="554">
        <v>0.1</v>
      </c>
      <c r="T38" s="567">
        <f t="shared" si="6"/>
        <v>972.35183333333271</v>
      </c>
      <c r="U38" s="569"/>
      <c r="V38" s="554"/>
      <c r="W38" s="559">
        <f t="shared" si="4"/>
        <v>10695.870166666658</v>
      </c>
      <c r="X38" s="10"/>
      <c r="Y38" s="10"/>
    </row>
    <row r="39" spans="1:25" s="24" customFormat="1" ht="17.25" customHeight="1">
      <c r="A39" s="547">
        <v>34</v>
      </c>
      <c r="B39" s="153" t="s">
        <v>130</v>
      </c>
      <c r="C39" s="561" t="s">
        <v>99</v>
      </c>
      <c r="D39" s="560" t="s">
        <v>25</v>
      </c>
      <c r="E39" s="582" t="s">
        <v>473</v>
      </c>
      <c r="F39" s="582" t="s">
        <v>34</v>
      </c>
      <c r="G39" s="560">
        <v>1</v>
      </c>
      <c r="H39" s="563" t="s">
        <v>102</v>
      </c>
      <c r="I39" s="563" t="s">
        <v>103</v>
      </c>
      <c r="J39" s="581">
        <v>1</v>
      </c>
      <c r="K39" s="554">
        <v>17697</v>
      </c>
      <c r="L39" s="565">
        <v>9</v>
      </c>
      <c r="M39" s="554">
        <f t="shared" si="3"/>
        <v>0.5</v>
      </c>
      <c r="N39" s="574" t="s">
        <v>152</v>
      </c>
      <c r="O39" s="566">
        <v>4.75</v>
      </c>
      <c r="P39" s="556">
        <f>'расчеты к штатному'!P40-'расчеты к штатному старое'!P39</f>
        <v>3804.8549999999959</v>
      </c>
      <c r="Q39" s="568"/>
      <c r="R39" s="554"/>
      <c r="S39" s="554">
        <v>0.1</v>
      </c>
      <c r="T39" s="567">
        <f t="shared" si="6"/>
        <v>380.4854999999996</v>
      </c>
      <c r="U39" s="569"/>
      <c r="V39" s="554"/>
      <c r="W39" s="559">
        <f t="shared" si="4"/>
        <v>4185.3404999999957</v>
      </c>
      <c r="X39" s="10">
        <f t="shared" si="5"/>
        <v>0</v>
      </c>
      <c r="Y39" s="10">
        <f t="shared" si="5"/>
        <v>0</v>
      </c>
    </row>
    <row r="40" spans="1:25" s="24" customFormat="1" ht="17.25" customHeight="1">
      <c r="A40" s="560">
        <v>35</v>
      </c>
      <c r="B40" s="153" t="s">
        <v>455</v>
      </c>
      <c r="C40" s="561" t="s">
        <v>99</v>
      </c>
      <c r="D40" s="563" t="s">
        <v>25</v>
      </c>
      <c r="E40" s="210" t="s">
        <v>502</v>
      </c>
      <c r="F40" s="562" t="s">
        <v>34</v>
      </c>
      <c r="G40" s="560">
        <v>1</v>
      </c>
      <c r="H40" s="563" t="s">
        <v>102</v>
      </c>
      <c r="I40" s="563" t="s">
        <v>103</v>
      </c>
      <c r="J40" s="581">
        <v>1</v>
      </c>
      <c r="K40" s="554">
        <v>17697</v>
      </c>
      <c r="L40" s="565">
        <v>8</v>
      </c>
      <c r="M40" s="554">
        <f t="shared" si="3"/>
        <v>0.44444444444444442</v>
      </c>
      <c r="N40" s="574" t="s">
        <v>152</v>
      </c>
      <c r="O40" s="566">
        <v>4.75</v>
      </c>
      <c r="P40" s="556">
        <f>'расчеты к штатному'!P41-'расчеты к штатному старое'!P40</f>
        <v>3382.0933333333305</v>
      </c>
      <c r="Q40" s="568"/>
      <c r="R40" s="554"/>
      <c r="S40" s="554">
        <v>0.1</v>
      </c>
      <c r="T40" s="567">
        <f t="shared" si="6"/>
        <v>338.20933333333306</v>
      </c>
      <c r="U40" s="569"/>
      <c r="V40" s="554"/>
      <c r="W40" s="559">
        <f t="shared" si="4"/>
        <v>3720.3026666666638</v>
      </c>
      <c r="X40" s="10">
        <f t="shared" si="5"/>
        <v>0</v>
      </c>
      <c r="Y40" s="10">
        <f t="shared" si="5"/>
        <v>0</v>
      </c>
    </row>
    <row r="41" spans="1:25" s="24" customFormat="1" ht="17.25" customHeight="1">
      <c r="A41" s="547">
        <v>36</v>
      </c>
      <c r="B41" s="153" t="s">
        <v>204</v>
      </c>
      <c r="C41" s="561" t="s">
        <v>99</v>
      </c>
      <c r="D41" s="563" t="s">
        <v>25</v>
      </c>
      <c r="E41" s="562" t="s">
        <v>503</v>
      </c>
      <c r="F41" s="562" t="s">
        <v>206</v>
      </c>
      <c r="G41" s="560">
        <v>1</v>
      </c>
      <c r="H41" s="563" t="s">
        <v>102</v>
      </c>
      <c r="I41" s="563" t="s">
        <v>103</v>
      </c>
      <c r="J41" s="581">
        <v>3</v>
      </c>
      <c r="K41" s="554">
        <v>17697</v>
      </c>
      <c r="L41" s="565">
        <v>6</v>
      </c>
      <c r="M41" s="554">
        <f t="shared" si="3"/>
        <v>0.33333333333333331</v>
      </c>
      <c r="N41" s="566" t="s">
        <v>109</v>
      </c>
      <c r="O41" s="566">
        <v>4</v>
      </c>
      <c r="P41" s="556">
        <f>'расчеты к штатному'!P42-'расчеты к штатному старое'!P41</f>
        <v>4483.239999999998</v>
      </c>
      <c r="Q41" s="568"/>
      <c r="R41" s="554"/>
      <c r="S41" s="554">
        <v>0.1</v>
      </c>
      <c r="T41" s="567">
        <f t="shared" si="6"/>
        <v>448.32399999999984</v>
      </c>
      <c r="U41" s="569"/>
      <c r="V41" s="554"/>
      <c r="W41" s="559">
        <f t="shared" si="4"/>
        <v>4931.5639999999976</v>
      </c>
      <c r="X41" s="10">
        <f t="shared" si="5"/>
        <v>0</v>
      </c>
      <c r="Y41" s="10">
        <f t="shared" si="5"/>
        <v>0</v>
      </c>
    </row>
    <row r="42" spans="1:25" s="24" customFormat="1" ht="17.25" customHeight="1">
      <c r="A42" s="560">
        <v>37</v>
      </c>
      <c r="B42" s="153" t="s">
        <v>133</v>
      </c>
      <c r="C42" s="561" t="s">
        <v>99</v>
      </c>
      <c r="D42" s="563" t="s">
        <v>25</v>
      </c>
      <c r="E42" s="562" t="s">
        <v>474</v>
      </c>
      <c r="F42" s="562" t="s">
        <v>34</v>
      </c>
      <c r="G42" s="560">
        <v>1</v>
      </c>
      <c r="H42" s="563" t="s">
        <v>102</v>
      </c>
      <c r="I42" s="563" t="s">
        <v>103</v>
      </c>
      <c r="J42" s="581">
        <v>1</v>
      </c>
      <c r="K42" s="554">
        <v>17697</v>
      </c>
      <c r="L42" s="565">
        <v>11</v>
      </c>
      <c r="M42" s="554">
        <f t="shared" si="3"/>
        <v>0.61111111111111116</v>
      </c>
      <c r="N42" s="574" t="s">
        <v>152</v>
      </c>
      <c r="O42" s="566">
        <v>4.75</v>
      </c>
      <c r="P42" s="556" t="e">
        <f>'расчеты к штатному'!#REF!-'расчеты к штатному старое'!P42</f>
        <v>#REF!</v>
      </c>
      <c r="Q42" s="568"/>
      <c r="R42" s="554"/>
      <c r="S42" s="554">
        <v>0.1</v>
      </c>
      <c r="T42" s="567" t="e">
        <f t="shared" si="6"/>
        <v>#REF!</v>
      </c>
      <c r="U42" s="569"/>
      <c r="V42" s="554"/>
      <c r="W42" s="559" t="e">
        <f t="shared" si="4"/>
        <v>#REF!</v>
      </c>
      <c r="X42" s="10">
        <f t="shared" si="5"/>
        <v>0</v>
      </c>
      <c r="Y42" s="10">
        <f t="shared" si="5"/>
        <v>0</v>
      </c>
    </row>
    <row r="43" spans="1:25" s="24" customFormat="1" ht="17.25" customHeight="1">
      <c r="A43" s="547">
        <v>38</v>
      </c>
      <c r="B43" s="153" t="s">
        <v>135</v>
      </c>
      <c r="C43" s="561" t="s">
        <v>99</v>
      </c>
      <c r="D43" s="563" t="s">
        <v>25</v>
      </c>
      <c r="E43" s="562" t="s">
        <v>465</v>
      </c>
      <c r="F43" s="562" t="s">
        <v>34</v>
      </c>
      <c r="G43" s="560">
        <v>1</v>
      </c>
      <c r="H43" s="563" t="s">
        <v>102</v>
      </c>
      <c r="I43" s="563" t="s">
        <v>103</v>
      </c>
      <c r="J43" s="581">
        <v>1</v>
      </c>
      <c r="K43" s="554">
        <v>17697</v>
      </c>
      <c r="L43" s="565">
        <v>21</v>
      </c>
      <c r="M43" s="554">
        <f t="shared" si="3"/>
        <v>1.1666666666666667</v>
      </c>
      <c r="N43" s="574" t="s">
        <v>152</v>
      </c>
      <c r="O43" s="566">
        <v>4.75</v>
      </c>
      <c r="P43" s="556" t="e">
        <f>'расчеты к штатному'!#REF!-'расчеты к штатному старое'!P43</f>
        <v>#REF!</v>
      </c>
      <c r="Q43" s="568"/>
      <c r="R43" s="554"/>
      <c r="S43" s="554">
        <v>0.1</v>
      </c>
      <c r="T43" s="567" t="e">
        <f t="shared" si="6"/>
        <v>#REF!</v>
      </c>
      <c r="U43" s="569"/>
      <c r="V43" s="554"/>
      <c r="W43" s="559" t="e">
        <f t="shared" si="4"/>
        <v>#REF!</v>
      </c>
      <c r="X43" s="10">
        <f t="shared" si="5"/>
        <v>0</v>
      </c>
      <c r="Y43" s="10">
        <f t="shared" si="5"/>
        <v>0</v>
      </c>
    </row>
    <row r="44" spans="1:25" s="24" customFormat="1" ht="17.25" customHeight="1">
      <c r="A44" s="560">
        <v>39</v>
      </c>
      <c r="B44" s="153" t="s">
        <v>138</v>
      </c>
      <c r="C44" s="561" t="s">
        <v>99</v>
      </c>
      <c r="D44" s="563" t="s">
        <v>25</v>
      </c>
      <c r="E44" s="562" t="s">
        <v>475</v>
      </c>
      <c r="F44" s="562" t="s">
        <v>476</v>
      </c>
      <c r="G44" s="560">
        <v>1</v>
      </c>
      <c r="H44" s="563" t="s">
        <v>102</v>
      </c>
      <c r="I44" s="563" t="s">
        <v>103</v>
      </c>
      <c r="J44" s="572">
        <v>4</v>
      </c>
      <c r="K44" s="554">
        <v>17697</v>
      </c>
      <c r="L44" s="565">
        <v>23</v>
      </c>
      <c r="M44" s="554">
        <f t="shared" si="3"/>
        <v>1.2777777777777777</v>
      </c>
      <c r="N44" s="574" t="s">
        <v>112</v>
      </c>
      <c r="O44" s="566">
        <v>3.78</v>
      </c>
      <c r="P44" s="556">
        <f>'расчеты к штатному'!P43-'расчеты к штатному старое'!P44</f>
        <v>28649.476666666669</v>
      </c>
      <c r="Q44" s="568"/>
      <c r="R44" s="554"/>
      <c r="S44" s="554">
        <v>0.1</v>
      </c>
      <c r="T44" s="567">
        <f t="shared" ref="T44:T77" si="7">S44*P44</f>
        <v>2864.9476666666669</v>
      </c>
      <c r="U44" s="569"/>
      <c r="V44" s="554"/>
      <c r="W44" s="559">
        <f t="shared" si="4"/>
        <v>31514.424333333336</v>
      </c>
      <c r="X44" s="10"/>
      <c r="Y44" s="10"/>
    </row>
    <row r="45" spans="1:25" s="24" customFormat="1" ht="17.25" customHeight="1">
      <c r="A45" s="547">
        <v>40</v>
      </c>
      <c r="B45" s="153" t="s">
        <v>58</v>
      </c>
      <c r="C45" s="561" t="s">
        <v>99</v>
      </c>
      <c r="D45" s="563" t="s">
        <v>25</v>
      </c>
      <c r="E45" s="562" t="s">
        <v>477</v>
      </c>
      <c r="F45" s="562" t="s">
        <v>366</v>
      </c>
      <c r="G45" s="560">
        <v>1</v>
      </c>
      <c r="H45" s="563" t="s">
        <v>102</v>
      </c>
      <c r="I45" s="563" t="s">
        <v>103</v>
      </c>
      <c r="J45" s="581">
        <v>3</v>
      </c>
      <c r="K45" s="554">
        <v>17697</v>
      </c>
      <c r="L45" s="565">
        <v>18</v>
      </c>
      <c r="M45" s="554">
        <f t="shared" si="3"/>
        <v>1</v>
      </c>
      <c r="N45" s="566" t="s">
        <v>109</v>
      </c>
      <c r="O45" s="566">
        <v>4.43</v>
      </c>
      <c r="P45" s="556">
        <f>'расчеты к штатному'!P44-'расчеты к штатному старое'!P45</f>
        <v>13272.75</v>
      </c>
      <c r="Q45" s="568"/>
      <c r="R45" s="554"/>
      <c r="S45" s="554">
        <v>0.1</v>
      </c>
      <c r="T45" s="567">
        <f t="shared" si="7"/>
        <v>1327.2750000000001</v>
      </c>
      <c r="U45" s="569"/>
      <c r="V45" s="554"/>
      <c r="W45" s="559">
        <f t="shared" si="4"/>
        <v>14600.025</v>
      </c>
      <c r="X45" s="10">
        <f t="shared" si="5"/>
        <v>0</v>
      </c>
      <c r="Y45" s="10">
        <f t="shared" si="5"/>
        <v>0</v>
      </c>
    </row>
    <row r="46" spans="1:25" s="24" customFormat="1" ht="17.25" customHeight="1">
      <c r="A46" s="560">
        <v>41</v>
      </c>
      <c r="B46" s="153" t="s">
        <v>145</v>
      </c>
      <c r="C46" s="561" t="s">
        <v>99</v>
      </c>
      <c r="D46" s="563" t="s">
        <v>25</v>
      </c>
      <c r="E46" s="562" t="s">
        <v>478</v>
      </c>
      <c r="F46" s="562" t="s">
        <v>140</v>
      </c>
      <c r="G46" s="560">
        <v>1</v>
      </c>
      <c r="H46" s="563" t="s">
        <v>102</v>
      </c>
      <c r="I46" s="563" t="s">
        <v>103</v>
      </c>
      <c r="J46" s="581">
        <v>4</v>
      </c>
      <c r="K46" s="554">
        <v>17697</v>
      </c>
      <c r="L46" s="565">
        <v>18</v>
      </c>
      <c r="M46" s="554">
        <f t="shared" si="3"/>
        <v>1</v>
      </c>
      <c r="N46" s="574" t="s">
        <v>112</v>
      </c>
      <c r="O46" s="566">
        <v>3.78</v>
      </c>
      <c r="P46" s="556">
        <f>'расчеты к штатному'!P45-'расчеты к штатному старое'!P46</f>
        <v>15622.518333333341</v>
      </c>
      <c r="Q46" s="568"/>
      <c r="R46" s="554"/>
      <c r="S46" s="554">
        <v>0.1</v>
      </c>
      <c r="T46" s="567">
        <f t="shared" si="7"/>
        <v>1562.2518333333342</v>
      </c>
      <c r="U46" s="569"/>
      <c r="V46" s="554"/>
      <c r="W46" s="559">
        <f t="shared" si="4"/>
        <v>17184.770166666676</v>
      </c>
      <c r="X46" s="10">
        <f t="shared" si="5"/>
        <v>0</v>
      </c>
      <c r="Y46" s="10">
        <f t="shared" si="5"/>
        <v>0</v>
      </c>
    </row>
    <row r="47" spans="1:25" s="24" customFormat="1" ht="17.25" customHeight="1">
      <c r="A47" s="547">
        <v>42</v>
      </c>
      <c r="B47" s="153" t="s">
        <v>143</v>
      </c>
      <c r="C47" s="561" t="s">
        <v>99</v>
      </c>
      <c r="D47" s="563" t="s">
        <v>25</v>
      </c>
      <c r="E47" s="562" t="s">
        <v>479</v>
      </c>
      <c r="F47" s="562" t="s">
        <v>73</v>
      </c>
      <c r="G47" s="560">
        <v>1</v>
      </c>
      <c r="H47" s="563" t="s">
        <v>102</v>
      </c>
      <c r="I47" s="563" t="s">
        <v>103</v>
      </c>
      <c r="J47" s="581">
        <v>1</v>
      </c>
      <c r="K47" s="554">
        <v>17697</v>
      </c>
      <c r="L47" s="565">
        <v>34</v>
      </c>
      <c r="M47" s="554">
        <f t="shared" si="3"/>
        <v>1.8888888888888888</v>
      </c>
      <c r="N47" s="574" t="s">
        <v>152</v>
      </c>
      <c r="O47" s="566">
        <v>4.42</v>
      </c>
      <c r="P47" s="556">
        <f>'расчеты к штатному'!P46-'расчеты к штатному старое'!P47</f>
        <v>-1946.6699999999837</v>
      </c>
      <c r="Q47" s="568"/>
      <c r="R47" s="554"/>
      <c r="S47" s="554">
        <v>0.1</v>
      </c>
      <c r="T47" s="567">
        <f t="shared" si="7"/>
        <v>-194.66699999999838</v>
      </c>
      <c r="U47" s="569"/>
      <c r="V47" s="554"/>
      <c r="W47" s="559">
        <f t="shared" si="4"/>
        <v>-2141.3369999999823</v>
      </c>
      <c r="X47" s="10">
        <f t="shared" si="5"/>
        <v>0</v>
      </c>
      <c r="Y47" s="10">
        <f t="shared" si="5"/>
        <v>0</v>
      </c>
    </row>
    <row r="48" spans="1:25" s="24" customFormat="1" ht="17.25" customHeight="1">
      <c r="A48" s="560">
        <v>43</v>
      </c>
      <c r="B48" s="153" t="s">
        <v>447</v>
      </c>
      <c r="C48" s="561" t="s">
        <v>99</v>
      </c>
      <c r="D48" s="563" t="s">
        <v>75</v>
      </c>
      <c r="E48" s="585" t="s">
        <v>440</v>
      </c>
      <c r="F48" s="585" t="s">
        <v>159</v>
      </c>
      <c r="G48" s="560">
        <v>1</v>
      </c>
      <c r="H48" s="563" t="s">
        <v>102</v>
      </c>
      <c r="I48" s="563" t="s">
        <v>118</v>
      </c>
      <c r="J48" s="581">
        <v>4</v>
      </c>
      <c r="K48" s="554">
        <v>17697</v>
      </c>
      <c r="L48" s="565">
        <v>4</v>
      </c>
      <c r="M48" s="554">
        <f t="shared" si="3"/>
        <v>0.22222222222222221</v>
      </c>
      <c r="N48" s="574" t="s">
        <v>112</v>
      </c>
      <c r="O48" s="566">
        <v>3.32</v>
      </c>
      <c r="P48" s="556">
        <f>'расчеты к штатному'!P47-'расчеты к штатному старое'!P48</f>
        <v>-4207.9533333333338</v>
      </c>
      <c r="Q48" s="568"/>
      <c r="R48" s="554"/>
      <c r="S48" s="554">
        <v>0.1</v>
      </c>
      <c r="T48" s="567">
        <f t="shared" si="7"/>
        <v>-420.79533333333342</v>
      </c>
      <c r="U48" s="569"/>
      <c r="V48" s="554"/>
      <c r="W48" s="559">
        <f t="shared" si="4"/>
        <v>-4628.7486666666673</v>
      </c>
      <c r="X48" s="10">
        <f t="shared" si="5"/>
        <v>0</v>
      </c>
      <c r="Y48" s="10">
        <f t="shared" si="5"/>
        <v>0</v>
      </c>
    </row>
    <row r="49" spans="1:25" s="24" customFormat="1" ht="17.25" customHeight="1">
      <c r="A49" s="547">
        <v>44</v>
      </c>
      <c r="B49" s="153" t="s">
        <v>147</v>
      </c>
      <c r="C49" s="561" t="s">
        <v>148</v>
      </c>
      <c r="D49" s="563" t="s">
        <v>25</v>
      </c>
      <c r="E49" s="562" t="s">
        <v>480</v>
      </c>
      <c r="F49" s="562" t="s">
        <v>51</v>
      </c>
      <c r="G49" s="560">
        <v>1</v>
      </c>
      <c r="H49" s="563" t="s">
        <v>102</v>
      </c>
      <c r="I49" s="563" t="s">
        <v>103</v>
      </c>
      <c r="J49" s="564">
        <v>3</v>
      </c>
      <c r="K49" s="554">
        <v>17697</v>
      </c>
      <c r="L49" s="565">
        <v>36</v>
      </c>
      <c r="M49" s="554">
        <f t="shared" si="3"/>
        <v>2</v>
      </c>
      <c r="N49" s="566" t="s">
        <v>109</v>
      </c>
      <c r="O49" s="566">
        <v>4.43</v>
      </c>
      <c r="P49" s="556">
        <f>'расчеты к штатному'!P48-'расчеты к штатному старое'!P49</f>
        <v>26191.559999999969</v>
      </c>
      <c r="Q49" s="568"/>
      <c r="R49" s="554"/>
      <c r="S49" s="554">
        <v>0.1</v>
      </c>
      <c r="T49" s="567">
        <f t="shared" si="7"/>
        <v>2619.1559999999972</v>
      </c>
      <c r="U49" s="569"/>
      <c r="V49" s="554"/>
      <c r="W49" s="559">
        <f t="shared" si="4"/>
        <v>28810.715999999964</v>
      </c>
      <c r="X49" s="10">
        <f t="shared" si="5"/>
        <v>0</v>
      </c>
      <c r="Y49" s="10">
        <f t="shared" si="5"/>
        <v>0</v>
      </c>
    </row>
    <row r="50" spans="1:25" s="24" customFormat="1" ht="17.25" customHeight="1">
      <c r="A50" s="560">
        <v>45</v>
      </c>
      <c r="B50" s="153" t="s">
        <v>91</v>
      </c>
      <c r="C50" s="561" t="s">
        <v>99</v>
      </c>
      <c r="D50" s="563" t="s">
        <v>25</v>
      </c>
      <c r="E50" s="562" t="s">
        <v>481</v>
      </c>
      <c r="F50" s="562" t="s">
        <v>93</v>
      </c>
      <c r="G50" s="560">
        <v>1</v>
      </c>
      <c r="H50" s="563" t="s">
        <v>102</v>
      </c>
      <c r="I50" s="563" t="s">
        <v>103</v>
      </c>
      <c r="J50" s="581">
        <v>1</v>
      </c>
      <c r="K50" s="554">
        <v>17697</v>
      </c>
      <c r="L50" s="565">
        <v>36</v>
      </c>
      <c r="M50" s="554">
        <f t="shared" si="3"/>
        <v>2</v>
      </c>
      <c r="N50" s="574" t="s">
        <v>152</v>
      </c>
      <c r="O50" s="566">
        <v>4.62</v>
      </c>
      <c r="P50" s="556">
        <f>'расчеты к штатному'!P49-'расчеты к штатному старое'!P50</f>
        <v>14865.479999999952</v>
      </c>
      <c r="Q50" s="568"/>
      <c r="R50" s="554"/>
      <c r="S50" s="554">
        <v>0.1</v>
      </c>
      <c r="T50" s="567">
        <f t="shared" si="7"/>
        <v>1486.5479999999952</v>
      </c>
      <c r="U50" s="569"/>
      <c r="V50" s="554"/>
      <c r="W50" s="559">
        <f t="shared" si="4"/>
        <v>16352.027999999947</v>
      </c>
      <c r="X50" s="10">
        <f t="shared" si="5"/>
        <v>0</v>
      </c>
      <c r="Y50" s="10">
        <f t="shared" si="5"/>
        <v>0</v>
      </c>
    </row>
    <row r="51" spans="1:25" s="24" customFormat="1" ht="17.25" customHeight="1">
      <c r="A51" s="547">
        <v>46</v>
      </c>
      <c r="B51" s="153" t="s">
        <v>150</v>
      </c>
      <c r="C51" s="561" t="s">
        <v>99</v>
      </c>
      <c r="D51" s="563" t="s">
        <v>25</v>
      </c>
      <c r="E51" s="562" t="s">
        <v>482</v>
      </c>
      <c r="F51" s="562" t="s">
        <v>34</v>
      </c>
      <c r="G51" s="560">
        <v>1</v>
      </c>
      <c r="H51" s="563" t="s">
        <v>102</v>
      </c>
      <c r="I51" s="563" t="s">
        <v>103</v>
      </c>
      <c r="J51" s="581">
        <v>1</v>
      </c>
      <c r="K51" s="554">
        <v>17697</v>
      </c>
      <c r="L51" s="565">
        <v>35</v>
      </c>
      <c r="M51" s="554">
        <f t="shared" si="3"/>
        <v>1.9444444444444444</v>
      </c>
      <c r="N51" s="574" t="s">
        <v>152</v>
      </c>
      <c r="O51" s="566">
        <v>4.75</v>
      </c>
      <c r="P51" s="556">
        <f>'расчеты к штатному'!P51-'расчеты к штатному старое'!P51</f>
        <v>5456.5749999999825</v>
      </c>
      <c r="Q51" s="568"/>
      <c r="R51" s="554"/>
      <c r="S51" s="554">
        <v>0.1</v>
      </c>
      <c r="T51" s="567">
        <f t="shared" si="7"/>
        <v>545.65749999999832</v>
      </c>
      <c r="U51" s="569"/>
      <c r="V51" s="554"/>
      <c r="W51" s="559">
        <f t="shared" si="4"/>
        <v>6002.232499999981</v>
      </c>
      <c r="X51" s="10">
        <f t="shared" si="5"/>
        <v>0</v>
      </c>
      <c r="Y51" s="10">
        <f t="shared" si="5"/>
        <v>0</v>
      </c>
    </row>
    <row r="52" spans="1:25" s="24" customFormat="1" ht="17.25" customHeight="1">
      <c r="A52" s="560">
        <v>47</v>
      </c>
      <c r="B52" s="153" t="s">
        <v>456</v>
      </c>
      <c r="C52" s="561" t="s">
        <v>99</v>
      </c>
      <c r="D52" s="563" t="s">
        <v>25</v>
      </c>
      <c r="E52" s="562" t="s">
        <v>461</v>
      </c>
      <c r="F52" s="562" t="s">
        <v>34</v>
      </c>
      <c r="G52" s="560">
        <v>1</v>
      </c>
      <c r="H52" s="563" t="s">
        <v>102</v>
      </c>
      <c r="I52" s="563" t="s">
        <v>103</v>
      </c>
      <c r="J52" s="581">
        <v>2</v>
      </c>
      <c r="K52" s="554">
        <v>17697</v>
      </c>
      <c r="L52" s="565">
        <v>10</v>
      </c>
      <c r="M52" s="554">
        <f t="shared" si="3"/>
        <v>0.55555555555555558</v>
      </c>
      <c r="N52" s="566" t="s">
        <v>104</v>
      </c>
      <c r="O52" s="566">
        <v>4.51</v>
      </c>
      <c r="P52" s="556" t="e">
        <f>'расчеты к штатному'!#REF!-'расчеты к штатному старое'!P52</f>
        <v>#REF!</v>
      </c>
      <c r="Q52" s="568"/>
      <c r="R52" s="554"/>
      <c r="S52" s="554">
        <v>0.1</v>
      </c>
      <c r="T52" s="567" t="e">
        <f t="shared" si="7"/>
        <v>#REF!</v>
      </c>
      <c r="U52" s="569"/>
      <c r="V52" s="554"/>
      <c r="W52" s="559" t="e">
        <f t="shared" si="4"/>
        <v>#REF!</v>
      </c>
      <c r="X52" s="10">
        <f t="shared" si="5"/>
        <v>0</v>
      </c>
      <c r="Y52" s="10">
        <f t="shared" si="5"/>
        <v>0</v>
      </c>
    </row>
    <row r="53" spans="1:25" s="24" customFormat="1" ht="17.25" customHeight="1">
      <c r="A53" s="547">
        <v>48</v>
      </c>
      <c r="B53" s="153" t="s">
        <v>157</v>
      </c>
      <c r="C53" s="561" t="s">
        <v>99</v>
      </c>
      <c r="D53" s="563" t="s">
        <v>25</v>
      </c>
      <c r="E53" s="562" t="s">
        <v>483</v>
      </c>
      <c r="F53" s="562" t="s">
        <v>159</v>
      </c>
      <c r="G53" s="560">
        <v>1</v>
      </c>
      <c r="H53" s="563" t="s">
        <v>102</v>
      </c>
      <c r="I53" s="563" t="s">
        <v>118</v>
      </c>
      <c r="J53" s="581">
        <v>4</v>
      </c>
      <c r="K53" s="554">
        <v>17697</v>
      </c>
      <c r="L53" s="565">
        <v>18</v>
      </c>
      <c r="M53" s="554">
        <f t="shared" si="3"/>
        <v>1</v>
      </c>
      <c r="N53" s="574" t="s">
        <v>112</v>
      </c>
      <c r="O53" s="566">
        <v>3.36</v>
      </c>
      <c r="P53" s="556">
        <f>'расчеты к штатному'!P52-'расчеты к штатному старое'!P53</f>
        <v>24205.563333333324</v>
      </c>
      <c r="Q53" s="568"/>
      <c r="R53" s="554"/>
      <c r="S53" s="554">
        <v>0.1</v>
      </c>
      <c r="T53" s="567">
        <f t="shared" si="7"/>
        <v>2420.5563333333325</v>
      </c>
      <c r="U53" s="569"/>
      <c r="V53" s="554"/>
      <c r="W53" s="559">
        <f t="shared" si="4"/>
        <v>26626.119666666658</v>
      </c>
      <c r="X53" s="10">
        <f t="shared" si="5"/>
        <v>0</v>
      </c>
      <c r="Y53" s="10">
        <f t="shared" si="5"/>
        <v>0</v>
      </c>
    </row>
    <row r="54" spans="1:25" s="24" customFormat="1" ht="17.25" customHeight="1">
      <c r="A54" s="560">
        <v>49</v>
      </c>
      <c r="B54" s="153" t="s">
        <v>160</v>
      </c>
      <c r="C54" s="561" t="s">
        <v>148</v>
      </c>
      <c r="D54" s="563" t="s">
        <v>25</v>
      </c>
      <c r="E54" s="562" t="s">
        <v>484</v>
      </c>
      <c r="F54" s="562" t="s">
        <v>34</v>
      </c>
      <c r="G54" s="560">
        <v>1</v>
      </c>
      <c r="H54" s="563" t="s">
        <v>102</v>
      </c>
      <c r="I54" s="563" t="s">
        <v>103</v>
      </c>
      <c r="J54" s="564">
        <v>2</v>
      </c>
      <c r="K54" s="554">
        <v>17697</v>
      </c>
      <c r="L54" s="565">
        <v>23</v>
      </c>
      <c r="M54" s="554">
        <f t="shared" si="3"/>
        <v>1.2777777777777777</v>
      </c>
      <c r="N54" s="566" t="s">
        <v>104</v>
      </c>
      <c r="O54" s="566">
        <v>4.51</v>
      </c>
      <c r="P54" s="556">
        <f>'расчеты к штатному'!P53-'расчеты к штатному старое'!P54</f>
        <v>17775.653333333335</v>
      </c>
      <c r="Q54" s="568"/>
      <c r="R54" s="554"/>
      <c r="S54" s="554">
        <v>0.1</v>
      </c>
      <c r="T54" s="567">
        <f t="shared" si="7"/>
        <v>1777.5653333333337</v>
      </c>
      <c r="U54" s="569"/>
      <c r="V54" s="554"/>
      <c r="W54" s="559">
        <f t="shared" si="4"/>
        <v>19553.218666666668</v>
      </c>
      <c r="X54" s="10">
        <f>U54+Q54</f>
        <v>0</v>
      </c>
      <c r="Y54" s="10">
        <f>V54+R54</f>
        <v>0</v>
      </c>
    </row>
    <row r="55" spans="1:25" s="24" customFormat="1" ht="17.25" customHeight="1">
      <c r="A55" s="547">
        <v>50</v>
      </c>
      <c r="B55" s="153" t="s">
        <v>162</v>
      </c>
      <c r="C55" s="561" t="s">
        <v>99</v>
      </c>
      <c r="D55" s="563" t="s">
        <v>64</v>
      </c>
      <c r="E55" s="562" t="s">
        <v>485</v>
      </c>
      <c r="F55" s="562" t="s">
        <v>77</v>
      </c>
      <c r="G55" s="560">
        <v>1</v>
      </c>
      <c r="H55" s="563" t="s">
        <v>102</v>
      </c>
      <c r="I55" s="563" t="s">
        <v>103</v>
      </c>
      <c r="J55" s="581">
        <v>4</v>
      </c>
      <c r="K55" s="554">
        <v>17697</v>
      </c>
      <c r="L55" s="565">
        <v>10</v>
      </c>
      <c r="M55" s="554">
        <f t="shared" si="3"/>
        <v>0.55555555555555558</v>
      </c>
      <c r="N55" s="574" t="s">
        <v>112</v>
      </c>
      <c r="O55" s="566">
        <v>3.71</v>
      </c>
      <c r="P55" s="556">
        <f>'расчеты к штатному'!P54-'расчеты к штатному старое'!P55</f>
        <v>7767.0166666666664</v>
      </c>
      <c r="Q55" s="568"/>
      <c r="R55" s="554"/>
      <c r="S55" s="554">
        <v>0.1</v>
      </c>
      <c r="T55" s="567">
        <f t="shared" si="7"/>
        <v>776.70166666666671</v>
      </c>
      <c r="U55" s="569"/>
      <c r="V55" s="554"/>
      <c r="W55" s="559">
        <f t="shared" si="4"/>
        <v>8543.7183333333323</v>
      </c>
      <c r="X55" s="10">
        <f t="shared" si="5"/>
        <v>0</v>
      </c>
      <c r="Y55" s="10">
        <f t="shared" si="5"/>
        <v>0</v>
      </c>
    </row>
    <row r="56" spans="1:25" s="24" customFormat="1" ht="17.25" customHeight="1">
      <c r="A56" s="560">
        <v>51</v>
      </c>
      <c r="B56" s="153" t="s">
        <v>166</v>
      </c>
      <c r="C56" s="561" t="s">
        <v>99</v>
      </c>
      <c r="D56" s="563" t="s">
        <v>25</v>
      </c>
      <c r="E56" s="562" t="s">
        <v>486</v>
      </c>
      <c r="F56" s="562" t="s">
        <v>73</v>
      </c>
      <c r="G56" s="560">
        <v>1</v>
      </c>
      <c r="H56" s="563" t="s">
        <v>102</v>
      </c>
      <c r="I56" s="563" t="s">
        <v>103</v>
      </c>
      <c r="J56" s="581">
        <v>1</v>
      </c>
      <c r="K56" s="554">
        <v>17697</v>
      </c>
      <c r="L56" s="565">
        <v>33</v>
      </c>
      <c r="M56" s="554">
        <f t="shared" si="3"/>
        <v>1.8333333333333333</v>
      </c>
      <c r="N56" s="574" t="s">
        <v>152</v>
      </c>
      <c r="O56" s="555">
        <v>4.42</v>
      </c>
      <c r="P56" s="556">
        <f>'расчеты к штатному'!P55-'расчеты к штатному старое'!P56</f>
        <v>15248.915000000008</v>
      </c>
      <c r="Q56" s="568"/>
      <c r="R56" s="554"/>
      <c r="S56" s="554">
        <v>0.1</v>
      </c>
      <c r="T56" s="567">
        <f t="shared" si="7"/>
        <v>1524.8915000000009</v>
      </c>
      <c r="U56" s="569"/>
      <c r="V56" s="554"/>
      <c r="W56" s="559">
        <f t="shared" si="4"/>
        <v>16773.80650000001</v>
      </c>
      <c r="X56" s="10">
        <f t="shared" si="5"/>
        <v>0</v>
      </c>
      <c r="Y56" s="10">
        <f t="shared" si="5"/>
        <v>0</v>
      </c>
    </row>
    <row r="57" spans="1:25" s="24" customFormat="1" ht="17.25" customHeight="1">
      <c r="A57" s="547">
        <v>52</v>
      </c>
      <c r="B57" s="153" t="s">
        <v>168</v>
      </c>
      <c r="C57" s="561" t="s">
        <v>99</v>
      </c>
      <c r="D57" s="563" t="s">
        <v>25</v>
      </c>
      <c r="E57" s="562" t="s">
        <v>487</v>
      </c>
      <c r="F57" s="562" t="s">
        <v>73</v>
      </c>
      <c r="G57" s="560">
        <v>1</v>
      </c>
      <c r="H57" s="563" t="s">
        <v>102</v>
      </c>
      <c r="I57" s="563" t="s">
        <v>103</v>
      </c>
      <c r="J57" s="581">
        <v>3</v>
      </c>
      <c r="K57" s="554">
        <v>17697</v>
      </c>
      <c r="L57" s="565">
        <v>29</v>
      </c>
      <c r="M57" s="554">
        <f t="shared" si="3"/>
        <v>1.6111111111111112</v>
      </c>
      <c r="N57" s="566" t="s">
        <v>109</v>
      </c>
      <c r="O57" s="566">
        <v>4.1399999999999997</v>
      </c>
      <c r="P57" s="556">
        <f>'расчеты к штатному'!P57-'расчеты к штатному старое'!P57</f>
        <v>28423.348333333328</v>
      </c>
      <c r="Q57" s="568"/>
      <c r="R57" s="554"/>
      <c r="S57" s="554">
        <v>0.1</v>
      </c>
      <c r="T57" s="567">
        <f t="shared" si="7"/>
        <v>2842.3348333333329</v>
      </c>
      <c r="U57" s="569"/>
      <c r="V57" s="554"/>
      <c r="W57" s="559">
        <f t="shared" si="4"/>
        <v>31265.683166666662</v>
      </c>
      <c r="X57" s="10">
        <f t="shared" si="5"/>
        <v>0</v>
      </c>
      <c r="Y57" s="10">
        <f t="shared" si="5"/>
        <v>0</v>
      </c>
    </row>
    <row r="58" spans="1:25" s="24" customFormat="1" ht="17.25" customHeight="1">
      <c r="A58" s="560">
        <v>53</v>
      </c>
      <c r="B58" s="153" t="s">
        <v>89</v>
      </c>
      <c r="C58" s="561" t="s">
        <v>170</v>
      </c>
      <c r="D58" s="563" t="s">
        <v>25</v>
      </c>
      <c r="E58" s="562" t="s">
        <v>488</v>
      </c>
      <c r="F58" s="562" t="s">
        <v>73</v>
      </c>
      <c r="G58" s="560">
        <v>1</v>
      </c>
      <c r="H58" s="563" t="s">
        <v>102</v>
      </c>
      <c r="I58" s="563" t="s">
        <v>103</v>
      </c>
      <c r="J58" s="581">
        <v>3</v>
      </c>
      <c r="K58" s="554">
        <v>17697</v>
      </c>
      <c r="L58" s="565">
        <v>22</v>
      </c>
      <c r="M58" s="554">
        <f t="shared" si="3"/>
        <v>1.2222222222222223</v>
      </c>
      <c r="N58" s="566" t="s">
        <v>109</v>
      </c>
      <c r="O58" s="566">
        <v>4.1399999999999997</v>
      </c>
      <c r="P58" s="556">
        <f>'расчеты к штатному'!P58-'расчеты к штатному старое'!P58</f>
        <v>16438.546666666647</v>
      </c>
      <c r="Q58" s="568"/>
      <c r="R58" s="554"/>
      <c r="S58" s="554">
        <v>0.1</v>
      </c>
      <c r="T58" s="567">
        <f t="shared" si="7"/>
        <v>1643.8546666666648</v>
      </c>
      <c r="U58" s="569"/>
      <c r="V58" s="554"/>
      <c r="W58" s="559">
        <f t="shared" si="4"/>
        <v>18082.401333333313</v>
      </c>
      <c r="X58" s="10">
        <f t="shared" si="5"/>
        <v>0</v>
      </c>
      <c r="Y58" s="10">
        <f t="shared" si="5"/>
        <v>0</v>
      </c>
    </row>
    <row r="59" spans="1:25" s="24" customFormat="1" ht="17.25" customHeight="1">
      <c r="A59" s="547">
        <v>54</v>
      </c>
      <c r="B59" s="153" t="s">
        <v>171</v>
      </c>
      <c r="C59" s="561" t="s">
        <v>99</v>
      </c>
      <c r="D59" s="563" t="s">
        <v>25</v>
      </c>
      <c r="E59" s="562" t="s">
        <v>489</v>
      </c>
      <c r="F59" s="562" t="s">
        <v>34</v>
      </c>
      <c r="G59" s="560">
        <v>1</v>
      </c>
      <c r="H59" s="563" t="s">
        <v>102</v>
      </c>
      <c r="I59" s="563" t="s">
        <v>103</v>
      </c>
      <c r="J59" s="581">
        <v>1</v>
      </c>
      <c r="K59" s="554">
        <v>17697</v>
      </c>
      <c r="L59" s="565">
        <v>36</v>
      </c>
      <c r="M59" s="554">
        <f t="shared" si="3"/>
        <v>2</v>
      </c>
      <c r="N59" s="574" t="s">
        <v>152</v>
      </c>
      <c r="O59" s="566">
        <v>4.75</v>
      </c>
      <c r="P59" s="556">
        <f>'расчеты к штатному'!P59-'расчеты к штатному старое'!P59</f>
        <v>15219.419999999984</v>
      </c>
      <c r="Q59" s="568"/>
      <c r="R59" s="554"/>
      <c r="S59" s="554">
        <v>0.1</v>
      </c>
      <c r="T59" s="567">
        <f t="shared" si="7"/>
        <v>1521.9419999999984</v>
      </c>
      <c r="U59" s="569"/>
      <c r="V59" s="554"/>
      <c r="W59" s="559">
        <f t="shared" si="4"/>
        <v>16741.361999999983</v>
      </c>
      <c r="X59" s="10"/>
      <c r="Y59" s="10"/>
    </row>
    <row r="60" spans="1:25" s="24" customFormat="1" ht="16.5" customHeight="1">
      <c r="A60" s="560">
        <v>55</v>
      </c>
      <c r="B60" s="153" t="s">
        <v>207</v>
      </c>
      <c r="C60" s="561" t="s">
        <v>99</v>
      </c>
      <c r="D60" s="563" t="s">
        <v>25</v>
      </c>
      <c r="E60" s="562" t="s">
        <v>208</v>
      </c>
      <c r="F60" s="562" t="s">
        <v>209</v>
      </c>
      <c r="G60" s="560">
        <v>1</v>
      </c>
      <c r="H60" s="563" t="s">
        <v>102</v>
      </c>
      <c r="I60" s="563" t="s">
        <v>103</v>
      </c>
      <c r="J60" s="581">
        <v>2</v>
      </c>
      <c r="K60" s="554">
        <v>17697</v>
      </c>
      <c r="L60" s="565">
        <v>4</v>
      </c>
      <c r="M60" s="554">
        <f t="shared" si="3"/>
        <v>0.22222222222222221</v>
      </c>
      <c r="N60" s="566" t="s">
        <v>104</v>
      </c>
      <c r="O60" s="566">
        <v>4.2300000000000004</v>
      </c>
      <c r="P60" s="556">
        <f>'расчеты к штатному'!P61-'расчеты к штатному старое'!P60</f>
        <v>126440.14916666666</v>
      </c>
      <c r="Q60" s="568"/>
      <c r="R60" s="554"/>
      <c r="S60" s="554">
        <v>0.1</v>
      </c>
      <c r="T60" s="567">
        <f t="shared" si="7"/>
        <v>12644.014916666667</v>
      </c>
      <c r="U60" s="569"/>
      <c r="V60" s="554"/>
      <c r="W60" s="559">
        <f t="shared" si="4"/>
        <v>139084.16408333334</v>
      </c>
      <c r="X60" s="10">
        <f t="shared" ref="X60:Y74" si="8">U60+Q60</f>
        <v>0</v>
      </c>
      <c r="Y60" s="10">
        <f t="shared" si="8"/>
        <v>0</v>
      </c>
    </row>
    <row r="61" spans="1:25" s="24" customFormat="1" ht="17.25" customHeight="1">
      <c r="A61" s="547">
        <v>56</v>
      </c>
      <c r="B61" s="153" t="s">
        <v>173</v>
      </c>
      <c r="C61" s="561" t="s">
        <v>99</v>
      </c>
      <c r="D61" s="563" t="s">
        <v>25</v>
      </c>
      <c r="E61" s="562" t="s">
        <v>490</v>
      </c>
      <c r="F61" s="562" t="s">
        <v>101</v>
      </c>
      <c r="G61" s="560">
        <v>1</v>
      </c>
      <c r="H61" s="563" t="s">
        <v>102</v>
      </c>
      <c r="I61" s="563" t="s">
        <v>103</v>
      </c>
      <c r="J61" s="581">
        <v>1</v>
      </c>
      <c r="K61" s="554">
        <v>17697</v>
      </c>
      <c r="L61" s="565">
        <v>34.5</v>
      </c>
      <c r="M61" s="554">
        <f t="shared" si="3"/>
        <v>1.9166666666666667</v>
      </c>
      <c r="N61" s="574" t="s">
        <v>152</v>
      </c>
      <c r="O61" s="582">
        <v>4.55</v>
      </c>
      <c r="P61" s="556">
        <f>'расчеты к штатному'!P62-'расчеты к штатному старое'!P61</f>
        <v>-96409.323333333305</v>
      </c>
      <c r="Q61" s="568"/>
      <c r="R61" s="554"/>
      <c r="S61" s="554">
        <v>0.1</v>
      </c>
      <c r="T61" s="567">
        <f t="shared" si="7"/>
        <v>-9640.9323333333305</v>
      </c>
      <c r="U61" s="569"/>
      <c r="V61" s="554"/>
      <c r="W61" s="559">
        <f t="shared" si="4"/>
        <v>-106050.25566666664</v>
      </c>
      <c r="X61" s="10">
        <f t="shared" si="8"/>
        <v>0</v>
      </c>
      <c r="Y61" s="10">
        <f t="shared" si="8"/>
        <v>0</v>
      </c>
    </row>
    <row r="62" spans="1:25" s="24" customFormat="1" ht="17.25" customHeight="1">
      <c r="A62" s="560">
        <v>57</v>
      </c>
      <c r="B62" s="153" t="s">
        <v>175</v>
      </c>
      <c r="C62" s="561" t="s">
        <v>99</v>
      </c>
      <c r="D62" s="563" t="s">
        <v>25</v>
      </c>
      <c r="E62" s="562" t="s">
        <v>491</v>
      </c>
      <c r="F62" s="562" t="s">
        <v>114</v>
      </c>
      <c r="G62" s="560">
        <v>1</v>
      </c>
      <c r="H62" s="563" t="s">
        <v>102</v>
      </c>
      <c r="I62" s="563" t="s">
        <v>103</v>
      </c>
      <c r="J62" s="581">
        <v>1</v>
      </c>
      <c r="K62" s="554">
        <v>17697</v>
      </c>
      <c r="L62" s="565">
        <v>9</v>
      </c>
      <c r="M62" s="554">
        <f t="shared" si="3"/>
        <v>0.5</v>
      </c>
      <c r="N62" s="574" t="s">
        <v>152</v>
      </c>
      <c r="O62" s="566">
        <v>4.75</v>
      </c>
      <c r="P62" s="556">
        <f>'расчеты к штатному'!P63-'расчеты к штатному старое'!P62</f>
        <v>3804.8549999999959</v>
      </c>
      <c r="Q62" s="568"/>
      <c r="R62" s="554"/>
      <c r="S62" s="554">
        <v>0.1</v>
      </c>
      <c r="T62" s="567">
        <f t="shared" si="7"/>
        <v>380.4854999999996</v>
      </c>
      <c r="U62" s="569"/>
      <c r="V62" s="554"/>
      <c r="W62" s="559">
        <f t="shared" si="4"/>
        <v>4185.3404999999957</v>
      </c>
      <c r="X62" s="10">
        <f t="shared" si="8"/>
        <v>0</v>
      </c>
      <c r="Y62" s="10">
        <f t="shared" si="8"/>
        <v>0</v>
      </c>
    </row>
    <row r="63" spans="1:25" s="916" customFormat="1" ht="17.25" customHeight="1">
      <c r="A63" s="547">
        <v>58</v>
      </c>
      <c r="B63" s="153" t="s">
        <v>177</v>
      </c>
      <c r="C63" s="561" t="s">
        <v>99</v>
      </c>
      <c r="D63" s="563" t="s">
        <v>178</v>
      </c>
      <c r="E63" s="562" t="s">
        <v>492</v>
      </c>
      <c r="F63" s="562" t="s">
        <v>366</v>
      </c>
      <c r="G63" s="560">
        <v>1</v>
      </c>
      <c r="H63" s="563" t="s">
        <v>102</v>
      </c>
      <c r="I63" s="563" t="s">
        <v>103</v>
      </c>
      <c r="J63" s="581">
        <v>2</v>
      </c>
      <c r="K63" s="554">
        <v>17697</v>
      </c>
      <c r="L63" s="565">
        <v>26</v>
      </c>
      <c r="M63" s="554">
        <f t="shared" si="3"/>
        <v>1.4444444444444444</v>
      </c>
      <c r="N63" s="566" t="s">
        <v>104</v>
      </c>
      <c r="O63" s="566">
        <v>4.4400000000000004</v>
      </c>
      <c r="P63" s="556">
        <f>'расчеты к штатному'!P64-'расчеты к штатному старое'!P63</f>
        <v>-77906.126666666649</v>
      </c>
      <c r="Q63" s="568"/>
      <c r="R63" s="554"/>
      <c r="S63" s="554">
        <v>0.1</v>
      </c>
      <c r="T63" s="567">
        <f t="shared" si="7"/>
        <v>-7790.6126666666651</v>
      </c>
      <c r="U63" s="569"/>
      <c r="V63" s="554"/>
      <c r="W63" s="559">
        <f t="shared" si="4"/>
        <v>-85696.739333333317</v>
      </c>
      <c r="X63" s="152">
        <f t="shared" si="8"/>
        <v>0</v>
      </c>
      <c r="Y63" s="152">
        <f t="shared" si="8"/>
        <v>0</v>
      </c>
    </row>
    <row r="64" spans="1:25" s="916" customFormat="1" ht="17.25" customHeight="1">
      <c r="A64" s="560">
        <v>59</v>
      </c>
      <c r="B64" s="491" t="s">
        <v>448</v>
      </c>
      <c r="C64" s="561" t="s">
        <v>99</v>
      </c>
      <c r="D64" s="563" t="s">
        <v>75</v>
      </c>
      <c r="E64" s="562" t="s">
        <v>449</v>
      </c>
      <c r="F64" s="562" t="s">
        <v>159</v>
      </c>
      <c r="G64" s="560">
        <v>1</v>
      </c>
      <c r="H64" s="563" t="s">
        <v>102</v>
      </c>
      <c r="I64" s="563" t="s">
        <v>118</v>
      </c>
      <c r="J64" s="581">
        <v>4</v>
      </c>
      <c r="K64" s="554">
        <v>17697</v>
      </c>
      <c r="L64" s="565">
        <v>14</v>
      </c>
      <c r="M64" s="554">
        <f t="shared" si="3"/>
        <v>0.77777777777777779</v>
      </c>
      <c r="N64" s="574" t="s">
        <v>112</v>
      </c>
      <c r="O64" s="566">
        <v>3.32</v>
      </c>
      <c r="P64" s="556" t="e">
        <f>'расчеты к штатному'!#REF!-'расчеты к штатному старое'!P64</f>
        <v>#REF!</v>
      </c>
      <c r="Q64" s="568"/>
      <c r="R64" s="554"/>
      <c r="S64" s="554">
        <v>0.1</v>
      </c>
      <c r="T64" s="567" t="e">
        <f t="shared" si="7"/>
        <v>#REF!</v>
      </c>
      <c r="U64" s="569"/>
      <c r="V64" s="554"/>
      <c r="W64" s="559" t="e">
        <f t="shared" si="4"/>
        <v>#REF!</v>
      </c>
      <c r="X64" s="152"/>
      <c r="Y64" s="152"/>
    </row>
    <row r="65" spans="1:43" s="916" customFormat="1" ht="17.25" customHeight="1">
      <c r="A65" s="547">
        <v>60</v>
      </c>
      <c r="B65" s="153" t="s">
        <v>182</v>
      </c>
      <c r="C65" s="561" t="s">
        <v>99</v>
      </c>
      <c r="D65" s="563" t="s">
        <v>25</v>
      </c>
      <c r="E65" s="562" t="s">
        <v>494</v>
      </c>
      <c r="F65" s="562" t="s">
        <v>93</v>
      </c>
      <c r="G65" s="560">
        <v>1</v>
      </c>
      <c r="H65" s="563" t="s">
        <v>102</v>
      </c>
      <c r="I65" s="563" t="s">
        <v>103</v>
      </c>
      <c r="J65" s="581">
        <v>1</v>
      </c>
      <c r="K65" s="554">
        <v>17697</v>
      </c>
      <c r="L65" s="565">
        <v>35</v>
      </c>
      <c r="M65" s="554">
        <f t="shared" si="3"/>
        <v>1.9444444444444444</v>
      </c>
      <c r="N65" s="574" t="s">
        <v>152</v>
      </c>
      <c r="O65" s="566">
        <v>4.6900000000000004</v>
      </c>
      <c r="P65" s="556">
        <f>'расчеты к штатному'!P66-'расчеты к штатному старое'!P65</f>
        <v>10185.606666666688</v>
      </c>
      <c r="Q65" s="568"/>
      <c r="R65" s="554"/>
      <c r="S65" s="554">
        <v>0.1</v>
      </c>
      <c r="T65" s="567">
        <f t="shared" si="7"/>
        <v>1018.5606666666689</v>
      </c>
      <c r="U65" s="569"/>
      <c r="V65" s="554"/>
      <c r="W65" s="559">
        <f t="shared" si="4"/>
        <v>11204.167333333357</v>
      </c>
      <c r="X65" s="152"/>
      <c r="Y65" s="152"/>
    </row>
    <row r="66" spans="1:43" s="24" customFormat="1" ht="17.25" customHeight="1">
      <c r="A66" s="560">
        <v>61</v>
      </c>
      <c r="B66" s="153" t="s">
        <v>184</v>
      </c>
      <c r="C66" s="561" t="s">
        <v>99</v>
      </c>
      <c r="D66" s="563" t="s">
        <v>25</v>
      </c>
      <c r="E66" s="586" t="s">
        <v>495</v>
      </c>
      <c r="F66" s="562" t="s">
        <v>27</v>
      </c>
      <c r="G66" s="560">
        <v>1</v>
      </c>
      <c r="H66" s="563" t="s">
        <v>102</v>
      </c>
      <c r="I66" s="563" t="s">
        <v>103</v>
      </c>
      <c r="J66" s="581">
        <v>1</v>
      </c>
      <c r="K66" s="554">
        <v>17697</v>
      </c>
      <c r="L66" s="565">
        <v>31</v>
      </c>
      <c r="M66" s="554">
        <f t="shared" si="3"/>
        <v>1.7222222222222223</v>
      </c>
      <c r="N66" s="574" t="s">
        <v>152</v>
      </c>
      <c r="O66" s="566">
        <v>4.75</v>
      </c>
      <c r="P66" s="556">
        <f>'расчеты к штатному'!P67-'расчеты к штатному старое'!P66</f>
        <v>3765.5283333333209</v>
      </c>
      <c r="Q66" s="568"/>
      <c r="R66" s="554"/>
      <c r="S66" s="554">
        <v>0.1</v>
      </c>
      <c r="T66" s="567">
        <f t="shared" si="7"/>
        <v>376.5528333333321</v>
      </c>
      <c r="U66" s="569"/>
      <c r="V66" s="554"/>
      <c r="W66" s="559">
        <f t="shared" si="4"/>
        <v>4142.0811666666532</v>
      </c>
      <c r="X66" s="10">
        <f t="shared" si="8"/>
        <v>0</v>
      </c>
      <c r="Y66" s="10">
        <f t="shared" si="8"/>
        <v>0</v>
      </c>
    </row>
    <row r="67" spans="1:43" s="24" customFormat="1" ht="17.25" customHeight="1">
      <c r="A67" s="547">
        <v>62</v>
      </c>
      <c r="B67" s="153" t="s">
        <v>186</v>
      </c>
      <c r="C67" s="561" t="s">
        <v>99</v>
      </c>
      <c r="D67" s="563" t="s">
        <v>25</v>
      </c>
      <c r="E67" s="562" t="s">
        <v>496</v>
      </c>
      <c r="F67" s="562" t="s">
        <v>27</v>
      </c>
      <c r="G67" s="560">
        <v>1</v>
      </c>
      <c r="H67" s="563" t="s">
        <v>102</v>
      </c>
      <c r="I67" s="563" t="s">
        <v>103</v>
      </c>
      <c r="J67" s="581">
        <v>1</v>
      </c>
      <c r="K67" s="554">
        <v>17697</v>
      </c>
      <c r="L67" s="565">
        <v>23</v>
      </c>
      <c r="M67" s="554">
        <f t="shared" si="3"/>
        <v>1.2777777777777777</v>
      </c>
      <c r="N67" s="574" t="s">
        <v>152</v>
      </c>
      <c r="O67" s="566">
        <v>4.75</v>
      </c>
      <c r="P67" s="556">
        <f>'расчеты к штатному'!P68-'расчеты к штатному старое'!P67</f>
        <v>19063.601666666655</v>
      </c>
      <c r="Q67" s="568"/>
      <c r="R67" s="554"/>
      <c r="S67" s="554">
        <v>0.1</v>
      </c>
      <c r="T67" s="567">
        <f t="shared" si="7"/>
        <v>1906.3601666666655</v>
      </c>
      <c r="U67" s="569"/>
      <c r="V67" s="554"/>
      <c r="W67" s="559">
        <f t="shared" si="4"/>
        <v>20969.96183333332</v>
      </c>
      <c r="X67" s="10">
        <f t="shared" si="8"/>
        <v>0</v>
      </c>
      <c r="Y67" s="10">
        <f t="shared" si="8"/>
        <v>0</v>
      </c>
    </row>
    <row r="68" spans="1:43" s="24" customFormat="1" ht="17.25" customHeight="1">
      <c r="A68" s="560">
        <v>63</v>
      </c>
      <c r="B68" s="587" t="s">
        <v>188</v>
      </c>
      <c r="C68" s="588" t="s">
        <v>99</v>
      </c>
      <c r="D68" s="589" t="s">
        <v>25</v>
      </c>
      <c r="E68" s="590" t="s">
        <v>497</v>
      </c>
      <c r="F68" s="591" t="s">
        <v>51</v>
      </c>
      <c r="G68" s="592">
        <v>1</v>
      </c>
      <c r="H68" s="589" t="s">
        <v>102</v>
      </c>
      <c r="I68" s="589" t="s">
        <v>103</v>
      </c>
      <c r="J68" s="581">
        <v>1</v>
      </c>
      <c r="K68" s="593">
        <v>17697</v>
      </c>
      <c r="L68" s="594">
        <v>36</v>
      </c>
      <c r="M68" s="554">
        <f t="shared" si="3"/>
        <v>2</v>
      </c>
      <c r="N68" s="574" t="s">
        <v>152</v>
      </c>
      <c r="O68" s="595">
        <v>4.6900000000000004</v>
      </c>
      <c r="P68" s="556">
        <f>'расчеты к штатному'!P69-'расчеты к штатному старое'!P68</f>
        <v>1386.265000000014</v>
      </c>
      <c r="Q68" s="597"/>
      <c r="R68" s="593"/>
      <c r="S68" s="593">
        <v>0.1</v>
      </c>
      <c r="T68" s="596">
        <f t="shared" si="7"/>
        <v>138.62650000000141</v>
      </c>
      <c r="U68" s="598"/>
      <c r="V68" s="593"/>
      <c r="W68" s="559">
        <f t="shared" si="4"/>
        <v>1524.8915000000154</v>
      </c>
      <c r="X68" s="10">
        <f t="shared" si="8"/>
        <v>0</v>
      </c>
      <c r="Y68" s="10">
        <f t="shared" si="8"/>
        <v>0</v>
      </c>
    </row>
    <row r="69" spans="1:43" s="24" customFormat="1" ht="17.25" customHeight="1">
      <c r="A69" s="547">
        <v>64</v>
      </c>
      <c r="B69" s="587" t="s">
        <v>450</v>
      </c>
      <c r="C69" s="588" t="s">
        <v>99</v>
      </c>
      <c r="D69" s="589" t="s">
        <v>25</v>
      </c>
      <c r="E69" s="590" t="s">
        <v>451</v>
      </c>
      <c r="F69" s="591" t="s">
        <v>34</v>
      </c>
      <c r="G69" s="592">
        <v>1</v>
      </c>
      <c r="H69" s="589" t="s">
        <v>102</v>
      </c>
      <c r="I69" s="589" t="s">
        <v>103</v>
      </c>
      <c r="J69" s="581">
        <v>1</v>
      </c>
      <c r="K69" s="593">
        <v>17697</v>
      </c>
      <c r="L69" s="594">
        <v>21</v>
      </c>
      <c r="M69" s="554">
        <f t="shared" si="3"/>
        <v>1.1666666666666667</v>
      </c>
      <c r="N69" s="574" t="s">
        <v>152</v>
      </c>
      <c r="O69" s="595">
        <v>4.75</v>
      </c>
      <c r="P69" s="556">
        <f>'расчеты к штатному'!P70-'расчеты к штатному старое'!P69</f>
        <v>36898.244999999995</v>
      </c>
      <c r="Q69" s="597"/>
      <c r="R69" s="593"/>
      <c r="S69" s="593">
        <v>0.1</v>
      </c>
      <c r="T69" s="596">
        <f t="shared" si="7"/>
        <v>3689.8244999999997</v>
      </c>
      <c r="U69" s="598"/>
      <c r="V69" s="593"/>
      <c r="W69" s="559">
        <f t="shared" si="4"/>
        <v>40588.069499999998</v>
      </c>
      <c r="X69" s="10">
        <f t="shared" si="8"/>
        <v>0</v>
      </c>
      <c r="Y69" s="10">
        <f t="shared" si="8"/>
        <v>0</v>
      </c>
    </row>
    <row r="70" spans="1:43" s="24" customFormat="1" ht="17.25" customHeight="1">
      <c r="A70" s="560">
        <v>65</v>
      </c>
      <c r="B70" s="587" t="s">
        <v>454</v>
      </c>
      <c r="C70" s="588" t="s">
        <v>99</v>
      </c>
      <c r="D70" s="589" t="s">
        <v>189</v>
      </c>
      <c r="E70" s="590" t="s">
        <v>460</v>
      </c>
      <c r="F70" s="591" t="s">
        <v>77</v>
      </c>
      <c r="G70" s="592">
        <v>1</v>
      </c>
      <c r="H70" s="589" t="s">
        <v>102</v>
      </c>
      <c r="I70" s="589" t="s">
        <v>103</v>
      </c>
      <c r="J70" s="581">
        <v>4</v>
      </c>
      <c r="K70" s="593">
        <v>17697</v>
      </c>
      <c r="L70" s="594">
        <v>34</v>
      </c>
      <c r="M70" s="554">
        <f t="shared" si="3"/>
        <v>1.8888888888888888</v>
      </c>
      <c r="N70" s="574" t="s">
        <v>112</v>
      </c>
      <c r="O70" s="595">
        <v>3.71</v>
      </c>
      <c r="P70" s="556">
        <f>'расчеты к штатному'!P71-'расчеты к штатному старое'!P70</f>
        <v>11817.663333333345</v>
      </c>
      <c r="Q70" s="597"/>
      <c r="R70" s="593"/>
      <c r="S70" s="593">
        <v>0.1</v>
      </c>
      <c r="T70" s="596">
        <f t="shared" si="7"/>
        <v>1181.7663333333346</v>
      </c>
      <c r="U70" s="598"/>
      <c r="V70" s="593"/>
      <c r="W70" s="559">
        <f t="shared" si="4"/>
        <v>12999.42966666668</v>
      </c>
      <c r="X70" s="10">
        <f t="shared" si="8"/>
        <v>0</v>
      </c>
      <c r="Y70" s="10">
        <f t="shared" si="8"/>
        <v>0</v>
      </c>
    </row>
    <row r="71" spans="1:43" s="24" customFormat="1" ht="17.25" customHeight="1">
      <c r="A71" s="547">
        <v>66</v>
      </c>
      <c r="B71" s="159" t="s">
        <v>191</v>
      </c>
      <c r="C71" s="600" t="s">
        <v>99</v>
      </c>
      <c r="D71" s="601" t="s">
        <v>25</v>
      </c>
      <c r="E71" s="602" t="s">
        <v>498</v>
      </c>
      <c r="F71" s="585" t="s">
        <v>73</v>
      </c>
      <c r="G71" s="603">
        <v>1</v>
      </c>
      <c r="H71" s="601" t="s">
        <v>102</v>
      </c>
      <c r="I71" s="601" t="s">
        <v>103</v>
      </c>
      <c r="J71" s="604">
        <v>2</v>
      </c>
      <c r="K71" s="605">
        <v>17697</v>
      </c>
      <c r="L71" s="606">
        <v>20</v>
      </c>
      <c r="M71" s="554">
        <f t="shared" si="3"/>
        <v>1.1111111111111112</v>
      </c>
      <c r="N71" s="566" t="s">
        <v>104</v>
      </c>
      <c r="O71" s="579">
        <v>4.16</v>
      </c>
      <c r="P71" s="556" t="e">
        <f>'расчеты к штатному'!#REF!-'расчеты к штатному старое'!P71</f>
        <v>#REF!</v>
      </c>
      <c r="Q71" s="608"/>
      <c r="R71" s="605"/>
      <c r="S71" s="605">
        <v>0.1</v>
      </c>
      <c r="T71" s="607" t="e">
        <f t="shared" si="7"/>
        <v>#REF!</v>
      </c>
      <c r="U71" s="609"/>
      <c r="V71" s="605"/>
      <c r="W71" s="559" t="e">
        <f t="shared" si="4"/>
        <v>#REF!</v>
      </c>
      <c r="X71" s="35">
        <f t="shared" si="8"/>
        <v>0</v>
      </c>
      <c r="Y71" s="35">
        <f t="shared" si="8"/>
        <v>0</v>
      </c>
    </row>
    <row r="72" spans="1:43" s="24" customFormat="1" ht="17.25" customHeight="1">
      <c r="A72" s="560">
        <v>67</v>
      </c>
      <c r="B72" s="159" t="s">
        <v>193</v>
      </c>
      <c r="C72" s="600" t="s">
        <v>99</v>
      </c>
      <c r="D72" s="601" t="s">
        <v>64</v>
      </c>
      <c r="E72" s="602" t="s">
        <v>459</v>
      </c>
      <c r="F72" s="562" t="s">
        <v>252</v>
      </c>
      <c r="G72" s="603">
        <v>1</v>
      </c>
      <c r="H72" s="563" t="s">
        <v>102</v>
      </c>
      <c r="I72" s="563" t="s">
        <v>118</v>
      </c>
      <c r="J72" s="581">
        <v>3</v>
      </c>
      <c r="K72" s="554">
        <v>17697</v>
      </c>
      <c r="L72" s="606">
        <v>31</v>
      </c>
      <c r="M72" s="554">
        <f t="shared" si="3"/>
        <v>1.7222222222222223</v>
      </c>
      <c r="N72" s="566" t="s">
        <v>109</v>
      </c>
      <c r="O72" s="579">
        <v>3.97</v>
      </c>
      <c r="P72" s="556">
        <f>'расчеты к штатному'!P72-'расчеты к штатному старое'!P72</f>
        <v>36455.819999999992</v>
      </c>
      <c r="Q72" s="608"/>
      <c r="R72" s="605"/>
      <c r="S72" s="605">
        <v>0.1</v>
      </c>
      <c r="T72" s="607">
        <f t="shared" si="7"/>
        <v>3645.5819999999994</v>
      </c>
      <c r="U72" s="609"/>
      <c r="V72" s="605"/>
      <c r="W72" s="559">
        <f t="shared" si="4"/>
        <v>40101.401999999995</v>
      </c>
      <c r="X72" s="35"/>
      <c r="Y72" s="35"/>
    </row>
    <row r="73" spans="1:43" s="24" customFormat="1" ht="17.25" customHeight="1">
      <c r="A73" s="547">
        <v>68</v>
      </c>
      <c r="B73" s="159" t="s">
        <v>197</v>
      </c>
      <c r="C73" s="600" t="s">
        <v>99</v>
      </c>
      <c r="D73" s="563" t="s">
        <v>25</v>
      </c>
      <c r="E73" s="210" t="s">
        <v>499</v>
      </c>
      <c r="F73" s="562" t="s">
        <v>34</v>
      </c>
      <c r="G73" s="603">
        <v>1</v>
      </c>
      <c r="H73" s="601" t="s">
        <v>102</v>
      </c>
      <c r="I73" s="601" t="s">
        <v>103</v>
      </c>
      <c r="J73" s="604">
        <v>1</v>
      </c>
      <c r="K73" s="605">
        <v>17697</v>
      </c>
      <c r="L73" s="606">
        <v>28</v>
      </c>
      <c r="M73" s="554">
        <f t="shared" si="3"/>
        <v>1.5555555555555556</v>
      </c>
      <c r="N73" s="574" t="s">
        <v>152</v>
      </c>
      <c r="O73" s="579">
        <v>4.75</v>
      </c>
      <c r="P73" s="556">
        <f>'расчеты к штатному'!P73-'расчеты к штатному старое'!P73</f>
        <v>21177.409999999974</v>
      </c>
      <c r="Q73" s="608"/>
      <c r="R73" s="605"/>
      <c r="S73" s="605">
        <v>0.1</v>
      </c>
      <c r="T73" s="607">
        <f t="shared" si="7"/>
        <v>2117.7409999999977</v>
      </c>
      <c r="U73" s="609"/>
      <c r="V73" s="605"/>
      <c r="W73" s="559">
        <f t="shared" si="4"/>
        <v>23295.150999999973</v>
      </c>
      <c r="X73" s="35">
        <f t="shared" si="8"/>
        <v>0</v>
      </c>
      <c r="Y73" s="35">
        <f t="shared" si="8"/>
        <v>0</v>
      </c>
    </row>
    <row r="74" spans="1:43" s="24" customFormat="1" ht="17.25" customHeight="1">
      <c r="A74" s="560">
        <v>69</v>
      </c>
      <c r="B74" s="159" t="s">
        <v>199</v>
      </c>
      <c r="C74" s="600" t="s">
        <v>99</v>
      </c>
      <c r="D74" s="563" t="s">
        <v>25</v>
      </c>
      <c r="E74" s="210" t="s">
        <v>457</v>
      </c>
      <c r="F74" s="562" t="s">
        <v>122</v>
      </c>
      <c r="G74" s="603">
        <v>1</v>
      </c>
      <c r="H74" s="563" t="s">
        <v>102</v>
      </c>
      <c r="I74" s="563" t="s">
        <v>118</v>
      </c>
      <c r="J74" s="581">
        <v>4</v>
      </c>
      <c r="K74" s="605">
        <v>17697</v>
      </c>
      <c r="L74" s="606">
        <v>14</v>
      </c>
      <c r="M74" s="554">
        <f t="shared" si="3"/>
        <v>0.77777777777777779</v>
      </c>
      <c r="N74" s="574" t="s">
        <v>112</v>
      </c>
      <c r="O74" s="579">
        <v>3.36</v>
      </c>
      <c r="P74" s="556">
        <f>'расчеты к штатному'!P76-'расчеты к штатному старое'!P74</f>
        <v>4719.1999999999971</v>
      </c>
      <c r="Q74" s="608"/>
      <c r="R74" s="605"/>
      <c r="S74" s="605">
        <v>0.1</v>
      </c>
      <c r="T74" s="607">
        <f t="shared" si="7"/>
        <v>471.91999999999973</v>
      </c>
      <c r="U74" s="609"/>
      <c r="V74" s="605"/>
      <c r="W74" s="559">
        <f t="shared" si="4"/>
        <v>5191.1199999999972</v>
      </c>
      <c r="X74" s="35">
        <f t="shared" si="8"/>
        <v>0</v>
      </c>
      <c r="Y74" s="35">
        <f t="shared" si="8"/>
        <v>0</v>
      </c>
    </row>
    <row r="75" spans="1:43" s="24" customFormat="1" ht="17.25" customHeight="1">
      <c r="A75" s="547">
        <v>70</v>
      </c>
      <c r="B75" s="159" t="s">
        <v>439</v>
      </c>
      <c r="C75" s="600" t="s">
        <v>99</v>
      </c>
      <c r="D75" s="563" t="s">
        <v>75</v>
      </c>
      <c r="E75" s="562" t="s">
        <v>504</v>
      </c>
      <c r="F75" s="562" t="s">
        <v>159</v>
      </c>
      <c r="G75" s="612">
        <v>1</v>
      </c>
      <c r="H75" s="580" t="s">
        <v>102</v>
      </c>
      <c r="I75" s="580" t="s">
        <v>118</v>
      </c>
      <c r="J75" s="574">
        <v>4</v>
      </c>
      <c r="K75" s="554">
        <v>17697</v>
      </c>
      <c r="L75" s="606">
        <v>25</v>
      </c>
      <c r="M75" s="554">
        <f t="shared" si="3"/>
        <v>1.3888888888888888</v>
      </c>
      <c r="N75" s="574" t="s">
        <v>112</v>
      </c>
      <c r="O75" s="579">
        <v>3.32</v>
      </c>
      <c r="P75" s="556">
        <f>'расчеты к штатному'!P77-'расчеты к штатному старое'!P75</f>
        <v>14010.124999999971</v>
      </c>
      <c r="Q75" s="608"/>
      <c r="R75" s="605"/>
      <c r="S75" s="605">
        <v>0.1</v>
      </c>
      <c r="T75" s="607">
        <f t="shared" si="7"/>
        <v>1401.0124999999971</v>
      </c>
      <c r="U75" s="609"/>
      <c r="V75" s="605"/>
      <c r="W75" s="559">
        <f t="shared" si="4"/>
        <v>15411.137499999968</v>
      </c>
      <c r="X75" s="35"/>
      <c r="Y75" s="35"/>
    </row>
    <row r="76" spans="1:43" s="24" customFormat="1" ht="17.25" customHeight="1">
      <c r="A76" s="560">
        <v>71</v>
      </c>
      <c r="B76" s="159" t="s">
        <v>200</v>
      </c>
      <c r="C76" s="600" t="s">
        <v>99</v>
      </c>
      <c r="D76" s="563" t="s">
        <v>25</v>
      </c>
      <c r="E76" s="210" t="s">
        <v>500</v>
      </c>
      <c r="F76" s="562" t="s">
        <v>34</v>
      </c>
      <c r="G76" s="603">
        <v>1</v>
      </c>
      <c r="H76" s="563" t="s">
        <v>102</v>
      </c>
      <c r="I76" s="563" t="s">
        <v>103</v>
      </c>
      <c r="J76" s="581">
        <v>2</v>
      </c>
      <c r="K76" s="554">
        <v>17697</v>
      </c>
      <c r="L76" s="565">
        <v>18</v>
      </c>
      <c r="M76" s="554">
        <f t="shared" si="3"/>
        <v>1</v>
      </c>
      <c r="N76" s="566" t="s">
        <v>104</v>
      </c>
      <c r="O76" s="566">
        <v>4.51</v>
      </c>
      <c r="P76" s="556" t="e">
        <f>'расчеты к штатному'!#REF!-'расчеты к штатному старое'!P76</f>
        <v>#REF!</v>
      </c>
      <c r="Q76" s="608"/>
      <c r="R76" s="605"/>
      <c r="S76" s="605">
        <v>0.1</v>
      </c>
      <c r="T76" s="607" t="e">
        <f t="shared" si="7"/>
        <v>#REF!</v>
      </c>
      <c r="U76" s="609"/>
      <c r="V76" s="605"/>
      <c r="W76" s="559" t="e">
        <f t="shared" si="4"/>
        <v>#REF!</v>
      </c>
      <c r="X76" s="35"/>
      <c r="Y76" s="35"/>
    </row>
    <row r="77" spans="1:43" s="24" customFormat="1" ht="17.25" customHeight="1">
      <c r="A77" s="547">
        <v>72</v>
      </c>
      <c r="B77" s="153" t="s">
        <v>202</v>
      </c>
      <c r="C77" s="561" t="s">
        <v>99</v>
      </c>
      <c r="D77" s="563" t="s">
        <v>75</v>
      </c>
      <c r="E77" s="210" t="s">
        <v>203</v>
      </c>
      <c r="F77" s="562" t="s">
        <v>66</v>
      </c>
      <c r="G77" s="560">
        <v>1</v>
      </c>
      <c r="H77" s="563" t="s">
        <v>102</v>
      </c>
      <c r="I77" s="563" t="s">
        <v>103</v>
      </c>
      <c r="J77" s="581">
        <v>3</v>
      </c>
      <c r="K77" s="554">
        <v>17697</v>
      </c>
      <c r="L77" s="606">
        <v>32</v>
      </c>
      <c r="M77" s="554">
        <f t="shared" si="3"/>
        <v>1.7777777777777777</v>
      </c>
      <c r="N77" s="566" t="s">
        <v>109</v>
      </c>
      <c r="O77" s="579">
        <v>4.28</v>
      </c>
      <c r="P77" s="556">
        <f>'расчеты к штатному'!P79-'расчеты к штатному старое'!P77</f>
        <v>29465.505000000005</v>
      </c>
      <c r="Q77" s="608"/>
      <c r="R77" s="605"/>
      <c r="S77" s="605">
        <v>0.1</v>
      </c>
      <c r="T77" s="607">
        <f t="shared" si="7"/>
        <v>2946.5505000000007</v>
      </c>
      <c r="U77" s="609"/>
      <c r="V77" s="605"/>
      <c r="W77" s="559">
        <f t="shared" si="4"/>
        <v>32412.055500000006</v>
      </c>
      <c r="X77" s="35"/>
      <c r="Y77" s="35"/>
    </row>
    <row r="78" spans="1:43" s="112" customFormat="1" ht="17.25" customHeight="1">
      <c r="A78" s="613"/>
      <c r="B78" s="250"/>
      <c r="C78" s="614"/>
      <c r="D78" s="615"/>
      <c r="E78" s="616"/>
      <c r="F78" s="616"/>
      <c r="G78" s="617"/>
      <c r="H78" s="615"/>
      <c r="I78" s="615"/>
      <c r="J78" s="618"/>
      <c r="K78" s="619"/>
      <c r="L78" s="620">
        <f>SUM(L27:L77)</f>
        <v>1099</v>
      </c>
      <c r="M78" s="619"/>
      <c r="N78" s="621"/>
      <c r="O78" s="622"/>
      <c r="P78" s="623"/>
      <c r="Q78" s="624"/>
      <c r="R78" s="619"/>
      <c r="S78" s="619"/>
      <c r="T78" s="623"/>
      <c r="U78" s="625"/>
      <c r="V78" s="619"/>
      <c r="W78" s="626"/>
      <c r="X78" s="104"/>
      <c r="Y78" s="10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</row>
    <row r="79" spans="1:43" s="24" customFormat="1" ht="15.75">
      <c r="A79" s="560">
        <v>73</v>
      </c>
      <c r="B79" s="153" t="s">
        <v>215</v>
      </c>
      <c r="C79" s="561" t="s">
        <v>99</v>
      </c>
      <c r="D79" s="563" t="s">
        <v>25</v>
      </c>
      <c r="E79" s="562" t="s">
        <v>441</v>
      </c>
      <c r="F79" s="562" t="s">
        <v>217</v>
      </c>
      <c r="G79" s="571">
        <v>1</v>
      </c>
      <c r="H79" s="580" t="s">
        <v>102</v>
      </c>
      <c r="I79" s="580" t="s">
        <v>103</v>
      </c>
      <c r="J79" s="574">
        <v>1</v>
      </c>
      <c r="K79" s="554">
        <v>17697</v>
      </c>
      <c r="L79" s="573">
        <v>20</v>
      </c>
      <c r="M79" s="554">
        <f>L79/18</f>
        <v>1.1111111111111112</v>
      </c>
      <c r="N79" s="574" t="s">
        <v>112</v>
      </c>
      <c r="O79" s="575">
        <v>4.6900000000000004</v>
      </c>
      <c r="P79" s="567">
        <f>'расчеты к штатному'!P81-'расчеты к штатному старое'!P79</f>
        <v>8455.2333333333372</v>
      </c>
      <c r="Q79" s="568"/>
      <c r="R79" s="554"/>
      <c r="S79" s="554">
        <v>0.1</v>
      </c>
      <c r="T79" s="567">
        <f>P79*S79</f>
        <v>845.52333333333377</v>
      </c>
      <c r="U79" s="569"/>
      <c r="V79" s="554"/>
      <c r="W79" s="570">
        <f>T79+P79</f>
        <v>9300.7566666666717</v>
      </c>
      <c r="X79" s="10">
        <f t="shared" ref="X79:Y101" si="9">U79+Q79</f>
        <v>0</v>
      </c>
      <c r="Y79" s="10">
        <f t="shared" si="9"/>
        <v>0</v>
      </c>
    </row>
    <row r="80" spans="1:43" s="24" customFormat="1" ht="17.25" customHeight="1">
      <c r="A80" s="560">
        <v>74</v>
      </c>
      <c r="B80" s="153" t="s">
        <v>222</v>
      </c>
      <c r="C80" s="561" t="s">
        <v>148</v>
      </c>
      <c r="D80" s="563" t="s">
        <v>25</v>
      </c>
      <c r="E80" s="562" t="s">
        <v>223</v>
      </c>
      <c r="F80" s="562" t="s">
        <v>224</v>
      </c>
      <c r="G80" s="571">
        <v>1</v>
      </c>
      <c r="H80" s="580" t="s">
        <v>102</v>
      </c>
      <c r="I80" s="580" t="s">
        <v>103</v>
      </c>
      <c r="J80" s="574">
        <v>3</v>
      </c>
      <c r="K80" s="554">
        <v>17697</v>
      </c>
      <c r="L80" s="573">
        <v>34</v>
      </c>
      <c r="M80" s="554">
        <f t="shared" ref="M80:M101" si="10">L80/18</f>
        <v>1.8888888888888888</v>
      </c>
      <c r="N80" s="566" t="s">
        <v>109</v>
      </c>
      <c r="O80" s="575">
        <v>4.16</v>
      </c>
      <c r="P80" s="567">
        <f>'расчеты к штатному'!P82-'расчеты к штатному старое'!P80</f>
        <v>24185.900000000009</v>
      </c>
      <c r="Q80" s="568"/>
      <c r="R80" s="554"/>
      <c r="S80" s="554">
        <v>0.1</v>
      </c>
      <c r="T80" s="567">
        <f t="shared" ref="T80:T101" si="11">P80*S80</f>
        <v>2418.5900000000011</v>
      </c>
      <c r="U80" s="569"/>
      <c r="V80" s="554"/>
      <c r="W80" s="570">
        <f t="shared" ref="W80:W101" si="12">T80+P80</f>
        <v>26604.490000000009</v>
      </c>
      <c r="X80" s="10">
        <f t="shared" si="9"/>
        <v>0</v>
      </c>
      <c r="Y80" s="10">
        <f t="shared" si="9"/>
        <v>0</v>
      </c>
    </row>
    <row r="81" spans="1:25" s="24" customFormat="1" ht="17.25" customHeight="1">
      <c r="A81" s="560">
        <v>75</v>
      </c>
      <c r="B81" s="153" t="s">
        <v>124</v>
      </c>
      <c r="C81" s="561" t="s">
        <v>125</v>
      </c>
      <c r="D81" s="560" t="s">
        <v>75</v>
      </c>
      <c r="E81" s="582" t="s">
        <v>205</v>
      </c>
      <c r="F81" s="562" t="s">
        <v>108</v>
      </c>
      <c r="G81" s="560">
        <v>1</v>
      </c>
      <c r="H81" s="563" t="s">
        <v>102</v>
      </c>
      <c r="I81" s="563" t="s">
        <v>118</v>
      </c>
      <c r="J81" s="581">
        <v>3</v>
      </c>
      <c r="K81" s="554">
        <v>17697</v>
      </c>
      <c r="L81" s="565">
        <v>13</v>
      </c>
      <c r="M81" s="554">
        <f t="shared" si="10"/>
        <v>0.72222222222222221</v>
      </c>
      <c r="N81" s="574" t="s">
        <v>109</v>
      </c>
      <c r="O81" s="566">
        <v>3.85</v>
      </c>
      <c r="P81" s="567">
        <f>'расчеты к штатному'!P83-'расчеты к штатному старое'!P81</f>
        <v>11375.238333333335</v>
      </c>
      <c r="Q81" s="568"/>
      <c r="R81" s="554"/>
      <c r="S81" s="554">
        <v>0.1</v>
      </c>
      <c r="T81" s="567">
        <f t="shared" si="11"/>
        <v>1137.5238333333334</v>
      </c>
      <c r="U81" s="569"/>
      <c r="V81" s="554"/>
      <c r="W81" s="570">
        <f t="shared" si="12"/>
        <v>12512.762166666667</v>
      </c>
      <c r="X81" s="10">
        <f t="shared" si="9"/>
        <v>0</v>
      </c>
      <c r="Y81" s="10">
        <f t="shared" si="9"/>
        <v>0</v>
      </c>
    </row>
    <row r="82" spans="1:25" s="24" customFormat="1" ht="17.25" customHeight="1">
      <c r="A82" s="560">
        <v>76</v>
      </c>
      <c r="B82" s="153" t="s">
        <v>116</v>
      </c>
      <c r="C82" s="561" t="s">
        <v>99</v>
      </c>
      <c r="D82" s="560" t="s">
        <v>64</v>
      </c>
      <c r="E82" s="583" t="s">
        <v>117</v>
      </c>
      <c r="F82" s="562" t="s">
        <v>114</v>
      </c>
      <c r="G82" s="560">
        <v>1</v>
      </c>
      <c r="H82" s="563" t="s">
        <v>102</v>
      </c>
      <c r="I82" s="563" t="s">
        <v>118</v>
      </c>
      <c r="J82" s="564">
        <v>1</v>
      </c>
      <c r="K82" s="554">
        <v>17697</v>
      </c>
      <c r="L82" s="565">
        <v>5</v>
      </c>
      <c r="M82" s="554">
        <f t="shared" si="10"/>
        <v>0.27777777777777779</v>
      </c>
      <c r="N82" s="574" t="s">
        <v>152</v>
      </c>
      <c r="O82" s="566">
        <v>4.5199999999999996</v>
      </c>
      <c r="P82" s="567">
        <f>'расчеты к штатному'!P86-'расчеты к штатному старое'!P82</f>
        <v>3096.9749999999985</v>
      </c>
      <c r="Q82" s="568"/>
      <c r="R82" s="554"/>
      <c r="S82" s="554">
        <v>0.1</v>
      </c>
      <c r="T82" s="567">
        <f t="shared" si="11"/>
        <v>309.69749999999988</v>
      </c>
      <c r="U82" s="569"/>
      <c r="V82" s="554"/>
      <c r="W82" s="570">
        <f t="shared" si="12"/>
        <v>3406.6724999999983</v>
      </c>
      <c r="X82" s="10">
        <f t="shared" si="9"/>
        <v>0</v>
      </c>
      <c r="Y82" s="10">
        <f t="shared" si="9"/>
        <v>0</v>
      </c>
    </row>
    <row r="83" spans="1:25" s="24" customFormat="1" ht="17.25" customHeight="1">
      <c r="A83" s="560">
        <v>77</v>
      </c>
      <c r="B83" s="153" t="s">
        <v>127</v>
      </c>
      <c r="C83" s="561" t="s">
        <v>99</v>
      </c>
      <c r="D83" s="560" t="s">
        <v>25</v>
      </c>
      <c r="E83" s="562" t="s">
        <v>128</v>
      </c>
      <c r="F83" s="562" t="s">
        <v>34</v>
      </c>
      <c r="G83" s="560">
        <v>1</v>
      </c>
      <c r="H83" s="563" t="s">
        <v>102</v>
      </c>
      <c r="I83" s="563" t="s">
        <v>103</v>
      </c>
      <c r="J83" s="564">
        <v>1</v>
      </c>
      <c r="K83" s="554">
        <v>17697</v>
      </c>
      <c r="L83" s="565">
        <v>6</v>
      </c>
      <c r="M83" s="554">
        <f t="shared" si="10"/>
        <v>0.33333333333333331</v>
      </c>
      <c r="N83" s="574" t="s">
        <v>152</v>
      </c>
      <c r="O83" s="566">
        <v>4.75</v>
      </c>
      <c r="P83" s="567">
        <f>'расчеты к штатному'!P87-'расчеты к штатному старое'!P83</f>
        <v>2536.5699999999961</v>
      </c>
      <c r="Q83" s="568"/>
      <c r="R83" s="554"/>
      <c r="S83" s="554">
        <v>0.1</v>
      </c>
      <c r="T83" s="567">
        <f t="shared" si="11"/>
        <v>253.65699999999961</v>
      </c>
      <c r="U83" s="569"/>
      <c r="V83" s="554"/>
      <c r="W83" s="570">
        <f t="shared" si="12"/>
        <v>2790.2269999999958</v>
      </c>
      <c r="X83" s="10">
        <f t="shared" si="9"/>
        <v>0</v>
      </c>
      <c r="Y83" s="10">
        <f t="shared" si="9"/>
        <v>0</v>
      </c>
    </row>
    <row r="84" spans="1:25" s="24" customFormat="1" ht="17.25" customHeight="1">
      <c r="A84" s="560">
        <v>78</v>
      </c>
      <c r="B84" s="153" t="s">
        <v>227</v>
      </c>
      <c r="C84" s="561" t="s">
        <v>99</v>
      </c>
      <c r="D84" s="560" t="s">
        <v>25</v>
      </c>
      <c r="E84" s="562" t="s">
        <v>228</v>
      </c>
      <c r="F84" s="562" t="s">
        <v>229</v>
      </c>
      <c r="G84" s="571">
        <v>1</v>
      </c>
      <c r="H84" s="580" t="s">
        <v>102</v>
      </c>
      <c r="I84" s="580" t="s">
        <v>103</v>
      </c>
      <c r="J84" s="574">
        <v>3</v>
      </c>
      <c r="K84" s="554">
        <v>17697</v>
      </c>
      <c r="L84" s="573">
        <v>28</v>
      </c>
      <c r="M84" s="554">
        <f t="shared" si="10"/>
        <v>1.5555555555555556</v>
      </c>
      <c r="N84" s="566" t="s">
        <v>109</v>
      </c>
      <c r="O84" s="575">
        <v>4</v>
      </c>
      <c r="P84" s="567">
        <f>'расчеты к штатному'!P88-'расчеты к штатному старое'!P84</f>
        <v>12879.483333333323</v>
      </c>
      <c r="Q84" s="568"/>
      <c r="R84" s="554"/>
      <c r="S84" s="554">
        <v>0.1</v>
      </c>
      <c r="T84" s="567">
        <f t="shared" si="11"/>
        <v>1287.9483333333324</v>
      </c>
      <c r="U84" s="569"/>
      <c r="V84" s="554"/>
      <c r="W84" s="570">
        <f t="shared" si="12"/>
        <v>14167.431666666655</v>
      </c>
      <c r="X84" s="10">
        <f t="shared" si="9"/>
        <v>0</v>
      </c>
      <c r="Y84" s="10">
        <f t="shared" si="9"/>
        <v>0</v>
      </c>
    </row>
    <row r="85" spans="1:25" s="24" customFormat="1" ht="17.25" customHeight="1">
      <c r="A85" s="560">
        <v>79</v>
      </c>
      <c r="B85" s="153" t="s">
        <v>230</v>
      </c>
      <c r="C85" s="561" t="s">
        <v>99</v>
      </c>
      <c r="D85" s="560" t="s">
        <v>25</v>
      </c>
      <c r="E85" s="582" t="s">
        <v>231</v>
      </c>
      <c r="F85" s="582" t="s">
        <v>40</v>
      </c>
      <c r="G85" s="627">
        <v>1</v>
      </c>
      <c r="H85" s="580" t="s">
        <v>232</v>
      </c>
      <c r="I85" s="580" t="s">
        <v>233</v>
      </c>
      <c r="J85" s="574">
        <v>1</v>
      </c>
      <c r="K85" s="554">
        <v>17697</v>
      </c>
      <c r="L85" s="573">
        <v>36</v>
      </c>
      <c r="M85" s="554">
        <f t="shared" si="10"/>
        <v>2</v>
      </c>
      <c r="N85" s="574" t="s">
        <v>152</v>
      </c>
      <c r="O85" s="566">
        <v>4.75</v>
      </c>
      <c r="P85" s="567">
        <f>'расчеты к штатному'!P89-'расчеты к штатному старое'!P85</f>
        <v>10618.199999999953</v>
      </c>
      <c r="Q85" s="568"/>
      <c r="R85" s="554"/>
      <c r="S85" s="554">
        <v>0.1</v>
      </c>
      <c r="T85" s="567">
        <f t="shared" si="11"/>
        <v>1061.8199999999954</v>
      </c>
      <c r="U85" s="569"/>
      <c r="V85" s="554"/>
      <c r="W85" s="570">
        <f t="shared" si="12"/>
        <v>11680.01999999995</v>
      </c>
      <c r="X85" s="10">
        <f t="shared" si="9"/>
        <v>0</v>
      </c>
      <c r="Y85" s="10">
        <f t="shared" si="9"/>
        <v>0</v>
      </c>
    </row>
    <row r="86" spans="1:25" s="24" customFormat="1" ht="17.25" customHeight="1">
      <c r="A86" s="560">
        <v>80</v>
      </c>
      <c r="B86" s="153" t="s">
        <v>133</v>
      </c>
      <c r="C86" s="561" t="s">
        <v>99</v>
      </c>
      <c r="D86" s="563" t="s">
        <v>25</v>
      </c>
      <c r="E86" s="562" t="s">
        <v>474</v>
      </c>
      <c r="F86" s="562" t="s">
        <v>34</v>
      </c>
      <c r="G86" s="560">
        <v>1</v>
      </c>
      <c r="H86" s="563" t="s">
        <v>102</v>
      </c>
      <c r="I86" s="563" t="s">
        <v>103</v>
      </c>
      <c r="J86" s="581">
        <v>1</v>
      </c>
      <c r="K86" s="554">
        <v>17697</v>
      </c>
      <c r="L86" s="565">
        <v>17</v>
      </c>
      <c r="M86" s="554">
        <f t="shared" si="10"/>
        <v>0.94444444444444442</v>
      </c>
      <c r="N86" s="574" t="s">
        <v>152</v>
      </c>
      <c r="O86" s="566">
        <v>4.75</v>
      </c>
      <c r="P86" s="567" t="e">
        <f>'расчеты к штатному'!#REF!-'расчеты к штатному старое'!P86</f>
        <v>#REF!</v>
      </c>
      <c r="Q86" s="568"/>
      <c r="R86" s="554"/>
      <c r="S86" s="554">
        <v>0.1</v>
      </c>
      <c r="T86" s="567" t="e">
        <f t="shared" si="11"/>
        <v>#REF!</v>
      </c>
      <c r="U86" s="569"/>
      <c r="V86" s="554"/>
      <c r="W86" s="570" t="e">
        <f t="shared" si="12"/>
        <v>#REF!</v>
      </c>
      <c r="X86" s="10">
        <f t="shared" si="9"/>
        <v>0</v>
      </c>
      <c r="Y86" s="10">
        <f t="shared" si="9"/>
        <v>0</v>
      </c>
    </row>
    <row r="87" spans="1:25" s="24" customFormat="1" ht="17.25" customHeight="1">
      <c r="A87" s="560">
        <v>81</v>
      </c>
      <c r="B87" s="153" t="s">
        <v>160</v>
      </c>
      <c r="C87" s="561" t="s">
        <v>148</v>
      </c>
      <c r="D87" s="563" t="s">
        <v>25</v>
      </c>
      <c r="E87" s="562" t="s">
        <v>484</v>
      </c>
      <c r="F87" s="562" t="s">
        <v>34</v>
      </c>
      <c r="G87" s="560">
        <v>1</v>
      </c>
      <c r="H87" s="563" t="s">
        <v>102</v>
      </c>
      <c r="I87" s="563" t="s">
        <v>103</v>
      </c>
      <c r="J87" s="564">
        <v>2</v>
      </c>
      <c r="K87" s="554">
        <v>17697</v>
      </c>
      <c r="L87" s="565">
        <v>11</v>
      </c>
      <c r="M87" s="554">
        <f t="shared" si="10"/>
        <v>0.61111111111111116</v>
      </c>
      <c r="N87" s="566" t="s">
        <v>104</v>
      </c>
      <c r="O87" s="566">
        <v>4.51</v>
      </c>
      <c r="P87" s="567">
        <f>'расчеты к штатному'!P90-'расчеты к штатному старое'!P87</f>
        <v>6380.7516666666634</v>
      </c>
      <c r="Q87" s="568"/>
      <c r="R87" s="554"/>
      <c r="S87" s="554">
        <v>0.1</v>
      </c>
      <c r="T87" s="567">
        <f t="shared" si="11"/>
        <v>638.07516666666641</v>
      </c>
      <c r="U87" s="569"/>
      <c r="V87" s="554"/>
      <c r="W87" s="570">
        <f t="shared" si="12"/>
        <v>7018.8268333333299</v>
      </c>
      <c r="X87" s="10">
        <f t="shared" si="9"/>
        <v>0</v>
      </c>
      <c r="Y87" s="10">
        <f t="shared" si="9"/>
        <v>0</v>
      </c>
    </row>
    <row r="88" spans="1:25" s="24" customFormat="1" ht="17.25" customHeight="1">
      <c r="A88" s="560">
        <v>82</v>
      </c>
      <c r="B88" s="153" t="s">
        <v>360</v>
      </c>
      <c r="C88" s="561" t="s">
        <v>99</v>
      </c>
      <c r="D88" s="563" t="s">
        <v>25</v>
      </c>
      <c r="E88" s="562" t="s">
        <v>361</v>
      </c>
      <c r="F88" s="562" t="s">
        <v>362</v>
      </c>
      <c r="G88" s="571">
        <v>1</v>
      </c>
      <c r="H88" s="580" t="s">
        <v>102</v>
      </c>
      <c r="I88" s="580" t="s">
        <v>103</v>
      </c>
      <c r="J88" s="574">
        <v>1</v>
      </c>
      <c r="K88" s="554">
        <v>17697</v>
      </c>
      <c r="L88" s="573">
        <v>24</v>
      </c>
      <c r="M88" s="554">
        <f t="shared" si="10"/>
        <v>1.3333333333333333</v>
      </c>
      <c r="N88" s="566" t="s">
        <v>152</v>
      </c>
      <c r="O88" s="575">
        <v>4.55</v>
      </c>
      <c r="P88" s="567">
        <f>'расчеты к штатному'!P91-'расчеты к штатному старое'!P88</f>
        <v>14147.768333333326</v>
      </c>
      <c r="Q88" s="568"/>
      <c r="R88" s="554"/>
      <c r="S88" s="554">
        <v>0.1</v>
      </c>
      <c r="T88" s="567">
        <f t="shared" si="11"/>
        <v>1414.7768333333327</v>
      </c>
      <c r="U88" s="569"/>
      <c r="V88" s="554"/>
      <c r="W88" s="570">
        <f t="shared" si="12"/>
        <v>15562.545166666659</v>
      </c>
      <c r="X88" s="10"/>
      <c r="Y88" s="10"/>
    </row>
    <row r="89" spans="1:25" s="24" customFormat="1" ht="17.25" customHeight="1">
      <c r="A89" s="560">
        <v>83</v>
      </c>
      <c r="B89" s="153" t="s">
        <v>162</v>
      </c>
      <c r="C89" s="561" t="s">
        <v>99</v>
      </c>
      <c r="D89" s="563" t="s">
        <v>25</v>
      </c>
      <c r="E89" s="562" t="s">
        <v>485</v>
      </c>
      <c r="F89" s="562" t="s">
        <v>77</v>
      </c>
      <c r="G89" s="560">
        <v>1</v>
      </c>
      <c r="H89" s="563" t="s">
        <v>102</v>
      </c>
      <c r="I89" s="580" t="s">
        <v>103</v>
      </c>
      <c r="J89" s="581">
        <v>4</v>
      </c>
      <c r="K89" s="554">
        <v>17697</v>
      </c>
      <c r="L89" s="565">
        <v>22</v>
      </c>
      <c r="M89" s="554">
        <f t="shared" si="10"/>
        <v>1.2222222222222223</v>
      </c>
      <c r="N89" s="574" t="s">
        <v>112</v>
      </c>
      <c r="O89" s="566">
        <v>3.71</v>
      </c>
      <c r="P89" s="567">
        <f>'расчеты к штатному'!P92-'расчеты к штатному старое'!P89</f>
        <v>17087.436666666661</v>
      </c>
      <c r="Q89" s="568"/>
      <c r="R89" s="554"/>
      <c r="S89" s="554">
        <v>0.1</v>
      </c>
      <c r="T89" s="567">
        <f t="shared" si="11"/>
        <v>1708.7436666666663</v>
      </c>
      <c r="U89" s="569"/>
      <c r="V89" s="554"/>
      <c r="W89" s="570">
        <f t="shared" si="12"/>
        <v>18796.180333333326</v>
      </c>
      <c r="X89" s="10">
        <f t="shared" si="9"/>
        <v>0</v>
      </c>
      <c r="Y89" s="10">
        <f t="shared" si="9"/>
        <v>0</v>
      </c>
    </row>
    <row r="90" spans="1:25" s="24" customFormat="1" ht="17.25" customHeight="1">
      <c r="A90" s="560">
        <v>84</v>
      </c>
      <c r="B90" s="153" t="s">
        <v>237</v>
      </c>
      <c r="C90" s="561" t="s">
        <v>99</v>
      </c>
      <c r="D90" s="563" t="s">
        <v>25</v>
      </c>
      <c r="E90" s="562" t="s">
        <v>238</v>
      </c>
      <c r="F90" s="562" t="s">
        <v>239</v>
      </c>
      <c r="G90" s="571">
        <v>1</v>
      </c>
      <c r="H90" s="580" t="s">
        <v>102</v>
      </c>
      <c r="I90" s="580" t="s">
        <v>103</v>
      </c>
      <c r="J90" s="574">
        <v>2</v>
      </c>
      <c r="K90" s="554">
        <v>17697</v>
      </c>
      <c r="L90" s="573">
        <v>25</v>
      </c>
      <c r="M90" s="554">
        <f t="shared" si="10"/>
        <v>1.3888888888888888</v>
      </c>
      <c r="N90" s="566" t="s">
        <v>104</v>
      </c>
      <c r="O90" s="575">
        <v>4.2300000000000004</v>
      </c>
      <c r="P90" s="567">
        <f>'расчеты к штатному'!P93-'расчеты к штатному старое'!P90</f>
        <v>15239.083333333299</v>
      </c>
      <c r="Q90" s="568"/>
      <c r="R90" s="554"/>
      <c r="S90" s="554">
        <v>0.1</v>
      </c>
      <c r="T90" s="567">
        <f t="shared" si="11"/>
        <v>1523.9083333333301</v>
      </c>
      <c r="U90" s="569"/>
      <c r="V90" s="554"/>
      <c r="W90" s="570">
        <f t="shared" si="12"/>
        <v>16762.991666666629</v>
      </c>
      <c r="X90" s="10">
        <f t="shared" si="9"/>
        <v>0</v>
      </c>
      <c r="Y90" s="10">
        <f t="shared" si="9"/>
        <v>0</v>
      </c>
    </row>
    <row r="91" spans="1:25" s="24" customFormat="1" ht="17.25" customHeight="1">
      <c r="A91" s="560">
        <v>85</v>
      </c>
      <c r="B91" s="153" t="s">
        <v>281</v>
      </c>
      <c r="C91" s="561" t="s">
        <v>99</v>
      </c>
      <c r="D91" s="628" t="s">
        <v>25</v>
      </c>
      <c r="E91" s="586" t="s">
        <v>430</v>
      </c>
      <c r="F91" s="562" t="s">
        <v>40</v>
      </c>
      <c r="G91" s="560">
        <v>1</v>
      </c>
      <c r="H91" s="563" t="s">
        <v>102</v>
      </c>
      <c r="I91" s="563" t="s">
        <v>103</v>
      </c>
      <c r="J91" s="629">
        <v>1</v>
      </c>
      <c r="K91" s="554">
        <v>17697</v>
      </c>
      <c r="L91" s="573">
        <v>12</v>
      </c>
      <c r="M91" s="554">
        <f t="shared" si="10"/>
        <v>0.66666666666666663</v>
      </c>
      <c r="N91" s="574" t="s">
        <v>152</v>
      </c>
      <c r="O91" s="575">
        <v>4.75</v>
      </c>
      <c r="P91" s="567">
        <f>'расчеты к штатному'!P94-'расчеты к штатному старое'!P91</f>
        <v>5073.1399999999921</v>
      </c>
      <c r="Q91" s="568"/>
      <c r="R91" s="554"/>
      <c r="S91" s="554">
        <v>0.1</v>
      </c>
      <c r="T91" s="567">
        <f t="shared" si="11"/>
        <v>507.31399999999923</v>
      </c>
      <c r="U91" s="569"/>
      <c r="V91" s="554"/>
      <c r="W91" s="570">
        <f t="shared" si="12"/>
        <v>5580.4539999999915</v>
      </c>
      <c r="X91" s="10">
        <f t="shared" si="9"/>
        <v>0</v>
      </c>
      <c r="Y91" s="10">
        <f t="shared" si="9"/>
        <v>0</v>
      </c>
    </row>
    <row r="92" spans="1:25" s="24" customFormat="1" ht="17.25" customHeight="1">
      <c r="A92" s="560">
        <v>86</v>
      </c>
      <c r="B92" s="477" t="s">
        <v>436</v>
      </c>
      <c r="C92" s="561" t="s">
        <v>99</v>
      </c>
      <c r="D92" s="563" t="s">
        <v>75</v>
      </c>
      <c r="E92" s="562" t="s">
        <v>437</v>
      </c>
      <c r="F92" s="562" t="s">
        <v>438</v>
      </c>
      <c r="G92" s="560"/>
      <c r="H92" s="563" t="s">
        <v>102</v>
      </c>
      <c r="I92" s="563" t="s">
        <v>118</v>
      </c>
      <c r="J92" s="581">
        <v>4</v>
      </c>
      <c r="K92" s="554">
        <v>17697</v>
      </c>
      <c r="L92" s="565">
        <v>6</v>
      </c>
      <c r="M92" s="554">
        <f t="shared" si="10"/>
        <v>0.33333333333333331</v>
      </c>
      <c r="N92" s="574" t="s">
        <v>112</v>
      </c>
      <c r="O92" s="566">
        <v>3.32</v>
      </c>
      <c r="P92" s="567" t="e">
        <f>'расчеты к штатному'!#REF!-'расчеты к штатному старое'!P92</f>
        <v>#REF!</v>
      </c>
      <c r="Q92" s="568"/>
      <c r="R92" s="554"/>
      <c r="S92" s="554">
        <v>0.1</v>
      </c>
      <c r="T92" s="567" t="e">
        <f t="shared" si="11"/>
        <v>#REF!</v>
      </c>
      <c r="U92" s="569"/>
      <c r="V92" s="554"/>
      <c r="W92" s="570" t="e">
        <f t="shared" si="12"/>
        <v>#REF!</v>
      </c>
      <c r="X92" s="10">
        <f>U92+Q92</f>
        <v>0</v>
      </c>
      <c r="Y92" s="10">
        <f>V92+R92</f>
        <v>0</v>
      </c>
    </row>
    <row r="93" spans="1:25" s="24" customFormat="1" ht="17.25" customHeight="1">
      <c r="A93" s="560">
        <v>87</v>
      </c>
      <c r="B93" s="153" t="s">
        <v>243</v>
      </c>
      <c r="C93" s="561" t="s">
        <v>99</v>
      </c>
      <c r="D93" s="563" t="s">
        <v>25</v>
      </c>
      <c r="E93" s="562" t="s">
        <v>244</v>
      </c>
      <c r="F93" s="562" t="s">
        <v>239</v>
      </c>
      <c r="G93" s="571">
        <v>1</v>
      </c>
      <c r="H93" s="580" t="s">
        <v>102</v>
      </c>
      <c r="I93" s="580" t="s">
        <v>103</v>
      </c>
      <c r="J93" s="574">
        <v>3</v>
      </c>
      <c r="K93" s="554">
        <v>17697</v>
      </c>
      <c r="L93" s="573">
        <v>36</v>
      </c>
      <c r="M93" s="554">
        <f t="shared" si="10"/>
        <v>2</v>
      </c>
      <c r="N93" s="566" t="s">
        <v>109</v>
      </c>
      <c r="O93" s="575">
        <v>4.16</v>
      </c>
      <c r="P93" s="567">
        <f>'расчеты к штатному'!P98-'расчеты к штатному старое'!P93</f>
        <v>-110665.23999999999</v>
      </c>
      <c r="Q93" s="568"/>
      <c r="R93" s="554"/>
      <c r="S93" s="554">
        <v>0.1</v>
      </c>
      <c r="T93" s="567">
        <f t="shared" si="11"/>
        <v>-11066.523999999999</v>
      </c>
      <c r="U93" s="569"/>
      <c r="V93" s="554"/>
      <c r="W93" s="570">
        <f t="shared" si="12"/>
        <v>-121731.764</v>
      </c>
      <c r="X93" s="10"/>
      <c r="Y93" s="10"/>
    </row>
    <row r="94" spans="1:25" s="24" customFormat="1" ht="17.25" customHeight="1">
      <c r="A94" s="560">
        <v>88</v>
      </c>
      <c r="B94" s="153" t="s">
        <v>245</v>
      </c>
      <c r="C94" s="561" t="s">
        <v>99</v>
      </c>
      <c r="D94" s="563" t="s">
        <v>25</v>
      </c>
      <c r="E94" s="562" t="s">
        <v>246</v>
      </c>
      <c r="F94" s="562" t="s">
        <v>40</v>
      </c>
      <c r="G94" s="571">
        <v>1</v>
      </c>
      <c r="H94" s="580" t="s">
        <v>102</v>
      </c>
      <c r="I94" s="580" t="s">
        <v>103</v>
      </c>
      <c r="J94" s="574">
        <v>1</v>
      </c>
      <c r="K94" s="554">
        <v>17697</v>
      </c>
      <c r="L94" s="573">
        <v>33</v>
      </c>
      <c r="M94" s="554">
        <f t="shared" si="10"/>
        <v>1.8333333333333333</v>
      </c>
      <c r="N94" s="574" t="s">
        <v>152</v>
      </c>
      <c r="O94" s="575">
        <v>4.75</v>
      </c>
      <c r="P94" s="567">
        <f>'расчеты к штатному'!P99-'расчеты к штатному старое'!P94</f>
        <v>1238.7900000000081</v>
      </c>
      <c r="Q94" s="568"/>
      <c r="R94" s="554"/>
      <c r="S94" s="554">
        <v>0.1</v>
      </c>
      <c r="T94" s="567">
        <f t="shared" si="11"/>
        <v>123.87900000000081</v>
      </c>
      <c r="U94" s="569"/>
      <c r="V94" s="554"/>
      <c r="W94" s="570">
        <f t="shared" si="12"/>
        <v>1362.669000000009</v>
      </c>
      <c r="X94" s="10">
        <f t="shared" si="9"/>
        <v>0</v>
      </c>
      <c r="Y94" s="10">
        <f t="shared" si="9"/>
        <v>0</v>
      </c>
    </row>
    <row r="95" spans="1:25" s="24" customFormat="1" ht="17.25" customHeight="1">
      <c r="A95" s="560">
        <v>89</v>
      </c>
      <c r="B95" s="153" t="s">
        <v>250</v>
      </c>
      <c r="C95" s="561" t="s">
        <v>99</v>
      </c>
      <c r="D95" s="563" t="s">
        <v>64</v>
      </c>
      <c r="E95" s="562" t="s">
        <v>251</v>
      </c>
      <c r="F95" s="562" t="s">
        <v>252</v>
      </c>
      <c r="G95" s="571">
        <v>1</v>
      </c>
      <c r="H95" s="580" t="s">
        <v>102</v>
      </c>
      <c r="I95" s="580" t="s">
        <v>118</v>
      </c>
      <c r="J95" s="574">
        <v>3</v>
      </c>
      <c r="K95" s="554">
        <v>17697</v>
      </c>
      <c r="L95" s="573">
        <v>22</v>
      </c>
      <c r="M95" s="554">
        <f t="shared" si="10"/>
        <v>1.2222222222222223</v>
      </c>
      <c r="N95" s="566" t="s">
        <v>109</v>
      </c>
      <c r="O95" s="575">
        <v>3.97</v>
      </c>
      <c r="P95" s="567" t="e">
        <f>'расчеты к штатному'!#REF!-'расчеты к штатному старое'!P95</f>
        <v>#REF!</v>
      </c>
      <c r="Q95" s="568"/>
      <c r="R95" s="554"/>
      <c r="S95" s="554">
        <v>0.1</v>
      </c>
      <c r="T95" s="567" t="e">
        <f t="shared" si="11"/>
        <v>#REF!</v>
      </c>
      <c r="U95" s="569"/>
      <c r="V95" s="554"/>
      <c r="W95" s="570" t="e">
        <f t="shared" si="12"/>
        <v>#REF!</v>
      </c>
      <c r="X95" s="10">
        <f t="shared" si="9"/>
        <v>0</v>
      </c>
      <c r="Y95" s="10">
        <f t="shared" si="9"/>
        <v>0</v>
      </c>
    </row>
    <row r="96" spans="1:25" s="24" customFormat="1" ht="17.25" customHeight="1">
      <c r="A96" s="560">
        <v>90</v>
      </c>
      <c r="B96" s="153" t="s">
        <v>253</v>
      </c>
      <c r="C96" s="561" t="s">
        <v>148</v>
      </c>
      <c r="D96" s="563" t="s">
        <v>25</v>
      </c>
      <c r="E96" s="562" t="s">
        <v>254</v>
      </c>
      <c r="F96" s="562" t="s">
        <v>242</v>
      </c>
      <c r="G96" s="571">
        <v>1</v>
      </c>
      <c r="H96" s="580" t="s">
        <v>102</v>
      </c>
      <c r="I96" s="580" t="s">
        <v>103</v>
      </c>
      <c r="J96" s="574">
        <v>1</v>
      </c>
      <c r="K96" s="554">
        <v>17697</v>
      </c>
      <c r="L96" s="573">
        <v>35</v>
      </c>
      <c r="M96" s="554">
        <f t="shared" si="10"/>
        <v>1.9444444444444444</v>
      </c>
      <c r="N96" s="566" t="s">
        <v>104</v>
      </c>
      <c r="O96" s="575">
        <v>4.75</v>
      </c>
      <c r="P96" s="567">
        <f>'расчеты к штатному'!P101-'расчеты к штатному старое'!P96</f>
        <v>-14334.570000000036</v>
      </c>
      <c r="Q96" s="568"/>
      <c r="R96" s="554"/>
      <c r="S96" s="554">
        <v>0.1</v>
      </c>
      <c r="T96" s="567">
        <f t="shared" si="11"/>
        <v>-1433.4570000000037</v>
      </c>
      <c r="U96" s="569"/>
      <c r="V96" s="554"/>
      <c r="W96" s="570">
        <f t="shared" si="12"/>
        <v>-15768.02700000004</v>
      </c>
      <c r="X96" s="10">
        <f t="shared" si="9"/>
        <v>0</v>
      </c>
      <c r="Y96" s="10">
        <f t="shared" si="9"/>
        <v>0</v>
      </c>
    </row>
    <row r="97" spans="1:43" s="24" customFormat="1" ht="17.25" customHeight="1">
      <c r="A97" s="560">
        <v>91</v>
      </c>
      <c r="B97" s="153" t="s">
        <v>255</v>
      </c>
      <c r="C97" s="561" t="s">
        <v>99</v>
      </c>
      <c r="D97" s="563" t="s">
        <v>25</v>
      </c>
      <c r="E97" s="562" t="s">
        <v>256</v>
      </c>
      <c r="F97" s="562" t="s">
        <v>40</v>
      </c>
      <c r="G97" s="571">
        <v>1</v>
      </c>
      <c r="H97" s="580" t="s">
        <v>102</v>
      </c>
      <c r="I97" s="580" t="s">
        <v>103</v>
      </c>
      <c r="J97" s="574">
        <v>1</v>
      </c>
      <c r="K97" s="554">
        <v>17697</v>
      </c>
      <c r="L97" s="573">
        <v>35</v>
      </c>
      <c r="M97" s="554">
        <f t="shared" si="10"/>
        <v>1.9444444444444444</v>
      </c>
      <c r="N97" s="574" t="s">
        <v>152</v>
      </c>
      <c r="O97" s="566">
        <v>4.75</v>
      </c>
      <c r="P97" s="567">
        <f>'расчеты к штатному'!P102-'расчеты к штатному старое'!P97</f>
        <v>19466.699999999983</v>
      </c>
      <c r="Q97" s="568"/>
      <c r="R97" s="554"/>
      <c r="S97" s="554">
        <v>0.1</v>
      </c>
      <c r="T97" s="567">
        <f t="shared" si="11"/>
        <v>1946.6699999999983</v>
      </c>
      <c r="U97" s="569"/>
      <c r="V97" s="554"/>
      <c r="W97" s="570">
        <f t="shared" si="12"/>
        <v>21413.369999999981</v>
      </c>
      <c r="X97" s="10">
        <f t="shared" si="9"/>
        <v>0</v>
      </c>
      <c r="Y97" s="10">
        <f t="shared" si="9"/>
        <v>0</v>
      </c>
    </row>
    <row r="98" spans="1:43" s="24" customFormat="1" ht="17.25" customHeight="1">
      <c r="A98" s="560">
        <v>92</v>
      </c>
      <c r="B98" s="159" t="s">
        <v>257</v>
      </c>
      <c r="C98" s="600" t="s">
        <v>99</v>
      </c>
      <c r="D98" s="601" t="s">
        <v>25</v>
      </c>
      <c r="E98" s="585" t="s">
        <v>258</v>
      </c>
      <c r="F98" s="585" t="s">
        <v>259</v>
      </c>
      <c r="G98" s="612">
        <v>1</v>
      </c>
      <c r="H98" s="630" t="s">
        <v>102</v>
      </c>
      <c r="I98" s="630" t="s">
        <v>103</v>
      </c>
      <c r="J98" s="631">
        <v>2</v>
      </c>
      <c r="K98" s="605">
        <v>17697</v>
      </c>
      <c r="L98" s="632">
        <v>30</v>
      </c>
      <c r="M98" s="554">
        <f t="shared" si="10"/>
        <v>1.6666666666666667</v>
      </c>
      <c r="N98" s="566" t="s">
        <v>104</v>
      </c>
      <c r="O98" s="633">
        <v>4.16</v>
      </c>
      <c r="P98" s="567">
        <f>'расчеты к штатному'!P103-'расчеты к штатному старое'!P98</f>
        <v>52009.516666666677</v>
      </c>
      <c r="Q98" s="608"/>
      <c r="R98" s="605"/>
      <c r="S98" s="605">
        <v>0.1</v>
      </c>
      <c r="T98" s="567">
        <f t="shared" si="11"/>
        <v>5200.9516666666677</v>
      </c>
      <c r="U98" s="609"/>
      <c r="V98" s="605"/>
      <c r="W98" s="570">
        <f t="shared" si="12"/>
        <v>57210.468333333345</v>
      </c>
      <c r="X98" s="35">
        <f t="shared" si="9"/>
        <v>0</v>
      </c>
      <c r="Y98" s="35">
        <f t="shared" si="9"/>
        <v>0</v>
      </c>
    </row>
    <row r="99" spans="1:43" s="917" customFormat="1" ht="17.25" customHeight="1">
      <c r="A99" s="560">
        <v>93</v>
      </c>
      <c r="B99" s="153" t="s">
        <v>388</v>
      </c>
      <c r="C99" s="561" t="s">
        <v>99</v>
      </c>
      <c r="D99" s="563" t="s">
        <v>189</v>
      </c>
      <c r="E99" s="562" t="s">
        <v>390</v>
      </c>
      <c r="F99" s="562" t="s">
        <v>34</v>
      </c>
      <c r="G99" s="571">
        <v>1</v>
      </c>
      <c r="H99" s="580" t="s">
        <v>102</v>
      </c>
      <c r="I99" s="580" t="s">
        <v>103</v>
      </c>
      <c r="J99" s="574">
        <v>1</v>
      </c>
      <c r="K99" s="554">
        <v>17697</v>
      </c>
      <c r="L99" s="573">
        <v>9</v>
      </c>
      <c r="M99" s="554">
        <f t="shared" si="10"/>
        <v>0.5</v>
      </c>
      <c r="N99" s="574" t="s">
        <v>152</v>
      </c>
      <c r="O99" s="575">
        <v>4.75</v>
      </c>
      <c r="P99" s="567">
        <f>'расчеты к штатному'!P106-'расчеты к штатному старое'!P99</f>
        <v>3804.8549999999959</v>
      </c>
      <c r="Q99" s="568"/>
      <c r="R99" s="554"/>
      <c r="S99" s="554">
        <v>0.1</v>
      </c>
      <c r="T99" s="567">
        <f t="shared" si="11"/>
        <v>380.4854999999996</v>
      </c>
      <c r="U99" s="569"/>
      <c r="V99" s="554"/>
      <c r="W99" s="570">
        <f t="shared" si="12"/>
        <v>4185.3404999999957</v>
      </c>
      <c r="X99" s="10">
        <f t="shared" si="9"/>
        <v>0</v>
      </c>
      <c r="Y99" s="10">
        <f t="shared" si="9"/>
        <v>0</v>
      </c>
    </row>
    <row r="100" spans="1:43" s="23" customFormat="1" ht="17.25" customHeight="1">
      <c r="A100" s="560">
        <v>94</v>
      </c>
      <c r="B100" s="153" t="s">
        <v>199</v>
      </c>
      <c r="C100" s="561" t="s">
        <v>99</v>
      </c>
      <c r="D100" s="563" t="s">
        <v>25</v>
      </c>
      <c r="E100" s="210" t="s">
        <v>158</v>
      </c>
      <c r="F100" s="562" t="s">
        <v>159</v>
      </c>
      <c r="G100" s="560">
        <v>1</v>
      </c>
      <c r="H100" s="563" t="s">
        <v>102</v>
      </c>
      <c r="I100" s="563" t="s">
        <v>118</v>
      </c>
      <c r="J100" s="581">
        <v>4</v>
      </c>
      <c r="K100" s="554">
        <v>17697</v>
      </c>
      <c r="L100" s="565">
        <v>12</v>
      </c>
      <c r="M100" s="554">
        <f t="shared" si="10"/>
        <v>0.66666666666666663</v>
      </c>
      <c r="N100" s="574" t="s">
        <v>112</v>
      </c>
      <c r="O100" s="566">
        <v>3.36</v>
      </c>
      <c r="P100" s="567">
        <f>'расчеты к штатному'!P107-'расчеты к штатному старое'!P100</f>
        <v>8873.0791666666628</v>
      </c>
      <c r="Q100" s="568"/>
      <c r="R100" s="554"/>
      <c r="S100" s="554">
        <v>0.1</v>
      </c>
      <c r="T100" s="567">
        <f t="shared" si="11"/>
        <v>887.3079166666663</v>
      </c>
      <c r="U100" s="569"/>
      <c r="V100" s="554"/>
      <c r="W100" s="570">
        <f t="shared" si="12"/>
        <v>9760.3870833333294</v>
      </c>
      <c r="X100" s="10"/>
      <c r="Y100" s="10"/>
    </row>
    <row r="101" spans="1:43" s="23" customFormat="1" ht="17.25" customHeight="1">
      <c r="A101" s="560">
        <v>95</v>
      </c>
      <c r="B101" s="153" t="s">
        <v>439</v>
      </c>
      <c r="C101" s="561" t="s">
        <v>99</v>
      </c>
      <c r="D101" s="563" t="s">
        <v>75</v>
      </c>
      <c r="E101" s="562" t="s">
        <v>440</v>
      </c>
      <c r="F101" s="562" t="s">
        <v>159</v>
      </c>
      <c r="G101" s="571">
        <v>1</v>
      </c>
      <c r="H101" s="580" t="s">
        <v>102</v>
      </c>
      <c r="I101" s="580" t="s">
        <v>118</v>
      </c>
      <c r="J101" s="574">
        <v>4</v>
      </c>
      <c r="K101" s="554">
        <v>17697</v>
      </c>
      <c r="L101" s="573">
        <v>6</v>
      </c>
      <c r="M101" s="554">
        <f t="shared" si="10"/>
        <v>0.33333333333333331</v>
      </c>
      <c r="N101" s="574" t="s">
        <v>112</v>
      </c>
      <c r="O101" s="575">
        <v>3.32</v>
      </c>
      <c r="P101" s="567" t="e">
        <f>'расчеты к штатному'!#REF!-'расчеты к штатному старое'!P101</f>
        <v>#REF!</v>
      </c>
      <c r="Q101" s="568"/>
      <c r="R101" s="554"/>
      <c r="S101" s="554">
        <v>0.1</v>
      </c>
      <c r="T101" s="567" t="e">
        <f t="shared" si="11"/>
        <v>#REF!</v>
      </c>
      <c r="U101" s="569"/>
      <c r="V101" s="554"/>
      <c r="W101" s="570" t="e">
        <f t="shared" si="12"/>
        <v>#REF!</v>
      </c>
      <c r="X101" s="10">
        <f t="shared" si="9"/>
        <v>0</v>
      </c>
      <c r="Y101" s="10">
        <f t="shared" si="9"/>
        <v>0</v>
      </c>
    </row>
    <row r="102" spans="1:43" s="205" customFormat="1" ht="17.25" customHeight="1">
      <c r="A102" s="617"/>
      <c r="B102" s="250"/>
      <c r="C102" s="614"/>
      <c r="D102" s="615"/>
      <c r="E102" s="616"/>
      <c r="F102" s="616"/>
      <c r="G102" s="634"/>
      <c r="H102" s="635"/>
      <c r="I102" s="635"/>
      <c r="J102" s="636"/>
      <c r="K102" s="619"/>
      <c r="L102" s="637">
        <f>SUM(L79:L101)</f>
        <v>477</v>
      </c>
      <c r="M102" s="619"/>
      <c r="N102" s="636"/>
      <c r="O102" s="638"/>
      <c r="P102" s="623" t="e">
        <f>SUM(P79:P101)</f>
        <v>#REF!</v>
      </c>
      <c r="Q102" s="624"/>
      <c r="R102" s="619"/>
      <c r="S102" s="619"/>
      <c r="T102" s="623"/>
      <c r="U102" s="625"/>
      <c r="V102" s="619"/>
      <c r="W102" s="626"/>
      <c r="X102" s="104"/>
      <c r="Y102" s="104"/>
      <c r="Z102" s="24"/>
      <c r="AA102" s="22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</row>
    <row r="103" spans="1:43" s="24" customFormat="1" ht="17.25" customHeight="1">
      <c r="A103" s="547">
        <v>96</v>
      </c>
      <c r="B103" s="640" t="s">
        <v>36</v>
      </c>
      <c r="C103" s="641" t="s">
        <v>99</v>
      </c>
      <c r="D103" s="642" t="s">
        <v>25</v>
      </c>
      <c r="E103" s="643" t="s">
        <v>424</v>
      </c>
      <c r="F103" s="583" t="s">
        <v>40</v>
      </c>
      <c r="G103" s="547">
        <v>1</v>
      </c>
      <c r="H103" s="577" t="s">
        <v>102</v>
      </c>
      <c r="I103" s="577" t="s">
        <v>103</v>
      </c>
      <c r="J103" s="644">
        <v>1</v>
      </c>
      <c r="K103" s="552">
        <v>17697</v>
      </c>
      <c r="L103" s="645">
        <v>9</v>
      </c>
      <c r="M103" s="552">
        <f>L103/18</f>
        <v>0.5</v>
      </c>
      <c r="N103" s="574" t="s">
        <v>152</v>
      </c>
      <c r="O103" s="642">
        <v>4.75</v>
      </c>
      <c r="P103" s="556">
        <f>'расчеты к штатному'!P109-'расчеты к штатному старое'!P103</f>
        <v>3804.8549999999959</v>
      </c>
      <c r="Q103" s="557"/>
      <c r="R103" s="552"/>
      <c r="S103" s="552">
        <v>0.1</v>
      </c>
      <c r="T103" s="556">
        <f t="shared" ref="T103:T118" si="13">P103*S103</f>
        <v>380.4854999999996</v>
      </c>
      <c r="U103" s="558"/>
      <c r="V103" s="552"/>
      <c r="W103" s="559">
        <f>T103+P103</f>
        <v>4185.3404999999957</v>
      </c>
      <c r="X103" s="70">
        <f t="shared" ref="X103:Y121" si="14">U103+Q103</f>
        <v>0</v>
      </c>
      <c r="Y103" s="70">
        <f t="shared" si="14"/>
        <v>0</v>
      </c>
    </row>
    <row r="104" spans="1:43" s="24" customFormat="1" ht="17.25" customHeight="1">
      <c r="A104" s="547">
        <v>97</v>
      </c>
      <c r="B104" s="646" t="s">
        <v>261</v>
      </c>
      <c r="C104" s="647" t="s">
        <v>99</v>
      </c>
      <c r="D104" s="628" t="s">
        <v>25</v>
      </c>
      <c r="E104" s="586" t="s">
        <v>435</v>
      </c>
      <c r="F104" s="562" t="s">
        <v>425</v>
      </c>
      <c r="G104" s="560">
        <v>1</v>
      </c>
      <c r="H104" s="563" t="s">
        <v>102</v>
      </c>
      <c r="I104" s="563" t="s">
        <v>103</v>
      </c>
      <c r="J104" s="629">
        <v>2</v>
      </c>
      <c r="K104" s="554">
        <v>17697</v>
      </c>
      <c r="L104" s="648">
        <v>35</v>
      </c>
      <c r="M104" s="552">
        <f t="shared" ref="M104:M121" si="15">L104/18</f>
        <v>1.9444444444444444</v>
      </c>
      <c r="N104" s="566" t="s">
        <v>104</v>
      </c>
      <c r="O104" s="628">
        <v>4.49</v>
      </c>
      <c r="P104" s="556">
        <f>'расчеты к штатному'!P110-'расчеты к штатному старое'!P104</f>
        <v>-1720.541666666657</v>
      </c>
      <c r="Q104" s="568"/>
      <c r="R104" s="554"/>
      <c r="S104" s="554">
        <v>0.1</v>
      </c>
      <c r="T104" s="567">
        <f t="shared" si="13"/>
        <v>-172.05416666666571</v>
      </c>
      <c r="U104" s="569"/>
      <c r="V104" s="554"/>
      <c r="W104" s="559">
        <f t="shared" ref="W104:W121" si="16">T104+P104</f>
        <v>-1892.5958333333226</v>
      </c>
      <c r="X104" s="10">
        <f t="shared" si="14"/>
        <v>0</v>
      </c>
      <c r="Y104" s="10">
        <f t="shared" si="14"/>
        <v>0</v>
      </c>
    </row>
    <row r="105" spans="1:43" s="24" customFormat="1" ht="16.5" customHeight="1">
      <c r="A105" s="547">
        <v>98</v>
      </c>
      <c r="B105" s="647" t="s">
        <v>264</v>
      </c>
      <c r="C105" s="647" t="s">
        <v>99</v>
      </c>
      <c r="D105" s="628" t="s">
        <v>25</v>
      </c>
      <c r="E105" s="586" t="s">
        <v>426</v>
      </c>
      <c r="F105" s="562" t="s">
        <v>40</v>
      </c>
      <c r="G105" s="560">
        <v>1</v>
      </c>
      <c r="H105" s="563" t="s">
        <v>102</v>
      </c>
      <c r="I105" s="563" t="s">
        <v>103</v>
      </c>
      <c r="J105" s="629">
        <v>1</v>
      </c>
      <c r="K105" s="554">
        <v>17697</v>
      </c>
      <c r="L105" s="648">
        <v>36</v>
      </c>
      <c r="M105" s="552">
        <f t="shared" si="15"/>
        <v>2</v>
      </c>
      <c r="N105" s="574" t="s">
        <v>152</v>
      </c>
      <c r="O105" s="628">
        <v>4.75</v>
      </c>
      <c r="P105" s="556">
        <f>'расчеты к штатному'!P112-'расчеты к штатному старое'!P105</f>
        <v>-3460.7466666666733</v>
      </c>
      <c r="Q105" s="568"/>
      <c r="R105" s="554"/>
      <c r="S105" s="554">
        <v>0.1</v>
      </c>
      <c r="T105" s="567">
        <f t="shared" si="13"/>
        <v>-346.07466666666733</v>
      </c>
      <c r="U105" s="569"/>
      <c r="V105" s="554"/>
      <c r="W105" s="559">
        <f t="shared" si="16"/>
        <v>-3806.8213333333406</v>
      </c>
      <c r="X105" s="10">
        <f t="shared" si="14"/>
        <v>0</v>
      </c>
      <c r="Y105" s="10">
        <f t="shared" si="14"/>
        <v>0</v>
      </c>
    </row>
    <row r="106" spans="1:43" s="24" customFormat="1" ht="17.25" customHeight="1">
      <c r="A106" s="547">
        <v>99</v>
      </c>
      <c r="B106" s="647" t="s">
        <v>268</v>
      </c>
      <c r="C106" s="647" t="s">
        <v>99</v>
      </c>
      <c r="D106" s="628" t="s">
        <v>25</v>
      </c>
      <c r="E106" s="586" t="s">
        <v>427</v>
      </c>
      <c r="F106" s="562" t="s">
        <v>40</v>
      </c>
      <c r="G106" s="560">
        <v>1</v>
      </c>
      <c r="H106" s="563" t="s">
        <v>102</v>
      </c>
      <c r="I106" s="563" t="s">
        <v>103</v>
      </c>
      <c r="J106" s="629">
        <v>1</v>
      </c>
      <c r="K106" s="554">
        <v>17697</v>
      </c>
      <c r="L106" s="648">
        <v>36</v>
      </c>
      <c r="M106" s="552">
        <f t="shared" si="15"/>
        <v>2</v>
      </c>
      <c r="N106" s="574" t="s">
        <v>152</v>
      </c>
      <c r="O106" s="628">
        <v>4.75</v>
      </c>
      <c r="P106" s="556">
        <f>'расчеты к штатному'!P113-'расчеты к штатному старое'!P106</f>
        <v>-3460.7466666666733</v>
      </c>
      <c r="Q106" s="568"/>
      <c r="R106" s="554"/>
      <c r="S106" s="554">
        <v>0.1</v>
      </c>
      <c r="T106" s="567">
        <f t="shared" si="13"/>
        <v>-346.07466666666733</v>
      </c>
      <c r="U106" s="569"/>
      <c r="V106" s="554"/>
      <c r="W106" s="559">
        <f t="shared" si="16"/>
        <v>-3806.8213333333406</v>
      </c>
      <c r="X106" s="10">
        <f t="shared" si="14"/>
        <v>0</v>
      </c>
      <c r="Y106" s="10">
        <f t="shared" si="14"/>
        <v>0</v>
      </c>
    </row>
    <row r="107" spans="1:43" s="24" customFormat="1" ht="17.25" customHeight="1">
      <c r="A107" s="547">
        <v>100</v>
      </c>
      <c r="B107" s="647" t="s">
        <v>269</v>
      </c>
      <c r="C107" s="647" t="s">
        <v>99</v>
      </c>
      <c r="D107" s="628" t="s">
        <v>25</v>
      </c>
      <c r="E107" s="586" t="s">
        <v>428</v>
      </c>
      <c r="F107" s="582" t="s">
        <v>271</v>
      </c>
      <c r="G107" s="560">
        <v>1</v>
      </c>
      <c r="H107" s="563" t="s">
        <v>102</v>
      </c>
      <c r="I107" s="563" t="s">
        <v>103</v>
      </c>
      <c r="J107" s="629">
        <v>1</v>
      </c>
      <c r="K107" s="554">
        <v>17697</v>
      </c>
      <c r="L107" s="648">
        <v>36</v>
      </c>
      <c r="M107" s="552">
        <f t="shared" si="15"/>
        <v>2</v>
      </c>
      <c r="N107" s="566" t="s">
        <v>104</v>
      </c>
      <c r="O107" s="628">
        <v>4.62</v>
      </c>
      <c r="P107" s="556">
        <f>'расчеты к штатному'!P114-'расчеты к штатному старое'!P107</f>
        <v>5781.0199999999604</v>
      </c>
      <c r="Q107" s="568"/>
      <c r="R107" s="554"/>
      <c r="S107" s="554">
        <v>0.1</v>
      </c>
      <c r="T107" s="567">
        <f t="shared" si="13"/>
        <v>578.10199999999611</v>
      </c>
      <c r="U107" s="569"/>
      <c r="V107" s="554"/>
      <c r="W107" s="559">
        <f t="shared" si="16"/>
        <v>6359.1219999999566</v>
      </c>
      <c r="X107" s="10">
        <f t="shared" si="14"/>
        <v>0</v>
      </c>
      <c r="Y107" s="10">
        <f t="shared" si="14"/>
        <v>0</v>
      </c>
    </row>
    <row r="108" spans="1:43" s="24" customFormat="1" ht="17.25" customHeight="1">
      <c r="A108" s="547">
        <v>101</v>
      </c>
      <c r="B108" s="647" t="s">
        <v>421</v>
      </c>
      <c r="C108" s="647" t="s">
        <v>99</v>
      </c>
      <c r="D108" s="628" t="s">
        <v>75</v>
      </c>
      <c r="E108" s="586" t="s">
        <v>422</v>
      </c>
      <c r="F108" s="562" t="s">
        <v>159</v>
      </c>
      <c r="G108" s="560">
        <v>1</v>
      </c>
      <c r="H108" s="563" t="s">
        <v>102</v>
      </c>
      <c r="I108" s="563" t="s">
        <v>118</v>
      </c>
      <c r="J108" s="629">
        <v>4</v>
      </c>
      <c r="K108" s="554">
        <v>17697</v>
      </c>
      <c r="L108" s="649">
        <v>10</v>
      </c>
      <c r="M108" s="552">
        <f t="shared" si="15"/>
        <v>0.55555555555555558</v>
      </c>
      <c r="N108" s="574" t="s">
        <v>112</v>
      </c>
      <c r="O108" s="628">
        <v>3.32</v>
      </c>
      <c r="P108" s="556" t="e">
        <f>'расчеты к штатному'!#REF!-'расчеты к штатному старое'!P108</f>
        <v>#REF!</v>
      </c>
      <c r="Q108" s="568"/>
      <c r="R108" s="554"/>
      <c r="S108" s="554">
        <v>0.1</v>
      </c>
      <c r="T108" s="567" t="e">
        <f t="shared" si="13"/>
        <v>#REF!</v>
      </c>
      <c r="U108" s="569"/>
      <c r="V108" s="554"/>
      <c r="W108" s="559" t="e">
        <f t="shared" si="16"/>
        <v>#REF!</v>
      </c>
      <c r="X108" s="10">
        <f t="shared" si="14"/>
        <v>0</v>
      </c>
      <c r="Y108" s="10">
        <f t="shared" si="14"/>
        <v>0</v>
      </c>
    </row>
    <row r="109" spans="1:43" s="24" customFormat="1" ht="17.25" customHeight="1">
      <c r="A109" s="547">
        <v>102</v>
      </c>
      <c r="B109" s="647" t="s">
        <v>391</v>
      </c>
      <c r="C109" s="647" t="s">
        <v>99</v>
      </c>
      <c r="D109" s="563" t="s">
        <v>75</v>
      </c>
      <c r="E109" s="586" t="s">
        <v>433</v>
      </c>
      <c r="F109" s="582" t="s">
        <v>77</v>
      </c>
      <c r="G109" s="560">
        <v>1</v>
      </c>
      <c r="H109" s="563" t="s">
        <v>102</v>
      </c>
      <c r="I109" s="563" t="s">
        <v>118</v>
      </c>
      <c r="J109" s="629">
        <v>4</v>
      </c>
      <c r="K109" s="554">
        <v>17697</v>
      </c>
      <c r="L109" s="648">
        <v>33</v>
      </c>
      <c r="M109" s="552">
        <f t="shared" si="15"/>
        <v>1.8333333333333333</v>
      </c>
      <c r="N109" s="574" t="s">
        <v>112</v>
      </c>
      <c r="O109" s="650">
        <v>3.41</v>
      </c>
      <c r="P109" s="556">
        <f>'расчеты к штатному'!P127-'расчеты к штатному старое'!P109</f>
        <v>-4925.6649999999936</v>
      </c>
      <c r="Q109" s="568"/>
      <c r="R109" s="554"/>
      <c r="S109" s="554">
        <v>0.1</v>
      </c>
      <c r="T109" s="567">
        <f t="shared" si="13"/>
        <v>-492.56649999999939</v>
      </c>
      <c r="U109" s="569"/>
      <c r="V109" s="554"/>
      <c r="W109" s="559">
        <f t="shared" si="16"/>
        <v>-5418.2314999999926</v>
      </c>
      <c r="X109" s="10">
        <f>U109+Q109</f>
        <v>0</v>
      </c>
      <c r="Y109" s="10">
        <f>V109+R109</f>
        <v>0</v>
      </c>
    </row>
    <row r="110" spans="1:43" s="24" customFormat="1" ht="17.25" customHeight="1">
      <c r="A110" s="547">
        <v>103</v>
      </c>
      <c r="B110" s="647" t="s">
        <v>272</v>
      </c>
      <c r="C110" s="647" t="s">
        <v>99</v>
      </c>
      <c r="D110" s="628" t="s">
        <v>25</v>
      </c>
      <c r="E110" s="586" t="s">
        <v>429</v>
      </c>
      <c r="F110" s="582" t="s">
        <v>434</v>
      </c>
      <c r="G110" s="560">
        <v>1</v>
      </c>
      <c r="H110" s="563" t="s">
        <v>102</v>
      </c>
      <c r="I110" s="563" t="s">
        <v>103</v>
      </c>
      <c r="J110" s="629">
        <v>1</v>
      </c>
      <c r="K110" s="554">
        <v>17697</v>
      </c>
      <c r="L110" s="648">
        <v>36</v>
      </c>
      <c r="M110" s="552">
        <f t="shared" si="15"/>
        <v>2</v>
      </c>
      <c r="N110" s="574" t="s">
        <v>152</v>
      </c>
      <c r="O110" s="628">
        <v>4.6900000000000004</v>
      </c>
      <c r="P110" s="556">
        <f>'расчеты к штатному'!P115-'расчеты к штатному старое'!P110</f>
        <v>-3224.7866666666523</v>
      </c>
      <c r="Q110" s="568"/>
      <c r="R110" s="554"/>
      <c r="S110" s="554">
        <v>0.1</v>
      </c>
      <c r="T110" s="567">
        <f t="shared" si="13"/>
        <v>-322.47866666666528</v>
      </c>
      <c r="U110" s="569"/>
      <c r="V110" s="554"/>
      <c r="W110" s="559">
        <f t="shared" si="16"/>
        <v>-3547.2653333333174</v>
      </c>
      <c r="X110" s="10"/>
      <c r="Y110" s="10"/>
    </row>
    <row r="111" spans="1:43" s="24" customFormat="1" ht="17.25" customHeight="1">
      <c r="A111" s="547">
        <v>104</v>
      </c>
      <c r="B111" s="646" t="s">
        <v>274</v>
      </c>
      <c r="C111" s="647" t="s">
        <v>99</v>
      </c>
      <c r="D111" s="628" t="s">
        <v>25</v>
      </c>
      <c r="E111" s="586" t="s">
        <v>442</v>
      </c>
      <c r="F111" s="582" t="s">
        <v>403</v>
      </c>
      <c r="G111" s="560">
        <v>1</v>
      </c>
      <c r="H111" s="563" t="s">
        <v>102</v>
      </c>
      <c r="I111" s="563" t="s">
        <v>103</v>
      </c>
      <c r="J111" s="629">
        <v>2</v>
      </c>
      <c r="K111" s="554">
        <v>17697</v>
      </c>
      <c r="L111" s="648">
        <v>27</v>
      </c>
      <c r="M111" s="552">
        <f t="shared" si="15"/>
        <v>1.5</v>
      </c>
      <c r="N111" s="566" t="s">
        <v>104</v>
      </c>
      <c r="O111" s="628">
        <v>4.16</v>
      </c>
      <c r="P111" s="556">
        <f>'расчеты к штатному'!P125-'расчеты к штатному старое'!P111</f>
        <v>-2025.3233333333337</v>
      </c>
      <c r="Q111" s="568"/>
      <c r="R111" s="554"/>
      <c r="S111" s="554">
        <v>0.1</v>
      </c>
      <c r="T111" s="567">
        <f t="shared" si="13"/>
        <v>-202.53233333333338</v>
      </c>
      <c r="U111" s="569"/>
      <c r="V111" s="554"/>
      <c r="W111" s="559">
        <f t="shared" si="16"/>
        <v>-2227.8556666666673</v>
      </c>
      <c r="X111" s="10">
        <f t="shared" si="14"/>
        <v>0</v>
      </c>
      <c r="Y111" s="10">
        <f t="shared" si="14"/>
        <v>0</v>
      </c>
    </row>
    <row r="112" spans="1:43" s="24" customFormat="1" ht="17.25" customHeight="1">
      <c r="A112" s="547">
        <v>105</v>
      </c>
      <c r="B112" s="646" t="s">
        <v>420</v>
      </c>
      <c r="C112" s="647" t="s">
        <v>99</v>
      </c>
      <c r="D112" s="628" t="s">
        <v>25</v>
      </c>
      <c r="E112" s="586" t="s">
        <v>443</v>
      </c>
      <c r="F112" s="582" t="s">
        <v>403</v>
      </c>
      <c r="G112" s="560">
        <v>1</v>
      </c>
      <c r="H112" s="563" t="s">
        <v>102</v>
      </c>
      <c r="I112" s="563" t="s">
        <v>103</v>
      </c>
      <c r="J112" s="629">
        <v>4</v>
      </c>
      <c r="K112" s="554">
        <v>17697</v>
      </c>
      <c r="L112" s="648">
        <v>18</v>
      </c>
      <c r="M112" s="552">
        <f t="shared" si="15"/>
        <v>1</v>
      </c>
      <c r="N112" s="574" t="s">
        <v>112</v>
      </c>
      <c r="O112" s="628">
        <v>3.85</v>
      </c>
      <c r="P112" s="556">
        <f>'расчеты к штатному'!P122-'расчеты к штатному старое'!P112</f>
        <v>28983.753333333334</v>
      </c>
      <c r="Q112" s="568"/>
      <c r="R112" s="554"/>
      <c r="S112" s="554">
        <v>0.1</v>
      </c>
      <c r="T112" s="567">
        <f t="shared" si="13"/>
        <v>2898.3753333333334</v>
      </c>
      <c r="U112" s="569"/>
      <c r="V112" s="554"/>
      <c r="W112" s="559">
        <f t="shared" si="16"/>
        <v>31882.128666666667</v>
      </c>
      <c r="X112" s="10">
        <f t="shared" si="14"/>
        <v>0</v>
      </c>
      <c r="Y112" s="10">
        <f t="shared" si="14"/>
        <v>0</v>
      </c>
    </row>
    <row r="113" spans="1:25" s="24" customFormat="1" ht="17.25" customHeight="1">
      <c r="A113" s="547">
        <v>106</v>
      </c>
      <c r="B113" s="646" t="s">
        <v>277</v>
      </c>
      <c r="C113" s="647" t="s">
        <v>99</v>
      </c>
      <c r="D113" s="628" t="s">
        <v>25</v>
      </c>
      <c r="E113" s="586" t="s">
        <v>430</v>
      </c>
      <c r="F113" s="562" t="s">
        <v>40</v>
      </c>
      <c r="G113" s="560">
        <v>1</v>
      </c>
      <c r="H113" s="563" t="s">
        <v>102</v>
      </c>
      <c r="I113" s="563" t="s">
        <v>103</v>
      </c>
      <c r="J113" s="629">
        <v>1</v>
      </c>
      <c r="K113" s="554">
        <v>17697</v>
      </c>
      <c r="L113" s="648">
        <v>14</v>
      </c>
      <c r="M113" s="552">
        <f t="shared" si="15"/>
        <v>0.77777777777777779</v>
      </c>
      <c r="N113" s="574" t="s">
        <v>152</v>
      </c>
      <c r="O113" s="628">
        <v>4.75</v>
      </c>
      <c r="P113" s="556" t="e">
        <f>'расчеты к штатному'!#REF!-'расчеты к штатному старое'!P113</f>
        <v>#REF!</v>
      </c>
      <c r="Q113" s="568"/>
      <c r="R113" s="554"/>
      <c r="S113" s="554">
        <v>0.1</v>
      </c>
      <c r="T113" s="567" t="e">
        <f t="shared" si="13"/>
        <v>#REF!</v>
      </c>
      <c r="U113" s="569"/>
      <c r="V113" s="554"/>
      <c r="W113" s="559" t="e">
        <f t="shared" si="16"/>
        <v>#REF!</v>
      </c>
      <c r="X113" s="10">
        <f t="shared" si="14"/>
        <v>0</v>
      </c>
      <c r="Y113" s="10">
        <f t="shared" si="14"/>
        <v>0</v>
      </c>
    </row>
    <row r="114" spans="1:25" s="24" customFormat="1" ht="17.25" customHeight="1">
      <c r="A114" s="547">
        <v>107</v>
      </c>
      <c r="B114" s="153" t="s">
        <v>175</v>
      </c>
      <c r="C114" s="561" t="s">
        <v>99</v>
      </c>
      <c r="D114" s="563" t="s">
        <v>25</v>
      </c>
      <c r="E114" s="562" t="s">
        <v>491</v>
      </c>
      <c r="F114" s="562" t="s">
        <v>114</v>
      </c>
      <c r="G114" s="560">
        <v>1</v>
      </c>
      <c r="H114" s="563" t="s">
        <v>102</v>
      </c>
      <c r="I114" s="563" t="s">
        <v>103</v>
      </c>
      <c r="J114" s="581">
        <v>1</v>
      </c>
      <c r="K114" s="554">
        <v>17697</v>
      </c>
      <c r="L114" s="565">
        <v>14</v>
      </c>
      <c r="M114" s="552">
        <f t="shared" si="15"/>
        <v>0.77777777777777779</v>
      </c>
      <c r="N114" s="574" t="s">
        <v>152</v>
      </c>
      <c r="O114" s="566">
        <v>4.75</v>
      </c>
      <c r="P114" s="556">
        <f>'расчеты к штатному'!P116-'расчеты к штатному старое'!P114</f>
        <v>-31441.670000000013</v>
      </c>
      <c r="Q114" s="568"/>
      <c r="R114" s="554"/>
      <c r="S114" s="554">
        <v>0.1</v>
      </c>
      <c r="T114" s="567">
        <f t="shared" si="13"/>
        <v>-3144.1670000000013</v>
      </c>
      <c r="U114" s="569"/>
      <c r="V114" s="554"/>
      <c r="W114" s="559">
        <f t="shared" si="16"/>
        <v>-34585.837000000014</v>
      </c>
      <c r="X114" s="10">
        <f t="shared" si="14"/>
        <v>0</v>
      </c>
      <c r="Y114" s="10">
        <f t="shared" si="14"/>
        <v>0</v>
      </c>
    </row>
    <row r="115" spans="1:25" s="24" customFormat="1" ht="17.25" customHeight="1">
      <c r="A115" s="547">
        <v>108</v>
      </c>
      <c r="B115" s="647" t="s">
        <v>281</v>
      </c>
      <c r="C115" s="647" t="s">
        <v>99</v>
      </c>
      <c r="D115" s="628" t="s">
        <v>25</v>
      </c>
      <c r="E115" s="586" t="s">
        <v>430</v>
      </c>
      <c r="F115" s="562" t="s">
        <v>40</v>
      </c>
      <c r="G115" s="560">
        <v>1</v>
      </c>
      <c r="H115" s="563" t="s">
        <v>102</v>
      </c>
      <c r="I115" s="563" t="s">
        <v>103</v>
      </c>
      <c r="J115" s="629">
        <v>1</v>
      </c>
      <c r="K115" s="554">
        <v>17697</v>
      </c>
      <c r="L115" s="648">
        <v>24</v>
      </c>
      <c r="M115" s="552">
        <f t="shared" si="15"/>
        <v>1.3333333333333333</v>
      </c>
      <c r="N115" s="574" t="s">
        <v>152</v>
      </c>
      <c r="O115" s="628">
        <v>4.75</v>
      </c>
      <c r="P115" s="556">
        <f>'расчеты к штатному'!P117-'расчеты к штатному старое'!P115</f>
        <v>-17873.970000000016</v>
      </c>
      <c r="Q115" s="568"/>
      <c r="R115" s="554"/>
      <c r="S115" s="554">
        <v>0.1</v>
      </c>
      <c r="T115" s="567">
        <f t="shared" si="13"/>
        <v>-1787.3970000000018</v>
      </c>
      <c r="U115" s="569"/>
      <c r="V115" s="554"/>
      <c r="W115" s="559">
        <f t="shared" si="16"/>
        <v>-19661.367000000017</v>
      </c>
      <c r="X115" s="10"/>
      <c r="Y115" s="10"/>
    </row>
    <row r="116" spans="1:25" s="24" customFormat="1" ht="17.25" customHeight="1">
      <c r="A116" s="547">
        <v>109</v>
      </c>
      <c r="B116" s="647" t="s">
        <v>180</v>
      </c>
      <c r="C116" s="647" t="s">
        <v>284</v>
      </c>
      <c r="D116" s="628" t="s">
        <v>25</v>
      </c>
      <c r="E116" s="586" t="s">
        <v>493</v>
      </c>
      <c r="F116" s="562" t="s">
        <v>40</v>
      </c>
      <c r="G116" s="560">
        <v>1</v>
      </c>
      <c r="H116" s="563" t="s">
        <v>102</v>
      </c>
      <c r="I116" s="563" t="s">
        <v>103</v>
      </c>
      <c r="J116" s="629">
        <v>3</v>
      </c>
      <c r="K116" s="554">
        <v>17697</v>
      </c>
      <c r="L116" s="649">
        <v>20</v>
      </c>
      <c r="M116" s="552">
        <f t="shared" si="15"/>
        <v>1.1111111111111112</v>
      </c>
      <c r="N116" s="566" t="s">
        <v>109</v>
      </c>
      <c r="O116" s="628">
        <v>4.5</v>
      </c>
      <c r="P116" s="556">
        <f>'расчеты к штатному'!P123-'расчеты к штатному старое'!P116</f>
        <v>5899</v>
      </c>
      <c r="Q116" s="568"/>
      <c r="R116" s="554"/>
      <c r="S116" s="554">
        <v>0.1</v>
      </c>
      <c r="T116" s="567">
        <f t="shared" si="13"/>
        <v>589.9</v>
      </c>
      <c r="U116" s="569"/>
      <c r="V116" s="554"/>
      <c r="W116" s="559">
        <f t="shared" si="16"/>
        <v>6488.9</v>
      </c>
      <c r="X116" s="10"/>
      <c r="Y116" s="10"/>
    </row>
    <row r="117" spans="1:25" s="24" customFormat="1" ht="17.25" customHeight="1">
      <c r="A117" s="547">
        <v>110</v>
      </c>
      <c r="B117" s="647" t="s">
        <v>282</v>
      </c>
      <c r="C117" s="647" t="s">
        <v>99</v>
      </c>
      <c r="D117" s="628" t="s">
        <v>25</v>
      </c>
      <c r="E117" s="586" t="s">
        <v>431</v>
      </c>
      <c r="F117" s="562" t="s">
        <v>40</v>
      </c>
      <c r="G117" s="560">
        <v>1</v>
      </c>
      <c r="H117" s="563" t="s">
        <v>102</v>
      </c>
      <c r="I117" s="563" t="s">
        <v>103</v>
      </c>
      <c r="J117" s="629">
        <v>1</v>
      </c>
      <c r="K117" s="554">
        <v>17697</v>
      </c>
      <c r="L117" s="648">
        <v>36</v>
      </c>
      <c r="M117" s="552">
        <f t="shared" si="15"/>
        <v>2</v>
      </c>
      <c r="N117" s="574" t="s">
        <v>152</v>
      </c>
      <c r="O117" s="628">
        <v>4.75</v>
      </c>
      <c r="P117" s="556">
        <f>'расчеты к штатному'!P118-'расчеты к штатному старое'!P117</f>
        <v>5879.3366666666698</v>
      </c>
      <c r="Q117" s="568"/>
      <c r="R117" s="554"/>
      <c r="S117" s="554">
        <v>0.1</v>
      </c>
      <c r="T117" s="567">
        <f t="shared" si="13"/>
        <v>587.93366666666702</v>
      </c>
      <c r="U117" s="569"/>
      <c r="V117" s="554"/>
      <c r="W117" s="559">
        <f t="shared" si="16"/>
        <v>6467.2703333333366</v>
      </c>
      <c r="X117" s="10">
        <f t="shared" si="14"/>
        <v>0</v>
      </c>
      <c r="Y117" s="10">
        <f t="shared" si="14"/>
        <v>0</v>
      </c>
    </row>
    <row r="118" spans="1:25" s="24" customFormat="1" ht="17.25" customHeight="1">
      <c r="A118" s="547">
        <v>111</v>
      </c>
      <c r="B118" s="647" t="s">
        <v>392</v>
      </c>
      <c r="C118" s="647" t="s">
        <v>99</v>
      </c>
      <c r="D118" s="563" t="s">
        <v>189</v>
      </c>
      <c r="E118" s="586" t="s">
        <v>444</v>
      </c>
      <c r="F118" s="582" t="s">
        <v>434</v>
      </c>
      <c r="G118" s="560">
        <v>1</v>
      </c>
      <c r="H118" s="563" t="s">
        <v>102</v>
      </c>
      <c r="I118" s="563" t="s">
        <v>103</v>
      </c>
      <c r="J118" s="572">
        <v>2</v>
      </c>
      <c r="K118" s="554">
        <v>17697</v>
      </c>
      <c r="L118" s="648">
        <v>15</v>
      </c>
      <c r="M118" s="552">
        <f t="shared" si="15"/>
        <v>0.83333333333333337</v>
      </c>
      <c r="N118" s="566" t="s">
        <v>104</v>
      </c>
      <c r="O118" s="650">
        <v>4.4400000000000004</v>
      </c>
      <c r="P118" s="556">
        <f>'расчеты к штатному'!P126-'расчеты к штатному старое'!P118</f>
        <v>47840.890000000007</v>
      </c>
      <c r="Q118" s="568"/>
      <c r="R118" s="554"/>
      <c r="S118" s="554">
        <v>0.1</v>
      </c>
      <c r="T118" s="567">
        <f t="shared" si="13"/>
        <v>4784.0890000000009</v>
      </c>
      <c r="U118" s="569"/>
      <c r="V118" s="554"/>
      <c r="W118" s="559">
        <f t="shared" si="16"/>
        <v>52624.979000000007</v>
      </c>
      <c r="X118" s="10">
        <f t="shared" si="14"/>
        <v>0</v>
      </c>
      <c r="Y118" s="10">
        <f t="shared" si="14"/>
        <v>0</v>
      </c>
    </row>
    <row r="119" spans="1:25" s="24" customFormat="1" ht="17.25" customHeight="1">
      <c r="A119" s="547">
        <v>112</v>
      </c>
      <c r="B119" s="647" t="s">
        <v>184</v>
      </c>
      <c r="C119" s="647" t="s">
        <v>99</v>
      </c>
      <c r="D119" s="628" t="s">
        <v>25</v>
      </c>
      <c r="E119" s="586" t="s">
        <v>427</v>
      </c>
      <c r="F119" s="562" t="s">
        <v>40</v>
      </c>
      <c r="G119" s="560">
        <v>1</v>
      </c>
      <c r="H119" s="563" t="s">
        <v>102</v>
      </c>
      <c r="I119" s="563" t="s">
        <v>103</v>
      </c>
      <c r="J119" s="629">
        <v>1</v>
      </c>
      <c r="K119" s="554">
        <v>17697</v>
      </c>
      <c r="L119" s="648">
        <v>4</v>
      </c>
      <c r="M119" s="552">
        <f t="shared" si="15"/>
        <v>0.22222222222222221</v>
      </c>
      <c r="N119" s="574" t="s">
        <v>152</v>
      </c>
      <c r="O119" s="628">
        <v>4.75</v>
      </c>
      <c r="P119" s="556">
        <f>'расчеты к штатному'!P120-'расчеты к штатному старое'!P119</f>
        <v>57731.546666666669</v>
      </c>
      <c r="Q119" s="568"/>
      <c r="R119" s="554"/>
      <c r="S119" s="554">
        <v>0.1</v>
      </c>
      <c r="T119" s="567">
        <f>P119*S119</f>
        <v>5773.1546666666673</v>
      </c>
      <c r="U119" s="569"/>
      <c r="V119" s="554"/>
      <c r="W119" s="559">
        <f t="shared" si="16"/>
        <v>63504.701333333338</v>
      </c>
      <c r="X119" s="10">
        <f>U119+Q119</f>
        <v>0</v>
      </c>
      <c r="Y119" s="10">
        <f>V119+R119</f>
        <v>0</v>
      </c>
    </row>
    <row r="120" spans="1:25" s="24" customFormat="1" ht="17.25" customHeight="1">
      <c r="A120" s="547">
        <v>113</v>
      </c>
      <c r="B120" s="647" t="s">
        <v>287</v>
      </c>
      <c r="C120" s="647" t="s">
        <v>99</v>
      </c>
      <c r="D120" s="628" t="s">
        <v>25</v>
      </c>
      <c r="E120" s="586" t="s">
        <v>432</v>
      </c>
      <c r="F120" s="562" t="s">
        <v>40</v>
      </c>
      <c r="G120" s="560">
        <v>1</v>
      </c>
      <c r="H120" s="563" t="s">
        <v>102</v>
      </c>
      <c r="I120" s="563" t="s">
        <v>103</v>
      </c>
      <c r="J120" s="629">
        <v>1</v>
      </c>
      <c r="K120" s="554">
        <v>17697</v>
      </c>
      <c r="L120" s="648">
        <v>29</v>
      </c>
      <c r="M120" s="552">
        <f t="shared" si="15"/>
        <v>1.6111111111111112</v>
      </c>
      <c r="N120" s="574" t="s">
        <v>152</v>
      </c>
      <c r="O120" s="628">
        <v>4.75</v>
      </c>
      <c r="P120" s="556">
        <f>'расчеты к штатному'!P121-'расчеты к штатному старое'!P120</f>
        <v>-6420.0783333333529</v>
      </c>
      <c r="Q120" s="568"/>
      <c r="R120" s="554"/>
      <c r="S120" s="554">
        <v>0.1</v>
      </c>
      <c r="T120" s="567">
        <f>P120*S120</f>
        <v>-642.00783333333538</v>
      </c>
      <c r="U120" s="569"/>
      <c r="V120" s="554"/>
      <c r="W120" s="559">
        <f t="shared" si="16"/>
        <v>-7062.0861666666879</v>
      </c>
      <c r="X120" s="10">
        <f t="shared" si="14"/>
        <v>0</v>
      </c>
      <c r="Y120" s="10">
        <f t="shared" si="14"/>
        <v>0</v>
      </c>
    </row>
    <row r="121" spans="1:25" s="24" customFormat="1" ht="17.25" customHeight="1">
      <c r="A121" s="547">
        <v>114</v>
      </c>
      <c r="B121" s="647" t="s">
        <v>289</v>
      </c>
      <c r="C121" s="647" t="s">
        <v>99</v>
      </c>
      <c r="D121" s="563" t="s">
        <v>64</v>
      </c>
      <c r="E121" s="586" t="s">
        <v>423</v>
      </c>
      <c r="F121" s="582" t="s">
        <v>108</v>
      </c>
      <c r="G121" s="560">
        <v>1</v>
      </c>
      <c r="H121" s="563" t="s">
        <v>102</v>
      </c>
      <c r="I121" s="563" t="s">
        <v>118</v>
      </c>
      <c r="J121" s="629">
        <v>4</v>
      </c>
      <c r="K121" s="554">
        <v>17697</v>
      </c>
      <c r="L121" s="648">
        <v>30</v>
      </c>
      <c r="M121" s="552">
        <f t="shared" si="15"/>
        <v>1.6666666666666667</v>
      </c>
      <c r="N121" s="574" t="s">
        <v>112</v>
      </c>
      <c r="O121" s="650">
        <v>3.41</v>
      </c>
      <c r="P121" s="556">
        <f>'расчеты к штатному'!P131-'расчеты к штатному старое'!P121</f>
        <v>-10618.200000000004</v>
      </c>
      <c r="Q121" s="568"/>
      <c r="R121" s="554"/>
      <c r="S121" s="554">
        <v>0.1</v>
      </c>
      <c r="T121" s="567">
        <f>P121*S121</f>
        <v>-1061.8200000000004</v>
      </c>
      <c r="U121" s="569"/>
      <c r="V121" s="554"/>
      <c r="W121" s="559">
        <f t="shared" si="16"/>
        <v>-11680.020000000004</v>
      </c>
      <c r="X121" s="10">
        <f t="shared" si="14"/>
        <v>0</v>
      </c>
      <c r="Y121" s="10">
        <f t="shared" si="14"/>
        <v>0</v>
      </c>
    </row>
    <row r="122" spans="1:25" s="24" customFormat="1" ht="17.25" customHeight="1">
      <c r="A122" s="651"/>
      <c r="B122" s="652"/>
      <c r="C122" s="652"/>
      <c r="D122" s="653"/>
      <c r="E122" s="654"/>
      <c r="F122" s="655"/>
      <c r="G122" s="656"/>
      <c r="H122" s="653"/>
      <c r="I122" s="653"/>
      <c r="J122" s="657"/>
      <c r="K122" s="658"/>
      <c r="L122" s="659">
        <f>SUM(L103:L121)</f>
        <v>462</v>
      </c>
      <c r="M122" s="659"/>
      <c r="N122" s="659"/>
      <c r="O122" s="660"/>
      <c r="P122" s="659"/>
      <c r="Q122" s="659"/>
      <c r="R122" s="659"/>
      <c r="S122" s="659"/>
      <c r="T122" s="659"/>
      <c r="U122" s="659"/>
      <c r="V122" s="659"/>
      <c r="W122" s="660"/>
      <c r="X122" s="98"/>
      <c r="Y122" s="98"/>
    </row>
    <row r="123" spans="1:25" s="80" customFormat="1" ht="17.25" customHeight="1">
      <c r="A123" s="560">
        <v>115</v>
      </c>
      <c r="B123" s="661" t="s">
        <v>291</v>
      </c>
      <c r="C123" s="647" t="s">
        <v>99</v>
      </c>
      <c r="D123" s="663" t="s">
        <v>25</v>
      </c>
      <c r="E123" s="664" t="s">
        <v>293</v>
      </c>
      <c r="F123" s="664" t="s">
        <v>40</v>
      </c>
      <c r="G123" s="177">
        <v>1</v>
      </c>
      <c r="H123" s="177" t="s">
        <v>102</v>
      </c>
      <c r="I123" s="177" t="s">
        <v>103</v>
      </c>
      <c r="J123" s="178">
        <v>1</v>
      </c>
      <c r="K123" s="554">
        <v>17697</v>
      </c>
      <c r="L123" s="665">
        <v>31</v>
      </c>
      <c r="M123" s="567">
        <f>L123/18</f>
        <v>1.7222222222222223</v>
      </c>
      <c r="N123" s="574" t="s">
        <v>152</v>
      </c>
      <c r="O123" s="567">
        <v>4.75</v>
      </c>
      <c r="P123" s="567">
        <f>'расчеты к штатному'!P138-'расчеты к штатному старое'!P123</f>
        <v>13105.611666666664</v>
      </c>
      <c r="Q123" s="666">
        <v>0.25</v>
      </c>
      <c r="R123" s="554">
        <f t="shared" ref="R123:R137" si="17">Q123*P123</f>
        <v>3276.402916666666</v>
      </c>
      <c r="S123" s="554">
        <v>0.1</v>
      </c>
      <c r="T123" s="567">
        <f t="shared" ref="T123:T137" si="18">(P123+R123)*10%</f>
        <v>1638.201458333333</v>
      </c>
      <c r="U123" s="569"/>
      <c r="V123" s="554"/>
      <c r="W123" s="570">
        <f>T123+R123+P123</f>
        <v>18020.216041666663</v>
      </c>
      <c r="X123" s="274">
        <f>U123+S123+Q123</f>
        <v>0.35</v>
      </c>
      <c r="Y123" s="274">
        <f>V123+T123+R123</f>
        <v>4914.604374999999</v>
      </c>
    </row>
    <row r="124" spans="1:25" s="80" customFormat="1" ht="17.25" customHeight="1">
      <c r="A124" s="560">
        <v>116</v>
      </c>
      <c r="B124" s="661" t="s">
        <v>516</v>
      </c>
      <c r="C124" s="647" t="s">
        <v>99</v>
      </c>
      <c r="D124" s="663" t="s">
        <v>25</v>
      </c>
      <c r="E124" s="664" t="s">
        <v>430</v>
      </c>
      <c r="F124" s="664" t="s">
        <v>40</v>
      </c>
      <c r="G124" s="177">
        <v>1</v>
      </c>
      <c r="H124" s="177" t="s">
        <v>102</v>
      </c>
      <c r="I124" s="177" t="s">
        <v>103</v>
      </c>
      <c r="J124" s="178">
        <v>1</v>
      </c>
      <c r="K124" s="554">
        <v>17697</v>
      </c>
      <c r="L124" s="665">
        <v>18</v>
      </c>
      <c r="M124" s="567">
        <f t="shared" ref="M124:M137" si="19">L124/18</f>
        <v>1</v>
      </c>
      <c r="N124" s="574" t="s">
        <v>152</v>
      </c>
      <c r="O124" s="567">
        <v>4.75</v>
      </c>
      <c r="P124" s="567">
        <f>'расчеты к штатному'!P139-'расчеты к штатному старое'!P124</f>
        <v>-53395.781666666677</v>
      </c>
      <c r="Q124" s="666">
        <v>0.25</v>
      </c>
      <c r="R124" s="554">
        <f t="shared" si="17"/>
        <v>-13348.945416666669</v>
      </c>
      <c r="S124" s="554">
        <v>0.1</v>
      </c>
      <c r="T124" s="567">
        <f t="shared" si="18"/>
        <v>-6674.4727083333346</v>
      </c>
      <c r="U124" s="569"/>
      <c r="V124" s="554"/>
      <c r="W124" s="570">
        <f t="shared" ref="W124:W137" si="20">T124+R124+P124</f>
        <v>-73419.199791666673</v>
      </c>
      <c r="X124" s="274"/>
      <c r="Y124" s="274"/>
    </row>
    <row r="125" spans="1:25" s="80" customFormat="1" ht="17.25" customHeight="1">
      <c r="A125" s="560">
        <v>117</v>
      </c>
      <c r="B125" s="690" t="s">
        <v>517</v>
      </c>
      <c r="C125" s="647" t="s">
        <v>99</v>
      </c>
      <c r="D125" s="663" t="s">
        <v>25</v>
      </c>
      <c r="E125" s="664" t="s">
        <v>527</v>
      </c>
      <c r="F125" s="664" t="s">
        <v>366</v>
      </c>
      <c r="G125" s="177">
        <v>1</v>
      </c>
      <c r="H125" s="177" t="s">
        <v>102</v>
      </c>
      <c r="I125" s="177" t="s">
        <v>103</v>
      </c>
      <c r="J125" s="178">
        <v>1</v>
      </c>
      <c r="K125" s="554">
        <v>17697</v>
      </c>
      <c r="L125" s="665">
        <v>4</v>
      </c>
      <c r="M125" s="567">
        <f t="shared" si="19"/>
        <v>0.22222222222222221</v>
      </c>
      <c r="N125" s="574" t="s">
        <v>152</v>
      </c>
      <c r="O125" s="567">
        <v>4.6900000000000004</v>
      </c>
      <c r="P125" s="567">
        <f>'расчеты к штатному'!P140-'расчеты к штатному старое'!P125</f>
        <v>67307.59</v>
      </c>
      <c r="Q125" s="666">
        <v>0.25</v>
      </c>
      <c r="R125" s="554">
        <f t="shared" si="17"/>
        <v>16826.897499999999</v>
      </c>
      <c r="S125" s="554">
        <v>0.1</v>
      </c>
      <c r="T125" s="567">
        <f t="shared" si="18"/>
        <v>8413.4487499999996</v>
      </c>
      <c r="U125" s="569"/>
      <c r="V125" s="554"/>
      <c r="W125" s="570">
        <f t="shared" si="20"/>
        <v>92547.936249999999</v>
      </c>
      <c r="X125" s="274"/>
      <c r="Y125" s="274"/>
    </row>
    <row r="126" spans="1:25" s="80" customFormat="1" ht="17.25" customHeight="1">
      <c r="A126" s="560">
        <v>118</v>
      </c>
      <c r="B126" s="691" t="s">
        <v>421</v>
      </c>
      <c r="C126" s="647" t="s">
        <v>99</v>
      </c>
      <c r="D126" s="663" t="s">
        <v>75</v>
      </c>
      <c r="E126" s="664" t="s">
        <v>520</v>
      </c>
      <c r="F126" s="664" t="s">
        <v>159</v>
      </c>
      <c r="G126" s="177">
        <v>1</v>
      </c>
      <c r="H126" s="177" t="s">
        <v>102</v>
      </c>
      <c r="I126" s="177" t="s">
        <v>118</v>
      </c>
      <c r="J126" s="178">
        <v>4</v>
      </c>
      <c r="K126" s="554">
        <v>17697</v>
      </c>
      <c r="L126" s="665">
        <v>10</v>
      </c>
      <c r="M126" s="567">
        <f t="shared" si="19"/>
        <v>0.55555555555555558</v>
      </c>
      <c r="N126" s="574" t="s">
        <v>385</v>
      </c>
      <c r="O126" s="567">
        <v>3.32</v>
      </c>
      <c r="P126" s="567">
        <f>'расчеты к штатному'!P141-'расчеты к штатному старое'!P126</f>
        <v>11807.831666666658</v>
      </c>
      <c r="Q126" s="666">
        <v>0.25</v>
      </c>
      <c r="R126" s="554">
        <f t="shared" si="17"/>
        <v>2951.9579166666645</v>
      </c>
      <c r="S126" s="554">
        <v>0.1</v>
      </c>
      <c r="T126" s="567">
        <f t="shared" si="18"/>
        <v>1475.9789583333322</v>
      </c>
      <c r="U126" s="569"/>
      <c r="V126" s="554"/>
      <c r="W126" s="570">
        <f t="shared" si="20"/>
        <v>16235.768541666654</v>
      </c>
      <c r="X126" s="274"/>
      <c r="Y126" s="274"/>
    </row>
    <row r="127" spans="1:25" s="80" customFormat="1" ht="17.25" customHeight="1">
      <c r="A127" s="560">
        <v>119</v>
      </c>
      <c r="B127" s="691" t="s">
        <v>519</v>
      </c>
      <c r="C127" s="692" t="s">
        <v>99</v>
      </c>
      <c r="D127" s="693" t="s">
        <v>25</v>
      </c>
      <c r="E127" s="694" t="s">
        <v>521</v>
      </c>
      <c r="F127" s="664" t="s">
        <v>366</v>
      </c>
      <c r="G127" s="695">
        <v>1</v>
      </c>
      <c r="H127" s="177" t="s">
        <v>102</v>
      </c>
      <c r="I127" s="177" t="s">
        <v>103</v>
      </c>
      <c r="J127" s="178">
        <v>1</v>
      </c>
      <c r="K127" s="554">
        <v>17697</v>
      </c>
      <c r="L127" s="696">
        <v>18</v>
      </c>
      <c r="M127" s="567">
        <f t="shared" si="19"/>
        <v>1</v>
      </c>
      <c r="N127" s="698" t="s">
        <v>152</v>
      </c>
      <c r="O127" s="697">
        <v>4.75</v>
      </c>
      <c r="P127" s="567">
        <f>'расчеты к штатному'!P142-'расчеты к штатному старое'!P127</f>
        <v>-23124.080000000016</v>
      </c>
      <c r="Q127" s="666">
        <v>0.25</v>
      </c>
      <c r="R127" s="554">
        <f t="shared" si="17"/>
        <v>-5781.0200000000041</v>
      </c>
      <c r="S127" s="554">
        <v>0.1</v>
      </c>
      <c r="T127" s="567">
        <f t="shared" si="18"/>
        <v>-2890.510000000002</v>
      </c>
      <c r="U127" s="699"/>
      <c r="V127" s="700"/>
      <c r="W127" s="570">
        <f t="shared" si="20"/>
        <v>-31795.610000000022</v>
      </c>
      <c r="X127" s="688"/>
      <c r="Y127" s="688"/>
    </row>
    <row r="128" spans="1:25" s="80" customFormat="1" ht="16.5" customHeight="1">
      <c r="A128" s="560">
        <v>120</v>
      </c>
      <c r="B128" s="662" t="s">
        <v>298</v>
      </c>
      <c r="C128" s="647" t="s">
        <v>99</v>
      </c>
      <c r="D128" s="663" t="s">
        <v>300</v>
      </c>
      <c r="E128" s="664" t="s">
        <v>522</v>
      </c>
      <c r="F128" s="667" t="s">
        <v>40</v>
      </c>
      <c r="G128" s="177">
        <v>1</v>
      </c>
      <c r="H128" s="177" t="s">
        <v>102</v>
      </c>
      <c r="I128" s="177" t="s">
        <v>118</v>
      </c>
      <c r="J128" s="178">
        <v>2</v>
      </c>
      <c r="K128" s="554">
        <v>17697</v>
      </c>
      <c r="L128" s="665">
        <v>9</v>
      </c>
      <c r="M128" s="567">
        <f t="shared" si="19"/>
        <v>0.5</v>
      </c>
      <c r="N128" s="566" t="s">
        <v>104</v>
      </c>
      <c r="O128" s="663">
        <v>4.3899999999999997</v>
      </c>
      <c r="P128" s="567">
        <f>'расчеты к штатному'!P143-'расчеты к штатному старое'!P128</f>
        <v>11856.989999999998</v>
      </c>
      <c r="Q128" s="666">
        <v>0.25</v>
      </c>
      <c r="R128" s="554">
        <f t="shared" si="17"/>
        <v>2964.2474999999995</v>
      </c>
      <c r="S128" s="554">
        <v>0.1</v>
      </c>
      <c r="T128" s="567">
        <f t="shared" si="18"/>
        <v>1482.1237499999997</v>
      </c>
      <c r="U128" s="569"/>
      <c r="V128" s="554"/>
      <c r="W128" s="570">
        <f t="shared" si="20"/>
        <v>16303.361249999998</v>
      </c>
      <c r="X128" s="274">
        <f t="shared" ref="X128:Y137" si="21">U128+S128+Q128</f>
        <v>0.35</v>
      </c>
      <c r="Y128" s="274">
        <f t="shared" si="21"/>
        <v>4446.3712499999992</v>
      </c>
    </row>
    <row r="129" spans="1:43" s="80" customFormat="1" ht="17.25" customHeight="1">
      <c r="A129" s="560">
        <v>121</v>
      </c>
      <c r="B129" s="153" t="s">
        <v>116</v>
      </c>
      <c r="C129" s="561" t="s">
        <v>99</v>
      </c>
      <c r="D129" s="560" t="s">
        <v>64</v>
      </c>
      <c r="E129" s="583" t="s">
        <v>470</v>
      </c>
      <c r="F129" s="562" t="s">
        <v>114</v>
      </c>
      <c r="G129" s="560">
        <v>1</v>
      </c>
      <c r="H129" s="563" t="s">
        <v>102</v>
      </c>
      <c r="I129" s="563" t="s">
        <v>118</v>
      </c>
      <c r="J129" s="564">
        <v>1</v>
      </c>
      <c r="K129" s="554">
        <v>17697</v>
      </c>
      <c r="L129" s="565">
        <v>12</v>
      </c>
      <c r="M129" s="567">
        <f t="shared" si="19"/>
        <v>0.66666666666666663</v>
      </c>
      <c r="N129" s="574" t="s">
        <v>152</v>
      </c>
      <c r="O129" s="566">
        <v>4.5199999999999996</v>
      </c>
      <c r="P129" s="567">
        <f>'расчеты к штатному'!P144-'расчеты к штатному старое'!P129</f>
        <v>21157.746666666673</v>
      </c>
      <c r="Q129" s="666">
        <v>0.25</v>
      </c>
      <c r="R129" s="554">
        <f t="shared" si="17"/>
        <v>5289.4366666666683</v>
      </c>
      <c r="S129" s="554">
        <v>0.1</v>
      </c>
      <c r="T129" s="567">
        <f t="shared" si="18"/>
        <v>2644.7183333333342</v>
      </c>
      <c r="U129" s="569"/>
      <c r="V129" s="554"/>
      <c r="W129" s="570">
        <f t="shared" si="20"/>
        <v>29091.901666666676</v>
      </c>
      <c r="X129" s="274">
        <f>U129+Q129</f>
        <v>0.25</v>
      </c>
      <c r="Y129" s="274">
        <f>V129+R129</f>
        <v>5289.4366666666683</v>
      </c>
    </row>
    <row r="130" spans="1:43" s="80" customFormat="1" ht="17.25" customHeight="1">
      <c r="A130" s="560">
        <v>122</v>
      </c>
      <c r="B130" s="661" t="s">
        <v>38</v>
      </c>
      <c r="C130" s="647" t="s">
        <v>99</v>
      </c>
      <c r="D130" s="663" t="s">
        <v>25</v>
      </c>
      <c r="E130" s="664" t="s">
        <v>305</v>
      </c>
      <c r="F130" s="667" t="s">
        <v>40</v>
      </c>
      <c r="G130" s="177">
        <v>1</v>
      </c>
      <c r="H130" s="177" t="s">
        <v>102</v>
      </c>
      <c r="I130" s="177" t="s">
        <v>103</v>
      </c>
      <c r="J130" s="178">
        <v>1</v>
      </c>
      <c r="K130" s="554">
        <v>17697</v>
      </c>
      <c r="L130" s="665">
        <v>9</v>
      </c>
      <c r="M130" s="567">
        <f t="shared" si="19"/>
        <v>0.5</v>
      </c>
      <c r="N130" s="574" t="s">
        <v>152</v>
      </c>
      <c r="O130" s="567">
        <v>4.75</v>
      </c>
      <c r="P130" s="567">
        <f>'расчеты к штатному'!P145-'расчеты к штатному старое'!P130</f>
        <v>83195.563333333339</v>
      </c>
      <c r="Q130" s="666">
        <v>0.25</v>
      </c>
      <c r="R130" s="554">
        <f t="shared" si="17"/>
        <v>20798.890833333335</v>
      </c>
      <c r="S130" s="554">
        <v>0.1</v>
      </c>
      <c r="T130" s="567">
        <f t="shared" si="18"/>
        <v>10399.445416666669</v>
      </c>
      <c r="U130" s="569"/>
      <c r="V130" s="554"/>
      <c r="W130" s="570">
        <f t="shared" si="20"/>
        <v>114393.89958333335</v>
      </c>
      <c r="X130" s="274">
        <f t="shared" si="21"/>
        <v>0.35</v>
      </c>
      <c r="Y130" s="274">
        <f t="shared" si="21"/>
        <v>31198.336250000004</v>
      </c>
    </row>
    <row r="131" spans="1:43" s="80" customFormat="1" ht="17.25" customHeight="1">
      <c r="A131" s="560">
        <v>123</v>
      </c>
      <c r="B131" s="669" t="s">
        <v>306</v>
      </c>
      <c r="C131" s="647" t="s">
        <v>99</v>
      </c>
      <c r="D131" s="663" t="s">
        <v>25</v>
      </c>
      <c r="E131" s="670" t="s">
        <v>307</v>
      </c>
      <c r="F131" s="671" t="s">
        <v>308</v>
      </c>
      <c r="G131" s="182">
        <v>1</v>
      </c>
      <c r="H131" s="177" t="s">
        <v>102</v>
      </c>
      <c r="I131" s="177" t="s">
        <v>103</v>
      </c>
      <c r="J131" s="182">
        <v>4</v>
      </c>
      <c r="K131" s="554">
        <v>17697</v>
      </c>
      <c r="L131" s="665">
        <v>20</v>
      </c>
      <c r="M131" s="567">
        <f t="shared" si="19"/>
        <v>1.1111111111111112</v>
      </c>
      <c r="N131" s="574" t="s">
        <v>112</v>
      </c>
      <c r="O131" s="663">
        <v>3.58</v>
      </c>
      <c r="P131" s="567">
        <f>'расчеты к штатному'!P146-'расчеты к штатному старое'!P131</f>
        <v>-18286.899999999987</v>
      </c>
      <c r="Q131" s="666">
        <v>0.25</v>
      </c>
      <c r="R131" s="554">
        <f t="shared" si="17"/>
        <v>-4571.7249999999967</v>
      </c>
      <c r="S131" s="554">
        <v>0.1</v>
      </c>
      <c r="T131" s="567">
        <f t="shared" si="18"/>
        <v>-2285.8624999999988</v>
      </c>
      <c r="U131" s="569"/>
      <c r="V131" s="554"/>
      <c r="W131" s="570">
        <f t="shared" si="20"/>
        <v>-25144.487499999981</v>
      </c>
      <c r="X131" s="274">
        <f t="shared" si="21"/>
        <v>0.35</v>
      </c>
      <c r="Y131" s="274">
        <f t="shared" si="21"/>
        <v>-6857.587499999996</v>
      </c>
    </row>
    <row r="132" spans="1:43" s="80" customFormat="1" ht="17.25" customHeight="1">
      <c r="A132" s="560">
        <v>124</v>
      </c>
      <c r="B132" s="661" t="s">
        <v>309</v>
      </c>
      <c r="C132" s="647" t="s">
        <v>99</v>
      </c>
      <c r="D132" s="663" t="s">
        <v>25</v>
      </c>
      <c r="E132" s="664" t="s">
        <v>311</v>
      </c>
      <c r="F132" s="667" t="s">
        <v>40</v>
      </c>
      <c r="G132" s="177">
        <v>1</v>
      </c>
      <c r="H132" s="177" t="s">
        <v>102</v>
      </c>
      <c r="I132" s="177" t="s">
        <v>103</v>
      </c>
      <c r="J132" s="178">
        <v>1</v>
      </c>
      <c r="K132" s="554">
        <v>17697</v>
      </c>
      <c r="L132" s="665">
        <v>26</v>
      </c>
      <c r="M132" s="567">
        <f t="shared" si="19"/>
        <v>1.4444444444444444</v>
      </c>
      <c r="N132" s="574" t="s">
        <v>152</v>
      </c>
      <c r="O132" s="567">
        <v>4.75</v>
      </c>
      <c r="P132" s="567">
        <f>'расчеты к штатному'!P147-'расчеты к штатному старое'!P132</f>
        <v>-47663.920000000013</v>
      </c>
      <c r="Q132" s="666">
        <v>0.25</v>
      </c>
      <c r="R132" s="554">
        <f t="shared" si="17"/>
        <v>-11915.980000000003</v>
      </c>
      <c r="S132" s="554">
        <v>0.1</v>
      </c>
      <c r="T132" s="567">
        <f t="shared" si="18"/>
        <v>-5957.9900000000016</v>
      </c>
      <c r="U132" s="569"/>
      <c r="V132" s="554"/>
      <c r="W132" s="570">
        <f t="shared" si="20"/>
        <v>-65537.890000000014</v>
      </c>
      <c r="X132" s="274">
        <f t="shared" si="21"/>
        <v>0.35</v>
      </c>
      <c r="Y132" s="274">
        <f t="shared" si="21"/>
        <v>-17873.970000000005</v>
      </c>
    </row>
    <row r="133" spans="1:43" s="80" customFormat="1" ht="17.25" customHeight="1">
      <c r="A133" s="560">
        <v>125</v>
      </c>
      <c r="B133" s="701" t="s">
        <v>447</v>
      </c>
      <c r="C133" s="692" t="s">
        <v>99</v>
      </c>
      <c r="D133" s="663" t="s">
        <v>300</v>
      </c>
      <c r="E133" s="664" t="s">
        <v>520</v>
      </c>
      <c r="F133" s="664" t="s">
        <v>159</v>
      </c>
      <c r="G133" s="695">
        <v>1</v>
      </c>
      <c r="H133" s="177" t="s">
        <v>102</v>
      </c>
      <c r="I133" s="177" t="s">
        <v>118</v>
      </c>
      <c r="J133" s="178">
        <v>4</v>
      </c>
      <c r="K133" s="554">
        <v>17697</v>
      </c>
      <c r="L133" s="696">
        <v>20</v>
      </c>
      <c r="M133" s="567">
        <f t="shared" si="19"/>
        <v>1.1111111111111112</v>
      </c>
      <c r="N133" s="698" t="s">
        <v>385</v>
      </c>
      <c r="O133" s="697">
        <v>3.32</v>
      </c>
      <c r="P133" s="567">
        <f>'расчеты к штатному'!P148-'расчеты к штатному старое'!P133</f>
        <v>57682.388333333321</v>
      </c>
      <c r="Q133" s="666">
        <v>0.25</v>
      </c>
      <c r="R133" s="554">
        <f t="shared" si="17"/>
        <v>14420.59708333333</v>
      </c>
      <c r="S133" s="554">
        <v>0.1</v>
      </c>
      <c r="T133" s="567">
        <f t="shared" si="18"/>
        <v>7210.2985416666652</v>
      </c>
      <c r="U133" s="699"/>
      <c r="V133" s="700"/>
      <c r="W133" s="570">
        <f t="shared" si="20"/>
        <v>79313.283958333312</v>
      </c>
      <c r="X133" s="688"/>
      <c r="Y133" s="688"/>
    </row>
    <row r="134" spans="1:43" s="80" customFormat="1" ht="17.25" customHeight="1">
      <c r="A134" s="560">
        <v>126</v>
      </c>
      <c r="B134" s="702" t="s">
        <v>274</v>
      </c>
      <c r="C134" s="692" t="s">
        <v>136</v>
      </c>
      <c r="D134" s="663" t="s">
        <v>25</v>
      </c>
      <c r="E134" s="694" t="s">
        <v>523</v>
      </c>
      <c r="F134" s="694" t="s">
        <v>403</v>
      </c>
      <c r="G134" s="695">
        <v>1</v>
      </c>
      <c r="H134" s="177" t="s">
        <v>102</v>
      </c>
      <c r="I134" s="177" t="s">
        <v>103</v>
      </c>
      <c r="J134" s="178">
        <v>1</v>
      </c>
      <c r="K134" s="554">
        <v>17697</v>
      </c>
      <c r="L134" s="696">
        <v>10</v>
      </c>
      <c r="M134" s="567">
        <f t="shared" si="19"/>
        <v>0.55555555555555558</v>
      </c>
      <c r="N134" s="698" t="s">
        <v>152</v>
      </c>
      <c r="O134" s="697">
        <v>4.16</v>
      </c>
      <c r="P134" s="567">
        <f>'расчеты к штатному'!P150-'расчеты к штатному старое'!P134</f>
        <v>5997.3166666666802</v>
      </c>
      <c r="Q134" s="666">
        <v>0.25</v>
      </c>
      <c r="R134" s="554">
        <f t="shared" si="17"/>
        <v>1499.3291666666701</v>
      </c>
      <c r="S134" s="554">
        <v>0.1</v>
      </c>
      <c r="T134" s="567">
        <f t="shared" si="18"/>
        <v>749.66458333333503</v>
      </c>
      <c r="U134" s="699"/>
      <c r="V134" s="700"/>
      <c r="W134" s="570">
        <f t="shared" si="20"/>
        <v>8246.3104166666853</v>
      </c>
      <c r="X134" s="688"/>
      <c r="Y134" s="688"/>
    </row>
    <row r="135" spans="1:43" s="80" customFormat="1" ht="17.25" customHeight="1">
      <c r="A135" s="560">
        <v>127</v>
      </c>
      <c r="B135" s="176" t="s">
        <v>524</v>
      </c>
      <c r="C135" s="692" t="s">
        <v>525</v>
      </c>
      <c r="D135" s="693" t="s">
        <v>25</v>
      </c>
      <c r="E135" s="694" t="s">
        <v>526</v>
      </c>
      <c r="F135" s="664" t="s">
        <v>366</v>
      </c>
      <c r="G135" s="695">
        <v>1</v>
      </c>
      <c r="H135" s="177" t="s">
        <v>102</v>
      </c>
      <c r="I135" s="177" t="s">
        <v>103</v>
      </c>
      <c r="J135" s="178">
        <v>1</v>
      </c>
      <c r="K135" s="554">
        <v>17697</v>
      </c>
      <c r="L135" s="696">
        <v>18</v>
      </c>
      <c r="M135" s="567">
        <f t="shared" si="19"/>
        <v>1</v>
      </c>
      <c r="N135" s="698" t="s">
        <v>152</v>
      </c>
      <c r="O135" s="697">
        <v>4.6900000000000004</v>
      </c>
      <c r="P135" s="567">
        <f>'расчеты к штатному'!P151-'расчеты к штатному старое'!P135</f>
        <v>8671.5299999999988</v>
      </c>
      <c r="Q135" s="666">
        <v>0.25</v>
      </c>
      <c r="R135" s="554">
        <f t="shared" si="17"/>
        <v>2167.8824999999997</v>
      </c>
      <c r="S135" s="554">
        <v>0.1</v>
      </c>
      <c r="T135" s="567">
        <f t="shared" si="18"/>
        <v>1083.9412499999999</v>
      </c>
      <c r="U135" s="699"/>
      <c r="V135" s="700"/>
      <c r="W135" s="570">
        <f t="shared" si="20"/>
        <v>11923.353749999998</v>
      </c>
      <c r="X135" s="688"/>
      <c r="Y135" s="688"/>
    </row>
    <row r="136" spans="1:43" s="80" customFormat="1" ht="17.25" customHeight="1">
      <c r="A136" s="560">
        <v>128</v>
      </c>
      <c r="B136" s="662" t="s">
        <v>319</v>
      </c>
      <c r="C136" s="647" t="s">
        <v>99</v>
      </c>
      <c r="D136" s="663" t="s">
        <v>25</v>
      </c>
      <c r="E136" s="664" t="s">
        <v>320</v>
      </c>
      <c r="F136" s="667" t="s">
        <v>249</v>
      </c>
      <c r="G136" s="177">
        <v>1</v>
      </c>
      <c r="H136" s="177" t="s">
        <v>232</v>
      </c>
      <c r="I136" s="177" t="s">
        <v>233</v>
      </c>
      <c r="J136" s="178">
        <v>3</v>
      </c>
      <c r="K136" s="554">
        <v>17697</v>
      </c>
      <c r="L136" s="665">
        <v>27</v>
      </c>
      <c r="M136" s="567">
        <f t="shared" si="19"/>
        <v>1.5</v>
      </c>
      <c r="N136" s="566" t="s">
        <v>109</v>
      </c>
      <c r="O136" s="663">
        <v>4.1399999999999997</v>
      </c>
      <c r="P136" s="567">
        <f>'расчеты к штатному'!P153-'расчеты к штатному старое'!P136</f>
        <v>-26201.39166666667</v>
      </c>
      <c r="Q136" s="666">
        <v>0.25</v>
      </c>
      <c r="R136" s="554">
        <f t="shared" si="17"/>
        <v>-6550.3479166666675</v>
      </c>
      <c r="S136" s="554">
        <v>0.1</v>
      </c>
      <c r="T136" s="567">
        <f t="shared" si="18"/>
        <v>-3275.1739583333338</v>
      </c>
      <c r="U136" s="569"/>
      <c r="V136" s="554"/>
      <c r="W136" s="570">
        <f t="shared" si="20"/>
        <v>-36026.913541666669</v>
      </c>
      <c r="X136" s="10">
        <f t="shared" si="21"/>
        <v>0.35</v>
      </c>
      <c r="Y136" s="10">
        <f t="shared" si="21"/>
        <v>-9825.5218750000022</v>
      </c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</row>
    <row r="137" spans="1:43" s="80" customFormat="1" ht="17.25" customHeight="1">
      <c r="A137" s="560">
        <v>129</v>
      </c>
      <c r="B137" s="661" t="s">
        <v>324</v>
      </c>
      <c r="C137" s="647" t="s">
        <v>99</v>
      </c>
      <c r="D137" s="663" t="s">
        <v>25</v>
      </c>
      <c r="E137" s="664" t="s">
        <v>325</v>
      </c>
      <c r="F137" s="667" t="s">
        <v>40</v>
      </c>
      <c r="G137" s="177">
        <v>1</v>
      </c>
      <c r="H137" s="177" t="s">
        <v>102</v>
      </c>
      <c r="I137" s="177" t="s">
        <v>103</v>
      </c>
      <c r="J137" s="178">
        <v>1</v>
      </c>
      <c r="K137" s="554">
        <v>17697</v>
      </c>
      <c r="L137" s="665">
        <v>14</v>
      </c>
      <c r="M137" s="567">
        <f t="shared" si="19"/>
        <v>0.77777777777777779</v>
      </c>
      <c r="N137" s="574" t="s">
        <v>152</v>
      </c>
      <c r="O137" s="567">
        <v>4.75</v>
      </c>
      <c r="P137" s="567">
        <f>'расчеты к штатному'!P154-'расчеты к штатному старое'!P137</f>
        <v>23537.009999999995</v>
      </c>
      <c r="Q137" s="666">
        <v>0.25</v>
      </c>
      <c r="R137" s="554">
        <f t="shared" si="17"/>
        <v>5884.2524999999987</v>
      </c>
      <c r="S137" s="554">
        <v>0.1</v>
      </c>
      <c r="T137" s="567">
        <f t="shared" si="18"/>
        <v>2942.1262499999993</v>
      </c>
      <c r="U137" s="569"/>
      <c r="V137" s="554"/>
      <c r="W137" s="570">
        <f t="shared" si="20"/>
        <v>32363.388749999991</v>
      </c>
      <c r="X137" s="274">
        <f t="shared" si="21"/>
        <v>0.35</v>
      </c>
      <c r="Y137" s="274">
        <f t="shared" si="21"/>
        <v>8826.378749999998</v>
      </c>
    </row>
    <row r="138" spans="1:43" s="24" customFormat="1" ht="17.25" customHeight="1">
      <c r="A138" s="617"/>
      <c r="B138" s="672"/>
      <c r="C138" s="672"/>
      <c r="D138" s="673"/>
      <c r="E138" s="673"/>
      <c r="F138" s="672"/>
      <c r="G138" s="119"/>
      <c r="H138" s="119"/>
      <c r="I138" s="119"/>
      <c r="J138" s="120"/>
      <c r="K138" s="619"/>
      <c r="L138" s="674">
        <f>SUM(L123:L137)</f>
        <v>246</v>
      </c>
      <c r="M138" s="623"/>
      <c r="N138" s="675"/>
      <c r="O138" s="668"/>
      <c r="P138" s="623"/>
      <c r="Q138" s="676"/>
      <c r="R138" s="619"/>
      <c r="S138" s="619"/>
      <c r="T138" s="623"/>
      <c r="U138" s="625"/>
      <c r="V138" s="619"/>
      <c r="W138" s="626"/>
      <c r="X138" s="104"/>
      <c r="Y138" s="104"/>
    </row>
    <row r="139" spans="1:43" s="390" customFormat="1" ht="18" customHeight="1">
      <c r="A139" s="703">
        <v>130</v>
      </c>
      <c r="B139" s="548" t="s">
        <v>368</v>
      </c>
      <c r="C139" s="647" t="s">
        <v>338</v>
      </c>
      <c r="D139" s="547" t="s">
        <v>64</v>
      </c>
      <c r="E139" s="704"/>
      <c r="F139" s="705"/>
      <c r="G139" s="706" t="s">
        <v>409</v>
      </c>
      <c r="H139" s="577"/>
      <c r="I139" s="707"/>
      <c r="J139" s="577">
        <v>2</v>
      </c>
      <c r="K139" s="552">
        <v>17697</v>
      </c>
      <c r="L139" s="552"/>
      <c r="M139" s="556">
        <v>1.5</v>
      </c>
      <c r="N139" s="552"/>
      <c r="O139" s="552">
        <v>2.81</v>
      </c>
      <c r="P139" s="567">
        <f>'расчеты к штатному'!P156-'расчеты к штатному старое'!P139</f>
        <v>9821.8349999999919</v>
      </c>
      <c r="Q139" s="552">
        <f>K139*P140*N139</f>
        <v>0</v>
      </c>
      <c r="R139" s="557"/>
      <c r="S139" s="708">
        <v>0.1</v>
      </c>
      <c r="T139" s="552">
        <f t="shared" ref="T139:T165" si="22">S139*P139</f>
        <v>982.18349999999919</v>
      </c>
      <c r="U139" s="552"/>
      <c r="V139" s="558"/>
      <c r="W139" s="559">
        <f t="shared" ref="W139:Y154" si="23">P139+T139+V139</f>
        <v>10804.018499999991</v>
      </c>
      <c r="X139" s="363">
        <f t="shared" si="23"/>
        <v>10804.018499999991</v>
      </c>
      <c r="Y139" s="363">
        <f t="shared" si="23"/>
        <v>10804.018499999991</v>
      </c>
      <c r="Z139" s="389"/>
      <c r="AA139" s="389"/>
      <c r="AB139" s="389"/>
      <c r="AC139" s="389"/>
      <c r="AD139" s="389"/>
      <c r="AE139" s="389"/>
      <c r="AF139" s="389"/>
      <c r="AG139" s="389"/>
      <c r="AH139" s="389"/>
      <c r="AI139" s="389"/>
      <c r="AJ139" s="389"/>
      <c r="AK139" s="389"/>
      <c r="AL139" s="389"/>
      <c r="AM139" s="389"/>
    </row>
    <row r="140" spans="1:43" s="390" customFormat="1" ht="15.75" customHeight="1">
      <c r="A140" s="709">
        <v>131</v>
      </c>
      <c r="B140" s="153" t="s">
        <v>332</v>
      </c>
      <c r="C140" s="647" t="s">
        <v>338</v>
      </c>
      <c r="D140" s="560" t="s">
        <v>64</v>
      </c>
      <c r="E140" s="710"/>
      <c r="F140" s="711"/>
      <c r="G140" s="712" t="s">
        <v>404</v>
      </c>
      <c r="H140" s="563"/>
      <c r="I140" s="689"/>
      <c r="J140" s="563">
        <v>2</v>
      </c>
      <c r="K140" s="554">
        <v>17697</v>
      </c>
      <c r="L140" s="554"/>
      <c r="M140" s="552">
        <v>0.5</v>
      </c>
      <c r="N140" s="554"/>
      <c r="O140" s="552">
        <v>2.81</v>
      </c>
      <c r="P140" s="567">
        <f>'расчеты к штатному'!P157-'расчеты к штатному старое'!P140</f>
        <v>3273.9449999999997</v>
      </c>
      <c r="Q140" s="552">
        <f>K140*P141*N140</f>
        <v>0</v>
      </c>
      <c r="R140" s="568"/>
      <c r="S140" s="708">
        <v>0.1</v>
      </c>
      <c r="T140" s="552">
        <f t="shared" si="22"/>
        <v>327.39449999999999</v>
      </c>
      <c r="U140" s="554"/>
      <c r="V140" s="554"/>
      <c r="W140" s="559">
        <f t="shared" si="23"/>
        <v>3601.3394999999996</v>
      </c>
      <c r="X140" s="363">
        <f t="shared" si="23"/>
        <v>3601.3394999999996</v>
      </c>
      <c r="Y140" s="363">
        <f t="shared" si="23"/>
        <v>3601.3394999999996</v>
      </c>
      <c r="Z140" s="389"/>
      <c r="AA140" s="389"/>
      <c r="AB140" s="389"/>
      <c r="AC140" s="389"/>
      <c r="AD140" s="389"/>
      <c r="AE140" s="389"/>
      <c r="AF140" s="389"/>
      <c r="AG140" s="389"/>
      <c r="AH140" s="389"/>
      <c r="AI140" s="389"/>
      <c r="AJ140" s="389"/>
      <c r="AK140" s="389"/>
      <c r="AL140" s="389"/>
      <c r="AM140" s="389"/>
    </row>
    <row r="141" spans="1:43" s="377" customFormat="1" ht="15.75">
      <c r="A141" s="703">
        <v>132</v>
      </c>
      <c r="B141" s="153" t="s">
        <v>350</v>
      </c>
      <c r="C141" s="647" t="s">
        <v>338</v>
      </c>
      <c r="D141" s="560" t="s">
        <v>64</v>
      </c>
      <c r="E141" s="710"/>
      <c r="F141" s="560"/>
      <c r="G141" s="712" t="s">
        <v>404</v>
      </c>
      <c r="H141" s="563"/>
      <c r="I141" s="689"/>
      <c r="J141" s="563">
        <v>2</v>
      </c>
      <c r="K141" s="554">
        <v>17697</v>
      </c>
      <c r="L141" s="554"/>
      <c r="M141" s="554">
        <v>0.5</v>
      </c>
      <c r="N141" s="554"/>
      <c r="O141" s="554">
        <v>2.81</v>
      </c>
      <c r="P141" s="567">
        <f>'расчеты к штатному'!P158-'расчеты к штатному старое'!P141</f>
        <v>3273.9449999999997</v>
      </c>
      <c r="Q141" s="552">
        <f>K141*P142*N141</f>
        <v>0</v>
      </c>
      <c r="R141" s="554"/>
      <c r="S141" s="708">
        <v>0.1</v>
      </c>
      <c r="T141" s="552">
        <f t="shared" si="22"/>
        <v>327.39449999999999</v>
      </c>
      <c r="U141" s="554"/>
      <c r="V141" s="554"/>
      <c r="W141" s="559">
        <f t="shared" si="23"/>
        <v>3601.3394999999996</v>
      </c>
      <c r="X141" s="363">
        <f t="shared" si="23"/>
        <v>3601.3394999999996</v>
      </c>
      <c r="Y141" s="363">
        <f t="shared" si="23"/>
        <v>3601.3394999999996</v>
      </c>
    </row>
    <row r="142" spans="1:43" s="377" customFormat="1" ht="15.75">
      <c r="A142" s="709">
        <v>133</v>
      </c>
      <c r="B142" s="153" t="s">
        <v>335</v>
      </c>
      <c r="C142" s="561" t="s">
        <v>336</v>
      </c>
      <c r="D142" s="560" t="s">
        <v>64</v>
      </c>
      <c r="E142" s="710"/>
      <c r="F142" s="560"/>
      <c r="G142" s="712" t="s">
        <v>409</v>
      </c>
      <c r="H142" s="563"/>
      <c r="I142" s="689"/>
      <c r="J142" s="563">
        <v>4</v>
      </c>
      <c r="K142" s="554">
        <v>17697</v>
      </c>
      <c r="L142" s="554"/>
      <c r="M142" s="554">
        <v>1.5</v>
      </c>
      <c r="N142" s="554"/>
      <c r="O142" s="554">
        <v>2.89</v>
      </c>
      <c r="P142" s="567">
        <f>'расчеты к штатному'!P159-'расчеты к штатному старое'!P142</f>
        <v>10087.290000000008</v>
      </c>
      <c r="Q142" s="552">
        <f>K142*P143*N142</f>
        <v>0</v>
      </c>
      <c r="R142" s="554"/>
      <c r="S142" s="708">
        <v>0.1</v>
      </c>
      <c r="T142" s="552">
        <f t="shared" si="22"/>
        <v>1008.7290000000008</v>
      </c>
      <c r="U142" s="554"/>
      <c r="V142" s="554"/>
      <c r="W142" s="559">
        <f t="shared" si="23"/>
        <v>11096.019000000009</v>
      </c>
      <c r="X142" s="363">
        <f t="shared" si="23"/>
        <v>11096.019000000009</v>
      </c>
      <c r="Y142" s="363">
        <f t="shared" si="23"/>
        <v>11096.019000000009</v>
      </c>
    </row>
    <row r="143" spans="1:43" s="364" customFormat="1" ht="15.75">
      <c r="A143" s="703">
        <v>134</v>
      </c>
      <c r="B143" s="646" t="s">
        <v>337</v>
      </c>
      <c r="C143" s="647" t="s">
        <v>338</v>
      </c>
      <c r="D143" s="628" t="s">
        <v>64</v>
      </c>
      <c r="E143" s="713"/>
      <c r="F143" s="628"/>
      <c r="G143" s="628">
        <v>0.5</v>
      </c>
      <c r="H143" s="714"/>
      <c r="I143" s="715"/>
      <c r="J143" s="628">
        <v>2</v>
      </c>
      <c r="K143" s="715">
        <v>17697</v>
      </c>
      <c r="L143" s="715"/>
      <c r="M143" s="554">
        <v>0.5</v>
      </c>
      <c r="N143" s="554"/>
      <c r="O143" s="552">
        <v>2.81</v>
      </c>
      <c r="P143" s="567">
        <f>'расчеты к штатному'!P160-'расчеты к штатному старое'!P143</f>
        <v>3273.9449999999997</v>
      </c>
      <c r="Q143" s="552">
        <f>K143*P144*N143</f>
        <v>0</v>
      </c>
      <c r="R143" s="554"/>
      <c r="S143" s="708">
        <v>0.1</v>
      </c>
      <c r="T143" s="552">
        <f t="shared" si="22"/>
        <v>327.39449999999999</v>
      </c>
      <c r="U143" s="554"/>
      <c r="V143" s="554"/>
      <c r="W143" s="559">
        <f t="shared" si="23"/>
        <v>3601.3394999999996</v>
      </c>
      <c r="X143" s="363">
        <f t="shared" si="23"/>
        <v>3601.3394999999996</v>
      </c>
      <c r="Y143" s="363">
        <f t="shared" si="23"/>
        <v>3601.3394999999996</v>
      </c>
    </row>
    <row r="144" spans="1:43" s="364" customFormat="1" ht="15.75">
      <c r="A144" s="709">
        <v>135</v>
      </c>
      <c r="B144" s="646" t="s">
        <v>382</v>
      </c>
      <c r="C144" s="647" t="s">
        <v>338</v>
      </c>
      <c r="D144" s="560" t="s">
        <v>64</v>
      </c>
      <c r="E144" s="713"/>
      <c r="F144" s="646"/>
      <c r="G144" s="628">
        <v>0.5</v>
      </c>
      <c r="H144" s="714"/>
      <c r="I144" s="715"/>
      <c r="J144" s="628">
        <v>2</v>
      </c>
      <c r="K144" s="715">
        <v>17697</v>
      </c>
      <c r="L144" s="715"/>
      <c r="M144" s="554">
        <v>0.5</v>
      </c>
      <c r="N144" s="554"/>
      <c r="O144" s="552">
        <v>2.81</v>
      </c>
      <c r="P144" s="567">
        <f>'расчеты к штатному'!P161-'расчеты к штатному старое'!P144</f>
        <v>3273.9449999999997</v>
      </c>
      <c r="Q144" s="552">
        <f>K144*P146*N144</f>
        <v>0</v>
      </c>
      <c r="R144" s="554"/>
      <c r="S144" s="708">
        <v>0.1</v>
      </c>
      <c r="T144" s="552">
        <f t="shared" si="22"/>
        <v>327.39449999999999</v>
      </c>
      <c r="U144" s="554"/>
      <c r="V144" s="554"/>
      <c r="W144" s="559">
        <f t="shared" si="23"/>
        <v>3601.3394999999996</v>
      </c>
      <c r="X144" s="363">
        <f t="shared" si="23"/>
        <v>3601.3394999999996</v>
      </c>
      <c r="Y144" s="363">
        <f t="shared" si="23"/>
        <v>3601.3394999999996</v>
      </c>
    </row>
    <row r="145" spans="1:39" s="364" customFormat="1" ht="15.75">
      <c r="A145" s="703">
        <v>136</v>
      </c>
      <c r="B145" s="646" t="s">
        <v>383</v>
      </c>
      <c r="C145" s="647" t="s">
        <v>338</v>
      </c>
      <c r="D145" s="560" t="s">
        <v>75</v>
      </c>
      <c r="E145" s="713"/>
      <c r="F145" s="716"/>
      <c r="G145" s="628">
        <v>1</v>
      </c>
      <c r="H145" s="714"/>
      <c r="I145" s="715"/>
      <c r="J145" s="628">
        <v>2</v>
      </c>
      <c r="K145" s="715">
        <v>17697</v>
      </c>
      <c r="L145" s="715"/>
      <c r="M145" s="554">
        <v>1</v>
      </c>
      <c r="N145" s="554"/>
      <c r="O145" s="552">
        <v>2.81</v>
      </c>
      <c r="P145" s="567">
        <f>'расчеты к штатному'!P162-'расчеты к штатному старое'!P145</f>
        <v>6547.8899999999994</v>
      </c>
      <c r="Q145" s="552">
        <f>K145*P147*N145</f>
        <v>0</v>
      </c>
      <c r="R145" s="554"/>
      <c r="S145" s="708">
        <v>0.1</v>
      </c>
      <c r="T145" s="552">
        <f t="shared" si="22"/>
        <v>654.78899999999999</v>
      </c>
      <c r="U145" s="554"/>
      <c r="V145" s="554"/>
      <c r="W145" s="559">
        <f t="shared" si="23"/>
        <v>7202.6789999999992</v>
      </c>
      <c r="X145" s="363">
        <f>Q145+U145+W145</f>
        <v>7202.6789999999992</v>
      </c>
      <c r="Y145" s="363">
        <f>R145+V145+X145</f>
        <v>7202.6789999999992</v>
      </c>
    </row>
    <row r="146" spans="1:39" s="390" customFormat="1" ht="15.75">
      <c r="A146" s="709">
        <v>137</v>
      </c>
      <c r="B146" s="153" t="s">
        <v>339</v>
      </c>
      <c r="C146" s="647" t="s">
        <v>340</v>
      </c>
      <c r="D146" s="560" t="s">
        <v>64</v>
      </c>
      <c r="E146" s="563"/>
      <c r="F146" s="711"/>
      <c r="G146" s="712">
        <v>1</v>
      </c>
      <c r="H146" s="563"/>
      <c r="I146" s="689"/>
      <c r="J146" s="563">
        <v>2</v>
      </c>
      <c r="K146" s="554">
        <v>17697</v>
      </c>
      <c r="L146" s="554"/>
      <c r="M146" s="554">
        <v>1</v>
      </c>
      <c r="N146" s="554"/>
      <c r="O146" s="552">
        <v>2.81</v>
      </c>
      <c r="P146" s="567">
        <f>'расчеты к штатному'!P163-'расчеты к штатному старое'!P146</f>
        <v>6547.8899999999994</v>
      </c>
      <c r="Q146" s="552">
        <f t="shared" ref="Q146:Q165" si="24">K146*P147*N146</f>
        <v>0</v>
      </c>
      <c r="R146" s="568"/>
      <c r="S146" s="708">
        <v>0.1</v>
      </c>
      <c r="T146" s="552">
        <f t="shared" si="22"/>
        <v>654.78899999999999</v>
      </c>
      <c r="U146" s="569">
        <v>0.3</v>
      </c>
      <c r="V146" s="554">
        <f>'расчеты к штатному'!W163-'расчеты к штатному старое'!V146</f>
        <v>0</v>
      </c>
      <c r="W146" s="559">
        <f t="shared" si="23"/>
        <v>7202.6789999999992</v>
      </c>
      <c r="X146" s="363">
        <f t="shared" si="23"/>
        <v>7202.9789999999994</v>
      </c>
      <c r="Y146" s="363">
        <f t="shared" si="23"/>
        <v>7202.9789999999994</v>
      </c>
      <c r="Z146" s="389"/>
      <c r="AA146" s="389"/>
      <c r="AB146" s="389"/>
      <c r="AC146" s="389"/>
      <c r="AD146" s="389"/>
      <c r="AE146" s="389"/>
      <c r="AF146" s="389"/>
      <c r="AG146" s="389"/>
      <c r="AH146" s="389"/>
      <c r="AI146" s="389"/>
      <c r="AJ146" s="389"/>
      <c r="AK146" s="389"/>
      <c r="AL146" s="389"/>
      <c r="AM146" s="389"/>
    </row>
    <row r="147" spans="1:39" s="390" customFormat="1" ht="15.75">
      <c r="A147" s="703">
        <v>138</v>
      </c>
      <c r="B147" s="153" t="s">
        <v>341</v>
      </c>
      <c r="C147" s="647" t="s">
        <v>340</v>
      </c>
      <c r="D147" s="560" t="s">
        <v>64</v>
      </c>
      <c r="E147" s="563"/>
      <c r="F147" s="711"/>
      <c r="G147" s="712">
        <v>1</v>
      </c>
      <c r="H147" s="563"/>
      <c r="I147" s="689"/>
      <c r="J147" s="563">
        <v>2</v>
      </c>
      <c r="K147" s="554">
        <v>17697</v>
      </c>
      <c r="L147" s="554"/>
      <c r="M147" s="554">
        <v>1</v>
      </c>
      <c r="N147" s="554"/>
      <c r="O147" s="552">
        <v>2.81</v>
      </c>
      <c r="P147" s="567">
        <f>'расчеты к штатному'!P164-'расчеты к штатному старое'!P147</f>
        <v>6547.8899999999994</v>
      </c>
      <c r="Q147" s="552">
        <f t="shared" si="24"/>
        <v>0</v>
      </c>
      <c r="R147" s="568"/>
      <c r="S147" s="708">
        <v>0.1</v>
      </c>
      <c r="T147" s="552">
        <f t="shared" si="22"/>
        <v>654.78899999999999</v>
      </c>
      <c r="U147" s="569">
        <v>0.3</v>
      </c>
      <c r="V147" s="554">
        <f>'расчеты к штатному'!W164-'расчеты к штатному старое'!V147</f>
        <v>0</v>
      </c>
      <c r="W147" s="559">
        <f t="shared" si="23"/>
        <v>7202.6789999999992</v>
      </c>
      <c r="X147" s="363">
        <f t="shared" si="23"/>
        <v>7202.9789999999994</v>
      </c>
      <c r="Y147" s="363">
        <f t="shared" si="23"/>
        <v>7202.9789999999994</v>
      </c>
      <c r="Z147" s="389"/>
      <c r="AA147" s="389"/>
      <c r="AB147" s="389"/>
      <c r="AC147" s="389"/>
      <c r="AD147" s="389"/>
      <c r="AE147" s="389"/>
      <c r="AF147" s="389"/>
      <c r="AG147" s="389"/>
      <c r="AH147" s="389"/>
      <c r="AI147" s="389"/>
      <c r="AJ147" s="389"/>
      <c r="AK147" s="389"/>
      <c r="AL147" s="389"/>
      <c r="AM147" s="389"/>
    </row>
    <row r="148" spans="1:39" s="390" customFormat="1" ht="15.75">
      <c r="A148" s="709">
        <v>139</v>
      </c>
      <c r="B148" s="153" t="s">
        <v>342</v>
      </c>
      <c r="C148" s="647" t="s">
        <v>340</v>
      </c>
      <c r="D148" s="560" t="s">
        <v>64</v>
      </c>
      <c r="E148" s="563"/>
      <c r="F148" s="711"/>
      <c r="G148" s="712">
        <v>1</v>
      </c>
      <c r="H148" s="563"/>
      <c r="I148" s="689"/>
      <c r="J148" s="563">
        <v>2</v>
      </c>
      <c r="K148" s="554">
        <v>17697</v>
      </c>
      <c r="L148" s="554"/>
      <c r="M148" s="554">
        <v>1</v>
      </c>
      <c r="N148" s="554"/>
      <c r="O148" s="552">
        <v>2.81</v>
      </c>
      <c r="P148" s="567">
        <f>'расчеты к штатному'!P165-'расчеты к штатному старое'!P148</f>
        <v>6547.8899999999994</v>
      </c>
      <c r="Q148" s="552">
        <f t="shared" si="24"/>
        <v>0</v>
      </c>
      <c r="R148" s="568"/>
      <c r="S148" s="708">
        <v>0.1</v>
      </c>
      <c r="T148" s="552">
        <f t="shared" si="22"/>
        <v>654.78899999999999</v>
      </c>
      <c r="U148" s="569">
        <v>0.3</v>
      </c>
      <c r="V148" s="554">
        <f>'расчеты к штатному'!W165-'расчеты к штатному старое'!V148</f>
        <v>0</v>
      </c>
      <c r="W148" s="559">
        <f t="shared" si="23"/>
        <v>7202.6789999999992</v>
      </c>
      <c r="X148" s="363">
        <f t="shared" si="23"/>
        <v>7202.9789999999994</v>
      </c>
      <c r="Y148" s="363">
        <f t="shared" si="23"/>
        <v>7202.9789999999994</v>
      </c>
      <c r="Z148" s="389"/>
      <c r="AA148" s="389"/>
      <c r="AB148" s="389"/>
      <c r="AC148" s="389"/>
      <c r="AD148" s="389"/>
      <c r="AE148" s="389"/>
      <c r="AF148" s="389"/>
      <c r="AG148" s="389"/>
      <c r="AH148" s="389"/>
      <c r="AI148" s="389"/>
      <c r="AJ148" s="389"/>
      <c r="AK148" s="389"/>
      <c r="AL148" s="389"/>
      <c r="AM148" s="389"/>
    </row>
    <row r="149" spans="1:39" s="390" customFormat="1" ht="15.75">
      <c r="A149" s="703">
        <v>140</v>
      </c>
      <c r="B149" s="153" t="s">
        <v>343</v>
      </c>
      <c r="C149" s="647" t="s">
        <v>340</v>
      </c>
      <c r="D149" s="560" t="s">
        <v>64</v>
      </c>
      <c r="E149" s="563"/>
      <c r="F149" s="711"/>
      <c r="G149" s="712">
        <v>1</v>
      </c>
      <c r="H149" s="563"/>
      <c r="I149" s="689"/>
      <c r="J149" s="563">
        <v>2</v>
      </c>
      <c r="K149" s="554">
        <v>17697</v>
      </c>
      <c r="L149" s="554"/>
      <c r="M149" s="554">
        <v>1</v>
      </c>
      <c r="N149" s="554"/>
      <c r="O149" s="552">
        <v>2.81</v>
      </c>
      <c r="P149" s="567">
        <f>'расчеты к штатному'!P166-'расчеты к штатному старое'!P149</f>
        <v>6547.8899999999994</v>
      </c>
      <c r="Q149" s="552">
        <f t="shared" si="24"/>
        <v>0</v>
      </c>
      <c r="R149" s="568"/>
      <c r="S149" s="708">
        <v>0.1</v>
      </c>
      <c r="T149" s="552">
        <f t="shared" si="22"/>
        <v>654.78899999999999</v>
      </c>
      <c r="U149" s="569">
        <v>0.3</v>
      </c>
      <c r="V149" s="554">
        <f>'расчеты к штатному'!W166-'расчеты к штатному старое'!V149</f>
        <v>0</v>
      </c>
      <c r="W149" s="559">
        <f t="shared" si="23"/>
        <v>7202.6789999999992</v>
      </c>
      <c r="X149" s="363">
        <f t="shared" si="23"/>
        <v>7202.9789999999994</v>
      </c>
      <c r="Y149" s="363">
        <f t="shared" si="23"/>
        <v>7202.9789999999994</v>
      </c>
      <c r="Z149" s="389"/>
      <c r="AA149" s="389"/>
      <c r="AB149" s="389"/>
      <c r="AC149" s="389"/>
      <c r="AD149" s="389"/>
      <c r="AE149" s="389"/>
      <c r="AF149" s="389"/>
      <c r="AG149" s="389"/>
      <c r="AH149" s="389"/>
      <c r="AI149" s="389"/>
      <c r="AJ149" s="389"/>
      <c r="AK149" s="389"/>
      <c r="AL149" s="389"/>
      <c r="AM149" s="389"/>
    </row>
    <row r="150" spans="1:39" s="377" customFormat="1" ht="15.75">
      <c r="A150" s="709">
        <v>141</v>
      </c>
      <c r="B150" s="153" t="s">
        <v>505</v>
      </c>
      <c r="C150" s="647" t="s">
        <v>340</v>
      </c>
      <c r="D150" s="560" t="s">
        <v>64</v>
      </c>
      <c r="E150" s="563"/>
      <c r="F150" s="717"/>
      <c r="G150" s="712">
        <v>1</v>
      </c>
      <c r="H150" s="563"/>
      <c r="I150" s="689"/>
      <c r="J150" s="563">
        <v>2</v>
      </c>
      <c r="K150" s="554">
        <v>17697</v>
      </c>
      <c r="L150" s="554"/>
      <c r="M150" s="554">
        <v>1</v>
      </c>
      <c r="N150" s="554"/>
      <c r="O150" s="552">
        <v>2.81</v>
      </c>
      <c r="P150" s="567">
        <f>'расчеты к штатному'!P167-'расчеты к штатному старое'!P150</f>
        <v>31412.174999999996</v>
      </c>
      <c r="Q150" s="552" t="e">
        <f t="shared" si="24"/>
        <v>#REF!</v>
      </c>
      <c r="R150" s="554"/>
      <c r="S150" s="708">
        <v>0.1</v>
      </c>
      <c r="T150" s="552">
        <f t="shared" si="22"/>
        <v>3141.2174999999997</v>
      </c>
      <c r="U150" s="569">
        <v>0.3</v>
      </c>
      <c r="V150" s="554">
        <f>'расчеты к штатному'!W167-'расчеты к штатному старое'!V150</f>
        <v>2654.55</v>
      </c>
      <c r="W150" s="559">
        <f t="shared" si="23"/>
        <v>37207.942499999997</v>
      </c>
      <c r="X150" s="363" t="e">
        <f t="shared" si="23"/>
        <v>#REF!</v>
      </c>
      <c r="Y150" s="363" t="e">
        <f t="shared" si="23"/>
        <v>#REF!</v>
      </c>
    </row>
    <row r="151" spans="1:39" s="377" customFormat="1" ht="15.75">
      <c r="A151" s="703">
        <v>142</v>
      </c>
      <c r="B151" s="153" t="s">
        <v>378</v>
      </c>
      <c r="C151" s="647" t="s">
        <v>340</v>
      </c>
      <c r="D151" s="560" t="s">
        <v>64</v>
      </c>
      <c r="E151" s="563"/>
      <c r="F151" s="711"/>
      <c r="G151" s="712">
        <v>1</v>
      </c>
      <c r="H151" s="563"/>
      <c r="I151" s="689"/>
      <c r="J151" s="563">
        <v>2</v>
      </c>
      <c r="K151" s="554">
        <v>17697</v>
      </c>
      <c r="L151" s="554"/>
      <c r="M151" s="554">
        <v>1</v>
      </c>
      <c r="N151" s="554"/>
      <c r="O151" s="552">
        <v>2.81</v>
      </c>
      <c r="P151" s="567" t="e">
        <f>'расчеты к штатному'!#REF!-'расчеты к штатному старое'!P151</f>
        <v>#REF!</v>
      </c>
      <c r="Q151" s="552">
        <f t="shared" si="24"/>
        <v>0</v>
      </c>
      <c r="R151" s="554"/>
      <c r="S151" s="708">
        <v>0.1</v>
      </c>
      <c r="T151" s="552" t="e">
        <f t="shared" si="22"/>
        <v>#REF!</v>
      </c>
      <c r="U151" s="569">
        <v>0.3</v>
      </c>
      <c r="V151" s="554" t="e">
        <f>'расчеты к штатному'!#REF!-'расчеты к штатному старое'!V151</f>
        <v>#REF!</v>
      </c>
      <c r="W151" s="559" t="e">
        <f t="shared" si="23"/>
        <v>#REF!</v>
      </c>
      <c r="X151" s="363" t="e">
        <f t="shared" si="23"/>
        <v>#REF!</v>
      </c>
      <c r="Y151" s="363" t="e">
        <f t="shared" si="23"/>
        <v>#REF!</v>
      </c>
    </row>
    <row r="152" spans="1:39" s="377" customFormat="1" ht="15.75">
      <c r="A152" s="709">
        <v>143</v>
      </c>
      <c r="B152" s="153" t="s">
        <v>506</v>
      </c>
      <c r="C152" s="647" t="s">
        <v>340</v>
      </c>
      <c r="D152" s="560" t="s">
        <v>64</v>
      </c>
      <c r="E152" s="563"/>
      <c r="F152" s="711"/>
      <c r="G152" s="712">
        <v>1</v>
      </c>
      <c r="H152" s="563"/>
      <c r="I152" s="689"/>
      <c r="J152" s="563">
        <v>2</v>
      </c>
      <c r="K152" s="554">
        <v>17697</v>
      </c>
      <c r="L152" s="554"/>
      <c r="M152" s="554">
        <v>1</v>
      </c>
      <c r="N152" s="554"/>
      <c r="O152" s="552">
        <v>2.81</v>
      </c>
      <c r="P152" s="567">
        <f>'расчеты к штатному'!P168-'расчеты к штатному старое'!P152</f>
        <v>31412.174999999996</v>
      </c>
      <c r="Q152" s="552">
        <f t="shared" si="24"/>
        <v>0</v>
      </c>
      <c r="R152" s="554"/>
      <c r="S152" s="708">
        <v>0.1</v>
      </c>
      <c r="T152" s="552">
        <f t="shared" si="22"/>
        <v>3141.2174999999997</v>
      </c>
      <c r="U152" s="569">
        <v>0.3</v>
      </c>
      <c r="V152" s="554">
        <f>'расчеты к штатному'!W168-'расчеты к штатному старое'!V152</f>
        <v>2654.55</v>
      </c>
      <c r="W152" s="559">
        <f t="shared" si="23"/>
        <v>37207.942499999997</v>
      </c>
      <c r="X152" s="363">
        <f t="shared" si="23"/>
        <v>37208.2425</v>
      </c>
      <c r="Y152" s="363">
        <f t="shared" si="23"/>
        <v>39862.792500000003</v>
      </c>
    </row>
    <row r="153" spans="1:39" s="364" customFormat="1" ht="15.75">
      <c r="A153" s="703">
        <v>144</v>
      </c>
      <c r="B153" s="646" t="s">
        <v>507</v>
      </c>
      <c r="C153" s="647" t="s">
        <v>340</v>
      </c>
      <c r="D153" s="560" t="s">
        <v>64</v>
      </c>
      <c r="E153" s="713"/>
      <c r="F153" s="628"/>
      <c r="G153" s="712" t="s">
        <v>563</v>
      </c>
      <c r="H153" s="714"/>
      <c r="I153" s="715"/>
      <c r="J153" s="563">
        <v>2</v>
      </c>
      <c r="K153" s="715">
        <v>17697</v>
      </c>
      <c r="L153" s="715"/>
      <c r="M153" s="554">
        <v>1.3</v>
      </c>
      <c r="N153" s="554"/>
      <c r="O153" s="552">
        <v>2.81</v>
      </c>
      <c r="P153" s="567">
        <f>'расчеты к штатному'!P169-'расчеты к штатному старое'!P153</f>
        <v>8512.2569999999978</v>
      </c>
      <c r="Q153" s="552">
        <f t="shared" si="24"/>
        <v>0</v>
      </c>
      <c r="R153" s="554"/>
      <c r="S153" s="708">
        <v>0.1</v>
      </c>
      <c r="T153" s="552">
        <f t="shared" si="22"/>
        <v>851.22569999999985</v>
      </c>
      <c r="U153" s="569">
        <v>0.3</v>
      </c>
      <c r="V153" s="554">
        <f>'расчеты к штатному'!W169-'расчеты к штатному старое'!V153</f>
        <v>0</v>
      </c>
      <c r="W153" s="559">
        <f t="shared" si="23"/>
        <v>9363.4826999999968</v>
      </c>
      <c r="X153" s="363">
        <f t="shared" si="23"/>
        <v>9363.7826999999961</v>
      </c>
      <c r="Y153" s="363">
        <f t="shared" si="23"/>
        <v>9363.7826999999961</v>
      </c>
      <c r="AA153" s="422" t="e">
        <f>SUM(W146:W154)</f>
        <v>#REF!</v>
      </c>
    </row>
    <row r="154" spans="1:39" s="377" customFormat="1" ht="15.75">
      <c r="A154" s="709">
        <v>145</v>
      </c>
      <c r="B154" s="718" t="s">
        <v>508</v>
      </c>
      <c r="C154" s="719" t="s">
        <v>340</v>
      </c>
      <c r="D154" s="720" t="s">
        <v>75</v>
      </c>
      <c r="E154" s="720"/>
      <c r="F154" s="721"/>
      <c r="G154" s="720">
        <v>1</v>
      </c>
      <c r="H154" s="722"/>
      <c r="I154" s="722"/>
      <c r="J154" s="601">
        <v>2</v>
      </c>
      <c r="K154" s="723">
        <v>17697</v>
      </c>
      <c r="L154" s="723"/>
      <c r="M154" s="554">
        <v>1</v>
      </c>
      <c r="N154" s="723"/>
      <c r="O154" s="552">
        <v>2.81</v>
      </c>
      <c r="P154" s="567">
        <f>'расчеты к штатному'!P170-'расчеты к штатному старое'!P154</f>
        <v>6547.8899999999994</v>
      </c>
      <c r="Q154" s="552">
        <f t="shared" si="24"/>
        <v>0</v>
      </c>
      <c r="R154" s="723"/>
      <c r="S154" s="708">
        <v>0.1</v>
      </c>
      <c r="T154" s="552">
        <f>S154*P154</f>
        <v>654.78899999999999</v>
      </c>
      <c r="U154" s="609">
        <v>0.3</v>
      </c>
      <c r="V154" s="554">
        <f>'расчеты к штатному'!W170-'расчеты к штатному старое'!V154</f>
        <v>0</v>
      </c>
      <c r="W154" s="559">
        <f t="shared" si="23"/>
        <v>7202.6789999999992</v>
      </c>
      <c r="X154" s="363">
        <f t="shared" si="23"/>
        <v>7202.9789999999994</v>
      </c>
      <c r="Y154" s="363">
        <f t="shared" si="23"/>
        <v>7202.9789999999994</v>
      </c>
      <c r="Z154" s="374"/>
      <c r="AA154" s="374"/>
      <c r="AB154" s="375"/>
      <c r="AC154" s="375"/>
      <c r="AD154" s="376"/>
      <c r="AE154" s="374"/>
      <c r="AF154" s="375"/>
    </row>
    <row r="155" spans="1:39" s="390" customFormat="1" ht="15.75">
      <c r="A155" s="703">
        <v>146</v>
      </c>
      <c r="B155" s="153" t="s">
        <v>345</v>
      </c>
      <c r="C155" s="561" t="s">
        <v>346</v>
      </c>
      <c r="D155" s="560" t="s">
        <v>64</v>
      </c>
      <c r="E155" s="563"/>
      <c r="F155" s="711"/>
      <c r="G155" s="712">
        <v>1</v>
      </c>
      <c r="H155" s="563"/>
      <c r="I155" s="689"/>
      <c r="J155" s="563">
        <v>1</v>
      </c>
      <c r="K155" s="554">
        <v>17697</v>
      </c>
      <c r="L155" s="554"/>
      <c r="M155" s="723">
        <v>1</v>
      </c>
      <c r="N155" s="554"/>
      <c r="O155" s="554">
        <v>2.77</v>
      </c>
      <c r="P155" s="567">
        <f>'расчеты к штатному'!P171-'расчеты к штатному старое'!P155</f>
        <v>6370.9199999999983</v>
      </c>
      <c r="Q155" s="552">
        <f t="shared" si="24"/>
        <v>0</v>
      </c>
      <c r="R155" s="568"/>
      <c r="S155" s="708">
        <v>0.1</v>
      </c>
      <c r="T155" s="552">
        <f t="shared" si="22"/>
        <v>637.09199999999987</v>
      </c>
      <c r="U155" s="724">
        <v>0.5</v>
      </c>
      <c r="V155" s="554">
        <f>'расчеты к штатному'!W171-'расчеты к штатному старое'!V155</f>
        <v>1616.8400000000001</v>
      </c>
      <c r="W155" s="559">
        <f t="shared" ref="W155:W165" si="25">P155+T155+V155</f>
        <v>8624.851999999999</v>
      </c>
      <c r="X155" s="363">
        <f>Q155+U155+W155</f>
        <v>8625.351999999999</v>
      </c>
      <c r="Y155" s="363">
        <f>R155+V155+X155</f>
        <v>10242.191999999999</v>
      </c>
      <c r="Z155" s="389"/>
      <c r="AA155" s="389"/>
      <c r="AB155" s="389"/>
      <c r="AC155" s="389"/>
      <c r="AD155" s="389"/>
      <c r="AE155" s="389"/>
      <c r="AF155" s="389"/>
      <c r="AG155" s="389"/>
      <c r="AH155" s="389"/>
      <c r="AI155" s="389"/>
      <c r="AJ155" s="389"/>
      <c r="AK155" s="389"/>
      <c r="AL155" s="389"/>
      <c r="AM155" s="389"/>
    </row>
    <row r="156" spans="1:39" s="390" customFormat="1" ht="15.75">
      <c r="A156" s="709">
        <v>147</v>
      </c>
      <c r="B156" s="153" t="s">
        <v>347</v>
      </c>
      <c r="C156" s="561" t="s">
        <v>346</v>
      </c>
      <c r="D156" s="560" t="s">
        <v>25</v>
      </c>
      <c r="E156" s="563"/>
      <c r="F156" s="560"/>
      <c r="G156" s="712">
        <v>1</v>
      </c>
      <c r="H156" s="563"/>
      <c r="I156" s="689"/>
      <c r="J156" s="563">
        <v>1</v>
      </c>
      <c r="K156" s="554">
        <v>17697</v>
      </c>
      <c r="L156" s="554"/>
      <c r="M156" s="554">
        <v>1</v>
      </c>
      <c r="N156" s="554"/>
      <c r="O156" s="554">
        <v>2.77</v>
      </c>
      <c r="P156" s="567">
        <f>'расчеты к штатному'!P172-'расчеты к штатному старое'!P156</f>
        <v>6370.9199999999983</v>
      </c>
      <c r="Q156" s="552">
        <f t="shared" si="24"/>
        <v>0</v>
      </c>
      <c r="R156" s="568"/>
      <c r="S156" s="708">
        <v>0.1</v>
      </c>
      <c r="T156" s="552">
        <f t="shared" si="22"/>
        <v>637.09199999999987</v>
      </c>
      <c r="U156" s="724">
        <v>0.5</v>
      </c>
      <c r="V156" s="554">
        <f>'расчеты к штатному'!W172-'расчеты к штатному старое'!V156</f>
        <v>1616.8400000000001</v>
      </c>
      <c r="W156" s="559">
        <f t="shared" si="25"/>
        <v>8624.851999999999</v>
      </c>
      <c r="X156" s="363">
        <f t="shared" ref="X156:Y165" si="26">Q156+U156+W156</f>
        <v>8625.351999999999</v>
      </c>
      <c r="Y156" s="363">
        <f t="shared" si="26"/>
        <v>10242.191999999999</v>
      </c>
      <c r="Z156" s="389"/>
      <c r="AA156" s="389"/>
      <c r="AB156" s="389"/>
      <c r="AC156" s="389"/>
      <c r="AD156" s="389"/>
      <c r="AE156" s="389"/>
      <c r="AF156" s="389"/>
      <c r="AG156" s="389"/>
      <c r="AH156" s="389"/>
      <c r="AI156" s="389"/>
      <c r="AJ156" s="389"/>
      <c r="AK156" s="389"/>
      <c r="AL156" s="389"/>
      <c r="AM156" s="389"/>
    </row>
    <row r="157" spans="1:39" s="390" customFormat="1" ht="15.75">
      <c r="A157" s="703">
        <v>148</v>
      </c>
      <c r="B157" s="153" t="s">
        <v>348</v>
      </c>
      <c r="C157" s="561" t="s">
        <v>346</v>
      </c>
      <c r="D157" s="560" t="s">
        <v>64</v>
      </c>
      <c r="E157" s="563"/>
      <c r="F157" s="560"/>
      <c r="G157" s="712">
        <v>1</v>
      </c>
      <c r="H157" s="563"/>
      <c r="I157" s="689"/>
      <c r="J157" s="563">
        <v>1</v>
      </c>
      <c r="K157" s="554">
        <v>17697</v>
      </c>
      <c r="L157" s="554"/>
      <c r="M157" s="554">
        <v>1</v>
      </c>
      <c r="N157" s="554"/>
      <c r="O157" s="554">
        <v>2.77</v>
      </c>
      <c r="P157" s="567">
        <f>'расчеты к штатному'!P173-'расчеты к штатному старое'!P157</f>
        <v>6370.9199999999983</v>
      </c>
      <c r="Q157" s="552">
        <f t="shared" si="24"/>
        <v>0</v>
      </c>
      <c r="R157" s="568"/>
      <c r="S157" s="708">
        <v>0.1</v>
      </c>
      <c r="T157" s="552">
        <f t="shared" si="22"/>
        <v>637.09199999999987</v>
      </c>
      <c r="U157" s="724">
        <v>0.5</v>
      </c>
      <c r="V157" s="554">
        <f>'расчеты к штатному'!W173-'расчеты к штатному старое'!V157</f>
        <v>1616.8400000000001</v>
      </c>
      <c r="W157" s="559">
        <f t="shared" si="25"/>
        <v>8624.851999999999</v>
      </c>
      <c r="X157" s="363">
        <f t="shared" si="26"/>
        <v>8625.351999999999</v>
      </c>
      <c r="Y157" s="363">
        <f t="shared" si="26"/>
        <v>10242.191999999999</v>
      </c>
      <c r="Z157" s="389"/>
      <c r="AA157" s="389"/>
      <c r="AB157" s="389"/>
      <c r="AC157" s="389"/>
      <c r="AD157" s="389"/>
      <c r="AE157" s="389"/>
      <c r="AF157" s="389"/>
      <c r="AG157" s="389"/>
      <c r="AH157" s="389"/>
      <c r="AI157" s="389"/>
      <c r="AJ157" s="389"/>
      <c r="AK157" s="389"/>
      <c r="AL157" s="389"/>
      <c r="AM157" s="389"/>
    </row>
    <row r="158" spans="1:39" s="377" customFormat="1" ht="15.75">
      <c r="A158" s="709">
        <v>149</v>
      </c>
      <c r="B158" s="153" t="s">
        <v>416</v>
      </c>
      <c r="C158" s="725" t="s">
        <v>346</v>
      </c>
      <c r="D158" s="560" t="s">
        <v>64</v>
      </c>
      <c r="E158" s="563"/>
      <c r="F158" s="560"/>
      <c r="G158" s="712">
        <v>1</v>
      </c>
      <c r="H158" s="563"/>
      <c r="I158" s="689"/>
      <c r="J158" s="563">
        <v>1</v>
      </c>
      <c r="K158" s="554">
        <v>17697</v>
      </c>
      <c r="L158" s="554"/>
      <c r="M158" s="554">
        <v>1</v>
      </c>
      <c r="N158" s="554"/>
      <c r="O158" s="554">
        <v>2.77</v>
      </c>
      <c r="P158" s="567">
        <f>'расчеты к штатному'!P174-'расчеты к штатному старое'!P158</f>
        <v>6370.9199999999983</v>
      </c>
      <c r="Q158" s="552">
        <f t="shared" si="24"/>
        <v>0</v>
      </c>
      <c r="R158" s="554"/>
      <c r="S158" s="708">
        <v>0.1</v>
      </c>
      <c r="T158" s="552">
        <f t="shared" si="22"/>
        <v>637.09199999999987</v>
      </c>
      <c r="U158" s="724">
        <v>0.5</v>
      </c>
      <c r="V158" s="554">
        <f>'расчеты к штатному'!W174-'расчеты к штатному старое'!V158</f>
        <v>1616.8400000000001</v>
      </c>
      <c r="W158" s="559">
        <f t="shared" si="25"/>
        <v>8624.851999999999</v>
      </c>
      <c r="X158" s="363">
        <f t="shared" si="26"/>
        <v>8625.351999999999</v>
      </c>
      <c r="Y158" s="363">
        <f t="shared" si="26"/>
        <v>10242.191999999999</v>
      </c>
    </row>
    <row r="159" spans="1:39" s="377" customFormat="1" ht="15.75">
      <c r="A159" s="703">
        <v>150</v>
      </c>
      <c r="B159" s="153" t="s">
        <v>333</v>
      </c>
      <c r="C159" s="725" t="s">
        <v>346</v>
      </c>
      <c r="D159" s="560" t="s">
        <v>64</v>
      </c>
      <c r="E159" s="563"/>
      <c r="F159" s="560"/>
      <c r="G159" s="712">
        <v>1</v>
      </c>
      <c r="H159" s="563"/>
      <c r="I159" s="689"/>
      <c r="J159" s="563">
        <v>1</v>
      </c>
      <c r="K159" s="554">
        <v>17697</v>
      </c>
      <c r="L159" s="554"/>
      <c r="M159" s="554">
        <v>1</v>
      </c>
      <c r="N159" s="554"/>
      <c r="O159" s="554">
        <v>2.77</v>
      </c>
      <c r="P159" s="567">
        <f>'расчеты к штатному'!P175-'расчеты к штатному старое'!P159</f>
        <v>6370.9199999999983</v>
      </c>
      <c r="Q159" s="552">
        <f t="shared" si="24"/>
        <v>0</v>
      </c>
      <c r="R159" s="554"/>
      <c r="S159" s="708">
        <v>0.1</v>
      </c>
      <c r="T159" s="552">
        <f t="shared" si="22"/>
        <v>637.09199999999987</v>
      </c>
      <c r="U159" s="724">
        <v>0.5</v>
      </c>
      <c r="V159" s="554">
        <f>'расчеты к штатному'!W175-'расчеты к штатному старое'!V159</f>
        <v>1616.8400000000001</v>
      </c>
      <c r="W159" s="559">
        <f t="shared" si="25"/>
        <v>8624.851999999999</v>
      </c>
      <c r="X159" s="363">
        <f t="shared" si="26"/>
        <v>8625.351999999999</v>
      </c>
      <c r="Y159" s="363">
        <f t="shared" si="26"/>
        <v>10242.191999999999</v>
      </c>
    </row>
    <row r="160" spans="1:39" s="377" customFormat="1" ht="15.75">
      <c r="A160" s="709">
        <v>151</v>
      </c>
      <c r="B160" s="153" t="s">
        <v>350</v>
      </c>
      <c r="C160" s="725" t="s">
        <v>346</v>
      </c>
      <c r="D160" s="560" t="s">
        <v>64</v>
      </c>
      <c r="E160" s="563"/>
      <c r="F160" s="560"/>
      <c r="G160" s="712">
        <v>1</v>
      </c>
      <c r="H160" s="563"/>
      <c r="I160" s="689"/>
      <c r="J160" s="563">
        <v>1</v>
      </c>
      <c r="K160" s="554">
        <v>17697</v>
      </c>
      <c r="L160" s="554"/>
      <c r="M160" s="554">
        <v>1</v>
      </c>
      <c r="N160" s="554"/>
      <c r="O160" s="554">
        <v>2.77</v>
      </c>
      <c r="P160" s="567">
        <f>'расчеты к штатному'!P176-'расчеты к штатному старое'!P160</f>
        <v>6370.9199999999983</v>
      </c>
      <c r="Q160" s="552">
        <f t="shared" si="24"/>
        <v>0</v>
      </c>
      <c r="R160" s="554"/>
      <c r="S160" s="708">
        <v>0.1</v>
      </c>
      <c r="T160" s="552">
        <f t="shared" si="22"/>
        <v>637.09199999999987</v>
      </c>
      <c r="U160" s="724">
        <v>0.5</v>
      </c>
      <c r="V160" s="554">
        <f>'расчеты к штатному'!W176-'расчеты к штатному старое'!V160</f>
        <v>1616.8400000000001</v>
      </c>
      <c r="W160" s="559">
        <f t="shared" si="25"/>
        <v>8624.851999999999</v>
      </c>
      <c r="X160" s="363">
        <f t="shared" si="26"/>
        <v>8625.351999999999</v>
      </c>
      <c r="Y160" s="363">
        <f t="shared" si="26"/>
        <v>10242.191999999999</v>
      </c>
    </row>
    <row r="161" spans="1:43" s="377" customFormat="1" ht="15.75">
      <c r="A161" s="703">
        <v>152</v>
      </c>
      <c r="B161" s="726" t="s">
        <v>351</v>
      </c>
      <c r="C161" s="662" t="s">
        <v>352</v>
      </c>
      <c r="D161" s="663" t="s">
        <v>75</v>
      </c>
      <c r="E161" s="663"/>
      <c r="F161" s="727"/>
      <c r="G161" s="663">
        <v>1</v>
      </c>
      <c r="H161" s="728"/>
      <c r="I161" s="728"/>
      <c r="J161" s="663">
        <v>1</v>
      </c>
      <c r="K161" s="567">
        <v>17697</v>
      </c>
      <c r="L161" s="567"/>
      <c r="M161" s="554">
        <v>1</v>
      </c>
      <c r="N161" s="567"/>
      <c r="O161" s="554">
        <v>2.77</v>
      </c>
      <c r="P161" s="567">
        <f>'расчеты к штатному'!P177-'расчеты к штатному старое'!P161</f>
        <v>6370.9199999999983</v>
      </c>
      <c r="Q161" s="552">
        <f t="shared" si="24"/>
        <v>0</v>
      </c>
      <c r="R161" s="567"/>
      <c r="S161" s="708">
        <v>0.1</v>
      </c>
      <c r="T161" s="552">
        <f t="shared" si="22"/>
        <v>637.09199999999987</v>
      </c>
      <c r="U161" s="567">
        <v>0</v>
      </c>
      <c r="V161" s="554">
        <f>'расчеты к штатному'!W177-'расчеты к штатному старое'!V161</f>
        <v>1616.8400000000001</v>
      </c>
      <c r="W161" s="559">
        <f t="shared" si="25"/>
        <v>8624.851999999999</v>
      </c>
      <c r="X161" s="363">
        <f t="shared" si="26"/>
        <v>8624.851999999999</v>
      </c>
      <c r="Y161" s="363">
        <f t="shared" si="26"/>
        <v>10241.691999999999</v>
      </c>
      <c r="Z161" s="374"/>
      <c r="AA161" s="374"/>
      <c r="AB161" s="375"/>
      <c r="AC161" s="375"/>
      <c r="AD161" s="376"/>
      <c r="AE161" s="374"/>
      <c r="AF161" s="375"/>
    </row>
    <row r="162" spans="1:43" s="377" customFormat="1" ht="15.75">
      <c r="A162" s="709">
        <v>153</v>
      </c>
      <c r="B162" s="726" t="s">
        <v>353</v>
      </c>
      <c r="C162" s="662" t="s">
        <v>352</v>
      </c>
      <c r="D162" s="663" t="s">
        <v>75</v>
      </c>
      <c r="E162" s="663"/>
      <c r="F162" s="727"/>
      <c r="G162" s="663">
        <v>1</v>
      </c>
      <c r="H162" s="728"/>
      <c r="I162" s="728"/>
      <c r="J162" s="663">
        <v>1</v>
      </c>
      <c r="K162" s="567">
        <v>17697</v>
      </c>
      <c r="L162" s="567"/>
      <c r="M162" s="554">
        <v>1</v>
      </c>
      <c r="N162" s="567"/>
      <c r="O162" s="554">
        <v>2.77</v>
      </c>
      <c r="P162" s="567">
        <f>'расчеты к штатному'!P178-'расчеты к штатному старое'!P162</f>
        <v>6370.9199999999983</v>
      </c>
      <c r="Q162" s="552">
        <f t="shared" si="24"/>
        <v>0</v>
      </c>
      <c r="R162" s="567"/>
      <c r="S162" s="708">
        <v>0.1</v>
      </c>
      <c r="T162" s="552">
        <f t="shared" si="22"/>
        <v>637.09199999999987</v>
      </c>
      <c r="U162" s="567">
        <v>0</v>
      </c>
      <c r="V162" s="554">
        <f>'расчеты к штатному'!W178-'расчеты к штатному старое'!V162</f>
        <v>1616.8400000000001</v>
      </c>
      <c r="W162" s="559">
        <f t="shared" si="25"/>
        <v>8624.851999999999</v>
      </c>
      <c r="X162" s="363">
        <f t="shared" si="26"/>
        <v>8624.851999999999</v>
      </c>
      <c r="Y162" s="363">
        <f t="shared" si="26"/>
        <v>10241.691999999999</v>
      </c>
      <c r="Z162" s="374"/>
      <c r="AA162" s="374"/>
      <c r="AB162" s="375"/>
      <c r="AC162" s="375"/>
      <c r="AD162" s="376"/>
      <c r="AE162" s="374"/>
      <c r="AF162" s="375"/>
    </row>
    <row r="163" spans="1:43" s="377" customFormat="1" ht="15.75">
      <c r="A163" s="703">
        <v>154</v>
      </c>
      <c r="B163" s="729" t="s">
        <v>354</v>
      </c>
      <c r="C163" s="662" t="s">
        <v>352</v>
      </c>
      <c r="D163" s="663" t="s">
        <v>75</v>
      </c>
      <c r="E163" s="663"/>
      <c r="F163" s="727"/>
      <c r="G163" s="663">
        <v>1</v>
      </c>
      <c r="H163" s="728"/>
      <c r="I163" s="728"/>
      <c r="J163" s="663">
        <v>1</v>
      </c>
      <c r="K163" s="567">
        <v>17697</v>
      </c>
      <c r="L163" s="567"/>
      <c r="M163" s="554">
        <v>1</v>
      </c>
      <c r="N163" s="567"/>
      <c r="O163" s="554">
        <v>2.77</v>
      </c>
      <c r="P163" s="567">
        <f>'расчеты к штатному'!P179-'расчеты к штатному старое'!P163</f>
        <v>6370.9199999999983</v>
      </c>
      <c r="Q163" s="552">
        <f t="shared" si="24"/>
        <v>0</v>
      </c>
      <c r="R163" s="567"/>
      <c r="S163" s="708">
        <v>0.1</v>
      </c>
      <c r="T163" s="552">
        <f t="shared" si="22"/>
        <v>637.09199999999987</v>
      </c>
      <c r="U163" s="567">
        <v>0</v>
      </c>
      <c r="V163" s="554">
        <f>'расчеты к штатному'!W179-'расчеты к штатному старое'!V163</f>
        <v>1616.8400000000001</v>
      </c>
      <c r="W163" s="559">
        <f t="shared" si="25"/>
        <v>8624.851999999999</v>
      </c>
      <c r="X163" s="363">
        <f>Q163+U163+W163</f>
        <v>8624.851999999999</v>
      </c>
      <c r="Y163" s="363">
        <f>R163+V163+X163</f>
        <v>10241.691999999999</v>
      </c>
      <c r="Z163" s="374"/>
      <c r="AA163" s="374"/>
      <c r="AB163" s="375"/>
      <c r="AC163" s="375"/>
      <c r="AD163" s="376"/>
      <c r="AE163" s="374"/>
      <c r="AF163" s="375"/>
    </row>
    <row r="164" spans="1:43" s="364" customFormat="1" ht="15.75">
      <c r="A164" s="709">
        <v>155</v>
      </c>
      <c r="B164" s="646" t="s">
        <v>355</v>
      </c>
      <c r="C164" s="647" t="s">
        <v>356</v>
      </c>
      <c r="D164" s="663" t="s">
        <v>75</v>
      </c>
      <c r="E164" s="646"/>
      <c r="F164" s="646"/>
      <c r="G164" s="628">
        <v>1</v>
      </c>
      <c r="H164" s="714"/>
      <c r="I164" s="715"/>
      <c r="J164" s="628">
        <v>1</v>
      </c>
      <c r="K164" s="715">
        <v>17697</v>
      </c>
      <c r="L164" s="715"/>
      <c r="M164" s="554">
        <v>1</v>
      </c>
      <c r="N164" s="554"/>
      <c r="O164" s="554">
        <v>2.77</v>
      </c>
      <c r="P164" s="567">
        <f>'расчеты к штатному'!P180-'расчеты к штатному старое'!P164</f>
        <v>6370.9199999999983</v>
      </c>
      <c r="Q164" s="552">
        <f t="shared" si="24"/>
        <v>0</v>
      </c>
      <c r="R164" s="554"/>
      <c r="S164" s="708">
        <v>0.1</v>
      </c>
      <c r="T164" s="552">
        <f t="shared" si="22"/>
        <v>637.09199999999987</v>
      </c>
      <c r="U164" s="567">
        <v>0</v>
      </c>
      <c r="V164" s="554">
        <f>'расчеты к штатному'!W180-'расчеты к штатному старое'!V164</f>
        <v>0</v>
      </c>
      <c r="W164" s="559">
        <f t="shared" si="25"/>
        <v>7008.0119999999979</v>
      </c>
      <c r="X164" s="363">
        <f t="shared" si="26"/>
        <v>7008.0119999999979</v>
      </c>
      <c r="Y164" s="363">
        <f t="shared" si="26"/>
        <v>7008.0119999999979</v>
      </c>
      <c r="AB164" s="422" t="e">
        <f>SUM(W139:W165)</f>
        <v>#REF!</v>
      </c>
    </row>
    <row r="165" spans="1:43" s="364" customFormat="1" ht="15.75">
      <c r="A165" s="703">
        <v>156</v>
      </c>
      <c r="B165" s="646" t="s">
        <v>357</v>
      </c>
      <c r="C165" s="561" t="s">
        <v>358</v>
      </c>
      <c r="D165" s="560" t="s">
        <v>64</v>
      </c>
      <c r="E165" s="646"/>
      <c r="F165" s="646"/>
      <c r="G165" s="628">
        <v>1</v>
      </c>
      <c r="H165" s="714"/>
      <c r="I165" s="715"/>
      <c r="J165" s="628">
        <v>1</v>
      </c>
      <c r="K165" s="715">
        <v>17697</v>
      </c>
      <c r="L165" s="715"/>
      <c r="M165" s="554">
        <v>1</v>
      </c>
      <c r="N165" s="554"/>
      <c r="O165" s="554">
        <v>2.77</v>
      </c>
      <c r="P165" s="567">
        <f>'расчеты к штатному'!P181-'расчеты к штатному старое'!P165</f>
        <v>6370.9199999999983</v>
      </c>
      <c r="Q165" s="552" t="e">
        <f t="shared" si="24"/>
        <v>#REF!</v>
      </c>
      <c r="R165" s="554"/>
      <c r="S165" s="708">
        <v>0.1</v>
      </c>
      <c r="T165" s="552">
        <f t="shared" si="22"/>
        <v>637.09199999999987</v>
      </c>
      <c r="U165" s="567">
        <v>0</v>
      </c>
      <c r="V165" s="567">
        <v>0</v>
      </c>
      <c r="W165" s="559">
        <f t="shared" si="25"/>
        <v>7008.0119999999979</v>
      </c>
      <c r="X165" s="363" t="e">
        <f t="shared" si="26"/>
        <v>#REF!</v>
      </c>
      <c r="Y165" s="363" t="e">
        <f t="shared" si="26"/>
        <v>#REF!</v>
      </c>
      <c r="Z165" s="422"/>
    </row>
    <row r="166" spans="1:43" s="84" customFormat="1" ht="22.5" customHeight="1">
      <c r="A166" s="2322" t="s">
        <v>359</v>
      </c>
      <c r="B166" s="2322"/>
      <c r="C166" s="2322"/>
      <c r="D166" s="2322"/>
      <c r="E166" s="905"/>
      <c r="F166" s="905"/>
      <c r="G166" s="678"/>
      <c r="H166" s="905"/>
      <c r="I166" s="905"/>
      <c r="J166" s="905"/>
      <c r="K166" s="905"/>
      <c r="L166" s="679"/>
      <c r="M166" s="680">
        <f>SUM(M6:M165)-0.01</f>
        <v>170.67888888888885</v>
      </c>
      <c r="N166" s="680"/>
      <c r="O166" s="680"/>
      <c r="P166" s="680" t="e">
        <f>SUM(P6:P165)</f>
        <v>#REF!</v>
      </c>
      <c r="Q166" s="680"/>
      <c r="R166" s="680">
        <f>SUM(R6:R165)</f>
        <v>36654.91124999999</v>
      </c>
      <c r="S166" s="680"/>
      <c r="T166" s="680" t="e">
        <f>SUM(T6:T165)</f>
        <v>#REF!</v>
      </c>
      <c r="U166" s="680"/>
      <c r="V166" s="680" t="e">
        <f>SUM(V6:V165)</f>
        <v>#REF!</v>
      </c>
      <c r="W166" s="626" t="e">
        <f>SUM(W6:W165)</f>
        <v>#REF!</v>
      </c>
      <c r="X166" s="141" t="e">
        <f>SUM(X6:X165)</f>
        <v>#REF!</v>
      </c>
      <c r="Y166" s="141" t="e">
        <f>SUM(Y6:Y165)</f>
        <v>#REF!</v>
      </c>
      <c r="Z166" s="939"/>
      <c r="AA166" s="262"/>
      <c r="AB166" s="262"/>
      <c r="AC166" s="262"/>
      <c r="AD166" s="262"/>
      <c r="AE166" s="262"/>
      <c r="AF166" s="262"/>
      <c r="AG166" s="262"/>
      <c r="AH166" s="262"/>
      <c r="AI166" s="262"/>
      <c r="AJ166" s="262"/>
      <c r="AK166" s="262"/>
      <c r="AL166" s="262"/>
      <c r="AM166" s="262"/>
      <c r="AN166" s="262"/>
      <c r="AO166" s="262"/>
      <c r="AP166" s="262"/>
      <c r="AQ166" s="262"/>
    </row>
    <row r="167" spans="1:43" ht="25.5" customHeight="1">
      <c r="M167" s="85"/>
      <c r="N167" s="86"/>
      <c r="O167" s="23"/>
      <c r="P167" s="87"/>
      <c r="Q167" s="88"/>
      <c r="W167" s="3"/>
    </row>
    <row r="168" spans="1:43" s="24" customFormat="1">
      <c r="A168" s="1"/>
      <c r="B168" s="1"/>
      <c r="C168" s="895"/>
      <c r="D168" s="1"/>
      <c r="E168" s="1"/>
      <c r="F168" s="1"/>
      <c r="G168" s="1"/>
      <c r="H168" s="1"/>
      <c r="I168" s="1"/>
      <c r="J168" s="1"/>
      <c r="K168" s="1"/>
      <c r="L168" s="1"/>
      <c r="N168" s="89"/>
      <c r="Q168" s="1"/>
      <c r="R168" s="1"/>
      <c r="S168" s="1"/>
      <c r="T168" s="1"/>
      <c r="U168" s="1"/>
      <c r="V168" s="1"/>
      <c r="W168" s="3"/>
      <c r="X168" s="3"/>
      <c r="Y168" s="3"/>
    </row>
    <row r="169" spans="1:43" s="24" customFormat="1">
      <c r="A169" s="1"/>
      <c r="B169" s="1"/>
      <c r="C169" s="895"/>
      <c r="D169" s="1"/>
      <c r="E169" s="1"/>
      <c r="F169" s="1"/>
      <c r="G169" s="1"/>
      <c r="H169" s="1"/>
      <c r="I169" s="1"/>
      <c r="J169" s="1"/>
      <c r="K169" s="1"/>
      <c r="L169" s="1"/>
      <c r="M169" s="3"/>
      <c r="N169" s="895"/>
      <c r="O169" s="1"/>
      <c r="P169" s="1"/>
      <c r="Q169" s="1"/>
      <c r="R169" s="1"/>
      <c r="S169" s="1"/>
      <c r="T169" s="1"/>
      <c r="U169" s="3"/>
      <c r="V169" s="3"/>
      <c r="W169" s="3"/>
      <c r="X169" s="3"/>
      <c r="Y169" s="3"/>
    </row>
    <row r="170" spans="1:43" s="24" customFormat="1">
      <c r="A170" s="1"/>
      <c r="B170" s="1"/>
      <c r="C170" s="895"/>
      <c r="D170" s="1"/>
      <c r="E170" s="1"/>
      <c r="F170" s="1"/>
      <c r="G170" s="1"/>
      <c r="H170" s="1"/>
      <c r="I170" s="1"/>
      <c r="J170" s="1"/>
      <c r="K170" s="3"/>
      <c r="L170" s="1"/>
      <c r="M170" s="3"/>
      <c r="N170" s="895"/>
      <c r="O170" s="1"/>
      <c r="P170" s="1"/>
      <c r="Q170" s="90"/>
      <c r="R170" s="90"/>
      <c r="S170" s="1"/>
      <c r="T170" s="1"/>
      <c r="U170" s="1"/>
      <c r="V170" s="1"/>
      <c r="W170" s="1"/>
      <c r="X170" s="1"/>
      <c r="Y170" s="1"/>
    </row>
    <row r="171" spans="1:43" s="24" customFormat="1">
      <c r="A171" s="1"/>
      <c r="B171" s="1"/>
      <c r="C171" s="895"/>
      <c r="D171" s="1"/>
      <c r="E171" s="1"/>
      <c r="F171" s="1"/>
      <c r="G171" s="1"/>
      <c r="H171" s="1"/>
      <c r="I171" s="1"/>
      <c r="J171" s="1"/>
      <c r="K171" s="3"/>
      <c r="L171" s="1"/>
      <c r="M171" s="3"/>
      <c r="N171" s="895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43" s="24" customFormat="1">
      <c r="A172" s="1"/>
      <c r="B172" s="1"/>
      <c r="C172" s="895"/>
      <c r="D172" s="1"/>
      <c r="E172" s="1"/>
      <c r="F172" s="1"/>
      <c r="G172" s="1"/>
      <c r="H172" s="1"/>
      <c r="I172" s="3"/>
      <c r="J172" s="1"/>
      <c r="K172" s="3"/>
      <c r="L172" s="1"/>
      <c r="M172" s="3"/>
      <c r="N172" s="895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22"/>
    </row>
    <row r="174" spans="1:43">
      <c r="M174" s="3"/>
    </row>
    <row r="175" spans="1:43">
      <c r="Z175" s="22"/>
    </row>
    <row r="176" spans="1:43">
      <c r="M176" s="3"/>
      <c r="T176" s="3"/>
    </row>
    <row r="177" spans="1:25" s="24" customFormat="1">
      <c r="A177" s="1"/>
      <c r="B177" s="1"/>
      <c r="C177" s="895"/>
      <c r="D177" s="1"/>
      <c r="E177" s="1"/>
      <c r="F177" s="1"/>
      <c r="G177" s="1"/>
      <c r="H177" s="1"/>
      <c r="I177" s="1"/>
      <c r="J177" s="1"/>
      <c r="K177" s="1"/>
      <c r="L177" s="1"/>
      <c r="M177" s="3"/>
      <c r="N177" s="895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</sheetData>
  <mergeCells count="25">
    <mergeCell ref="X4:X5"/>
    <mergeCell ref="Y4:Y5"/>
    <mergeCell ref="A166:D166"/>
    <mergeCell ref="O4:O5"/>
    <mergeCell ref="P4:P5"/>
    <mergeCell ref="Q4:R4"/>
    <mergeCell ref="S4:T4"/>
    <mergeCell ref="U4:V4"/>
    <mergeCell ref="W4:W5"/>
    <mergeCell ref="I4:I5"/>
    <mergeCell ref="J4:J5"/>
    <mergeCell ref="K4:K5"/>
    <mergeCell ref="L4:L5"/>
    <mergeCell ref="M4:M5"/>
    <mergeCell ref="N4:N5"/>
    <mergeCell ref="A2:W2"/>
    <mergeCell ref="A3:W3"/>
    <mergeCell ref="A4:A5"/>
    <mergeCell ref="B4:B5"/>
    <mergeCell ref="C4:C5"/>
    <mergeCell ref="D4:D5"/>
    <mergeCell ref="E4:E5"/>
    <mergeCell ref="F4:F5"/>
    <mergeCell ref="G4:G5"/>
    <mergeCell ref="H4:H5"/>
  </mergeCells>
  <pageMargins left="0" right="0" top="0.62992125984251968" bottom="0" header="0.43307086614173229" footer="0.31496062992125984"/>
  <pageSetup paperSize="9" scale="53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25">
    <tabColor rgb="FF92D050"/>
  </sheetPr>
  <dimension ref="A2:AQ126"/>
  <sheetViews>
    <sheetView topLeftCell="A97" zoomScale="70" zoomScaleNormal="70" zoomScaleSheetLayoutView="40" workbookViewId="0">
      <pane xSplit="3" topLeftCell="D1" activePane="topRight" state="frozen"/>
      <selection pane="topRight" activeCell="A118" sqref="A118:XFD120"/>
    </sheetView>
  </sheetViews>
  <sheetFormatPr defaultRowHeight="12.75"/>
  <cols>
    <col min="1" max="1" width="6.28515625" style="950" bestFit="1" customWidth="1"/>
    <col min="2" max="2" width="34" style="1" customWidth="1"/>
    <col min="3" max="3" width="20.5703125" style="948" customWidth="1"/>
    <col min="4" max="4" width="13.5703125" style="1" customWidth="1"/>
    <col min="5" max="5" width="16.7109375" style="1" customWidth="1"/>
    <col min="6" max="6" width="13.5703125" style="1" customWidth="1"/>
    <col min="7" max="7" width="7.42578125" style="1" customWidth="1"/>
    <col min="8" max="8" width="4.7109375" style="1" customWidth="1"/>
    <col min="9" max="9" width="8.5703125" style="1" customWidth="1"/>
    <col min="10" max="10" width="8.85546875" style="1" customWidth="1"/>
    <col min="11" max="11" width="11.5703125" style="1" hidden="1" customWidth="1"/>
    <col min="12" max="12" width="14.42578125" style="1" customWidth="1"/>
    <col min="13" max="13" width="26" style="1" hidden="1" customWidth="1"/>
    <col min="14" max="14" width="9.7109375" style="948" hidden="1" customWidth="1"/>
    <col min="15" max="15" width="8" style="1" hidden="1" customWidth="1"/>
    <col min="16" max="16" width="16.28515625" style="1" hidden="1" customWidth="1"/>
    <col min="17" max="17" width="10.5703125" style="1" hidden="1" customWidth="1"/>
    <col min="18" max="18" width="11.85546875" style="1" hidden="1" customWidth="1"/>
    <col min="19" max="19" width="10.140625" style="1" hidden="1" customWidth="1"/>
    <col min="20" max="20" width="15.140625" style="1" hidden="1" customWidth="1"/>
    <col min="21" max="21" width="8.5703125" style="1" hidden="1" customWidth="1"/>
    <col min="22" max="22" width="11.7109375" style="1" hidden="1" customWidth="1"/>
    <col min="23" max="23" width="15.28515625" style="1" hidden="1" customWidth="1"/>
    <col min="24" max="25" width="18.28515625" style="1" hidden="1" customWidth="1"/>
    <col min="26" max="26" width="13" style="24" bestFit="1" customWidth="1"/>
    <col min="27" max="27" width="11.7109375" style="24" bestFit="1" customWidth="1"/>
    <col min="28" max="28" width="13" style="24" bestFit="1" customWidth="1"/>
    <col min="29" max="29" width="11" style="24" bestFit="1" customWidth="1"/>
    <col min="30" max="32" width="9.140625" style="24"/>
    <col min="33" max="33" width="11.28515625" style="24" bestFit="1" customWidth="1"/>
    <col min="34" max="34" width="10.7109375" style="24" bestFit="1" customWidth="1"/>
    <col min="35" max="43" width="9.140625" style="24"/>
    <col min="44" max="256" width="9.140625" style="1"/>
    <col min="257" max="257" width="6.42578125" style="1" customWidth="1"/>
    <col min="258" max="258" width="20.7109375" style="1" customWidth="1"/>
    <col min="259" max="259" width="24.7109375" style="1" customWidth="1"/>
    <col min="260" max="260" width="11.140625" style="1" customWidth="1"/>
    <col min="261" max="261" width="12.28515625" style="1" customWidth="1"/>
    <col min="262" max="262" width="11.140625" style="1" customWidth="1"/>
    <col min="263" max="263" width="10.42578125" style="1" customWidth="1"/>
    <col min="264" max="264" width="4.7109375" style="1" customWidth="1"/>
    <col min="265" max="265" width="8.5703125" style="1" customWidth="1"/>
    <col min="266" max="266" width="5.5703125" style="1" customWidth="1"/>
    <col min="267" max="268" width="11.5703125" style="1" customWidth="1"/>
    <col min="269" max="269" width="10.85546875" style="1" customWidth="1"/>
    <col min="270" max="270" width="7.7109375" style="1" customWidth="1"/>
    <col min="271" max="271" width="8" style="1" customWidth="1"/>
    <col min="272" max="272" width="16.28515625" style="1" customWidth="1"/>
    <col min="273" max="273" width="10.5703125" style="1" customWidth="1"/>
    <col min="274" max="274" width="14.140625" style="1" customWidth="1"/>
    <col min="275" max="275" width="10.140625" style="1" customWidth="1"/>
    <col min="276" max="276" width="15.140625" style="1" customWidth="1"/>
    <col min="277" max="277" width="8.5703125" style="1" customWidth="1"/>
    <col min="278" max="278" width="14.28515625" style="1" customWidth="1"/>
    <col min="279" max="279" width="18.28515625" style="1" customWidth="1"/>
    <col min="280" max="280" width="13" style="1" bestFit="1" customWidth="1"/>
    <col min="281" max="281" width="11.7109375" style="1" bestFit="1" customWidth="1"/>
    <col min="282" max="288" width="9.140625" style="1"/>
    <col min="289" max="289" width="11.28515625" style="1" bestFit="1" customWidth="1"/>
    <col min="290" max="290" width="10.7109375" style="1" bestFit="1" customWidth="1"/>
    <col min="291" max="512" width="9.140625" style="1"/>
    <col min="513" max="513" width="6.42578125" style="1" customWidth="1"/>
    <col min="514" max="514" width="20.7109375" style="1" customWidth="1"/>
    <col min="515" max="515" width="24.7109375" style="1" customWidth="1"/>
    <col min="516" max="516" width="11.140625" style="1" customWidth="1"/>
    <col min="517" max="517" width="12.28515625" style="1" customWidth="1"/>
    <col min="518" max="518" width="11.140625" style="1" customWidth="1"/>
    <col min="519" max="519" width="10.42578125" style="1" customWidth="1"/>
    <col min="520" max="520" width="4.7109375" style="1" customWidth="1"/>
    <col min="521" max="521" width="8.5703125" style="1" customWidth="1"/>
    <col min="522" max="522" width="5.5703125" style="1" customWidth="1"/>
    <col min="523" max="524" width="11.5703125" style="1" customWidth="1"/>
    <col min="525" max="525" width="10.85546875" style="1" customWidth="1"/>
    <col min="526" max="526" width="7.7109375" style="1" customWidth="1"/>
    <col min="527" max="527" width="8" style="1" customWidth="1"/>
    <col min="528" max="528" width="16.28515625" style="1" customWidth="1"/>
    <col min="529" max="529" width="10.5703125" style="1" customWidth="1"/>
    <col min="530" max="530" width="14.140625" style="1" customWidth="1"/>
    <col min="531" max="531" width="10.140625" style="1" customWidth="1"/>
    <col min="532" max="532" width="15.140625" style="1" customWidth="1"/>
    <col min="533" max="533" width="8.5703125" style="1" customWidth="1"/>
    <col min="534" max="534" width="14.28515625" style="1" customWidth="1"/>
    <col min="535" max="535" width="18.28515625" style="1" customWidth="1"/>
    <col min="536" max="536" width="13" style="1" bestFit="1" customWidth="1"/>
    <col min="537" max="537" width="11.7109375" style="1" bestFit="1" customWidth="1"/>
    <col min="538" max="544" width="9.140625" style="1"/>
    <col min="545" max="545" width="11.28515625" style="1" bestFit="1" customWidth="1"/>
    <col min="546" max="546" width="10.7109375" style="1" bestFit="1" customWidth="1"/>
    <col min="547" max="768" width="9.140625" style="1"/>
    <col min="769" max="769" width="6.42578125" style="1" customWidth="1"/>
    <col min="770" max="770" width="20.7109375" style="1" customWidth="1"/>
    <col min="771" max="771" width="24.7109375" style="1" customWidth="1"/>
    <col min="772" max="772" width="11.140625" style="1" customWidth="1"/>
    <col min="773" max="773" width="12.28515625" style="1" customWidth="1"/>
    <col min="774" max="774" width="11.140625" style="1" customWidth="1"/>
    <col min="775" max="775" width="10.42578125" style="1" customWidth="1"/>
    <col min="776" max="776" width="4.7109375" style="1" customWidth="1"/>
    <col min="777" max="777" width="8.5703125" style="1" customWidth="1"/>
    <col min="778" max="778" width="5.5703125" style="1" customWidth="1"/>
    <col min="779" max="780" width="11.5703125" style="1" customWidth="1"/>
    <col min="781" max="781" width="10.85546875" style="1" customWidth="1"/>
    <col min="782" max="782" width="7.7109375" style="1" customWidth="1"/>
    <col min="783" max="783" width="8" style="1" customWidth="1"/>
    <col min="784" max="784" width="16.28515625" style="1" customWidth="1"/>
    <col min="785" max="785" width="10.5703125" style="1" customWidth="1"/>
    <col min="786" max="786" width="14.140625" style="1" customWidth="1"/>
    <col min="787" max="787" width="10.140625" style="1" customWidth="1"/>
    <col min="788" max="788" width="15.140625" style="1" customWidth="1"/>
    <col min="789" max="789" width="8.5703125" style="1" customWidth="1"/>
    <col min="790" max="790" width="14.28515625" style="1" customWidth="1"/>
    <col min="791" max="791" width="18.28515625" style="1" customWidth="1"/>
    <col min="792" max="792" width="13" style="1" bestFit="1" customWidth="1"/>
    <col min="793" max="793" width="11.7109375" style="1" bestFit="1" customWidth="1"/>
    <col min="794" max="800" width="9.140625" style="1"/>
    <col min="801" max="801" width="11.28515625" style="1" bestFit="1" customWidth="1"/>
    <col min="802" max="802" width="10.7109375" style="1" bestFit="1" customWidth="1"/>
    <col min="803" max="1024" width="9.140625" style="1"/>
    <col min="1025" max="1025" width="6.42578125" style="1" customWidth="1"/>
    <col min="1026" max="1026" width="20.7109375" style="1" customWidth="1"/>
    <col min="1027" max="1027" width="24.7109375" style="1" customWidth="1"/>
    <col min="1028" max="1028" width="11.140625" style="1" customWidth="1"/>
    <col min="1029" max="1029" width="12.28515625" style="1" customWidth="1"/>
    <col min="1030" max="1030" width="11.140625" style="1" customWidth="1"/>
    <col min="1031" max="1031" width="10.42578125" style="1" customWidth="1"/>
    <col min="1032" max="1032" width="4.7109375" style="1" customWidth="1"/>
    <col min="1033" max="1033" width="8.5703125" style="1" customWidth="1"/>
    <col min="1034" max="1034" width="5.5703125" style="1" customWidth="1"/>
    <col min="1035" max="1036" width="11.5703125" style="1" customWidth="1"/>
    <col min="1037" max="1037" width="10.85546875" style="1" customWidth="1"/>
    <col min="1038" max="1038" width="7.7109375" style="1" customWidth="1"/>
    <col min="1039" max="1039" width="8" style="1" customWidth="1"/>
    <col min="1040" max="1040" width="16.28515625" style="1" customWidth="1"/>
    <col min="1041" max="1041" width="10.5703125" style="1" customWidth="1"/>
    <col min="1042" max="1042" width="14.140625" style="1" customWidth="1"/>
    <col min="1043" max="1043" width="10.140625" style="1" customWidth="1"/>
    <col min="1044" max="1044" width="15.140625" style="1" customWidth="1"/>
    <col min="1045" max="1045" width="8.5703125" style="1" customWidth="1"/>
    <col min="1046" max="1046" width="14.28515625" style="1" customWidth="1"/>
    <col min="1047" max="1047" width="18.28515625" style="1" customWidth="1"/>
    <col min="1048" max="1048" width="13" style="1" bestFit="1" customWidth="1"/>
    <col min="1049" max="1049" width="11.7109375" style="1" bestFit="1" customWidth="1"/>
    <col min="1050" max="1056" width="9.140625" style="1"/>
    <col min="1057" max="1057" width="11.28515625" style="1" bestFit="1" customWidth="1"/>
    <col min="1058" max="1058" width="10.7109375" style="1" bestFit="1" customWidth="1"/>
    <col min="1059" max="1280" width="9.140625" style="1"/>
    <col min="1281" max="1281" width="6.42578125" style="1" customWidth="1"/>
    <col min="1282" max="1282" width="20.7109375" style="1" customWidth="1"/>
    <col min="1283" max="1283" width="24.7109375" style="1" customWidth="1"/>
    <col min="1284" max="1284" width="11.140625" style="1" customWidth="1"/>
    <col min="1285" max="1285" width="12.28515625" style="1" customWidth="1"/>
    <col min="1286" max="1286" width="11.140625" style="1" customWidth="1"/>
    <col min="1287" max="1287" width="10.42578125" style="1" customWidth="1"/>
    <col min="1288" max="1288" width="4.7109375" style="1" customWidth="1"/>
    <col min="1289" max="1289" width="8.5703125" style="1" customWidth="1"/>
    <col min="1290" max="1290" width="5.5703125" style="1" customWidth="1"/>
    <col min="1291" max="1292" width="11.5703125" style="1" customWidth="1"/>
    <col min="1293" max="1293" width="10.85546875" style="1" customWidth="1"/>
    <col min="1294" max="1294" width="7.7109375" style="1" customWidth="1"/>
    <col min="1295" max="1295" width="8" style="1" customWidth="1"/>
    <col min="1296" max="1296" width="16.28515625" style="1" customWidth="1"/>
    <col min="1297" max="1297" width="10.5703125" style="1" customWidth="1"/>
    <col min="1298" max="1298" width="14.140625" style="1" customWidth="1"/>
    <col min="1299" max="1299" width="10.140625" style="1" customWidth="1"/>
    <col min="1300" max="1300" width="15.140625" style="1" customWidth="1"/>
    <col min="1301" max="1301" width="8.5703125" style="1" customWidth="1"/>
    <col min="1302" max="1302" width="14.28515625" style="1" customWidth="1"/>
    <col min="1303" max="1303" width="18.28515625" style="1" customWidth="1"/>
    <col min="1304" max="1304" width="13" style="1" bestFit="1" customWidth="1"/>
    <col min="1305" max="1305" width="11.7109375" style="1" bestFit="1" customWidth="1"/>
    <col min="1306" max="1312" width="9.140625" style="1"/>
    <col min="1313" max="1313" width="11.28515625" style="1" bestFit="1" customWidth="1"/>
    <col min="1314" max="1314" width="10.7109375" style="1" bestFit="1" customWidth="1"/>
    <col min="1315" max="1536" width="9.140625" style="1"/>
    <col min="1537" max="1537" width="6.42578125" style="1" customWidth="1"/>
    <col min="1538" max="1538" width="20.7109375" style="1" customWidth="1"/>
    <col min="1539" max="1539" width="24.7109375" style="1" customWidth="1"/>
    <col min="1540" max="1540" width="11.140625" style="1" customWidth="1"/>
    <col min="1541" max="1541" width="12.28515625" style="1" customWidth="1"/>
    <col min="1542" max="1542" width="11.140625" style="1" customWidth="1"/>
    <col min="1543" max="1543" width="10.42578125" style="1" customWidth="1"/>
    <col min="1544" max="1544" width="4.7109375" style="1" customWidth="1"/>
    <col min="1545" max="1545" width="8.5703125" style="1" customWidth="1"/>
    <col min="1546" max="1546" width="5.5703125" style="1" customWidth="1"/>
    <col min="1547" max="1548" width="11.5703125" style="1" customWidth="1"/>
    <col min="1549" max="1549" width="10.85546875" style="1" customWidth="1"/>
    <col min="1550" max="1550" width="7.7109375" style="1" customWidth="1"/>
    <col min="1551" max="1551" width="8" style="1" customWidth="1"/>
    <col min="1552" max="1552" width="16.28515625" style="1" customWidth="1"/>
    <col min="1553" max="1553" width="10.5703125" style="1" customWidth="1"/>
    <col min="1554" max="1554" width="14.140625" style="1" customWidth="1"/>
    <col min="1555" max="1555" width="10.140625" style="1" customWidth="1"/>
    <col min="1556" max="1556" width="15.140625" style="1" customWidth="1"/>
    <col min="1557" max="1557" width="8.5703125" style="1" customWidth="1"/>
    <col min="1558" max="1558" width="14.28515625" style="1" customWidth="1"/>
    <col min="1559" max="1559" width="18.28515625" style="1" customWidth="1"/>
    <col min="1560" max="1560" width="13" style="1" bestFit="1" customWidth="1"/>
    <col min="1561" max="1561" width="11.7109375" style="1" bestFit="1" customWidth="1"/>
    <col min="1562" max="1568" width="9.140625" style="1"/>
    <col min="1569" max="1569" width="11.28515625" style="1" bestFit="1" customWidth="1"/>
    <col min="1570" max="1570" width="10.7109375" style="1" bestFit="1" customWidth="1"/>
    <col min="1571" max="1792" width="9.140625" style="1"/>
    <col min="1793" max="1793" width="6.42578125" style="1" customWidth="1"/>
    <col min="1794" max="1794" width="20.7109375" style="1" customWidth="1"/>
    <col min="1795" max="1795" width="24.7109375" style="1" customWidth="1"/>
    <col min="1796" max="1796" width="11.140625" style="1" customWidth="1"/>
    <col min="1797" max="1797" width="12.28515625" style="1" customWidth="1"/>
    <col min="1798" max="1798" width="11.140625" style="1" customWidth="1"/>
    <col min="1799" max="1799" width="10.42578125" style="1" customWidth="1"/>
    <col min="1800" max="1800" width="4.7109375" style="1" customWidth="1"/>
    <col min="1801" max="1801" width="8.5703125" style="1" customWidth="1"/>
    <col min="1802" max="1802" width="5.5703125" style="1" customWidth="1"/>
    <col min="1803" max="1804" width="11.5703125" style="1" customWidth="1"/>
    <col min="1805" max="1805" width="10.85546875" style="1" customWidth="1"/>
    <col min="1806" max="1806" width="7.7109375" style="1" customWidth="1"/>
    <col min="1807" max="1807" width="8" style="1" customWidth="1"/>
    <col min="1808" max="1808" width="16.28515625" style="1" customWidth="1"/>
    <col min="1809" max="1809" width="10.5703125" style="1" customWidth="1"/>
    <col min="1810" max="1810" width="14.140625" style="1" customWidth="1"/>
    <col min="1811" max="1811" width="10.140625" style="1" customWidth="1"/>
    <col min="1812" max="1812" width="15.140625" style="1" customWidth="1"/>
    <col min="1813" max="1813" width="8.5703125" style="1" customWidth="1"/>
    <col min="1814" max="1814" width="14.28515625" style="1" customWidth="1"/>
    <col min="1815" max="1815" width="18.28515625" style="1" customWidth="1"/>
    <col min="1816" max="1816" width="13" style="1" bestFit="1" customWidth="1"/>
    <col min="1817" max="1817" width="11.7109375" style="1" bestFit="1" customWidth="1"/>
    <col min="1818" max="1824" width="9.140625" style="1"/>
    <col min="1825" max="1825" width="11.28515625" style="1" bestFit="1" customWidth="1"/>
    <col min="1826" max="1826" width="10.7109375" style="1" bestFit="1" customWidth="1"/>
    <col min="1827" max="2048" width="9.140625" style="1"/>
    <col min="2049" max="2049" width="6.42578125" style="1" customWidth="1"/>
    <col min="2050" max="2050" width="20.7109375" style="1" customWidth="1"/>
    <col min="2051" max="2051" width="24.7109375" style="1" customWidth="1"/>
    <col min="2052" max="2052" width="11.140625" style="1" customWidth="1"/>
    <col min="2053" max="2053" width="12.28515625" style="1" customWidth="1"/>
    <col min="2054" max="2054" width="11.140625" style="1" customWidth="1"/>
    <col min="2055" max="2055" width="10.42578125" style="1" customWidth="1"/>
    <col min="2056" max="2056" width="4.7109375" style="1" customWidth="1"/>
    <col min="2057" max="2057" width="8.5703125" style="1" customWidth="1"/>
    <col min="2058" max="2058" width="5.5703125" style="1" customWidth="1"/>
    <col min="2059" max="2060" width="11.5703125" style="1" customWidth="1"/>
    <col min="2061" max="2061" width="10.85546875" style="1" customWidth="1"/>
    <col min="2062" max="2062" width="7.7109375" style="1" customWidth="1"/>
    <col min="2063" max="2063" width="8" style="1" customWidth="1"/>
    <col min="2064" max="2064" width="16.28515625" style="1" customWidth="1"/>
    <col min="2065" max="2065" width="10.5703125" style="1" customWidth="1"/>
    <col min="2066" max="2066" width="14.140625" style="1" customWidth="1"/>
    <col min="2067" max="2067" width="10.140625" style="1" customWidth="1"/>
    <col min="2068" max="2068" width="15.140625" style="1" customWidth="1"/>
    <col min="2069" max="2069" width="8.5703125" style="1" customWidth="1"/>
    <col min="2070" max="2070" width="14.28515625" style="1" customWidth="1"/>
    <col min="2071" max="2071" width="18.28515625" style="1" customWidth="1"/>
    <col min="2072" max="2072" width="13" style="1" bestFit="1" customWidth="1"/>
    <col min="2073" max="2073" width="11.7109375" style="1" bestFit="1" customWidth="1"/>
    <col min="2074" max="2080" width="9.140625" style="1"/>
    <col min="2081" max="2081" width="11.28515625" style="1" bestFit="1" customWidth="1"/>
    <col min="2082" max="2082" width="10.7109375" style="1" bestFit="1" customWidth="1"/>
    <col min="2083" max="2304" width="9.140625" style="1"/>
    <col min="2305" max="2305" width="6.42578125" style="1" customWidth="1"/>
    <col min="2306" max="2306" width="20.7109375" style="1" customWidth="1"/>
    <col min="2307" max="2307" width="24.7109375" style="1" customWidth="1"/>
    <col min="2308" max="2308" width="11.140625" style="1" customWidth="1"/>
    <col min="2309" max="2309" width="12.28515625" style="1" customWidth="1"/>
    <col min="2310" max="2310" width="11.140625" style="1" customWidth="1"/>
    <col min="2311" max="2311" width="10.42578125" style="1" customWidth="1"/>
    <col min="2312" max="2312" width="4.7109375" style="1" customWidth="1"/>
    <col min="2313" max="2313" width="8.5703125" style="1" customWidth="1"/>
    <col min="2314" max="2314" width="5.5703125" style="1" customWidth="1"/>
    <col min="2315" max="2316" width="11.5703125" style="1" customWidth="1"/>
    <col min="2317" max="2317" width="10.85546875" style="1" customWidth="1"/>
    <col min="2318" max="2318" width="7.7109375" style="1" customWidth="1"/>
    <col min="2319" max="2319" width="8" style="1" customWidth="1"/>
    <col min="2320" max="2320" width="16.28515625" style="1" customWidth="1"/>
    <col min="2321" max="2321" width="10.5703125" style="1" customWidth="1"/>
    <col min="2322" max="2322" width="14.140625" style="1" customWidth="1"/>
    <col min="2323" max="2323" width="10.140625" style="1" customWidth="1"/>
    <col min="2324" max="2324" width="15.140625" style="1" customWidth="1"/>
    <col min="2325" max="2325" width="8.5703125" style="1" customWidth="1"/>
    <col min="2326" max="2326" width="14.28515625" style="1" customWidth="1"/>
    <col min="2327" max="2327" width="18.28515625" style="1" customWidth="1"/>
    <col min="2328" max="2328" width="13" style="1" bestFit="1" customWidth="1"/>
    <col min="2329" max="2329" width="11.7109375" style="1" bestFit="1" customWidth="1"/>
    <col min="2330" max="2336" width="9.140625" style="1"/>
    <col min="2337" max="2337" width="11.28515625" style="1" bestFit="1" customWidth="1"/>
    <col min="2338" max="2338" width="10.7109375" style="1" bestFit="1" customWidth="1"/>
    <col min="2339" max="2560" width="9.140625" style="1"/>
    <col min="2561" max="2561" width="6.42578125" style="1" customWidth="1"/>
    <col min="2562" max="2562" width="20.7109375" style="1" customWidth="1"/>
    <col min="2563" max="2563" width="24.7109375" style="1" customWidth="1"/>
    <col min="2564" max="2564" width="11.140625" style="1" customWidth="1"/>
    <col min="2565" max="2565" width="12.28515625" style="1" customWidth="1"/>
    <col min="2566" max="2566" width="11.140625" style="1" customWidth="1"/>
    <col min="2567" max="2567" width="10.42578125" style="1" customWidth="1"/>
    <col min="2568" max="2568" width="4.7109375" style="1" customWidth="1"/>
    <col min="2569" max="2569" width="8.5703125" style="1" customWidth="1"/>
    <col min="2570" max="2570" width="5.5703125" style="1" customWidth="1"/>
    <col min="2571" max="2572" width="11.5703125" style="1" customWidth="1"/>
    <col min="2573" max="2573" width="10.85546875" style="1" customWidth="1"/>
    <col min="2574" max="2574" width="7.7109375" style="1" customWidth="1"/>
    <col min="2575" max="2575" width="8" style="1" customWidth="1"/>
    <col min="2576" max="2576" width="16.28515625" style="1" customWidth="1"/>
    <col min="2577" max="2577" width="10.5703125" style="1" customWidth="1"/>
    <col min="2578" max="2578" width="14.140625" style="1" customWidth="1"/>
    <col min="2579" max="2579" width="10.140625" style="1" customWidth="1"/>
    <col min="2580" max="2580" width="15.140625" style="1" customWidth="1"/>
    <col min="2581" max="2581" width="8.5703125" style="1" customWidth="1"/>
    <col min="2582" max="2582" width="14.28515625" style="1" customWidth="1"/>
    <col min="2583" max="2583" width="18.28515625" style="1" customWidth="1"/>
    <col min="2584" max="2584" width="13" style="1" bestFit="1" customWidth="1"/>
    <col min="2585" max="2585" width="11.7109375" style="1" bestFit="1" customWidth="1"/>
    <col min="2586" max="2592" width="9.140625" style="1"/>
    <col min="2593" max="2593" width="11.28515625" style="1" bestFit="1" customWidth="1"/>
    <col min="2594" max="2594" width="10.7109375" style="1" bestFit="1" customWidth="1"/>
    <col min="2595" max="2816" width="9.140625" style="1"/>
    <col min="2817" max="2817" width="6.42578125" style="1" customWidth="1"/>
    <col min="2818" max="2818" width="20.7109375" style="1" customWidth="1"/>
    <col min="2819" max="2819" width="24.7109375" style="1" customWidth="1"/>
    <col min="2820" max="2820" width="11.140625" style="1" customWidth="1"/>
    <col min="2821" max="2821" width="12.28515625" style="1" customWidth="1"/>
    <col min="2822" max="2822" width="11.140625" style="1" customWidth="1"/>
    <col min="2823" max="2823" width="10.42578125" style="1" customWidth="1"/>
    <col min="2824" max="2824" width="4.7109375" style="1" customWidth="1"/>
    <col min="2825" max="2825" width="8.5703125" style="1" customWidth="1"/>
    <col min="2826" max="2826" width="5.5703125" style="1" customWidth="1"/>
    <col min="2827" max="2828" width="11.5703125" style="1" customWidth="1"/>
    <col min="2829" max="2829" width="10.85546875" style="1" customWidth="1"/>
    <col min="2830" max="2830" width="7.7109375" style="1" customWidth="1"/>
    <col min="2831" max="2831" width="8" style="1" customWidth="1"/>
    <col min="2832" max="2832" width="16.28515625" style="1" customWidth="1"/>
    <col min="2833" max="2833" width="10.5703125" style="1" customWidth="1"/>
    <col min="2834" max="2834" width="14.140625" style="1" customWidth="1"/>
    <col min="2835" max="2835" width="10.140625" style="1" customWidth="1"/>
    <col min="2836" max="2836" width="15.140625" style="1" customWidth="1"/>
    <col min="2837" max="2837" width="8.5703125" style="1" customWidth="1"/>
    <col min="2838" max="2838" width="14.28515625" style="1" customWidth="1"/>
    <col min="2839" max="2839" width="18.28515625" style="1" customWidth="1"/>
    <col min="2840" max="2840" width="13" style="1" bestFit="1" customWidth="1"/>
    <col min="2841" max="2841" width="11.7109375" style="1" bestFit="1" customWidth="1"/>
    <col min="2842" max="2848" width="9.140625" style="1"/>
    <col min="2849" max="2849" width="11.28515625" style="1" bestFit="1" customWidth="1"/>
    <col min="2850" max="2850" width="10.7109375" style="1" bestFit="1" customWidth="1"/>
    <col min="2851" max="3072" width="9.140625" style="1"/>
    <col min="3073" max="3073" width="6.42578125" style="1" customWidth="1"/>
    <col min="3074" max="3074" width="20.7109375" style="1" customWidth="1"/>
    <col min="3075" max="3075" width="24.7109375" style="1" customWidth="1"/>
    <col min="3076" max="3076" width="11.140625" style="1" customWidth="1"/>
    <col min="3077" max="3077" width="12.28515625" style="1" customWidth="1"/>
    <col min="3078" max="3078" width="11.140625" style="1" customWidth="1"/>
    <col min="3079" max="3079" width="10.42578125" style="1" customWidth="1"/>
    <col min="3080" max="3080" width="4.7109375" style="1" customWidth="1"/>
    <col min="3081" max="3081" width="8.5703125" style="1" customWidth="1"/>
    <col min="3082" max="3082" width="5.5703125" style="1" customWidth="1"/>
    <col min="3083" max="3084" width="11.5703125" style="1" customWidth="1"/>
    <col min="3085" max="3085" width="10.85546875" style="1" customWidth="1"/>
    <col min="3086" max="3086" width="7.7109375" style="1" customWidth="1"/>
    <col min="3087" max="3087" width="8" style="1" customWidth="1"/>
    <col min="3088" max="3088" width="16.28515625" style="1" customWidth="1"/>
    <col min="3089" max="3089" width="10.5703125" style="1" customWidth="1"/>
    <col min="3090" max="3090" width="14.140625" style="1" customWidth="1"/>
    <col min="3091" max="3091" width="10.140625" style="1" customWidth="1"/>
    <col min="3092" max="3092" width="15.140625" style="1" customWidth="1"/>
    <col min="3093" max="3093" width="8.5703125" style="1" customWidth="1"/>
    <col min="3094" max="3094" width="14.28515625" style="1" customWidth="1"/>
    <col min="3095" max="3095" width="18.28515625" style="1" customWidth="1"/>
    <col min="3096" max="3096" width="13" style="1" bestFit="1" customWidth="1"/>
    <col min="3097" max="3097" width="11.7109375" style="1" bestFit="1" customWidth="1"/>
    <col min="3098" max="3104" width="9.140625" style="1"/>
    <col min="3105" max="3105" width="11.28515625" style="1" bestFit="1" customWidth="1"/>
    <col min="3106" max="3106" width="10.7109375" style="1" bestFit="1" customWidth="1"/>
    <col min="3107" max="3328" width="9.140625" style="1"/>
    <col min="3329" max="3329" width="6.42578125" style="1" customWidth="1"/>
    <col min="3330" max="3330" width="20.7109375" style="1" customWidth="1"/>
    <col min="3331" max="3331" width="24.7109375" style="1" customWidth="1"/>
    <col min="3332" max="3332" width="11.140625" style="1" customWidth="1"/>
    <col min="3333" max="3333" width="12.28515625" style="1" customWidth="1"/>
    <col min="3334" max="3334" width="11.140625" style="1" customWidth="1"/>
    <col min="3335" max="3335" width="10.42578125" style="1" customWidth="1"/>
    <col min="3336" max="3336" width="4.7109375" style="1" customWidth="1"/>
    <col min="3337" max="3337" width="8.5703125" style="1" customWidth="1"/>
    <col min="3338" max="3338" width="5.5703125" style="1" customWidth="1"/>
    <col min="3339" max="3340" width="11.5703125" style="1" customWidth="1"/>
    <col min="3341" max="3341" width="10.85546875" style="1" customWidth="1"/>
    <col min="3342" max="3342" width="7.7109375" style="1" customWidth="1"/>
    <col min="3343" max="3343" width="8" style="1" customWidth="1"/>
    <col min="3344" max="3344" width="16.28515625" style="1" customWidth="1"/>
    <col min="3345" max="3345" width="10.5703125" style="1" customWidth="1"/>
    <col min="3346" max="3346" width="14.140625" style="1" customWidth="1"/>
    <col min="3347" max="3347" width="10.140625" style="1" customWidth="1"/>
    <col min="3348" max="3348" width="15.140625" style="1" customWidth="1"/>
    <col min="3349" max="3349" width="8.5703125" style="1" customWidth="1"/>
    <col min="3350" max="3350" width="14.28515625" style="1" customWidth="1"/>
    <col min="3351" max="3351" width="18.28515625" style="1" customWidth="1"/>
    <col min="3352" max="3352" width="13" style="1" bestFit="1" customWidth="1"/>
    <col min="3353" max="3353" width="11.7109375" style="1" bestFit="1" customWidth="1"/>
    <col min="3354" max="3360" width="9.140625" style="1"/>
    <col min="3361" max="3361" width="11.28515625" style="1" bestFit="1" customWidth="1"/>
    <col min="3362" max="3362" width="10.7109375" style="1" bestFit="1" customWidth="1"/>
    <col min="3363" max="3584" width="9.140625" style="1"/>
    <col min="3585" max="3585" width="6.42578125" style="1" customWidth="1"/>
    <col min="3586" max="3586" width="20.7109375" style="1" customWidth="1"/>
    <col min="3587" max="3587" width="24.7109375" style="1" customWidth="1"/>
    <col min="3588" max="3588" width="11.140625" style="1" customWidth="1"/>
    <col min="3589" max="3589" width="12.28515625" style="1" customWidth="1"/>
    <col min="3590" max="3590" width="11.140625" style="1" customWidth="1"/>
    <col min="3591" max="3591" width="10.42578125" style="1" customWidth="1"/>
    <col min="3592" max="3592" width="4.7109375" style="1" customWidth="1"/>
    <col min="3593" max="3593" width="8.5703125" style="1" customWidth="1"/>
    <col min="3594" max="3594" width="5.5703125" style="1" customWidth="1"/>
    <col min="3595" max="3596" width="11.5703125" style="1" customWidth="1"/>
    <col min="3597" max="3597" width="10.85546875" style="1" customWidth="1"/>
    <col min="3598" max="3598" width="7.7109375" style="1" customWidth="1"/>
    <col min="3599" max="3599" width="8" style="1" customWidth="1"/>
    <col min="3600" max="3600" width="16.28515625" style="1" customWidth="1"/>
    <col min="3601" max="3601" width="10.5703125" style="1" customWidth="1"/>
    <col min="3602" max="3602" width="14.140625" style="1" customWidth="1"/>
    <col min="3603" max="3603" width="10.140625" style="1" customWidth="1"/>
    <col min="3604" max="3604" width="15.140625" style="1" customWidth="1"/>
    <col min="3605" max="3605" width="8.5703125" style="1" customWidth="1"/>
    <col min="3606" max="3606" width="14.28515625" style="1" customWidth="1"/>
    <col min="3607" max="3607" width="18.28515625" style="1" customWidth="1"/>
    <col min="3608" max="3608" width="13" style="1" bestFit="1" customWidth="1"/>
    <col min="3609" max="3609" width="11.7109375" style="1" bestFit="1" customWidth="1"/>
    <col min="3610" max="3616" width="9.140625" style="1"/>
    <col min="3617" max="3617" width="11.28515625" style="1" bestFit="1" customWidth="1"/>
    <col min="3618" max="3618" width="10.7109375" style="1" bestFit="1" customWidth="1"/>
    <col min="3619" max="3840" width="9.140625" style="1"/>
    <col min="3841" max="3841" width="6.42578125" style="1" customWidth="1"/>
    <col min="3842" max="3842" width="20.7109375" style="1" customWidth="1"/>
    <col min="3843" max="3843" width="24.7109375" style="1" customWidth="1"/>
    <col min="3844" max="3844" width="11.140625" style="1" customWidth="1"/>
    <col min="3845" max="3845" width="12.28515625" style="1" customWidth="1"/>
    <col min="3846" max="3846" width="11.140625" style="1" customWidth="1"/>
    <col min="3847" max="3847" width="10.42578125" style="1" customWidth="1"/>
    <col min="3848" max="3848" width="4.7109375" style="1" customWidth="1"/>
    <col min="3849" max="3849" width="8.5703125" style="1" customWidth="1"/>
    <col min="3850" max="3850" width="5.5703125" style="1" customWidth="1"/>
    <col min="3851" max="3852" width="11.5703125" style="1" customWidth="1"/>
    <col min="3853" max="3853" width="10.85546875" style="1" customWidth="1"/>
    <col min="3854" max="3854" width="7.7109375" style="1" customWidth="1"/>
    <col min="3855" max="3855" width="8" style="1" customWidth="1"/>
    <col min="3856" max="3856" width="16.28515625" style="1" customWidth="1"/>
    <col min="3857" max="3857" width="10.5703125" style="1" customWidth="1"/>
    <col min="3858" max="3858" width="14.140625" style="1" customWidth="1"/>
    <col min="3859" max="3859" width="10.140625" style="1" customWidth="1"/>
    <col min="3860" max="3860" width="15.140625" style="1" customWidth="1"/>
    <col min="3861" max="3861" width="8.5703125" style="1" customWidth="1"/>
    <col min="3862" max="3862" width="14.28515625" style="1" customWidth="1"/>
    <col min="3863" max="3863" width="18.28515625" style="1" customWidth="1"/>
    <col min="3864" max="3864" width="13" style="1" bestFit="1" customWidth="1"/>
    <col min="3865" max="3865" width="11.7109375" style="1" bestFit="1" customWidth="1"/>
    <col min="3866" max="3872" width="9.140625" style="1"/>
    <col min="3873" max="3873" width="11.28515625" style="1" bestFit="1" customWidth="1"/>
    <col min="3874" max="3874" width="10.7109375" style="1" bestFit="1" customWidth="1"/>
    <col min="3875" max="4096" width="9.140625" style="1"/>
    <col min="4097" max="4097" width="6.42578125" style="1" customWidth="1"/>
    <col min="4098" max="4098" width="20.7109375" style="1" customWidth="1"/>
    <col min="4099" max="4099" width="24.7109375" style="1" customWidth="1"/>
    <col min="4100" max="4100" width="11.140625" style="1" customWidth="1"/>
    <col min="4101" max="4101" width="12.28515625" style="1" customWidth="1"/>
    <col min="4102" max="4102" width="11.140625" style="1" customWidth="1"/>
    <col min="4103" max="4103" width="10.42578125" style="1" customWidth="1"/>
    <col min="4104" max="4104" width="4.7109375" style="1" customWidth="1"/>
    <col min="4105" max="4105" width="8.5703125" style="1" customWidth="1"/>
    <col min="4106" max="4106" width="5.5703125" style="1" customWidth="1"/>
    <col min="4107" max="4108" width="11.5703125" style="1" customWidth="1"/>
    <col min="4109" max="4109" width="10.85546875" style="1" customWidth="1"/>
    <col min="4110" max="4110" width="7.7109375" style="1" customWidth="1"/>
    <col min="4111" max="4111" width="8" style="1" customWidth="1"/>
    <col min="4112" max="4112" width="16.28515625" style="1" customWidth="1"/>
    <col min="4113" max="4113" width="10.5703125" style="1" customWidth="1"/>
    <col min="4114" max="4114" width="14.140625" style="1" customWidth="1"/>
    <col min="4115" max="4115" width="10.140625" style="1" customWidth="1"/>
    <col min="4116" max="4116" width="15.140625" style="1" customWidth="1"/>
    <col min="4117" max="4117" width="8.5703125" style="1" customWidth="1"/>
    <col min="4118" max="4118" width="14.28515625" style="1" customWidth="1"/>
    <col min="4119" max="4119" width="18.28515625" style="1" customWidth="1"/>
    <col min="4120" max="4120" width="13" style="1" bestFit="1" customWidth="1"/>
    <col min="4121" max="4121" width="11.7109375" style="1" bestFit="1" customWidth="1"/>
    <col min="4122" max="4128" width="9.140625" style="1"/>
    <col min="4129" max="4129" width="11.28515625" style="1" bestFit="1" customWidth="1"/>
    <col min="4130" max="4130" width="10.7109375" style="1" bestFit="1" customWidth="1"/>
    <col min="4131" max="4352" width="9.140625" style="1"/>
    <col min="4353" max="4353" width="6.42578125" style="1" customWidth="1"/>
    <col min="4354" max="4354" width="20.7109375" style="1" customWidth="1"/>
    <col min="4355" max="4355" width="24.7109375" style="1" customWidth="1"/>
    <col min="4356" max="4356" width="11.140625" style="1" customWidth="1"/>
    <col min="4357" max="4357" width="12.28515625" style="1" customWidth="1"/>
    <col min="4358" max="4358" width="11.140625" style="1" customWidth="1"/>
    <col min="4359" max="4359" width="10.42578125" style="1" customWidth="1"/>
    <col min="4360" max="4360" width="4.7109375" style="1" customWidth="1"/>
    <col min="4361" max="4361" width="8.5703125" style="1" customWidth="1"/>
    <col min="4362" max="4362" width="5.5703125" style="1" customWidth="1"/>
    <col min="4363" max="4364" width="11.5703125" style="1" customWidth="1"/>
    <col min="4365" max="4365" width="10.85546875" style="1" customWidth="1"/>
    <col min="4366" max="4366" width="7.7109375" style="1" customWidth="1"/>
    <col min="4367" max="4367" width="8" style="1" customWidth="1"/>
    <col min="4368" max="4368" width="16.28515625" style="1" customWidth="1"/>
    <col min="4369" max="4369" width="10.5703125" style="1" customWidth="1"/>
    <col min="4370" max="4370" width="14.140625" style="1" customWidth="1"/>
    <col min="4371" max="4371" width="10.140625" style="1" customWidth="1"/>
    <col min="4372" max="4372" width="15.140625" style="1" customWidth="1"/>
    <col min="4373" max="4373" width="8.5703125" style="1" customWidth="1"/>
    <col min="4374" max="4374" width="14.28515625" style="1" customWidth="1"/>
    <col min="4375" max="4375" width="18.28515625" style="1" customWidth="1"/>
    <col min="4376" max="4376" width="13" style="1" bestFit="1" customWidth="1"/>
    <col min="4377" max="4377" width="11.7109375" style="1" bestFit="1" customWidth="1"/>
    <col min="4378" max="4384" width="9.140625" style="1"/>
    <col min="4385" max="4385" width="11.28515625" style="1" bestFit="1" customWidth="1"/>
    <col min="4386" max="4386" width="10.7109375" style="1" bestFit="1" customWidth="1"/>
    <col min="4387" max="4608" width="9.140625" style="1"/>
    <col min="4609" max="4609" width="6.42578125" style="1" customWidth="1"/>
    <col min="4610" max="4610" width="20.7109375" style="1" customWidth="1"/>
    <col min="4611" max="4611" width="24.7109375" style="1" customWidth="1"/>
    <col min="4612" max="4612" width="11.140625" style="1" customWidth="1"/>
    <col min="4613" max="4613" width="12.28515625" style="1" customWidth="1"/>
    <col min="4614" max="4614" width="11.140625" style="1" customWidth="1"/>
    <col min="4615" max="4615" width="10.42578125" style="1" customWidth="1"/>
    <col min="4616" max="4616" width="4.7109375" style="1" customWidth="1"/>
    <col min="4617" max="4617" width="8.5703125" style="1" customWidth="1"/>
    <col min="4618" max="4618" width="5.5703125" style="1" customWidth="1"/>
    <col min="4619" max="4620" width="11.5703125" style="1" customWidth="1"/>
    <col min="4621" max="4621" width="10.85546875" style="1" customWidth="1"/>
    <col min="4622" max="4622" width="7.7109375" style="1" customWidth="1"/>
    <col min="4623" max="4623" width="8" style="1" customWidth="1"/>
    <col min="4624" max="4624" width="16.28515625" style="1" customWidth="1"/>
    <col min="4625" max="4625" width="10.5703125" style="1" customWidth="1"/>
    <col min="4626" max="4626" width="14.140625" style="1" customWidth="1"/>
    <col min="4627" max="4627" width="10.140625" style="1" customWidth="1"/>
    <col min="4628" max="4628" width="15.140625" style="1" customWidth="1"/>
    <col min="4629" max="4629" width="8.5703125" style="1" customWidth="1"/>
    <col min="4630" max="4630" width="14.28515625" style="1" customWidth="1"/>
    <col min="4631" max="4631" width="18.28515625" style="1" customWidth="1"/>
    <col min="4632" max="4632" width="13" style="1" bestFit="1" customWidth="1"/>
    <col min="4633" max="4633" width="11.7109375" style="1" bestFit="1" customWidth="1"/>
    <col min="4634" max="4640" width="9.140625" style="1"/>
    <col min="4641" max="4641" width="11.28515625" style="1" bestFit="1" customWidth="1"/>
    <col min="4642" max="4642" width="10.7109375" style="1" bestFit="1" customWidth="1"/>
    <col min="4643" max="4864" width="9.140625" style="1"/>
    <col min="4865" max="4865" width="6.42578125" style="1" customWidth="1"/>
    <col min="4866" max="4866" width="20.7109375" style="1" customWidth="1"/>
    <col min="4867" max="4867" width="24.7109375" style="1" customWidth="1"/>
    <col min="4868" max="4868" width="11.140625" style="1" customWidth="1"/>
    <col min="4869" max="4869" width="12.28515625" style="1" customWidth="1"/>
    <col min="4870" max="4870" width="11.140625" style="1" customWidth="1"/>
    <col min="4871" max="4871" width="10.42578125" style="1" customWidth="1"/>
    <col min="4872" max="4872" width="4.7109375" style="1" customWidth="1"/>
    <col min="4873" max="4873" width="8.5703125" style="1" customWidth="1"/>
    <col min="4874" max="4874" width="5.5703125" style="1" customWidth="1"/>
    <col min="4875" max="4876" width="11.5703125" style="1" customWidth="1"/>
    <col min="4877" max="4877" width="10.85546875" style="1" customWidth="1"/>
    <col min="4878" max="4878" width="7.7109375" style="1" customWidth="1"/>
    <col min="4879" max="4879" width="8" style="1" customWidth="1"/>
    <col min="4880" max="4880" width="16.28515625" style="1" customWidth="1"/>
    <col min="4881" max="4881" width="10.5703125" style="1" customWidth="1"/>
    <col min="4882" max="4882" width="14.140625" style="1" customWidth="1"/>
    <col min="4883" max="4883" width="10.140625" style="1" customWidth="1"/>
    <col min="4884" max="4884" width="15.140625" style="1" customWidth="1"/>
    <col min="4885" max="4885" width="8.5703125" style="1" customWidth="1"/>
    <col min="4886" max="4886" width="14.28515625" style="1" customWidth="1"/>
    <col min="4887" max="4887" width="18.28515625" style="1" customWidth="1"/>
    <col min="4888" max="4888" width="13" style="1" bestFit="1" customWidth="1"/>
    <col min="4889" max="4889" width="11.7109375" style="1" bestFit="1" customWidth="1"/>
    <col min="4890" max="4896" width="9.140625" style="1"/>
    <col min="4897" max="4897" width="11.28515625" style="1" bestFit="1" customWidth="1"/>
    <col min="4898" max="4898" width="10.7109375" style="1" bestFit="1" customWidth="1"/>
    <col min="4899" max="5120" width="9.140625" style="1"/>
    <col min="5121" max="5121" width="6.42578125" style="1" customWidth="1"/>
    <col min="5122" max="5122" width="20.7109375" style="1" customWidth="1"/>
    <col min="5123" max="5123" width="24.7109375" style="1" customWidth="1"/>
    <col min="5124" max="5124" width="11.140625" style="1" customWidth="1"/>
    <col min="5125" max="5125" width="12.28515625" style="1" customWidth="1"/>
    <col min="5126" max="5126" width="11.140625" style="1" customWidth="1"/>
    <col min="5127" max="5127" width="10.42578125" style="1" customWidth="1"/>
    <col min="5128" max="5128" width="4.7109375" style="1" customWidth="1"/>
    <col min="5129" max="5129" width="8.5703125" style="1" customWidth="1"/>
    <col min="5130" max="5130" width="5.5703125" style="1" customWidth="1"/>
    <col min="5131" max="5132" width="11.5703125" style="1" customWidth="1"/>
    <col min="5133" max="5133" width="10.85546875" style="1" customWidth="1"/>
    <col min="5134" max="5134" width="7.7109375" style="1" customWidth="1"/>
    <col min="5135" max="5135" width="8" style="1" customWidth="1"/>
    <col min="5136" max="5136" width="16.28515625" style="1" customWidth="1"/>
    <col min="5137" max="5137" width="10.5703125" style="1" customWidth="1"/>
    <col min="5138" max="5138" width="14.140625" style="1" customWidth="1"/>
    <col min="5139" max="5139" width="10.140625" style="1" customWidth="1"/>
    <col min="5140" max="5140" width="15.140625" style="1" customWidth="1"/>
    <col min="5141" max="5141" width="8.5703125" style="1" customWidth="1"/>
    <col min="5142" max="5142" width="14.28515625" style="1" customWidth="1"/>
    <col min="5143" max="5143" width="18.28515625" style="1" customWidth="1"/>
    <col min="5144" max="5144" width="13" style="1" bestFit="1" customWidth="1"/>
    <col min="5145" max="5145" width="11.7109375" style="1" bestFit="1" customWidth="1"/>
    <col min="5146" max="5152" width="9.140625" style="1"/>
    <col min="5153" max="5153" width="11.28515625" style="1" bestFit="1" customWidth="1"/>
    <col min="5154" max="5154" width="10.7109375" style="1" bestFit="1" customWidth="1"/>
    <col min="5155" max="5376" width="9.140625" style="1"/>
    <col min="5377" max="5377" width="6.42578125" style="1" customWidth="1"/>
    <col min="5378" max="5378" width="20.7109375" style="1" customWidth="1"/>
    <col min="5379" max="5379" width="24.7109375" style="1" customWidth="1"/>
    <col min="5380" max="5380" width="11.140625" style="1" customWidth="1"/>
    <col min="5381" max="5381" width="12.28515625" style="1" customWidth="1"/>
    <col min="5382" max="5382" width="11.140625" style="1" customWidth="1"/>
    <col min="5383" max="5383" width="10.42578125" style="1" customWidth="1"/>
    <col min="5384" max="5384" width="4.7109375" style="1" customWidth="1"/>
    <col min="5385" max="5385" width="8.5703125" style="1" customWidth="1"/>
    <col min="5386" max="5386" width="5.5703125" style="1" customWidth="1"/>
    <col min="5387" max="5388" width="11.5703125" style="1" customWidth="1"/>
    <col min="5389" max="5389" width="10.85546875" style="1" customWidth="1"/>
    <col min="5390" max="5390" width="7.7109375" style="1" customWidth="1"/>
    <col min="5391" max="5391" width="8" style="1" customWidth="1"/>
    <col min="5392" max="5392" width="16.28515625" style="1" customWidth="1"/>
    <col min="5393" max="5393" width="10.5703125" style="1" customWidth="1"/>
    <col min="5394" max="5394" width="14.140625" style="1" customWidth="1"/>
    <col min="5395" max="5395" width="10.140625" style="1" customWidth="1"/>
    <col min="5396" max="5396" width="15.140625" style="1" customWidth="1"/>
    <col min="5397" max="5397" width="8.5703125" style="1" customWidth="1"/>
    <col min="5398" max="5398" width="14.28515625" style="1" customWidth="1"/>
    <col min="5399" max="5399" width="18.28515625" style="1" customWidth="1"/>
    <col min="5400" max="5400" width="13" style="1" bestFit="1" customWidth="1"/>
    <col min="5401" max="5401" width="11.7109375" style="1" bestFit="1" customWidth="1"/>
    <col min="5402" max="5408" width="9.140625" style="1"/>
    <col min="5409" max="5409" width="11.28515625" style="1" bestFit="1" customWidth="1"/>
    <col min="5410" max="5410" width="10.7109375" style="1" bestFit="1" customWidth="1"/>
    <col min="5411" max="5632" width="9.140625" style="1"/>
    <col min="5633" max="5633" width="6.42578125" style="1" customWidth="1"/>
    <col min="5634" max="5634" width="20.7109375" style="1" customWidth="1"/>
    <col min="5635" max="5635" width="24.7109375" style="1" customWidth="1"/>
    <col min="5636" max="5636" width="11.140625" style="1" customWidth="1"/>
    <col min="5637" max="5637" width="12.28515625" style="1" customWidth="1"/>
    <col min="5638" max="5638" width="11.140625" style="1" customWidth="1"/>
    <col min="5639" max="5639" width="10.42578125" style="1" customWidth="1"/>
    <col min="5640" max="5640" width="4.7109375" style="1" customWidth="1"/>
    <col min="5641" max="5641" width="8.5703125" style="1" customWidth="1"/>
    <col min="5642" max="5642" width="5.5703125" style="1" customWidth="1"/>
    <col min="5643" max="5644" width="11.5703125" style="1" customWidth="1"/>
    <col min="5645" max="5645" width="10.85546875" style="1" customWidth="1"/>
    <col min="5646" max="5646" width="7.7109375" style="1" customWidth="1"/>
    <col min="5647" max="5647" width="8" style="1" customWidth="1"/>
    <col min="5648" max="5648" width="16.28515625" style="1" customWidth="1"/>
    <col min="5649" max="5649" width="10.5703125" style="1" customWidth="1"/>
    <col min="5650" max="5650" width="14.140625" style="1" customWidth="1"/>
    <col min="5651" max="5651" width="10.140625" style="1" customWidth="1"/>
    <col min="5652" max="5652" width="15.140625" style="1" customWidth="1"/>
    <col min="5653" max="5653" width="8.5703125" style="1" customWidth="1"/>
    <col min="5654" max="5654" width="14.28515625" style="1" customWidth="1"/>
    <col min="5655" max="5655" width="18.28515625" style="1" customWidth="1"/>
    <col min="5656" max="5656" width="13" style="1" bestFit="1" customWidth="1"/>
    <col min="5657" max="5657" width="11.7109375" style="1" bestFit="1" customWidth="1"/>
    <col min="5658" max="5664" width="9.140625" style="1"/>
    <col min="5665" max="5665" width="11.28515625" style="1" bestFit="1" customWidth="1"/>
    <col min="5666" max="5666" width="10.7109375" style="1" bestFit="1" customWidth="1"/>
    <col min="5667" max="5888" width="9.140625" style="1"/>
    <col min="5889" max="5889" width="6.42578125" style="1" customWidth="1"/>
    <col min="5890" max="5890" width="20.7109375" style="1" customWidth="1"/>
    <col min="5891" max="5891" width="24.7109375" style="1" customWidth="1"/>
    <col min="5892" max="5892" width="11.140625" style="1" customWidth="1"/>
    <col min="5893" max="5893" width="12.28515625" style="1" customWidth="1"/>
    <col min="5894" max="5894" width="11.140625" style="1" customWidth="1"/>
    <col min="5895" max="5895" width="10.42578125" style="1" customWidth="1"/>
    <col min="5896" max="5896" width="4.7109375" style="1" customWidth="1"/>
    <col min="5897" max="5897" width="8.5703125" style="1" customWidth="1"/>
    <col min="5898" max="5898" width="5.5703125" style="1" customWidth="1"/>
    <col min="5899" max="5900" width="11.5703125" style="1" customWidth="1"/>
    <col min="5901" max="5901" width="10.85546875" style="1" customWidth="1"/>
    <col min="5902" max="5902" width="7.7109375" style="1" customWidth="1"/>
    <col min="5903" max="5903" width="8" style="1" customWidth="1"/>
    <col min="5904" max="5904" width="16.28515625" style="1" customWidth="1"/>
    <col min="5905" max="5905" width="10.5703125" style="1" customWidth="1"/>
    <col min="5906" max="5906" width="14.140625" style="1" customWidth="1"/>
    <col min="5907" max="5907" width="10.140625" style="1" customWidth="1"/>
    <col min="5908" max="5908" width="15.140625" style="1" customWidth="1"/>
    <col min="5909" max="5909" width="8.5703125" style="1" customWidth="1"/>
    <col min="5910" max="5910" width="14.28515625" style="1" customWidth="1"/>
    <col min="5911" max="5911" width="18.28515625" style="1" customWidth="1"/>
    <col min="5912" max="5912" width="13" style="1" bestFit="1" customWidth="1"/>
    <col min="5913" max="5913" width="11.7109375" style="1" bestFit="1" customWidth="1"/>
    <col min="5914" max="5920" width="9.140625" style="1"/>
    <col min="5921" max="5921" width="11.28515625" style="1" bestFit="1" customWidth="1"/>
    <col min="5922" max="5922" width="10.7109375" style="1" bestFit="1" customWidth="1"/>
    <col min="5923" max="6144" width="9.140625" style="1"/>
    <col min="6145" max="6145" width="6.42578125" style="1" customWidth="1"/>
    <col min="6146" max="6146" width="20.7109375" style="1" customWidth="1"/>
    <col min="6147" max="6147" width="24.7109375" style="1" customWidth="1"/>
    <col min="6148" max="6148" width="11.140625" style="1" customWidth="1"/>
    <col min="6149" max="6149" width="12.28515625" style="1" customWidth="1"/>
    <col min="6150" max="6150" width="11.140625" style="1" customWidth="1"/>
    <col min="6151" max="6151" width="10.42578125" style="1" customWidth="1"/>
    <col min="6152" max="6152" width="4.7109375" style="1" customWidth="1"/>
    <col min="6153" max="6153" width="8.5703125" style="1" customWidth="1"/>
    <col min="6154" max="6154" width="5.5703125" style="1" customWidth="1"/>
    <col min="6155" max="6156" width="11.5703125" style="1" customWidth="1"/>
    <col min="6157" max="6157" width="10.85546875" style="1" customWidth="1"/>
    <col min="6158" max="6158" width="7.7109375" style="1" customWidth="1"/>
    <col min="6159" max="6159" width="8" style="1" customWidth="1"/>
    <col min="6160" max="6160" width="16.28515625" style="1" customWidth="1"/>
    <col min="6161" max="6161" width="10.5703125" style="1" customWidth="1"/>
    <col min="6162" max="6162" width="14.140625" style="1" customWidth="1"/>
    <col min="6163" max="6163" width="10.140625" style="1" customWidth="1"/>
    <col min="6164" max="6164" width="15.140625" style="1" customWidth="1"/>
    <col min="6165" max="6165" width="8.5703125" style="1" customWidth="1"/>
    <col min="6166" max="6166" width="14.28515625" style="1" customWidth="1"/>
    <col min="6167" max="6167" width="18.28515625" style="1" customWidth="1"/>
    <col min="6168" max="6168" width="13" style="1" bestFit="1" customWidth="1"/>
    <col min="6169" max="6169" width="11.7109375" style="1" bestFit="1" customWidth="1"/>
    <col min="6170" max="6176" width="9.140625" style="1"/>
    <col min="6177" max="6177" width="11.28515625" style="1" bestFit="1" customWidth="1"/>
    <col min="6178" max="6178" width="10.7109375" style="1" bestFit="1" customWidth="1"/>
    <col min="6179" max="6400" width="9.140625" style="1"/>
    <col min="6401" max="6401" width="6.42578125" style="1" customWidth="1"/>
    <col min="6402" max="6402" width="20.7109375" style="1" customWidth="1"/>
    <col min="6403" max="6403" width="24.7109375" style="1" customWidth="1"/>
    <col min="6404" max="6404" width="11.140625" style="1" customWidth="1"/>
    <col min="6405" max="6405" width="12.28515625" style="1" customWidth="1"/>
    <col min="6406" max="6406" width="11.140625" style="1" customWidth="1"/>
    <col min="6407" max="6407" width="10.42578125" style="1" customWidth="1"/>
    <col min="6408" max="6408" width="4.7109375" style="1" customWidth="1"/>
    <col min="6409" max="6409" width="8.5703125" style="1" customWidth="1"/>
    <col min="6410" max="6410" width="5.5703125" style="1" customWidth="1"/>
    <col min="6411" max="6412" width="11.5703125" style="1" customWidth="1"/>
    <col min="6413" max="6413" width="10.85546875" style="1" customWidth="1"/>
    <col min="6414" max="6414" width="7.7109375" style="1" customWidth="1"/>
    <col min="6415" max="6415" width="8" style="1" customWidth="1"/>
    <col min="6416" max="6416" width="16.28515625" style="1" customWidth="1"/>
    <col min="6417" max="6417" width="10.5703125" style="1" customWidth="1"/>
    <col min="6418" max="6418" width="14.140625" style="1" customWidth="1"/>
    <col min="6419" max="6419" width="10.140625" style="1" customWidth="1"/>
    <col min="6420" max="6420" width="15.140625" style="1" customWidth="1"/>
    <col min="6421" max="6421" width="8.5703125" style="1" customWidth="1"/>
    <col min="6422" max="6422" width="14.28515625" style="1" customWidth="1"/>
    <col min="6423" max="6423" width="18.28515625" style="1" customWidth="1"/>
    <col min="6424" max="6424" width="13" style="1" bestFit="1" customWidth="1"/>
    <col min="6425" max="6425" width="11.7109375" style="1" bestFit="1" customWidth="1"/>
    <col min="6426" max="6432" width="9.140625" style="1"/>
    <col min="6433" max="6433" width="11.28515625" style="1" bestFit="1" customWidth="1"/>
    <col min="6434" max="6434" width="10.7109375" style="1" bestFit="1" customWidth="1"/>
    <col min="6435" max="6656" width="9.140625" style="1"/>
    <col min="6657" max="6657" width="6.42578125" style="1" customWidth="1"/>
    <col min="6658" max="6658" width="20.7109375" style="1" customWidth="1"/>
    <col min="6659" max="6659" width="24.7109375" style="1" customWidth="1"/>
    <col min="6660" max="6660" width="11.140625" style="1" customWidth="1"/>
    <col min="6661" max="6661" width="12.28515625" style="1" customWidth="1"/>
    <col min="6662" max="6662" width="11.140625" style="1" customWidth="1"/>
    <col min="6663" max="6663" width="10.42578125" style="1" customWidth="1"/>
    <col min="6664" max="6664" width="4.7109375" style="1" customWidth="1"/>
    <col min="6665" max="6665" width="8.5703125" style="1" customWidth="1"/>
    <col min="6666" max="6666" width="5.5703125" style="1" customWidth="1"/>
    <col min="6667" max="6668" width="11.5703125" style="1" customWidth="1"/>
    <col min="6669" max="6669" width="10.85546875" style="1" customWidth="1"/>
    <col min="6670" max="6670" width="7.7109375" style="1" customWidth="1"/>
    <col min="6671" max="6671" width="8" style="1" customWidth="1"/>
    <col min="6672" max="6672" width="16.28515625" style="1" customWidth="1"/>
    <col min="6673" max="6673" width="10.5703125" style="1" customWidth="1"/>
    <col min="6674" max="6674" width="14.140625" style="1" customWidth="1"/>
    <col min="6675" max="6675" width="10.140625" style="1" customWidth="1"/>
    <col min="6676" max="6676" width="15.140625" style="1" customWidth="1"/>
    <col min="6677" max="6677" width="8.5703125" style="1" customWidth="1"/>
    <col min="6678" max="6678" width="14.28515625" style="1" customWidth="1"/>
    <col min="6679" max="6679" width="18.28515625" style="1" customWidth="1"/>
    <col min="6680" max="6680" width="13" style="1" bestFit="1" customWidth="1"/>
    <col min="6681" max="6681" width="11.7109375" style="1" bestFit="1" customWidth="1"/>
    <col min="6682" max="6688" width="9.140625" style="1"/>
    <col min="6689" max="6689" width="11.28515625" style="1" bestFit="1" customWidth="1"/>
    <col min="6690" max="6690" width="10.7109375" style="1" bestFit="1" customWidth="1"/>
    <col min="6691" max="6912" width="9.140625" style="1"/>
    <col min="6913" max="6913" width="6.42578125" style="1" customWidth="1"/>
    <col min="6914" max="6914" width="20.7109375" style="1" customWidth="1"/>
    <col min="6915" max="6915" width="24.7109375" style="1" customWidth="1"/>
    <col min="6916" max="6916" width="11.140625" style="1" customWidth="1"/>
    <col min="6917" max="6917" width="12.28515625" style="1" customWidth="1"/>
    <col min="6918" max="6918" width="11.140625" style="1" customWidth="1"/>
    <col min="6919" max="6919" width="10.42578125" style="1" customWidth="1"/>
    <col min="6920" max="6920" width="4.7109375" style="1" customWidth="1"/>
    <col min="6921" max="6921" width="8.5703125" style="1" customWidth="1"/>
    <col min="6922" max="6922" width="5.5703125" style="1" customWidth="1"/>
    <col min="6923" max="6924" width="11.5703125" style="1" customWidth="1"/>
    <col min="6925" max="6925" width="10.85546875" style="1" customWidth="1"/>
    <col min="6926" max="6926" width="7.7109375" style="1" customWidth="1"/>
    <col min="6927" max="6927" width="8" style="1" customWidth="1"/>
    <col min="6928" max="6928" width="16.28515625" style="1" customWidth="1"/>
    <col min="6929" max="6929" width="10.5703125" style="1" customWidth="1"/>
    <col min="6930" max="6930" width="14.140625" style="1" customWidth="1"/>
    <col min="6931" max="6931" width="10.140625" style="1" customWidth="1"/>
    <col min="6932" max="6932" width="15.140625" style="1" customWidth="1"/>
    <col min="6933" max="6933" width="8.5703125" style="1" customWidth="1"/>
    <col min="6934" max="6934" width="14.28515625" style="1" customWidth="1"/>
    <col min="6935" max="6935" width="18.28515625" style="1" customWidth="1"/>
    <col min="6936" max="6936" width="13" style="1" bestFit="1" customWidth="1"/>
    <col min="6937" max="6937" width="11.7109375" style="1" bestFit="1" customWidth="1"/>
    <col min="6938" max="6944" width="9.140625" style="1"/>
    <col min="6945" max="6945" width="11.28515625" style="1" bestFit="1" customWidth="1"/>
    <col min="6946" max="6946" width="10.7109375" style="1" bestFit="1" customWidth="1"/>
    <col min="6947" max="7168" width="9.140625" style="1"/>
    <col min="7169" max="7169" width="6.42578125" style="1" customWidth="1"/>
    <col min="7170" max="7170" width="20.7109375" style="1" customWidth="1"/>
    <col min="7171" max="7171" width="24.7109375" style="1" customWidth="1"/>
    <col min="7172" max="7172" width="11.140625" style="1" customWidth="1"/>
    <col min="7173" max="7173" width="12.28515625" style="1" customWidth="1"/>
    <col min="7174" max="7174" width="11.140625" style="1" customWidth="1"/>
    <col min="7175" max="7175" width="10.42578125" style="1" customWidth="1"/>
    <col min="7176" max="7176" width="4.7109375" style="1" customWidth="1"/>
    <col min="7177" max="7177" width="8.5703125" style="1" customWidth="1"/>
    <col min="7178" max="7178" width="5.5703125" style="1" customWidth="1"/>
    <col min="7179" max="7180" width="11.5703125" style="1" customWidth="1"/>
    <col min="7181" max="7181" width="10.85546875" style="1" customWidth="1"/>
    <col min="7182" max="7182" width="7.7109375" style="1" customWidth="1"/>
    <col min="7183" max="7183" width="8" style="1" customWidth="1"/>
    <col min="7184" max="7184" width="16.28515625" style="1" customWidth="1"/>
    <col min="7185" max="7185" width="10.5703125" style="1" customWidth="1"/>
    <col min="7186" max="7186" width="14.140625" style="1" customWidth="1"/>
    <col min="7187" max="7187" width="10.140625" style="1" customWidth="1"/>
    <col min="7188" max="7188" width="15.140625" style="1" customWidth="1"/>
    <col min="7189" max="7189" width="8.5703125" style="1" customWidth="1"/>
    <col min="7190" max="7190" width="14.28515625" style="1" customWidth="1"/>
    <col min="7191" max="7191" width="18.28515625" style="1" customWidth="1"/>
    <col min="7192" max="7192" width="13" style="1" bestFit="1" customWidth="1"/>
    <col min="7193" max="7193" width="11.7109375" style="1" bestFit="1" customWidth="1"/>
    <col min="7194" max="7200" width="9.140625" style="1"/>
    <col min="7201" max="7201" width="11.28515625" style="1" bestFit="1" customWidth="1"/>
    <col min="7202" max="7202" width="10.7109375" style="1" bestFit="1" customWidth="1"/>
    <col min="7203" max="7424" width="9.140625" style="1"/>
    <col min="7425" max="7425" width="6.42578125" style="1" customWidth="1"/>
    <col min="7426" max="7426" width="20.7109375" style="1" customWidth="1"/>
    <col min="7427" max="7427" width="24.7109375" style="1" customWidth="1"/>
    <col min="7428" max="7428" width="11.140625" style="1" customWidth="1"/>
    <col min="7429" max="7429" width="12.28515625" style="1" customWidth="1"/>
    <col min="7430" max="7430" width="11.140625" style="1" customWidth="1"/>
    <col min="7431" max="7431" width="10.42578125" style="1" customWidth="1"/>
    <col min="7432" max="7432" width="4.7109375" style="1" customWidth="1"/>
    <col min="7433" max="7433" width="8.5703125" style="1" customWidth="1"/>
    <col min="7434" max="7434" width="5.5703125" style="1" customWidth="1"/>
    <col min="7435" max="7436" width="11.5703125" style="1" customWidth="1"/>
    <col min="7437" max="7437" width="10.85546875" style="1" customWidth="1"/>
    <col min="7438" max="7438" width="7.7109375" style="1" customWidth="1"/>
    <col min="7439" max="7439" width="8" style="1" customWidth="1"/>
    <col min="7440" max="7440" width="16.28515625" style="1" customWidth="1"/>
    <col min="7441" max="7441" width="10.5703125" style="1" customWidth="1"/>
    <col min="7442" max="7442" width="14.140625" style="1" customWidth="1"/>
    <col min="7443" max="7443" width="10.140625" style="1" customWidth="1"/>
    <col min="7444" max="7444" width="15.140625" style="1" customWidth="1"/>
    <col min="7445" max="7445" width="8.5703125" style="1" customWidth="1"/>
    <col min="7446" max="7446" width="14.28515625" style="1" customWidth="1"/>
    <col min="7447" max="7447" width="18.28515625" style="1" customWidth="1"/>
    <col min="7448" max="7448" width="13" style="1" bestFit="1" customWidth="1"/>
    <col min="7449" max="7449" width="11.7109375" style="1" bestFit="1" customWidth="1"/>
    <col min="7450" max="7456" width="9.140625" style="1"/>
    <col min="7457" max="7457" width="11.28515625" style="1" bestFit="1" customWidth="1"/>
    <col min="7458" max="7458" width="10.7109375" style="1" bestFit="1" customWidth="1"/>
    <col min="7459" max="7680" width="9.140625" style="1"/>
    <col min="7681" max="7681" width="6.42578125" style="1" customWidth="1"/>
    <col min="7682" max="7682" width="20.7109375" style="1" customWidth="1"/>
    <col min="7683" max="7683" width="24.7109375" style="1" customWidth="1"/>
    <col min="7684" max="7684" width="11.140625" style="1" customWidth="1"/>
    <col min="7685" max="7685" width="12.28515625" style="1" customWidth="1"/>
    <col min="7686" max="7686" width="11.140625" style="1" customWidth="1"/>
    <col min="7687" max="7687" width="10.42578125" style="1" customWidth="1"/>
    <col min="7688" max="7688" width="4.7109375" style="1" customWidth="1"/>
    <col min="7689" max="7689" width="8.5703125" style="1" customWidth="1"/>
    <col min="7690" max="7690" width="5.5703125" style="1" customWidth="1"/>
    <col min="7691" max="7692" width="11.5703125" style="1" customWidth="1"/>
    <col min="7693" max="7693" width="10.85546875" style="1" customWidth="1"/>
    <col min="7694" max="7694" width="7.7109375" style="1" customWidth="1"/>
    <col min="7695" max="7695" width="8" style="1" customWidth="1"/>
    <col min="7696" max="7696" width="16.28515625" style="1" customWidth="1"/>
    <col min="7697" max="7697" width="10.5703125" style="1" customWidth="1"/>
    <col min="7698" max="7698" width="14.140625" style="1" customWidth="1"/>
    <col min="7699" max="7699" width="10.140625" style="1" customWidth="1"/>
    <col min="7700" max="7700" width="15.140625" style="1" customWidth="1"/>
    <col min="7701" max="7701" width="8.5703125" style="1" customWidth="1"/>
    <col min="7702" max="7702" width="14.28515625" style="1" customWidth="1"/>
    <col min="7703" max="7703" width="18.28515625" style="1" customWidth="1"/>
    <col min="7704" max="7704" width="13" style="1" bestFit="1" customWidth="1"/>
    <col min="7705" max="7705" width="11.7109375" style="1" bestFit="1" customWidth="1"/>
    <col min="7706" max="7712" width="9.140625" style="1"/>
    <col min="7713" max="7713" width="11.28515625" style="1" bestFit="1" customWidth="1"/>
    <col min="7714" max="7714" width="10.7109375" style="1" bestFit="1" customWidth="1"/>
    <col min="7715" max="7936" width="9.140625" style="1"/>
    <col min="7937" max="7937" width="6.42578125" style="1" customWidth="1"/>
    <col min="7938" max="7938" width="20.7109375" style="1" customWidth="1"/>
    <col min="7939" max="7939" width="24.7109375" style="1" customWidth="1"/>
    <col min="7940" max="7940" width="11.140625" style="1" customWidth="1"/>
    <col min="7941" max="7941" width="12.28515625" style="1" customWidth="1"/>
    <col min="7942" max="7942" width="11.140625" style="1" customWidth="1"/>
    <col min="7943" max="7943" width="10.42578125" style="1" customWidth="1"/>
    <col min="7944" max="7944" width="4.7109375" style="1" customWidth="1"/>
    <col min="7945" max="7945" width="8.5703125" style="1" customWidth="1"/>
    <col min="7946" max="7946" width="5.5703125" style="1" customWidth="1"/>
    <col min="7947" max="7948" width="11.5703125" style="1" customWidth="1"/>
    <col min="7949" max="7949" width="10.85546875" style="1" customWidth="1"/>
    <col min="7950" max="7950" width="7.7109375" style="1" customWidth="1"/>
    <col min="7951" max="7951" width="8" style="1" customWidth="1"/>
    <col min="7952" max="7952" width="16.28515625" style="1" customWidth="1"/>
    <col min="7953" max="7953" width="10.5703125" style="1" customWidth="1"/>
    <col min="7954" max="7954" width="14.140625" style="1" customWidth="1"/>
    <col min="7955" max="7955" width="10.140625" style="1" customWidth="1"/>
    <col min="7956" max="7956" width="15.140625" style="1" customWidth="1"/>
    <col min="7957" max="7957" width="8.5703125" style="1" customWidth="1"/>
    <col min="7958" max="7958" width="14.28515625" style="1" customWidth="1"/>
    <col min="7959" max="7959" width="18.28515625" style="1" customWidth="1"/>
    <col min="7960" max="7960" width="13" style="1" bestFit="1" customWidth="1"/>
    <col min="7961" max="7961" width="11.7109375" style="1" bestFit="1" customWidth="1"/>
    <col min="7962" max="7968" width="9.140625" style="1"/>
    <col min="7969" max="7969" width="11.28515625" style="1" bestFit="1" customWidth="1"/>
    <col min="7970" max="7970" width="10.7109375" style="1" bestFit="1" customWidth="1"/>
    <col min="7971" max="8192" width="9.140625" style="1"/>
    <col min="8193" max="8193" width="6.42578125" style="1" customWidth="1"/>
    <col min="8194" max="8194" width="20.7109375" style="1" customWidth="1"/>
    <col min="8195" max="8195" width="24.7109375" style="1" customWidth="1"/>
    <col min="8196" max="8196" width="11.140625" style="1" customWidth="1"/>
    <col min="8197" max="8197" width="12.28515625" style="1" customWidth="1"/>
    <col min="8198" max="8198" width="11.140625" style="1" customWidth="1"/>
    <col min="8199" max="8199" width="10.42578125" style="1" customWidth="1"/>
    <col min="8200" max="8200" width="4.7109375" style="1" customWidth="1"/>
    <col min="8201" max="8201" width="8.5703125" style="1" customWidth="1"/>
    <col min="8202" max="8202" width="5.5703125" style="1" customWidth="1"/>
    <col min="8203" max="8204" width="11.5703125" style="1" customWidth="1"/>
    <col min="8205" max="8205" width="10.85546875" style="1" customWidth="1"/>
    <col min="8206" max="8206" width="7.7109375" style="1" customWidth="1"/>
    <col min="8207" max="8207" width="8" style="1" customWidth="1"/>
    <col min="8208" max="8208" width="16.28515625" style="1" customWidth="1"/>
    <col min="8209" max="8209" width="10.5703125" style="1" customWidth="1"/>
    <col min="8210" max="8210" width="14.140625" style="1" customWidth="1"/>
    <col min="8211" max="8211" width="10.140625" style="1" customWidth="1"/>
    <col min="8212" max="8212" width="15.140625" style="1" customWidth="1"/>
    <col min="8213" max="8213" width="8.5703125" style="1" customWidth="1"/>
    <col min="8214" max="8214" width="14.28515625" style="1" customWidth="1"/>
    <col min="8215" max="8215" width="18.28515625" style="1" customWidth="1"/>
    <col min="8216" max="8216" width="13" style="1" bestFit="1" customWidth="1"/>
    <col min="8217" max="8217" width="11.7109375" style="1" bestFit="1" customWidth="1"/>
    <col min="8218" max="8224" width="9.140625" style="1"/>
    <col min="8225" max="8225" width="11.28515625" style="1" bestFit="1" customWidth="1"/>
    <col min="8226" max="8226" width="10.7109375" style="1" bestFit="1" customWidth="1"/>
    <col min="8227" max="8448" width="9.140625" style="1"/>
    <col min="8449" max="8449" width="6.42578125" style="1" customWidth="1"/>
    <col min="8450" max="8450" width="20.7109375" style="1" customWidth="1"/>
    <col min="8451" max="8451" width="24.7109375" style="1" customWidth="1"/>
    <col min="8452" max="8452" width="11.140625" style="1" customWidth="1"/>
    <col min="8453" max="8453" width="12.28515625" style="1" customWidth="1"/>
    <col min="8454" max="8454" width="11.140625" style="1" customWidth="1"/>
    <col min="8455" max="8455" width="10.42578125" style="1" customWidth="1"/>
    <col min="8456" max="8456" width="4.7109375" style="1" customWidth="1"/>
    <col min="8457" max="8457" width="8.5703125" style="1" customWidth="1"/>
    <col min="8458" max="8458" width="5.5703125" style="1" customWidth="1"/>
    <col min="8459" max="8460" width="11.5703125" style="1" customWidth="1"/>
    <col min="8461" max="8461" width="10.85546875" style="1" customWidth="1"/>
    <col min="8462" max="8462" width="7.7109375" style="1" customWidth="1"/>
    <col min="8463" max="8463" width="8" style="1" customWidth="1"/>
    <col min="8464" max="8464" width="16.28515625" style="1" customWidth="1"/>
    <col min="8465" max="8465" width="10.5703125" style="1" customWidth="1"/>
    <col min="8466" max="8466" width="14.140625" style="1" customWidth="1"/>
    <col min="8467" max="8467" width="10.140625" style="1" customWidth="1"/>
    <col min="8468" max="8468" width="15.140625" style="1" customWidth="1"/>
    <col min="8469" max="8469" width="8.5703125" style="1" customWidth="1"/>
    <col min="8470" max="8470" width="14.28515625" style="1" customWidth="1"/>
    <col min="8471" max="8471" width="18.28515625" style="1" customWidth="1"/>
    <col min="8472" max="8472" width="13" style="1" bestFit="1" customWidth="1"/>
    <col min="8473" max="8473" width="11.7109375" style="1" bestFit="1" customWidth="1"/>
    <col min="8474" max="8480" width="9.140625" style="1"/>
    <col min="8481" max="8481" width="11.28515625" style="1" bestFit="1" customWidth="1"/>
    <col min="8482" max="8482" width="10.7109375" style="1" bestFit="1" customWidth="1"/>
    <col min="8483" max="8704" width="9.140625" style="1"/>
    <col min="8705" max="8705" width="6.42578125" style="1" customWidth="1"/>
    <col min="8706" max="8706" width="20.7109375" style="1" customWidth="1"/>
    <col min="8707" max="8707" width="24.7109375" style="1" customWidth="1"/>
    <col min="8708" max="8708" width="11.140625" style="1" customWidth="1"/>
    <col min="8709" max="8709" width="12.28515625" style="1" customWidth="1"/>
    <col min="8710" max="8710" width="11.140625" style="1" customWidth="1"/>
    <col min="8711" max="8711" width="10.42578125" style="1" customWidth="1"/>
    <col min="8712" max="8712" width="4.7109375" style="1" customWidth="1"/>
    <col min="8713" max="8713" width="8.5703125" style="1" customWidth="1"/>
    <col min="8714" max="8714" width="5.5703125" style="1" customWidth="1"/>
    <col min="8715" max="8716" width="11.5703125" style="1" customWidth="1"/>
    <col min="8717" max="8717" width="10.85546875" style="1" customWidth="1"/>
    <col min="8718" max="8718" width="7.7109375" style="1" customWidth="1"/>
    <col min="8719" max="8719" width="8" style="1" customWidth="1"/>
    <col min="8720" max="8720" width="16.28515625" style="1" customWidth="1"/>
    <col min="8721" max="8721" width="10.5703125" style="1" customWidth="1"/>
    <col min="8722" max="8722" width="14.140625" style="1" customWidth="1"/>
    <col min="8723" max="8723" width="10.140625" style="1" customWidth="1"/>
    <col min="8724" max="8724" width="15.140625" style="1" customWidth="1"/>
    <col min="8725" max="8725" width="8.5703125" style="1" customWidth="1"/>
    <col min="8726" max="8726" width="14.28515625" style="1" customWidth="1"/>
    <col min="8727" max="8727" width="18.28515625" style="1" customWidth="1"/>
    <col min="8728" max="8728" width="13" style="1" bestFit="1" customWidth="1"/>
    <col min="8729" max="8729" width="11.7109375" style="1" bestFit="1" customWidth="1"/>
    <col min="8730" max="8736" width="9.140625" style="1"/>
    <col min="8737" max="8737" width="11.28515625" style="1" bestFit="1" customWidth="1"/>
    <col min="8738" max="8738" width="10.7109375" style="1" bestFit="1" customWidth="1"/>
    <col min="8739" max="8960" width="9.140625" style="1"/>
    <col min="8961" max="8961" width="6.42578125" style="1" customWidth="1"/>
    <col min="8962" max="8962" width="20.7109375" style="1" customWidth="1"/>
    <col min="8963" max="8963" width="24.7109375" style="1" customWidth="1"/>
    <col min="8964" max="8964" width="11.140625" style="1" customWidth="1"/>
    <col min="8965" max="8965" width="12.28515625" style="1" customWidth="1"/>
    <col min="8966" max="8966" width="11.140625" style="1" customWidth="1"/>
    <col min="8967" max="8967" width="10.42578125" style="1" customWidth="1"/>
    <col min="8968" max="8968" width="4.7109375" style="1" customWidth="1"/>
    <col min="8969" max="8969" width="8.5703125" style="1" customWidth="1"/>
    <col min="8970" max="8970" width="5.5703125" style="1" customWidth="1"/>
    <col min="8971" max="8972" width="11.5703125" style="1" customWidth="1"/>
    <col min="8973" max="8973" width="10.85546875" style="1" customWidth="1"/>
    <col min="8974" max="8974" width="7.7109375" style="1" customWidth="1"/>
    <col min="8975" max="8975" width="8" style="1" customWidth="1"/>
    <col min="8976" max="8976" width="16.28515625" style="1" customWidth="1"/>
    <col min="8977" max="8977" width="10.5703125" style="1" customWidth="1"/>
    <col min="8978" max="8978" width="14.140625" style="1" customWidth="1"/>
    <col min="8979" max="8979" width="10.140625" style="1" customWidth="1"/>
    <col min="8980" max="8980" width="15.140625" style="1" customWidth="1"/>
    <col min="8981" max="8981" width="8.5703125" style="1" customWidth="1"/>
    <col min="8982" max="8982" width="14.28515625" style="1" customWidth="1"/>
    <col min="8983" max="8983" width="18.28515625" style="1" customWidth="1"/>
    <col min="8984" max="8984" width="13" style="1" bestFit="1" customWidth="1"/>
    <col min="8985" max="8985" width="11.7109375" style="1" bestFit="1" customWidth="1"/>
    <col min="8986" max="8992" width="9.140625" style="1"/>
    <col min="8993" max="8993" width="11.28515625" style="1" bestFit="1" customWidth="1"/>
    <col min="8994" max="8994" width="10.7109375" style="1" bestFit="1" customWidth="1"/>
    <col min="8995" max="9216" width="9.140625" style="1"/>
    <col min="9217" max="9217" width="6.42578125" style="1" customWidth="1"/>
    <col min="9218" max="9218" width="20.7109375" style="1" customWidth="1"/>
    <col min="9219" max="9219" width="24.7109375" style="1" customWidth="1"/>
    <col min="9220" max="9220" width="11.140625" style="1" customWidth="1"/>
    <col min="9221" max="9221" width="12.28515625" style="1" customWidth="1"/>
    <col min="9222" max="9222" width="11.140625" style="1" customWidth="1"/>
    <col min="9223" max="9223" width="10.42578125" style="1" customWidth="1"/>
    <col min="9224" max="9224" width="4.7109375" style="1" customWidth="1"/>
    <col min="9225" max="9225" width="8.5703125" style="1" customWidth="1"/>
    <col min="9226" max="9226" width="5.5703125" style="1" customWidth="1"/>
    <col min="9227" max="9228" width="11.5703125" style="1" customWidth="1"/>
    <col min="9229" max="9229" width="10.85546875" style="1" customWidth="1"/>
    <col min="9230" max="9230" width="7.7109375" style="1" customWidth="1"/>
    <col min="9231" max="9231" width="8" style="1" customWidth="1"/>
    <col min="9232" max="9232" width="16.28515625" style="1" customWidth="1"/>
    <col min="9233" max="9233" width="10.5703125" style="1" customWidth="1"/>
    <col min="9234" max="9234" width="14.140625" style="1" customWidth="1"/>
    <col min="9235" max="9235" width="10.140625" style="1" customWidth="1"/>
    <col min="9236" max="9236" width="15.140625" style="1" customWidth="1"/>
    <col min="9237" max="9237" width="8.5703125" style="1" customWidth="1"/>
    <col min="9238" max="9238" width="14.28515625" style="1" customWidth="1"/>
    <col min="9239" max="9239" width="18.28515625" style="1" customWidth="1"/>
    <col min="9240" max="9240" width="13" style="1" bestFit="1" customWidth="1"/>
    <col min="9241" max="9241" width="11.7109375" style="1" bestFit="1" customWidth="1"/>
    <col min="9242" max="9248" width="9.140625" style="1"/>
    <col min="9249" max="9249" width="11.28515625" style="1" bestFit="1" customWidth="1"/>
    <col min="9250" max="9250" width="10.7109375" style="1" bestFit="1" customWidth="1"/>
    <col min="9251" max="9472" width="9.140625" style="1"/>
    <col min="9473" max="9473" width="6.42578125" style="1" customWidth="1"/>
    <col min="9474" max="9474" width="20.7109375" style="1" customWidth="1"/>
    <col min="9475" max="9475" width="24.7109375" style="1" customWidth="1"/>
    <col min="9476" max="9476" width="11.140625" style="1" customWidth="1"/>
    <col min="9477" max="9477" width="12.28515625" style="1" customWidth="1"/>
    <col min="9478" max="9478" width="11.140625" style="1" customWidth="1"/>
    <col min="9479" max="9479" width="10.42578125" style="1" customWidth="1"/>
    <col min="9480" max="9480" width="4.7109375" style="1" customWidth="1"/>
    <col min="9481" max="9481" width="8.5703125" style="1" customWidth="1"/>
    <col min="9482" max="9482" width="5.5703125" style="1" customWidth="1"/>
    <col min="9483" max="9484" width="11.5703125" style="1" customWidth="1"/>
    <col min="9485" max="9485" width="10.85546875" style="1" customWidth="1"/>
    <col min="9486" max="9486" width="7.7109375" style="1" customWidth="1"/>
    <col min="9487" max="9487" width="8" style="1" customWidth="1"/>
    <col min="9488" max="9488" width="16.28515625" style="1" customWidth="1"/>
    <col min="9489" max="9489" width="10.5703125" style="1" customWidth="1"/>
    <col min="9490" max="9490" width="14.140625" style="1" customWidth="1"/>
    <col min="9491" max="9491" width="10.140625" style="1" customWidth="1"/>
    <col min="9492" max="9492" width="15.140625" style="1" customWidth="1"/>
    <col min="9493" max="9493" width="8.5703125" style="1" customWidth="1"/>
    <col min="9494" max="9494" width="14.28515625" style="1" customWidth="1"/>
    <col min="9495" max="9495" width="18.28515625" style="1" customWidth="1"/>
    <col min="9496" max="9496" width="13" style="1" bestFit="1" customWidth="1"/>
    <col min="9497" max="9497" width="11.7109375" style="1" bestFit="1" customWidth="1"/>
    <col min="9498" max="9504" width="9.140625" style="1"/>
    <col min="9505" max="9505" width="11.28515625" style="1" bestFit="1" customWidth="1"/>
    <col min="9506" max="9506" width="10.7109375" style="1" bestFit="1" customWidth="1"/>
    <col min="9507" max="9728" width="9.140625" style="1"/>
    <col min="9729" max="9729" width="6.42578125" style="1" customWidth="1"/>
    <col min="9730" max="9730" width="20.7109375" style="1" customWidth="1"/>
    <col min="9731" max="9731" width="24.7109375" style="1" customWidth="1"/>
    <col min="9732" max="9732" width="11.140625" style="1" customWidth="1"/>
    <col min="9733" max="9733" width="12.28515625" style="1" customWidth="1"/>
    <col min="9734" max="9734" width="11.140625" style="1" customWidth="1"/>
    <col min="9735" max="9735" width="10.42578125" style="1" customWidth="1"/>
    <col min="9736" max="9736" width="4.7109375" style="1" customWidth="1"/>
    <col min="9737" max="9737" width="8.5703125" style="1" customWidth="1"/>
    <col min="9738" max="9738" width="5.5703125" style="1" customWidth="1"/>
    <col min="9739" max="9740" width="11.5703125" style="1" customWidth="1"/>
    <col min="9741" max="9741" width="10.85546875" style="1" customWidth="1"/>
    <col min="9742" max="9742" width="7.7109375" style="1" customWidth="1"/>
    <col min="9743" max="9743" width="8" style="1" customWidth="1"/>
    <col min="9744" max="9744" width="16.28515625" style="1" customWidth="1"/>
    <col min="9745" max="9745" width="10.5703125" style="1" customWidth="1"/>
    <col min="9746" max="9746" width="14.140625" style="1" customWidth="1"/>
    <col min="9747" max="9747" width="10.140625" style="1" customWidth="1"/>
    <col min="9748" max="9748" width="15.140625" style="1" customWidth="1"/>
    <col min="9749" max="9749" width="8.5703125" style="1" customWidth="1"/>
    <col min="9750" max="9750" width="14.28515625" style="1" customWidth="1"/>
    <col min="9751" max="9751" width="18.28515625" style="1" customWidth="1"/>
    <col min="9752" max="9752" width="13" style="1" bestFit="1" customWidth="1"/>
    <col min="9753" max="9753" width="11.7109375" style="1" bestFit="1" customWidth="1"/>
    <col min="9754" max="9760" width="9.140625" style="1"/>
    <col min="9761" max="9761" width="11.28515625" style="1" bestFit="1" customWidth="1"/>
    <col min="9762" max="9762" width="10.7109375" style="1" bestFit="1" customWidth="1"/>
    <col min="9763" max="9984" width="9.140625" style="1"/>
    <col min="9985" max="9985" width="6.42578125" style="1" customWidth="1"/>
    <col min="9986" max="9986" width="20.7109375" style="1" customWidth="1"/>
    <col min="9987" max="9987" width="24.7109375" style="1" customWidth="1"/>
    <col min="9988" max="9988" width="11.140625" style="1" customWidth="1"/>
    <col min="9989" max="9989" width="12.28515625" style="1" customWidth="1"/>
    <col min="9990" max="9990" width="11.140625" style="1" customWidth="1"/>
    <col min="9991" max="9991" width="10.42578125" style="1" customWidth="1"/>
    <col min="9992" max="9992" width="4.7109375" style="1" customWidth="1"/>
    <col min="9993" max="9993" width="8.5703125" style="1" customWidth="1"/>
    <col min="9994" max="9994" width="5.5703125" style="1" customWidth="1"/>
    <col min="9995" max="9996" width="11.5703125" style="1" customWidth="1"/>
    <col min="9997" max="9997" width="10.85546875" style="1" customWidth="1"/>
    <col min="9998" max="9998" width="7.7109375" style="1" customWidth="1"/>
    <col min="9999" max="9999" width="8" style="1" customWidth="1"/>
    <col min="10000" max="10000" width="16.28515625" style="1" customWidth="1"/>
    <col min="10001" max="10001" width="10.5703125" style="1" customWidth="1"/>
    <col min="10002" max="10002" width="14.140625" style="1" customWidth="1"/>
    <col min="10003" max="10003" width="10.140625" style="1" customWidth="1"/>
    <col min="10004" max="10004" width="15.140625" style="1" customWidth="1"/>
    <col min="10005" max="10005" width="8.5703125" style="1" customWidth="1"/>
    <col min="10006" max="10006" width="14.28515625" style="1" customWidth="1"/>
    <col min="10007" max="10007" width="18.28515625" style="1" customWidth="1"/>
    <col min="10008" max="10008" width="13" style="1" bestFit="1" customWidth="1"/>
    <col min="10009" max="10009" width="11.7109375" style="1" bestFit="1" customWidth="1"/>
    <col min="10010" max="10016" width="9.140625" style="1"/>
    <col min="10017" max="10017" width="11.28515625" style="1" bestFit="1" customWidth="1"/>
    <col min="10018" max="10018" width="10.7109375" style="1" bestFit="1" customWidth="1"/>
    <col min="10019" max="10240" width="9.140625" style="1"/>
    <col min="10241" max="10241" width="6.42578125" style="1" customWidth="1"/>
    <col min="10242" max="10242" width="20.7109375" style="1" customWidth="1"/>
    <col min="10243" max="10243" width="24.7109375" style="1" customWidth="1"/>
    <col min="10244" max="10244" width="11.140625" style="1" customWidth="1"/>
    <col min="10245" max="10245" width="12.28515625" style="1" customWidth="1"/>
    <col min="10246" max="10246" width="11.140625" style="1" customWidth="1"/>
    <col min="10247" max="10247" width="10.42578125" style="1" customWidth="1"/>
    <col min="10248" max="10248" width="4.7109375" style="1" customWidth="1"/>
    <col min="10249" max="10249" width="8.5703125" style="1" customWidth="1"/>
    <col min="10250" max="10250" width="5.5703125" style="1" customWidth="1"/>
    <col min="10251" max="10252" width="11.5703125" style="1" customWidth="1"/>
    <col min="10253" max="10253" width="10.85546875" style="1" customWidth="1"/>
    <col min="10254" max="10254" width="7.7109375" style="1" customWidth="1"/>
    <col min="10255" max="10255" width="8" style="1" customWidth="1"/>
    <col min="10256" max="10256" width="16.28515625" style="1" customWidth="1"/>
    <col min="10257" max="10257" width="10.5703125" style="1" customWidth="1"/>
    <col min="10258" max="10258" width="14.140625" style="1" customWidth="1"/>
    <col min="10259" max="10259" width="10.140625" style="1" customWidth="1"/>
    <col min="10260" max="10260" width="15.140625" style="1" customWidth="1"/>
    <col min="10261" max="10261" width="8.5703125" style="1" customWidth="1"/>
    <col min="10262" max="10262" width="14.28515625" style="1" customWidth="1"/>
    <col min="10263" max="10263" width="18.28515625" style="1" customWidth="1"/>
    <col min="10264" max="10264" width="13" style="1" bestFit="1" customWidth="1"/>
    <col min="10265" max="10265" width="11.7109375" style="1" bestFit="1" customWidth="1"/>
    <col min="10266" max="10272" width="9.140625" style="1"/>
    <col min="10273" max="10273" width="11.28515625" style="1" bestFit="1" customWidth="1"/>
    <col min="10274" max="10274" width="10.7109375" style="1" bestFit="1" customWidth="1"/>
    <col min="10275" max="10496" width="9.140625" style="1"/>
    <col min="10497" max="10497" width="6.42578125" style="1" customWidth="1"/>
    <col min="10498" max="10498" width="20.7109375" style="1" customWidth="1"/>
    <col min="10499" max="10499" width="24.7109375" style="1" customWidth="1"/>
    <col min="10500" max="10500" width="11.140625" style="1" customWidth="1"/>
    <col min="10501" max="10501" width="12.28515625" style="1" customWidth="1"/>
    <col min="10502" max="10502" width="11.140625" style="1" customWidth="1"/>
    <col min="10503" max="10503" width="10.42578125" style="1" customWidth="1"/>
    <col min="10504" max="10504" width="4.7109375" style="1" customWidth="1"/>
    <col min="10505" max="10505" width="8.5703125" style="1" customWidth="1"/>
    <col min="10506" max="10506" width="5.5703125" style="1" customWidth="1"/>
    <col min="10507" max="10508" width="11.5703125" style="1" customWidth="1"/>
    <col min="10509" max="10509" width="10.85546875" style="1" customWidth="1"/>
    <col min="10510" max="10510" width="7.7109375" style="1" customWidth="1"/>
    <col min="10511" max="10511" width="8" style="1" customWidth="1"/>
    <col min="10512" max="10512" width="16.28515625" style="1" customWidth="1"/>
    <col min="10513" max="10513" width="10.5703125" style="1" customWidth="1"/>
    <col min="10514" max="10514" width="14.140625" style="1" customWidth="1"/>
    <col min="10515" max="10515" width="10.140625" style="1" customWidth="1"/>
    <col min="10516" max="10516" width="15.140625" style="1" customWidth="1"/>
    <col min="10517" max="10517" width="8.5703125" style="1" customWidth="1"/>
    <col min="10518" max="10518" width="14.28515625" style="1" customWidth="1"/>
    <col min="10519" max="10519" width="18.28515625" style="1" customWidth="1"/>
    <col min="10520" max="10520" width="13" style="1" bestFit="1" customWidth="1"/>
    <col min="10521" max="10521" width="11.7109375" style="1" bestFit="1" customWidth="1"/>
    <col min="10522" max="10528" width="9.140625" style="1"/>
    <col min="10529" max="10529" width="11.28515625" style="1" bestFit="1" customWidth="1"/>
    <col min="10530" max="10530" width="10.7109375" style="1" bestFit="1" customWidth="1"/>
    <col min="10531" max="10752" width="9.140625" style="1"/>
    <col min="10753" max="10753" width="6.42578125" style="1" customWidth="1"/>
    <col min="10754" max="10754" width="20.7109375" style="1" customWidth="1"/>
    <col min="10755" max="10755" width="24.7109375" style="1" customWidth="1"/>
    <col min="10756" max="10756" width="11.140625" style="1" customWidth="1"/>
    <col min="10757" max="10757" width="12.28515625" style="1" customWidth="1"/>
    <col min="10758" max="10758" width="11.140625" style="1" customWidth="1"/>
    <col min="10759" max="10759" width="10.42578125" style="1" customWidth="1"/>
    <col min="10760" max="10760" width="4.7109375" style="1" customWidth="1"/>
    <col min="10761" max="10761" width="8.5703125" style="1" customWidth="1"/>
    <col min="10762" max="10762" width="5.5703125" style="1" customWidth="1"/>
    <col min="10763" max="10764" width="11.5703125" style="1" customWidth="1"/>
    <col min="10765" max="10765" width="10.85546875" style="1" customWidth="1"/>
    <col min="10766" max="10766" width="7.7109375" style="1" customWidth="1"/>
    <col min="10767" max="10767" width="8" style="1" customWidth="1"/>
    <col min="10768" max="10768" width="16.28515625" style="1" customWidth="1"/>
    <col min="10769" max="10769" width="10.5703125" style="1" customWidth="1"/>
    <col min="10770" max="10770" width="14.140625" style="1" customWidth="1"/>
    <col min="10771" max="10771" width="10.140625" style="1" customWidth="1"/>
    <col min="10772" max="10772" width="15.140625" style="1" customWidth="1"/>
    <col min="10773" max="10773" width="8.5703125" style="1" customWidth="1"/>
    <col min="10774" max="10774" width="14.28515625" style="1" customWidth="1"/>
    <col min="10775" max="10775" width="18.28515625" style="1" customWidth="1"/>
    <col min="10776" max="10776" width="13" style="1" bestFit="1" customWidth="1"/>
    <col min="10777" max="10777" width="11.7109375" style="1" bestFit="1" customWidth="1"/>
    <col min="10778" max="10784" width="9.140625" style="1"/>
    <col min="10785" max="10785" width="11.28515625" style="1" bestFit="1" customWidth="1"/>
    <col min="10786" max="10786" width="10.7109375" style="1" bestFit="1" customWidth="1"/>
    <col min="10787" max="11008" width="9.140625" style="1"/>
    <col min="11009" max="11009" width="6.42578125" style="1" customWidth="1"/>
    <col min="11010" max="11010" width="20.7109375" style="1" customWidth="1"/>
    <col min="11011" max="11011" width="24.7109375" style="1" customWidth="1"/>
    <col min="11012" max="11012" width="11.140625" style="1" customWidth="1"/>
    <col min="11013" max="11013" width="12.28515625" style="1" customWidth="1"/>
    <col min="11014" max="11014" width="11.140625" style="1" customWidth="1"/>
    <col min="11015" max="11015" width="10.42578125" style="1" customWidth="1"/>
    <col min="11016" max="11016" width="4.7109375" style="1" customWidth="1"/>
    <col min="11017" max="11017" width="8.5703125" style="1" customWidth="1"/>
    <col min="11018" max="11018" width="5.5703125" style="1" customWidth="1"/>
    <col min="11019" max="11020" width="11.5703125" style="1" customWidth="1"/>
    <col min="11021" max="11021" width="10.85546875" style="1" customWidth="1"/>
    <col min="11022" max="11022" width="7.7109375" style="1" customWidth="1"/>
    <col min="11023" max="11023" width="8" style="1" customWidth="1"/>
    <col min="11024" max="11024" width="16.28515625" style="1" customWidth="1"/>
    <col min="11025" max="11025" width="10.5703125" style="1" customWidth="1"/>
    <col min="11026" max="11026" width="14.140625" style="1" customWidth="1"/>
    <col min="11027" max="11027" width="10.140625" style="1" customWidth="1"/>
    <col min="11028" max="11028" width="15.140625" style="1" customWidth="1"/>
    <col min="11029" max="11029" width="8.5703125" style="1" customWidth="1"/>
    <col min="11030" max="11030" width="14.28515625" style="1" customWidth="1"/>
    <col min="11031" max="11031" width="18.28515625" style="1" customWidth="1"/>
    <col min="11032" max="11032" width="13" style="1" bestFit="1" customWidth="1"/>
    <col min="11033" max="11033" width="11.7109375" style="1" bestFit="1" customWidth="1"/>
    <col min="11034" max="11040" width="9.140625" style="1"/>
    <col min="11041" max="11041" width="11.28515625" style="1" bestFit="1" customWidth="1"/>
    <col min="11042" max="11042" width="10.7109375" style="1" bestFit="1" customWidth="1"/>
    <col min="11043" max="11264" width="9.140625" style="1"/>
    <col min="11265" max="11265" width="6.42578125" style="1" customWidth="1"/>
    <col min="11266" max="11266" width="20.7109375" style="1" customWidth="1"/>
    <col min="11267" max="11267" width="24.7109375" style="1" customWidth="1"/>
    <col min="11268" max="11268" width="11.140625" style="1" customWidth="1"/>
    <col min="11269" max="11269" width="12.28515625" style="1" customWidth="1"/>
    <col min="11270" max="11270" width="11.140625" style="1" customWidth="1"/>
    <col min="11271" max="11271" width="10.42578125" style="1" customWidth="1"/>
    <col min="11272" max="11272" width="4.7109375" style="1" customWidth="1"/>
    <col min="11273" max="11273" width="8.5703125" style="1" customWidth="1"/>
    <col min="11274" max="11274" width="5.5703125" style="1" customWidth="1"/>
    <col min="11275" max="11276" width="11.5703125" style="1" customWidth="1"/>
    <col min="11277" max="11277" width="10.85546875" style="1" customWidth="1"/>
    <col min="11278" max="11278" width="7.7109375" style="1" customWidth="1"/>
    <col min="11279" max="11279" width="8" style="1" customWidth="1"/>
    <col min="11280" max="11280" width="16.28515625" style="1" customWidth="1"/>
    <col min="11281" max="11281" width="10.5703125" style="1" customWidth="1"/>
    <col min="11282" max="11282" width="14.140625" style="1" customWidth="1"/>
    <col min="11283" max="11283" width="10.140625" style="1" customWidth="1"/>
    <col min="11284" max="11284" width="15.140625" style="1" customWidth="1"/>
    <col min="11285" max="11285" width="8.5703125" style="1" customWidth="1"/>
    <col min="11286" max="11286" width="14.28515625" style="1" customWidth="1"/>
    <col min="11287" max="11287" width="18.28515625" style="1" customWidth="1"/>
    <col min="11288" max="11288" width="13" style="1" bestFit="1" customWidth="1"/>
    <col min="11289" max="11289" width="11.7109375" style="1" bestFit="1" customWidth="1"/>
    <col min="11290" max="11296" width="9.140625" style="1"/>
    <col min="11297" max="11297" width="11.28515625" style="1" bestFit="1" customWidth="1"/>
    <col min="11298" max="11298" width="10.7109375" style="1" bestFit="1" customWidth="1"/>
    <col min="11299" max="11520" width="9.140625" style="1"/>
    <col min="11521" max="11521" width="6.42578125" style="1" customWidth="1"/>
    <col min="11522" max="11522" width="20.7109375" style="1" customWidth="1"/>
    <col min="11523" max="11523" width="24.7109375" style="1" customWidth="1"/>
    <col min="11524" max="11524" width="11.140625" style="1" customWidth="1"/>
    <col min="11525" max="11525" width="12.28515625" style="1" customWidth="1"/>
    <col min="11526" max="11526" width="11.140625" style="1" customWidth="1"/>
    <col min="11527" max="11527" width="10.42578125" style="1" customWidth="1"/>
    <col min="11528" max="11528" width="4.7109375" style="1" customWidth="1"/>
    <col min="11529" max="11529" width="8.5703125" style="1" customWidth="1"/>
    <col min="11530" max="11530" width="5.5703125" style="1" customWidth="1"/>
    <col min="11531" max="11532" width="11.5703125" style="1" customWidth="1"/>
    <col min="11533" max="11533" width="10.85546875" style="1" customWidth="1"/>
    <col min="11534" max="11534" width="7.7109375" style="1" customWidth="1"/>
    <col min="11535" max="11535" width="8" style="1" customWidth="1"/>
    <col min="11536" max="11536" width="16.28515625" style="1" customWidth="1"/>
    <col min="11537" max="11537" width="10.5703125" style="1" customWidth="1"/>
    <col min="11538" max="11538" width="14.140625" style="1" customWidth="1"/>
    <col min="11539" max="11539" width="10.140625" style="1" customWidth="1"/>
    <col min="11540" max="11540" width="15.140625" style="1" customWidth="1"/>
    <col min="11541" max="11541" width="8.5703125" style="1" customWidth="1"/>
    <col min="11542" max="11542" width="14.28515625" style="1" customWidth="1"/>
    <col min="11543" max="11543" width="18.28515625" style="1" customWidth="1"/>
    <col min="11544" max="11544" width="13" style="1" bestFit="1" customWidth="1"/>
    <col min="11545" max="11545" width="11.7109375" style="1" bestFit="1" customWidth="1"/>
    <col min="11546" max="11552" width="9.140625" style="1"/>
    <col min="11553" max="11553" width="11.28515625" style="1" bestFit="1" customWidth="1"/>
    <col min="11554" max="11554" width="10.7109375" style="1" bestFit="1" customWidth="1"/>
    <col min="11555" max="11776" width="9.140625" style="1"/>
    <col min="11777" max="11777" width="6.42578125" style="1" customWidth="1"/>
    <col min="11778" max="11778" width="20.7109375" style="1" customWidth="1"/>
    <col min="11779" max="11779" width="24.7109375" style="1" customWidth="1"/>
    <col min="11780" max="11780" width="11.140625" style="1" customWidth="1"/>
    <col min="11781" max="11781" width="12.28515625" style="1" customWidth="1"/>
    <col min="11782" max="11782" width="11.140625" style="1" customWidth="1"/>
    <col min="11783" max="11783" width="10.42578125" style="1" customWidth="1"/>
    <col min="11784" max="11784" width="4.7109375" style="1" customWidth="1"/>
    <col min="11785" max="11785" width="8.5703125" style="1" customWidth="1"/>
    <col min="11786" max="11786" width="5.5703125" style="1" customWidth="1"/>
    <col min="11787" max="11788" width="11.5703125" style="1" customWidth="1"/>
    <col min="11789" max="11789" width="10.85546875" style="1" customWidth="1"/>
    <col min="11790" max="11790" width="7.7109375" style="1" customWidth="1"/>
    <col min="11791" max="11791" width="8" style="1" customWidth="1"/>
    <col min="11792" max="11792" width="16.28515625" style="1" customWidth="1"/>
    <col min="11793" max="11793" width="10.5703125" style="1" customWidth="1"/>
    <col min="11794" max="11794" width="14.140625" style="1" customWidth="1"/>
    <col min="11795" max="11795" width="10.140625" style="1" customWidth="1"/>
    <col min="11796" max="11796" width="15.140625" style="1" customWidth="1"/>
    <col min="11797" max="11797" width="8.5703125" style="1" customWidth="1"/>
    <col min="11798" max="11798" width="14.28515625" style="1" customWidth="1"/>
    <col min="11799" max="11799" width="18.28515625" style="1" customWidth="1"/>
    <col min="11800" max="11800" width="13" style="1" bestFit="1" customWidth="1"/>
    <col min="11801" max="11801" width="11.7109375" style="1" bestFit="1" customWidth="1"/>
    <col min="11802" max="11808" width="9.140625" style="1"/>
    <col min="11809" max="11809" width="11.28515625" style="1" bestFit="1" customWidth="1"/>
    <col min="11810" max="11810" width="10.7109375" style="1" bestFit="1" customWidth="1"/>
    <col min="11811" max="12032" width="9.140625" style="1"/>
    <col min="12033" max="12033" width="6.42578125" style="1" customWidth="1"/>
    <col min="12034" max="12034" width="20.7109375" style="1" customWidth="1"/>
    <col min="12035" max="12035" width="24.7109375" style="1" customWidth="1"/>
    <col min="12036" max="12036" width="11.140625" style="1" customWidth="1"/>
    <col min="12037" max="12037" width="12.28515625" style="1" customWidth="1"/>
    <col min="12038" max="12038" width="11.140625" style="1" customWidth="1"/>
    <col min="12039" max="12039" width="10.42578125" style="1" customWidth="1"/>
    <col min="12040" max="12040" width="4.7109375" style="1" customWidth="1"/>
    <col min="12041" max="12041" width="8.5703125" style="1" customWidth="1"/>
    <col min="12042" max="12042" width="5.5703125" style="1" customWidth="1"/>
    <col min="12043" max="12044" width="11.5703125" style="1" customWidth="1"/>
    <col min="12045" max="12045" width="10.85546875" style="1" customWidth="1"/>
    <col min="12046" max="12046" width="7.7109375" style="1" customWidth="1"/>
    <col min="12047" max="12047" width="8" style="1" customWidth="1"/>
    <col min="12048" max="12048" width="16.28515625" style="1" customWidth="1"/>
    <col min="12049" max="12049" width="10.5703125" style="1" customWidth="1"/>
    <col min="12050" max="12050" width="14.140625" style="1" customWidth="1"/>
    <col min="12051" max="12051" width="10.140625" style="1" customWidth="1"/>
    <col min="12052" max="12052" width="15.140625" style="1" customWidth="1"/>
    <col min="12053" max="12053" width="8.5703125" style="1" customWidth="1"/>
    <col min="12054" max="12054" width="14.28515625" style="1" customWidth="1"/>
    <col min="12055" max="12055" width="18.28515625" style="1" customWidth="1"/>
    <col min="12056" max="12056" width="13" style="1" bestFit="1" customWidth="1"/>
    <col min="12057" max="12057" width="11.7109375" style="1" bestFit="1" customWidth="1"/>
    <col min="12058" max="12064" width="9.140625" style="1"/>
    <col min="12065" max="12065" width="11.28515625" style="1" bestFit="1" customWidth="1"/>
    <col min="12066" max="12066" width="10.7109375" style="1" bestFit="1" customWidth="1"/>
    <col min="12067" max="12288" width="9.140625" style="1"/>
    <col min="12289" max="12289" width="6.42578125" style="1" customWidth="1"/>
    <col min="12290" max="12290" width="20.7109375" style="1" customWidth="1"/>
    <col min="12291" max="12291" width="24.7109375" style="1" customWidth="1"/>
    <col min="12292" max="12292" width="11.140625" style="1" customWidth="1"/>
    <col min="12293" max="12293" width="12.28515625" style="1" customWidth="1"/>
    <col min="12294" max="12294" width="11.140625" style="1" customWidth="1"/>
    <col min="12295" max="12295" width="10.42578125" style="1" customWidth="1"/>
    <col min="12296" max="12296" width="4.7109375" style="1" customWidth="1"/>
    <col min="12297" max="12297" width="8.5703125" style="1" customWidth="1"/>
    <col min="12298" max="12298" width="5.5703125" style="1" customWidth="1"/>
    <col min="12299" max="12300" width="11.5703125" style="1" customWidth="1"/>
    <col min="12301" max="12301" width="10.85546875" style="1" customWidth="1"/>
    <col min="12302" max="12302" width="7.7109375" style="1" customWidth="1"/>
    <col min="12303" max="12303" width="8" style="1" customWidth="1"/>
    <col min="12304" max="12304" width="16.28515625" style="1" customWidth="1"/>
    <col min="12305" max="12305" width="10.5703125" style="1" customWidth="1"/>
    <col min="12306" max="12306" width="14.140625" style="1" customWidth="1"/>
    <col min="12307" max="12307" width="10.140625" style="1" customWidth="1"/>
    <col min="12308" max="12308" width="15.140625" style="1" customWidth="1"/>
    <col min="12309" max="12309" width="8.5703125" style="1" customWidth="1"/>
    <col min="12310" max="12310" width="14.28515625" style="1" customWidth="1"/>
    <col min="12311" max="12311" width="18.28515625" style="1" customWidth="1"/>
    <col min="12312" max="12312" width="13" style="1" bestFit="1" customWidth="1"/>
    <col min="12313" max="12313" width="11.7109375" style="1" bestFit="1" customWidth="1"/>
    <col min="12314" max="12320" width="9.140625" style="1"/>
    <col min="12321" max="12321" width="11.28515625" style="1" bestFit="1" customWidth="1"/>
    <col min="12322" max="12322" width="10.7109375" style="1" bestFit="1" customWidth="1"/>
    <col min="12323" max="12544" width="9.140625" style="1"/>
    <col min="12545" max="12545" width="6.42578125" style="1" customWidth="1"/>
    <col min="12546" max="12546" width="20.7109375" style="1" customWidth="1"/>
    <col min="12547" max="12547" width="24.7109375" style="1" customWidth="1"/>
    <col min="12548" max="12548" width="11.140625" style="1" customWidth="1"/>
    <col min="12549" max="12549" width="12.28515625" style="1" customWidth="1"/>
    <col min="12550" max="12550" width="11.140625" style="1" customWidth="1"/>
    <col min="12551" max="12551" width="10.42578125" style="1" customWidth="1"/>
    <col min="12552" max="12552" width="4.7109375" style="1" customWidth="1"/>
    <col min="12553" max="12553" width="8.5703125" style="1" customWidth="1"/>
    <col min="12554" max="12554" width="5.5703125" style="1" customWidth="1"/>
    <col min="12555" max="12556" width="11.5703125" style="1" customWidth="1"/>
    <col min="12557" max="12557" width="10.85546875" style="1" customWidth="1"/>
    <col min="12558" max="12558" width="7.7109375" style="1" customWidth="1"/>
    <col min="12559" max="12559" width="8" style="1" customWidth="1"/>
    <col min="12560" max="12560" width="16.28515625" style="1" customWidth="1"/>
    <col min="12561" max="12561" width="10.5703125" style="1" customWidth="1"/>
    <col min="12562" max="12562" width="14.140625" style="1" customWidth="1"/>
    <col min="12563" max="12563" width="10.140625" style="1" customWidth="1"/>
    <col min="12564" max="12564" width="15.140625" style="1" customWidth="1"/>
    <col min="12565" max="12565" width="8.5703125" style="1" customWidth="1"/>
    <col min="12566" max="12566" width="14.28515625" style="1" customWidth="1"/>
    <col min="12567" max="12567" width="18.28515625" style="1" customWidth="1"/>
    <col min="12568" max="12568" width="13" style="1" bestFit="1" customWidth="1"/>
    <col min="12569" max="12569" width="11.7109375" style="1" bestFit="1" customWidth="1"/>
    <col min="12570" max="12576" width="9.140625" style="1"/>
    <col min="12577" max="12577" width="11.28515625" style="1" bestFit="1" customWidth="1"/>
    <col min="12578" max="12578" width="10.7109375" style="1" bestFit="1" customWidth="1"/>
    <col min="12579" max="12800" width="9.140625" style="1"/>
    <col min="12801" max="12801" width="6.42578125" style="1" customWidth="1"/>
    <col min="12802" max="12802" width="20.7109375" style="1" customWidth="1"/>
    <col min="12803" max="12803" width="24.7109375" style="1" customWidth="1"/>
    <col min="12804" max="12804" width="11.140625" style="1" customWidth="1"/>
    <col min="12805" max="12805" width="12.28515625" style="1" customWidth="1"/>
    <col min="12806" max="12806" width="11.140625" style="1" customWidth="1"/>
    <col min="12807" max="12807" width="10.42578125" style="1" customWidth="1"/>
    <col min="12808" max="12808" width="4.7109375" style="1" customWidth="1"/>
    <col min="12809" max="12809" width="8.5703125" style="1" customWidth="1"/>
    <col min="12810" max="12810" width="5.5703125" style="1" customWidth="1"/>
    <col min="12811" max="12812" width="11.5703125" style="1" customWidth="1"/>
    <col min="12813" max="12813" width="10.85546875" style="1" customWidth="1"/>
    <col min="12814" max="12814" width="7.7109375" style="1" customWidth="1"/>
    <col min="12815" max="12815" width="8" style="1" customWidth="1"/>
    <col min="12816" max="12816" width="16.28515625" style="1" customWidth="1"/>
    <col min="12817" max="12817" width="10.5703125" style="1" customWidth="1"/>
    <col min="12818" max="12818" width="14.140625" style="1" customWidth="1"/>
    <col min="12819" max="12819" width="10.140625" style="1" customWidth="1"/>
    <col min="12820" max="12820" width="15.140625" style="1" customWidth="1"/>
    <col min="12821" max="12821" width="8.5703125" style="1" customWidth="1"/>
    <col min="12822" max="12822" width="14.28515625" style="1" customWidth="1"/>
    <col min="12823" max="12823" width="18.28515625" style="1" customWidth="1"/>
    <col min="12824" max="12824" width="13" style="1" bestFit="1" customWidth="1"/>
    <col min="12825" max="12825" width="11.7109375" style="1" bestFit="1" customWidth="1"/>
    <col min="12826" max="12832" width="9.140625" style="1"/>
    <col min="12833" max="12833" width="11.28515625" style="1" bestFit="1" customWidth="1"/>
    <col min="12834" max="12834" width="10.7109375" style="1" bestFit="1" customWidth="1"/>
    <col min="12835" max="13056" width="9.140625" style="1"/>
    <col min="13057" max="13057" width="6.42578125" style="1" customWidth="1"/>
    <col min="13058" max="13058" width="20.7109375" style="1" customWidth="1"/>
    <col min="13059" max="13059" width="24.7109375" style="1" customWidth="1"/>
    <col min="13060" max="13060" width="11.140625" style="1" customWidth="1"/>
    <col min="13061" max="13061" width="12.28515625" style="1" customWidth="1"/>
    <col min="13062" max="13062" width="11.140625" style="1" customWidth="1"/>
    <col min="13063" max="13063" width="10.42578125" style="1" customWidth="1"/>
    <col min="13064" max="13064" width="4.7109375" style="1" customWidth="1"/>
    <col min="13065" max="13065" width="8.5703125" style="1" customWidth="1"/>
    <col min="13066" max="13066" width="5.5703125" style="1" customWidth="1"/>
    <col min="13067" max="13068" width="11.5703125" style="1" customWidth="1"/>
    <col min="13069" max="13069" width="10.85546875" style="1" customWidth="1"/>
    <col min="13070" max="13070" width="7.7109375" style="1" customWidth="1"/>
    <col min="13071" max="13071" width="8" style="1" customWidth="1"/>
    <col min="13072" max="13072" width="16.28515625" style="1" customWidth="1"/>
    <col min="13073" max="13073" width="10.5703125" style="1" customWidth="1"/>
    <col min="13074" max="13074" width="14.140625" style="1" customWidth="1"/>
    <col min="13075" max="13075" width="10.140625" style="1" customWidth="1"/>
    <col min="13076" max="13076" width="15.140625" style="1" customWidth="1"/>
    <col min="13077" max="13077" width="8.5703125" style="1" customWidth="1"/>
    <col min="13078" max="13078" width="14.28515625" style="1" customWidth="1"/>
    <col min="13079" max="13079" width="18.28515625" style="1" customWidth="1"/>
    <col min="13080" max="13080" width="13" style="1" bestFit="1" customWidth="1"/>
    <col min="13081" max="13081" width="11.7109375" style="1" bestFit="1" customWidth="1"/>
    <col min="13082" max="13088" width="9.140625" style="1"/>
    <col min="13089" max="13089" width="11.28515625" style="1" bestFit="1" customWidth="1"/>
    <col min="13090" max="13090" width="10.7109375" style="1" bestFit="1" customWidth="1"/>
    <col min="13091" max="13312" width="9.140625" style="1"/>
    <col min="13313" max="13313" width="6.42578125" style="1" customWidth="1"/>
    <col min="13314" max="13314" width="20.7109375" style="1" customWidth="1"/>
    <col min="13315" max="13315" width="24.7109375" style="1" customWidth="1"/>
    <col min="13316" max="13316" width="11.140625" style="1" customWidth="1"/>
    <col min="13317" max="13317" width="12.28515625" style="1" customWidth="1"/>
    <col min="13318" max="13318" width="11.140625" style="1" customWidth="1"/>
    <col min="13319" max="13319" width="10.42578125" style="1" customWidth="1"/>
    <col min="13320" max="13320" width="4.7109375" style="1" customWidth="1"/>
    <col min="13321" max="13321" width="8.5703125" style="1" customWidth="1"/>
    <col min="13322" max="13322" width="5.5703125" style="1" customWidth="1"/>
    <col min="13323" max="13324" width="11.5703125" style="1" customWidth="1"/>
    <col min="13325" max="13325" width="10.85546875" style="1" customWidth="1"/>
    <col min="13326" max="13326" width="7.7109375" style="1" customWidth="1"/>
    <col min="13327" max="13327" width="8" style="1" customWidth="1"/>
    <col min="13328" max="13328" width="16.28515625" style="1" customWidth="1"/>
    <col min="13329" max="13329" width="10.5703125" style="1" customWidth="1"/>
    <col min="13330" max="13330" width="14.140625" style="1" customWidth="1"/>
    <col min="13331" max="13331" width="10.140625" style="1" customWidth="1"/>
    <col min="13332" max="13332" width="15.140625" style="1" customWidth="1"/>
    <col min="13333" max="13333" width="8.5703125" style="1" customWidth="1"/>
    <col min="13334" max="13334" width="14.28515625" style="1" customWidth="1"/>
    <col min="13335" max="13335" width="18.28515625" style="1" customWidth="1"/>
    <col min="13336" max="13336" width="13" style="1" bestFit="1" customWidth="1"/>
    <col min="13337" max="13337" width="11.7109375" style="1" bestFit="1" customWidth="1"/>
    <col min="13338" max="13344" width="9.140625" style="1"/>
    <col min="13345" max="13345" width="11.28515625" style="1" bestFit="1" customWidth="1"/>
    <col min="13346" max="13346" width="10.7109375" style="1" bestFit="1" customWidth="1"/>
    <col min="13347" max="13568" width="9.140625" style="1"/>
    <col min="13569" max="13569" width="6.42578125" style="1" customWidth="1"/>
    <col min="13570" max="13570" width="20.7109375" style="1" customWidth="1"/>
    <col min="13571" max="13571" width="24.7109375" style="1" customWidth="1"/>
    <col min="13572" max="13572" width="11.140625" style="1" customWidth="1"/>
    <col min="13573" max="13573" width="12.28515625" style="1" customWidth="1"/>
    <col min="13574" max="13574" width="11.140625" style="1" customWidth="1"/>
    <col min="13575" max="13575" width="10.42578125" style="1" customWidth="1"/>
    <col min="13576" max="13576" width="4.7109375" style="1" customWidth="1"/>
    <col min="13577" max="13577" width="8.5703125" style="1" customWidth="1"/>
    <col min="13578" max="13578" width="5.5703125" style="1" customWidth="1"/>
    <col min="13579" max="13580" width="11.5703125" style="1" customWidth="1"/>
    <col min="13581" max="13581" width="10.85546875" style="1" customWidth="1"/>
    <col min="13582" max="13582" width="7.7109375" style="1" customWidth="1"/>
    <col min="13583" max="13583" width="8" style="1" customWidth="1"/>
    <col min="13584" max="13584" width="16.28515625" style="1" customWidth="1"/>
    <col min="13585" max="13585" width="10.5703125" style="1" customWidth="1"/>
    <col min="13586" max="13586" width="14.140625" style="1" customWidth="1"/>
    <col min="13587" max="13587" width="10.140625" style="1" customWidth="1"/>
    <col min="13588" max="13588" width="15.140625" style="1" customWidth="1"/>
    <col min="13589" max="13589" width="8.5703125" style="1" customWidth="1"/>
    <col min="13590" max="13590" width="14.28515625" style="1" customWidth="1"/>
    <col min="13591" max="13591" width="18.28515625" style="1" customWidth="1"/>
    <col min="13592" max="13592" width="13" style="1" bestFit="1" customWidth="1"/>
    <col min="13593" max="13593" width="11.7109375" style="1" bestFit="1" customWidth="1"/>
    <col min="13594" max="13600" width="9.140625" style="1"/>
    <col min="13601" max="13601" width="11.28515625" style="1" bestFit="1" customWidth="1"/>
    <col min="13602" max="13602" width="10.7109375" style="1" bestFit="1" customWidth="1"/>
    <col min="13603" max="13824" width="9.140625" style="1"/>
    <col min="13825" max="13825" width="6.42578125" style="1" customWidth="1"/>
    <col min="13826" max="13826" width="20.7109375" style="1" customWidth="1"/>
    <col min="13827" max="13827" width="24.7109375" style="1" customWidth="1"/>
    <col min="13828" max="13828" width="11.140625" style="1" customWidth="1"/>
    <col min="13829" max="13829" width="12.28515625" style="1" customWidth="1"/>
    <col min="13830" max="13830" width="11.140625" style="1" customWidth="1"/>
    <col min="13831" max="13831" width="10.42578125" style="1" customWidth="1"/>
    <col min="13832" max="13832" width="4.7109375" style="1" customWidth="1"/>
    <col min="13833" max="13833" width="8.5703125" style="1" customWidth="1"/>
    <col min="13834" max="13834" width="5.5703125" style="1" customWidth="1"/>
    <col min="13835" max="13836" width="11.5703125" style="1" customWidth="1"/>
    <col min="13837" max="13837" width="10.85546875" style="1" customWidth="1"/>
    <col min="13838" max="13838" width="7.7109375" style="1" customWidth="1"/>
    <col min="13839" max="13839" width="8" style="1" customWidth="1"/>
    <col min="13840" max="13840" width="16.28515625" style="1" customWidth="1"/>
    <col min="13841" max="13841" width="10.5703125" style="1" customWidth="1"/>
    <col min="13842" max="13842" width="14.140625" style="1" customWidth="1"/>
    <col min="13843" max="13843" width="10.140625" style="1" customWidth="1"/>
    <col min="13844" max="13844" width="15.140625" style="1" customWidth="1"/>
    <col min="13845" max="13845" width="8.5703125" style="1" customWidth="1"/>
    <col min="13846" max="13846" width="14.28515625" style="1" customWidth="1"/>
    <col min="13847" max="13847" width="18.28515625" style="1" customWidth="1"/>
    <col min="13848" max="13848" width="13" style="1" bestFit="1" customWidth="1"/>
    <col min="13849" max="13849" width="11.7109375" style="1" bestFit="1" customWidth="1"/>
    <col min="13850" max="13856" width="9.140625" style="1"/>
    <col min="13857" max="13857" width="11.28515625" style="1" bestFit="1" customWidth="1"/>
    <col min="13858" max="13858" width="10.7109375" style="1" bestFit="1" customWidth="1"/>
    <col min="13859" max="14080" width="9.140625" style="1"/>
    <col min="14081" max="14081" width="6.42578125" style="1" customWidth="1"/>
    <col min="14082" max="14082" width="20.7109375" style="1" customWidth="1"/>
    <col min="14083" max="14083" width="24.7109375" style="1" customWidth="1"/>
    <col min="14084" max="14084" width="11.140625" style="1" customWidth="1"/>
    <col min="14085" max="14085" width="12.28515625" style="1" customWidth="1"/>
    <col min="14086" max="14086" width="11.140625" style="1" customWidth="1"/>
    <col min="14087" max="14087" width="10.42578125" style="1" customWidth="1"/>
    <col min="14088" max="14088" width="4.7109375" style="1" customWidth="1"/>
    <col min="14089" max="14089" width="8.5703125" style="1" customWidth="1"/>
    <col min="14090" max="14090" width="5.5703125" style="1" customWidth="1"/>
    <col min="14091" max="14092" width="11.5703125" style="1" customWidth="1"/>
    <col min="14093" max="14093" width="10.85546875" style="1" customWidth="1"/>
    <col min="14094" max="14094" width="7.7109375" style="1" customWidth="1"/>
    <col min="14095" max="14095" width="8" style="1" customWidth="1"/>
    <col min="14096" max="14096" width="16.28515625" style="1" customWidth="1"/>
    <col min="14097" max="14097" width="10.5703125" style="1" customWidth="1"/>
    <col min="14098" max="14098" width="14.140625" style="1" customWidth="1"/>
    <col min="14099" max="14099" width="10.140625" style="1" customWidth="1"/>
    <col min="14100" max="14100" width="15.140625" style="1" customWidth="1"/>
    <col min="14101" max="14101" width="8.5703125" style="1" customWidth="1"/>
    <col min="14102" max="14102" width="14.28515625" style="1" customWidth="1"/>
    <col min="14103" max="14103" width="18.28515625" style="1" customWidth="1"/>
    <col min="14104" max="14104" width="13" style="1" bestFit="1" customWidth="1"/>
    <col min="14105" max="14105" width="11.7109375" style="1" bestFit="1" customWidth="1"/>
    <col min="14106" max="14112" width="9.140625" style="1"/>
    <col min="14113" max="14113" width="11.28515625" style="1" bestFit="1" customWidth="1"/>
    <col min="14114" max="14114" width="10.7109375" style="1" bestFit="1" customWidth="1"/>
    <col min="14115" max="14336" width="9.140625" style="1"/>
    <col min="14337" max="14337" width="6.42578125" style="1" customWidth="1"/>
    <col min="14338" max="14338" width="20.7109375" style="1" customWidth="1"/>
    <col min="14339" max="14339" width="24.7109375" style="1" customWidth="1"/>
    <col min="14340" max="14340" width="11.140625" style="1" customWidth="1"/>
    <col min="14341" max="14341" width="12.28515625" style="1" customWidth="1"/>
    <col min="14342" max="14342" width="11.140625" style="1" customWidth="1"/>
    <col min="14343" max="14343" width="10.42578125" style="1" customWidth="1"/>
    <col min="14344" max="14344" width="4.7109375" style="1" customWidth="1"/>
    <col min="14345" max="14345" width="8.5703125" style="1" customWidth="1"/>
    <col min="14346" max="14346" width="5.5703125" style="1" customWidth="1"/>
    <col min="14347" max="14348" width="11.5703125" style="1" customWidth="1"/>
    <col min="14349" max="14349" width="10.85546875" style="1" customWidth="1"/>
    <col min="14350" max="14350" width="7.7109375" style="1" customWidth="1"/>
    <col min="14351" max="14351" width="8" style="1" customWidth="1"/>
    <col min="14352" max="14352" width="16.28515625" style="1" customWidth="1"/>
    <col min="14353" max="14353" width="10.5703125" style="1" customWidth="1"/>
    <col min="14354" max="14354" width="14.140625" style="1" customWidth="1"/>
    <col min="14355" max="14355" width="10.140625" style="1" customWidth="1"/>
    <col min="14356" max="14356" width="15.140625" style="1" customWidth="1"/>
    <col min="14357" max="14357" width="8.5703125" style="1" customWidth="1"/>
    <col min="14358" max="14358" width="14.28515625" style="1" customWidth="1"/>
    <col min="14359" max="14359" width="18.28515625" style="1" customWidth="1"/>
    <col min="14360" max="14360" width="13" style="1" bestFit="1" customWidth="1"/>
    <col min="14361" max="14361" width="11.7109375" style="1" bestFit="1" customWidth="1"/>
    <col min="14362" max="14368" width="9.140625" style="1"/>
    <col min="14369" max="14369" width="11.28515625" style="1" bestFit="1" customWidth="1"/>
    <col min="14370" max="14370" width="10.7109375" style="1" bestFit="1" customWidth="1"/>
    <col min="14371" max="14592" width="9.140625" style="1"/>
    <col min="14593" max="14593" width="6.42578125" style="1" customWidth="1"/>
    <col min="14594" max="14594" width="20.7109375" style="1" customWidth="1"/>
    <col min="14595" max="14595" width="24.7109375" style="1" customWidth="1"/>
    <col min="14596" max="14596" width="11.140625" style="1" customWidth="1"/>
    <col min="14597" max="14597" width="12.28515625" style="1" customWidth="1"/>
    <col min="14598" max="14598" width="11.140625" style="1" customWidth="1"/>
    <col min="14599" max="14599" width="10.42578125" style="1" customWidth="1"/>
    <col min="14600" max="14600" width="4.7109375" style="1" customWidth="1"/>
    <col min="14601" max="14601" width="8.5703125" style="1" customWidth="1"/>
    <col min="14602" max="14602" width="5.5703125" style="1" customWidth="1"/>
    <col min="14603" max="14604" width="11.5703125" style="1" customWidth="1"/>
    <col min="14605" max="14605" width="10.85546875" style="1" customWidth="1"/>
    <col min="14606" max="14606" width="7.7109375" style="1" customWidth="1"/>
    <col min="14607" max="14607" width="8" style="1" customWidth="1"/>
    <col min="14608" max="14608" width="16.28515625" style="1" customWidth="1"/>
    <col min="14609" max="14609" width="10.5703125" style="1" customWidth="1"/>
    <col min="14610" max="14610" width="14.140625" style="1" customWidth="1"/>
    <col min="14611" max="14611" width="10.140625" style="1" customWidth="1"/>
    <col min="14612" max="14612" width="15.140625" style="1" customWidth="1"/>
    <col min="14613" max="14613" width="8.5703125" style="1" customWidth="1"/>
    <col min="14614" max="14614" width="14.28515625" style="1" customWidth="1"/>
    <col min="14615" max="14615" width="18.28515625" style="1" customWidth="1"/>
    <col min="14616" max="14616" width="13" style="1" bestFit="1" customWidth="1"/>
    <col min="14617" max="14617" width="11.7109375" style="1" bestFit="1" customWidth="1"/>
    <col min="14618" max="14624" width="9.140625" style="1"/>
    <col min="14625" max="14625" width="11.28515625" style="1" bestFit="1" customWidth="1"/>
    <col min="14626" max="14626" width="10.7109375" style="1" bestFit="1" customWidth="1"/>
    <col min="14627" max="14848" width="9.140625" style="1"/>
    <col min="14849" max="14849" width="6.42578125" style="1" customWidth="1"/>
    <col min="14850" max="14850" width="20.7109375" style="1" customWidth="1"/>
    <col min="14851" max="14851" width="24.7109375" style="1" customWidth="1"/>
    <col min="14852" max="14852" width="11.140625" style="1" customWidth="1"/>
    <col min="14853" max="14853" width="12.28515625" style="1" customWidth="1"/>
    <col min="14854" max="14854" width="11.140625" style="1" customWidth="1"/>
    <col min="14855" max="14855" width="10.42578125" style="1" customWidth="1"/>
    <col min="14856" max="14856" width="4.7109375" style="1" customWidth="1"/>
    <col min="14857" max="14857" width="8.5703125" style="1" customWidth="1"/>
    <col min="14858" max="14858" width="5.5703125" style="1" customWidth="1"/>
    <col min="14859" max="14860" width="11.5703125" style="1" customWidth="1"/>
    <col min="14861" max="14861" width="10.85546875" style="1" customWidth="1"/>
    <col min="14862" max="14862" width="7.7109375" style="1" customWidth="1"/>
    <col min="14863" max="14863" width="8" style="1" customWidth="1"/>
    <col min="14864" max="14864" width="16.28515625" style="1" customWidth="1"/>
    <col min="14865" max="14865" width="10.5703125" style="1" customWidth="1"/>
    <col min="14866" max="14866" width="14.140625" style="1" customWidth="1"/>
    <col min="14867" max="14867" width="10.140625" style="1" customWidth="1"/>
    <col min="14868" max="14868" width="15.140625" style="1" customWidth="1"/>
    <col min="14869" max="14869" width="8.5703125" style="1" customWidth="1"/>
    <col min="14870" max="14870" width="14.28515625" style="1" customWidth="1"/>
    <col min="14871" max="14871" width="18.28515625" style="1" customWidth="1"/>
    <col min="14872" max="14872" width="13" style="1" bestFit="1" customWidth="1"/>
    <col min="14873" max="14873" width="11.7109375" style="1" bestFit="1" customWidth="1"/>
    <col min="14874" max="14880" width="9.140625" style="1"/>
    <col min="14881" max="14881" width="11.28515625" style="1" bestFit="1" customWidth="1"/>
    <col min="14882" max="14882" width="10.7109375" style="1" bestFit="1" customWidth="1"/>
    <col min="14883" max="15104" width="9.140625" style="1"/>
    <col min="15105" max="15105" width="6.42578125" style="1" customWidth="1"/>
    <col min="15106" max="15106" width="20.7109375" style="1" customWidth="1"/>
    <col min="15107" max="15107" width="24.7109375" style="1" customWidth="1"/>
    <col min="15108" max="15108" width="11.140625" style="1" customWidth="1"/>
    <col min="15109" max="15109" width="12.28515625" style="1" customWidth="1"/>
    <col min="15110" max="15110" width="11.140625" style="1" customWidth="1"/>
    <col min="15111" max="15111" width="10.42578125" style="1" customWidth="1"/>
    <col min="15112" max="15112" width="4.7109375" style="1" customWidth="1"/>
    <col min="15113" max="15113" width="8.5703125" style="1" customWidth="1"/>
    <col min="15114" max="15114" width="5.5703125" style="1" customWidth="1"/>
    <col min="15115" max="15116" width="11.5703125" style="1" customWidth="1"/>
    <col min="15117" max="15117" width="10.85546875" style="1" customWidth="1"/>
    <col min="15118" max="15118" width="7.7109375" style="1" customWidth="1"/>
    <col min="15119" max="15119" width="8" style="1" customWidth="1"/>
    <col min="15120" max="15120" width="16.28515625" style="1" customWidth="1"/>
    <col min="15121" max="15121" width="10.5703125" style="1" customWidth="1"/>
    <col min="15122" max="15122" width="14.140625" style="1" customWidth="1"/>
    <col min="15123" max="15123" width="10.140625" style="1" customWidth="1"/>
    <col min="15124" max="15124" width="15.140625" style="1" customWidth="1"/>
    <col min="15125" max="15125" width="8.5703125" style="1" customWidth="1"/>
    <col min="15126" max="15126" width="14.28515625" style="1" customWidth="1"/>
    <col min="15127" max="15127" width="18.28515625" style="1" customWidth="1"/>
    <col min="15128" max="15128" width="13" style="1" bestFit="1" customWidth="1"/>
    <col min="15129" max="15129" width="11.7109375" style="1" bestFit="1" customWidth="1"/>
    <col min="15130" max="15136" width="9.140625" style="1"/>
    <col min="15137" max="15137" width="11.28515625" style="1" bestFit="1" customWidth="1"/>
    <col min="15138" max="15138" width="10.7109375" style="1" bestFit="1" customWidth="1"/>
    <col min="15139" max="15360" width="9.140625" style="1"/>
    <col min="15361" max="15361" width="6.42578125" style="1" customWidth="1"/>
    <col min="15362" max="15362" width="20.7109375" style="1" customWidth="1"/>
    <col min="15363" max="15363" width="24.7109375" style="1" customWidth="1"/>
    <col min="15364" max="15364" width="11.140625" style="1" customWidth="1"/>
    <col min="15365" max="15365" width="12.28515625" style="1" customWidth="1"/>
    <col min="15366" max="15366" width="11.140625" style="1" customWidth="1"/>
    <col min="15367" max="15367" width="10.42578125" style="1" customWidth="1"/>
    <col min="15368" max="15368" width="4.7109375" style="1" customWidth="1"/>
    <col min="15369" max="15369" width="8.5703125" style="1" customWidth="1"/>
    <col min="15370" max="15370" width="5.5703125" style="1" customWidth="1"/>
    <col min="15371" max="15372" width="11.5703125" style="1" customWidth="1"/>
    <col min="15373" max="15373" width="10.85546875" style="1" customWidth="1"/>
    <col min="15374" max="15374" width="7.7109375" style="1" customWidth="1"/>
    <col min="15375" max="15375" width="8" style="1" customWidth="1"/>
    <col min="15376" max="15376" width="16.28515625" style="1" customWidth="1"/>
    <col min="15377" max="15377" width="10.5703125" style="1" customWidth="1"/>
    <col min="15378" max="15378" width="14.140625" style="1" customWidth="1"/>
    <col min="15379" max="15379" width="10.140625" style="1" customWidth="1"/>
    <col min="15380" max="15380" width="15.140625" style="1" customWidth="1"/>
    <col min="15381" max="15381" width="8.5703125" style="1" customWidth="1"/>
    <col min="15382" max="15382" width="14.28515625" style="1" customWidth="1"/>
    <col min="15383" max="15383" width="18.28515625" style="1" customWidth="1"/>
    <col min="15384" max="15384" width="13" style="1" bestFit="1" customWidth="1"/>
    <col min="15385" max="15385" width="11.7109375" style="1" bestFit="1" customWidth="1"/>
    <col min="15386" max="15392" width="9.140625" style="1"/>
    <col min="15393" max="15393" width="11.28515625" style="1" bestFit="1" customWidth="1"/>
    <col min="15394" max="15394" width="10.7109375" style="1" bestFit="1" customWidth="1"/>
    <col min="15395" max="15616" width="9.140625" style="1"/>
    <col min="15617" max="15617" width="6.42578125" style="1" customWidth="1"/>
    <col min="15618" max="15618" width="20.7109375" style="1" customWidth="1"/>
    <col min="15619" max="15619" width="24.7109375" style="1" customWidth="1"/>
    <col min="15620" max="15620" width="11.140625" style="1" customWidth="1"/>
    <col min="15621" max="15621" width="12.28515625" style="1" customWidth="1"/>
    <col min="15622" max="15622" width="11.140625" style="1" customWidth="1"/>
    <col min="15623" max="15623" width="10.42578125" style="1" customWidth="1"/>
    <col min="15624" max="15624" width="4.7109375" style="1" customWidth="1"/>
    <col min="15625" max="15625" width="8.5703125" style="1" customWidth="1"/>
    <col min="15626" max="15626" width="5.5703125" style="1" customWidth="1"/>
    <col min="15627" max="15628" width="11.5703125" style="1" customWidth="1"/>
    <col min="15629" max="15629" width="10.85546875" style="1" customWidth="1"/>
    <col min="15630" max="15630" width="7.7109375" style="1" customWidth="1"/>
    <col min="15631" max="15631" width="8" style="1" customWidth="1"/>
    <col min="15632" max="15632" width="16.28515625" style="1" customWidth="1"/>
    <col min="15633" max="15633" width="10.5703125" style="1" customWidth="1"/>
    <col min="15634" max="15634" width="14.140625" style="1" customWidth="1"/>
    <col min="15635" max="15635" width="10.140625" style="1" customWidth="1"/>
    <col min="15636" max="15636" width="15.140625" style="1" customWidth="1"/>
    <col min="15637" max="15637" width="8.5703125" style="1" customWidth="1"/>
    <col min="15638" max="15638" width="14.28515625" style="1" customWidth="1"/>
    <col min="15639" max="15639" width="18.28515625" style="1" customWidth="1"/>
    <col min="15640" max="15640" width="13" style="1" bestFit="1" customWidth="1"/>
    <col min="15641" max="15641" width="11.7109375" style="1" bestFit="1" customWidth="1"/>
    <col min="15642" max="15648" width="9.140625" style="1"/>
    <col min="15649" max="15649" width="11.28515625" style="1" bestFit="1" customWidth="1"/>
    <col min="15650" max="15650" width="10.7109375" style="1" bestFit="1" customWidth="1"/>
    <col min="15651" max="15872" width="9.140625" style="1"/>
    <col min="15873" max="15873" width="6.42578125" style="1" customWidth="1"/>
    <col min="15874" max="15874" width="20.7109375" style="1" customWidth="1"/>
    <col min="15875" max="15875" width="24.7109375" style="1" customWidth="1"/>
    <col min="15876" max="15876" width="11.140625" style="1" customWidth="1"/>
    <col min="15877" max="15877" width="12.28515625" style="1" customWidth="1"/>
    <col min="15878" max="15878" width="11.140625" style="1" customWidth="1"/>
    <col min="15879" max="15879" width="10.42578125" style="1" customWidth="1"/>
    <col min="15880" max="15880" width="4.7109375" style="1" customWidth="1"/>
    <col min="15881" max="15881" width="8.5703125" style="1" customWidth="1"/>
    <col min="15882" max="15882" width="5.5703125" style="1" customWidth="1"/>
    <col min="15883" max="15884" width="11.5703125" style="1" customWidth="1"/>
    <col min="15885" max="15885" width="10.85546875" style="1" customWidth="1"/>
    <col min="15886" max="15886" width="7.7109375" style="1" customWidth="1"/>
    <col min="15887" max="15887" width="8" style="1" customWidth="1"/>
    <col min="15888" max="15888" width="16.28515625" style="1" customWidth="1"/>
    <col min="15889" max="15889" width="10.5703125" style="1" customWidth="1"/>
    <col min="15890" max="15890" width="14.140625" style="1" customWidth="1"/>
    <col min="15891" max="15891" width="10.140625" style="1" customWidth="1"/>
    <col min="15892" max="15892" width="15.140625" style="1" customWidth="1"/>
    <col min="15893" max="15893" width="8.5703125" style="1" customWidth="1"/>
    <col min="15894" max="15894" width="14.28515625" style="1" customWidth="1"/>
    <col min="15895" max="15895" width="18.28515625" style="1" customWidth="1"/>
    <col min="15896" max="15896" width="13" style="1" bestFit="1" customWidth="1"/>
    <col min="15897" max="15897" width="11.7109375" style="1" bestFit="1" customWidth="1"/>
    <col min="15898" max="15904" width="9.140625" style="1"/>
    <col min="15905" max="15905" width="11.28515625" style="1" bestFit="1" customWidth="1"/>
    <col min="15906" max="15906" width="10.7109375" style="1" bestFit="1" customWidth="1"/>
    <col min="15907" max="16128" width="9.140625" style="1"/>
    <col min="16129" max="16129" width="6.42578125" style="1" customWidth="1"/>
    <col min="16130" max="16130" width="20.7109375" style="1" customWidth="1"/>
    <col min="16131" max="16131" width="24.7109375" style="1" customWidth="1"/>
    <col min="16132" max="16132" width="11.140625" style="1" customWidth="1"/>
    <col min="16133" max="16133" width="12.28515625" style="1" customWidth="1"/>
    <col min="16134" max="16134" width="11.140625" style="1" customWidth="1"/>
    <col min="16135" max="16135" width="10.42578125" style="1" customWidth="1"/>
    <col min="16136" max="16136" width="4.7109375" style="1" customWidth="1"/>
    <col min="16137" max="16137" width="8.5703125" style="1" customWidth="1"/>
    <col min="16138" max="16138" width="5.5703125" style="1" customWidth="1"/>
    <col min="16139" max="16140" width="11.5703125" style="1" customWidth="1"/>
    <col min="16141" max="16141" width="10.85546875" style="1" customWidth="1"/>
    <col min="16142" max="16142" width="7.7109375" style="1" customWidth="1"/>
    <col min="16143" max="16143" width="8" style="1" customWidth="1"/>
    <col min="16144" max="16144" width="16.28515625" style="1" customWidth="1"/>
    <col min="16145" max="16145" width="10.5703125" style="1" customWidth="1"/>
    <col min="16146" max="16146" width="14.140625" style="1" customWidth="1"/>
    <col min="16147" max="16147" width="10.140625" style="1" customWidth="1"/>
    <col min="16148" max="16148" width="15.140625" style="1" customWidth="1"/>
    <col min="16149" max="16149" width="8.5703125" style="1" customWidth="1"/>
    <col min="16150" max="16150" width="14.28515625" style="1" customWidth="1"/>
    <col min="16151" max="16151" width="18.28515625" style="1" customWidth="1"/>
    <col min="16152" max="16152" width="13" style="1" bestFit="1" customWidth="1"/>
    <col min="16153" max="16153" width="11.7109375" style="1" bestFit="1" customWidth="1"/>
    <col min="16154" max="16160" width="9.140625" style="1"/>
    <col min="16161" max="16161" width="11.28515625" style="1" bestFit="1" customWidth="1"/>
    <col min="16162" max="16162" width="10.7109375" style="1" bestFit="1" customWidth="1"/>
    <col min="16163" max="16384" width="9.140625" style="1"/>
  </cols>
  <sheetData>
    <row r="2" spans="1:43" ht="9.75" customHeight="1">
      <c r="U2" s="3"/>
    </row>
    <row r="3" spans="1:43" ht="21" customHeight="1">
      <c r="A3" s="2310" t="s">
        <v>584</v>
      </c>
      <c r="B3" s="2310"/>
      <c r="C3" s="2310"/>
      <c r="D3" s="2310"/>
      <c r="E3" s="2310"/>
      <c r="F3" s="2310"/>
      <c r="G3" s="2310"/>
      <c r="H3" s="2310"/>
      <c r="I3" s="2310"/>
      <c r="J3" s="2310"/>
      <c r="K3" s="2310"/>
      <c r="L3" s="2310"/>
      <c r="M3" s="2310"/>
      <c r="N3" s="2310"/>
      <c r="O3" s="2310"/>
      <c r="P3" s="2310"/>
      <c r="Q3" s="2310"/>
      <c r="R3" s="2310"/>
      <c r="S3" s="2310"/>
      <c r="T3" s="2310"/>
      <c r="U3" s="2310"/>
      <c r="V3" s="2310"/>
      <c r="W3" s="2310"/>
      <c r="X3" s="24"/>
      <c r="Y3" s="24"/>
    </row>
    <row r="4" spans="1:43" ht="20.25" customHeight="1">
      <c r="A4" s="2295" t="s">
        <v>0</v>
      </c>
      <c r="B4" s="2295"/>
      <c r="C4" s="2295"/>
      <c r="D4" s="2295"/>
      <c r="E4" s="2295"/>
      <c r="F4" s="2295"/>
      <c r="G4" s="2295"/>
      <c r="H4" s="2295"/>
      <c r="I4" s="2295"/>
      <c r="J4" s="2295"/>
      <c r="K4" s="2295"/>
      <c r="L4" s="2295"/>
      <c r="M4" s="2295"/>
      <c r="N4" s="2295"/>
      <c r="O4" s="2295"/>
      <c r="P4" s="2295"/>
      <c r="Q4" s="2295"/>
      <c r="R4" s="2295"/>
      <c r="S4" s="2295"/>
      <c r="T4" s="2295"/>
      <c r="U4" s="2295"/>
      <c r="V4" s="2295"/>
      <c r="W4" s="2295"/>
      <c r="X4" s="24"/>
      <c r="Y4" s="24"/>
    </row>
    <row r="5" spans="1:43" ht="13.5" customHeight="1">
      <c r="A5" s="949"/>
      <c r="B5" s="949"/>
      <c r="C5" s="949"/>
      <c r="D5" s="949"/>
      <c r="E5" s="949"/>
      <c r="F5" s="949"/>
      <c r="G5" s="949"/>
      <c r="H5" s="949"/>
      <c r="I5" s="949"/>
      <c r="J5" s="949"/>
      <c r="K5" s="949"/>
      <c r="L5" s="949"/>
      <c r="M5" s="949"/>
      <c r="N5" s="949"/>
      <c r="O5" s="949"/>
      <c r="P5" s="949"/>
      <c r="Q5" s="949"/>
      <c r="R5" s="949"/>
      <c r="S5" s="949"/>
      <c r="T5" s="949"/>
      <c r="U5" s="949"/>
      <c r="V5" s="949"/>
      <c r="W5" s="949"/>
      <c r="X5" s="24"/>
      <c r="Y5" s="24"/>
    </row>
    <row r="6" spans="1:43" s="948" customFormat="1" ht="41.25" customHeight="1">
      <c r="A6" s="2332" t="s">
        <v>1</v>
      </c>
      <c r="B6" s="2260" t="s">
        <v>2</v>
      </c>
      <c r="C6" s="2260" t="s">
        <v>3</v>
      </c>
      <c r="D6" s="2260" t="s">
        <v>4</v>
      </c>
      <c r="E6" s="2260" t="s">
        <v>528</v>
      </c>
      <c r="F6" s="2260" t="s">
        <v>6</v>
      </c>
      <c r="G6" s="2260" t="s">
        <v>7</v>
      </c>
      <c r="H6" s="2260" t="s">
        <v>8</v>
      </c>
      <c r="I6" s="2260" t="s">
        <v>9</v>
      </c>
      <c r="J6" s="2260" t="s">
        <v>10</v>
      </c>
      <c r="K6" s="2260" t="s">
        <v>11</v>
      </c>
      <c r="L6" s="2260" t="s">
        <v>12</v>
      </c>
      <c r="M6" s="2256" t="s">
        <v>13</v>
      </c>
      <c r="N6" s="2256" t="s">
        <v>14</v>
      </c>
      <c r="O6" s="2304" t="s">
        <v>395</v>
      </c>
      <c r="P6" s="2256" t="s">
        <v>16</v>
      </c>
      <c r="Q6" s="2256" t="s">
        <v>17</v>
      </c>
      <c r="R6" s="2256"/>
      <c r="S6" s="2256" t="s">
        <v>18</v>
      </c>
      <c r="T6" s="2256"/>
      <c r="U6" s="2256" t="s">
        <v>19</v>
      </c>
      <c r="V6" s="2256"/>
      <c r="W6" s="2306" t="s">
        <v>401</v>
      </c>
      <c r="X6" s="2260" t="s">
        <v>401</v>
      </c>
      <c r="Y6" s="2305" t="s">
        <v>394</v>
      </c>
      <c r="Z6" s="24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</row>
    <row r="7" spans="1:43" s="948" customFormat="1" ht="17.25" customHeight="1">
      <c r="A7" s="2332"/>
      <c r="B7" s="2260"/>
      <c r="C7" s="2260"/>
      <c r="D7" s="2260"/>
      <c r="E7" s="2260"/>
      <c r="F7" s="2260"/>
      <c r="G7" s="2260"/>
      <c r="H7" s="2260"/>
      <c r="I7" s="2260"/>
      <c r="J7" s="2260"/>
      <c r="K7" s="2260"/>
      <c r="L7" s="2260"/>
      <c r="M7" s="2256"/>
      <c r="N7" s="2256"/>
      <c r="O7" s="2304"/>
      <c r="P7" s="2256"/>
      <c r="Q7" s="947" t="s">
        <v>21</v>
      </c>
      <c r="R7" s="947" t="s">
        <v>22</v>
      </c>
      <c r="S7" s="947" t="s">
        <v>21</v>
      </c>
      <c r="T7" s="947" t="s">
        <v>22</v>
      </c>
      <c r="U7" s="947" t="s">
        <v>21</v>
      </c>
      <c r="V7" s="947" t="s">
        <v>22</v>
      </c>
      <c r="W7" s="2306"/>
      <c r="X7" s="2260"/>
      <c r="Y7" s="2305"/>
      <c r="Z7" s="24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</row>
    <row r="8" spans="1:43" s="377" customFormat="1" ht="17.25" customHeight="1">
      <c r="A8" s="951">
        <v>1</v>
      </c>
      <c r="B8" s="548" t="s">
        <v>98</v>
      </c>
      <c r="C8" s="549" t="s">
        <v>99</v>
      </c>
      <c r="D8" s="547" t="s">
        <v>25</v>
      </c>
      <c r="E8" s="550" t="s">
        <v>462</v>
      </c>
      <c r="F8" s="550" t="s">
        <v>463</v>
      </c>
      <c r="G8" s="547">
        <v>1</v>
      </c>
      <c r="H8" s="547" t="s">
        <v>102</v>
      </c>
      <c r="I8" s="547" t="s">
        <v>103</v>
      </c>
      <c r="J8" s="551">
        <v>1</v>
      </c>
      <c r="K8" s="552">
        <v>17697</v>
      </c>
      <c r="L8" s="553">
        <v>35</v>
      </c>
      <c r="M8" s="554">
        <f>L8/18</f>
        <v>1.9444444444444444</v>
      </c>
      <c r="N8" s="555" t="s">
        <v>104</v>
      </c>
      <c r="O8" s="550">
        <v>4.55</v>
      </c>
      <c r="P8" s="556">
        <f t="shared" ref="P8:P58" si="0">O8*K8/18*L8</f>
        <v>156569.29166666666</v>
      </c>
      <c r="Q8" s="557"/>
      <c r="R8" s="552"/>
      <c r="S8" s="552">
        <v>0.1</v>
      </c>
      <c r="T8" s="556">
        <f>S8*P8</f>
        <v>15656.929166666667</v>
      </c>
      <c r="U8" s="558"/>
      <c r="V8" s="552"/>
      <c r="W8" s="559">
        <f>T8+P8</f>
        <v>172226.22083333333</v>
      </c>
      <c r="X8" s="363">
        <f>U8+Q8</f>
        <v>0</v>
      </c>
      <c r="Y8" s="363">
        <f>V8+R8</f>
        <v>0</v>
      </c>
    </row>
    <row r="9" spans="1:43" s="377" customFormat="1" ht="17.25" customHeight="1">
      <c r="A9" s="952">
        <v>2</v>
      </c>
      <c r="B9" s="153" t="s">
        <v>41</v>
      </c>
      <c r="C9" s="561" t="s">
        <v>99</v>
      </c>
      <c r="D9" s="560" t="s">
        <v>25</v>
      </c>
      <c r="E9" s="562" t="s">
        <v>466</v>
      </c>
      <c r="F9" s="562" t="s">
        <v>34</v>
      </c>
      <c r="G9" s="560">
        <v>1</v>
      </c>
      <c r="H9" s="563" t="s">
        <v>102</v>
      </c>
      <c r="I9" s="563" t="s">
        <v>103</v>
      </c>
      <c r="J9" s="564">
        <v>2</v>
      </c>
      <c r="K9" s="554">
        <v>17697</v>
      </c>
      <c r="L9" s="565">
        <v>9</v>
      </c>
      <c r="M9" s="554">
        <f t="shared" ref="M9:M58" si="1">L9/18</f>
        <v>0.5</v>
      </c>
      <c r="N9" s="566" t="s">
        <v>104</v>
      </c>
      <c r="O9" s="566">
        <v>4.51</v>
      </c>
      <c r="P9" s="567">
        <f t="shared" si="0"/>
        <v>39906.735000000001</v>
      </c>
      <c r="Q9" s="568"/>
      <c r="R9" s="554"/>
      <c r="S9" s="554">
        <v>0.1</v>
      </c>
      <c r="T9" s="567">
        <f>S9*P9</f>
        <v>3990.6735000000003</v>
      </c>
      <c r="U9" s="569"/>
      <c r="V9" s="554"/>
      <c r="W9" s="570">
        <f t="shared" ref="W9:Y40" si="2">T9+P9</f>
        <v>43897.408499999998</v>
      </c>
      <c r="X9" s="406">
        <f t="shared" si="2"/>
        <v>0</v>
      </c>
      <c r="Y9" s="406">
        <f t="shared" si="2"/>
        <v>0</v>
      </c>
      <c r="AC9" s="412"/>
    </row>
    <row r="10" spans="1:43" s="377" customFormat="1" ht="15.75">
      <c r="A10" s="951">
        <v>3</v>
      </c>
      <c r="B10" s="153" t="s">
        <v>445</v>
      </c>
      <c r="C10" s="561" t="s">
        <v>99</v>
      </c>
      <c r="D10" s="563" t="s">
        <v>25</v>
      </c>
      <c r="E10" s="562" t="s">
        <v>464</v>
      </c>
      <c r="F10" s="562" t="s">
        <v>217</v>
      </c>
      <c r="G10" s="571">
        <v>1</v>
      </c>
      <c r="H10" s="560" t="s">
        <v>102</v>
      </c>
      <c r="I10" s="560" t="s">
        <v>103</v>
      </c>
      <c r="J10" s="572">
        <v>1</v>
      </c>
      <c r="K10" s="554">
        <v>17697</v>
      </c>
      <c r="L10" s="573">
        <v>10</v>
      </c>
      <c r="M10" s="554">
        <f t="shared" si="1"/>
        <v>0.55555555555555558</v>
      </c>
      <c r="N10" s="574" t="s">
        <v>152</v>
      </c>
      <c r="O10" s="575">
        <v>4.6900000000000004</v>
      </c>
      <c r="P10" s="567">
        <f t="shared" si="0"/>
        <v>46110.51666666667</v>
      </c>
      <c r="Q10" s="568"/>
      <c r="R10" s="554"/>
      <c r="S10" s="554">
        <v>0.1</v>
      </c>
      <c r="T10" s="567">
        <f>P10*S10</f>
        <v>4611.0516666666672</v>
      </c>
      <c r="U10" s="569"/>
      <c r="V10" s="554"/>
      <c r="W10" s="570">
        <f t="shared" si="2"/>
        <v>50721.568333333336</v>
      </c>
      <c r="X10" s="406">
        <f t="shared" si="2"/>
        <v>0</v>
      </c>
      <c r="Y10" s="406">
        <f t="shared" si="2"/>
        <v>0</v>
      </c>
    </row>
    <row r="11" spans="1:43" s="377" customFormat="1" ht="15.75">
      <c r="A11" s="952">
        <v>4</v>
      </c>
      <c r="B11" s="576" t="s">
        <v>110</v>
      </c>
      <c r="C11" s="561" t="s">
        <v>99</v>
      </c>
      <c r="D11" s="560" t="s">
        <v>25</v>
      </c>
      <c r="E11" s="562" t="s">
        <v>467</v>
      </c>
      <c r="F11" s="562" t="s">
        <v>468</v>
      </c>
      <c r="G11" s="560">
        <v>1</v>
      </c>
      <c r="H11" s="577" t="s">
        <v>102</v>
      </c>
      <c r="I11" s="577" t="s">
        <v>103</v>
      </c>
      <c r="J11" s="578">
        <v>4</v>
      </c>
      <c r="K11" s="554">
        <v>17697</v>
      </c>
      <c r="L11" s="565">
        <v>31</v>
      </c>
      <c r="M11" s="554">
        <f t="shared" si="1"/>
        <v>1.7222222222222223</v>
      </c>
      <c r="N11" s="574" t="s">
        <v>112</v>
      </c>
      <c r="O11" s="579">
        <v>3.71</v>
      </c>
      <c r="P11" s="567">
        <f t="shared" si="0"/>
        <v>113073.99833333332</v>
      </c>
      <c r="Q11" s="568"/>
      <c r="R11" s="554"/>
      <c r="S11" s="554">
        <v>0.1</v>
      </c>
      <c r="T11" s="567">
        <f>S11*P11</f>
        <v>11307.399833333333</v>
      </c>
      <c r="U11" s="569"/>
      <c r="V11" s="554"/>
      <c r="W11" s="570">
        <f t="shared" si="2"/>
        <v>124381.39816666665</v>
      </c>
      <c r="X11" s="406"/>
      <c r="Y11" s="406"/>
    </row>
    <row r="12" spans="1:43" s="377" customFormat="1" ht="17.25" customHeight="1">
      <c r="A12" s="951">
        <v>5</v>
      </c>
      <c r="B12" s="153" t="s">
        <v>106</v>
      </c>
      <c r="C12" s="561" t="s">
        <v>99</v>
      </c>
      <c r="D12" s="560" t="s">
        <v>25</v>
      </c>
      <c r="E12" s="562" t="s">
        <v>107</v>
      </c>
      <c r="F12" s="562" t="s">
        <v>108</v>
      </c>
      <c r="G12" s="560">
        <v>1</v>
      </c>
      <c r="H12" s="563" t="s">
        <v>102</v>
      </c>
      <c r="I12" s="563" t="s">
        <v>103</v>
      </c>
      <c r="J12" s="564">
        <v>3</v>
      </c>
      <c r="K12" s="554">
        <v>17697</v>
      </c>
      <c r="L12" s="565">
        <v>15</v>
      </c>
      <c r="M12" s="554">
        <f t="shared" si="1"/>
        <v>0.83333333333333337</v>
      </c>
      <c r="N12" s="566" t="s">
        <v>109</v>
      </c>
      <c r="O12" s="579">
        <v>4</v>
      </c>
      <c r="P12" s="567">
        <f t="shared" si="0"/>
        <v>58990</v>
      </c>
      <c r="Q12" s="568"/>
      <c r="R12" s="554"/>
      <c r="S12" s="554">
        <v>0.1</v>
      </c>
      <c r="T12" s="567">
        <f>S12*P12</f>
        <v>5899</v>
      </c>
      <c r="U12" s="569"/>
      <c r="V12" s="554"/>
      <c r="W12" s="570">
        <f t="shared" si="2"/>
        <v>64889</v>
      </c>
      <c r="X12" s="406">
        <f t="shared" si="2"/>
        <v>0</v>
      </c>
      <c r="Y12" s="406">
        <f t="shared" si="2"/>
        <v>0</v>
      </c>
    </row>
    <row r="13" spans="1:43" s="377" customFormat="1" ht="15.75">
      <c r="A13" s="952">
        <v>6</v>
      </c>
      <c r="B13" s="153" t="s">
        <v>215</v>
      </c>
      <c r="C13" s="561" t="s">
        <v>99</v>
      </c>
      <c r="D13" s="563" t="s">
        <v>25</v>
      </c>
      <c r="E13" s="562" t="s">
        <v>441</v>
      </c>
      <c r="F13" s="562" t="s">
        <v>217</v>
      </c>
      <c r="G13" s="571">
        <v>1</v>
      </c>
      <c r="H13" s="580" t="s">
        <v>102</v>
      </c>
      <c r="I13" s="580" t="s">
        <v>103</v>
      </c>
      <c r="J13" s="574">
        <v>1</v>
      </c>
      <c r="K13" s="554">
        <v>17697</v>
      </c>
      <c r="L13" s="573">
        <v>6</v>
      </c>
      <c r="M13" s="554">
        <f t="shared" si="1"/>
        <v>0.33333333333333331</v>
      </c>
      <c r="N13" s="574" t="s">
        <v>152</v>
      </c>
      <c r="O13" s="575">
        <v>4.6900000000000004</v>
      </c>
      <c r="P13" s="567">
        <f t="shared" si="0"/>
        <v>27666.310000000005</v>
      </c>
      <c r="Q13" s="568"/>
      <c r="R13" s="554"/>
      <c r="S13" s="554">
        <v>0.1</v>
      </c>
      <c r="T13" s="567">
        <f>P13*S13</f>
        <v>2766.6310000000008</v>
      </c>
      <c r="U13" s="569"/>
      <c r="V13" s="554"/>
      <c r="W13" s="570">
        <f t="shared" si="2"/>
        <v>30432.941000000006</v>
      </c>
      <c r="X13" s="406">
        <f t="shared" si="2"/>
        <v>0</v>
      </c>
      <c r="Y13" s="406">
        <f t="shared" si="2"/>
        <v>0</v>
      </c>
    </row>
    <row r="14" spans="1:43" s="377" customFormat="1" ht="17.25" customHeight="1">
      <c r="A14" s="951">
        <v>7</v>
      </c>
      <c r="B14" s="153" t="s">
        <v>23</v>
      </c>
      <c r="C14" s="561" t="s">
        <v>99</v>
      </c>
      <c r="D14" s="560" t="s">
        <v>25</v>
      </c>
      <c r="E14" s="562" t="s">
        <v>469</v>
      </c>
      <c r="F14" s="562" t="s">
        <v>114</v>
      </c>
      <c r="G14" s="560">
        <v>1</v>
      </c>
      <c r="H14" s="563" t="s">
        <v>102</v>
      </c>
      <c r="I14" s="563" t="s">
        <v>103</v>
      </c>
      <c r="J14" s="581">
        <v>1</v>
      </c>
      <c r="K14" s="554">
        <v>17697</v>
      </c>
      <c r="L14" s="565">
        <v>9</v>
      </c>
      <c r="M14" s="554">
        <f t="shared" si="1"/>
        <v>0.5</v>
      </c>
      <c r="N14" s="574" t="s">
        <v>152</v>
      </c>
      <c r="O14" s="555">
        <v>4.75</v>
      </c>
      <c r="P14" s="567">
        <f t="shared" si="0"/>
        <v>42030.375</v>
      </c>
      <c r="Q14" s="568"/>
      <c r="R14" s="554"/>
      <c r="S14" s="554">
        <v>0.1</v>
      </c>
      <c r="T14" s="567">
        <f t="shared" ref="T14:T58" si="3">S14*P14</f>
        <v>4203.0375000000004</v>
      </c>
      <c r="U14" s="569"/>
      <c r="V14" s="554"/>
      <c r="W14" s="570">
        <f t="shared" si="2"/>
        <v>46233.412499999999</v>
      </c>
      <c r="X14" s="406">
        <f t="shared" si="2"/>
        <v>0</v>
      </c>
      <c r="Y14" s="406">
        <f t="shared" si="2"/>
        <v>0</v>
      </c>
    </row>
    <row r="15" spans="1:43" s="377" customFormat="1" ht="17.25" customHeight="1">
      <c r="A15" s="952">
        <v>8</v>
      </c>
      <c r="B15" s="153" t="s">
        <v>124</v>
      </c>
      <c r="C15" s="647" t="s">
        <v>99</v>
      </c>
      <c r="D15" s="560" t="s">
        <v>75</v>
      </c>
      <c r="E15" s="582" t="s">
        <v>126</v>
      </c>
      <c r="F15" s="562" t="s">
        <v>108</v>
      </c>
      <c r="G15" s="560">
        <v>1</v>
      </c>
      <c r="H15" s="563" t="s">
        <v>102</v>
      </c>
      <c r="I15" s="563" t="s">
        <v>118</v>
      </c>
      <c r="J15" s="581">
        <v>3</v>
      </c>
      <c r="K15" s="554">
        <v>17697</v>
      </c>
      <c r="L15" s="565">
        <v>22.5</v>
      </c>
      <c r="M15" s="554">
        <f t="shared" si="1"/>
        <v>1.25</v>
      </c>
      <c r="N15" s="566" t="s">
        <v>109</v>
      </c>
      <c r="O15" s="566">
        <v>3.85</v>
      </c>
      <c r="P15" s="567">
        <f t="shared" si="0"/>
        <v>85166.8125</v>
      </c>
      <c r="Q15" s="568"/>
      <c r="R15" s="554"/>
      <c r="S15" s="554">
        <v>0.1</v>
      </c>
      <c r="T15" s="567">
        <f t="shared" si="3"/>
        <v>8516.6812499999996</v>
      </c>
      <c r="U15" s="569"/>
      <c r="V15" s="554"/>
      <c r="W15" s="570">
        <f t="shared" si="2"/>
        <v>93683.493749999994</v>
      </c>
      <c r="X15" s="406">
        <f t="shared" si="2"/>
        <v>0</v>
      </c>
      <c r="Y15" s="406">
        <f t="shared" si="2"/>
        <v>0</v>
      </c>
    </row>
    <row r="16" spans="1:43" s="377" customFormat="1" ht="17.25" customHeight="1">
      <c r="A16" s="951">
        <v>9</v>
      </c>
      <c r="B16" s="153" t="s">
        <v>116</v>
      </c>
      <c r="C16" s="561" t="s">
        <v>99</v>
      </c>
      <c r="D16" s="560" t="s">
        <v>64</v>
      </c>
      <c r="E16" s="583" t="s">
        <v>470</v>
      </c>
      <c r="F16" s="562" t="s">
        <v>114</v>
      </c>
      <c r="G16" s="560">
        <v>1</v>
      </c>
      <c r="H16" s="563" t="s">
        <v>102</v>
      </c>
      <c r="I16" s="563" t="s">
        <v>118</v>
      </c>
      <c r="J16" s="564">
        <v>1</v>
      </c>
      <c r="K16" s="554">
        <v>17697</v>
      </c>
      <c r="L16" s="565">
        <v>19</v>
      </c>
      <c r="M16" s="554">
        <f t="shared" si="1"/>
        <v>1.0555555555555556</v>
      </c>
      <c r="N16" s="574" t="s">
        <v>152</v>
      </c>
      <c r="O16" s="566">
        <v>4.5199999999999996</v>
      </c>
      <c r="P16" s="567">
        <f t="shared" si="0"/>
        <v>84434.353333333333</v>
      </c>
      <c r="Q16" s="568"/>
      <c r="R16" s="554"/>
      <c r="S16" s="554">
        <v>0.1</v>
      </c>
      <c r="T16" s="567">
        <f t="shared" si="3"/>
        <v>8443.4353333333329</v>
      </c>
      <c r="U16" s="569"/>
      <c r="V16" s="554"/>
      <c r="W16" s="570">
        <f t="shared" si="2"/>
        <v>92877.78866666666</v>
      </c>
      <c r="X16" s="406">
        <f t="shared" si="2"/>
        <v>0</v>
      </c>
      <c r="Y16" s="406">
        <f t="shared" si="2"/>
        <v>0</v>
      </c>
    </row>
    <row r="17" spans="1:25" s="377" customFormat="1" ht="17.25" customHeight="1">
      <c r="A17" s="952">
        <v>10</v>
      </c>
      <c r="B17" s="153" t="s">
        <v>127</v>
      </c>
      <c r="C17" s="561" t="s">
        <v>99</v>
      </c>
      <c r="D17" s="560" t="s">
        <v>25</v>
      </c>
      <c r="E17" s="562" t="s">
        <v>471</v>
      </c>
      <c r="F17" s="562" t="s">
        <v>34</v>
      </c>
      <c r="G17" s="560">
        <v>1</v>
      </c>
      <c r="H17" s="563" t="s">
        <v>102</v>
      </c>
      <c r="I17" s="563" t="s">
        <v>103</v>
      </c>
      <c r="J17" s="564">
        <v>1</v>
      </c>
      <c r="K17" s="554">
        <v>17697</v>
      </c>
      <c r="L17" s="565">
        <v>26</v>
      </c>
      <c r="M17" s="554">
        <f t="shared" si="1"/>
        <v>1.4444444444444444</v>
      </c>
      <c r="N17" s="574" t="s">
        <v>152</v>
      </c>
      <c r="O17" s="566">
        <v>4.75</v>
      </c>
      <c r="P17" s="567">
        <f t="shared" si="0"/>
        <v>121421.08333333334</v>
      </c>
      <c r="Q17" s="568"/>
      <c r="R17" s="554"/>
      <c r="S17" s="554">
        <v>0.1</v>
      </c>
      <c r="T17" s="567">
        <f t="shared" si="3"/>
        <v>12142.108333333335</v>
      </c>
      <c r="U17" s="569"/>
      <c r="V17" s="554"/>
      <c r="W17" s="570">
        <f t="shared" si="2"/>
        <v>133563.19166666668</v>
      </c>
      <c r="X17" s="406">
        <f t="shared" si="2"/>
        <v>0</v>
      </c>
      <c r="Y17" s="406">
        <f t="shared" si="2"/>
        <v>0</v>
      </c>
    </row>
    <row r="18" spans="1:25" s="377" customFormat="1" ht="17.25" customHeight="1">
      <c r="A18" s="951">
        <v>11</v>
      </c>
      <c r="B18" s="52" t="s">
        <v>386</v>
      </c>
      <c r="C18" s="549" t="s">
        <v>99</v>
      </c>
      <c r="D18" s="210" t="s">
        <v>25</v>
      </c>
      <c r="E18" s="584" t="s">
        <v>472</v>
      </c>
      <c r="F18" s="584" t="s">
        <v>34</v>
      </c>
      <c r="G18" s="562" t="s">
        <v>156</v>
      </c>
      <c r="H18" s="563" t="s">
        <v>102</v>
      </c>
      <c r="I18" s="563" t="s">
        <v>103</v>
      </c>
      <c r="J18" s="581">
        <v>1</v>
      </c>
      <c r="K18" s="554">
        <v>17697</v>
      </c>
      <c r="L18" s="565">
        <v>18</v>
      </c>
      <c r="M18" s="554">
        <f t="shared" si="1"/>
        <v>1</v>
      </c>
      <c r="N18" s="574" t="s">
        <v>152</v>
      </c>
      <c r="O18" s="566">
        <v>4.75</v>
      </c>
      <c r="P18" s="567">
        <f t="shared" si="0"/>
        <v>84060.75</v>
      </c>
      <c r="Q18" s="568"/>
      <c r="R18" s="554"/>
      <c r="S18" s="554">
        <v>0.1</v>
      </c>
      <c r="T18" s="567">
        <f t="shared" si="3"/>
        <v>8406.0750000000007</v>
      </c>
      <c r="U18" s="569"/>
      <c r="V18" s="554"/>
      <c r="W18" s="570">
        <f t="shared" si="2"/>
        <v>92466.824999999997</v>
      </c>
      <c r="X18" s="406">
        <f t="shared" si="2"/>
        <v>0</v>
      </c>
      <c r="Y18" s="406">
        <f t="shared" si="2"/>
        <v>0</v>
      </c>
    </row>
    <row r="19" spans="1:25" s="377" customFormat="1" ht="17.25" customHeight="1">
      <c r="A19" s="952">
        <v>12</v>
      </c>
      <c r="B19" s="153" t="s">
        <v>458</v>
      </c>
      <c r="C19" s="549" t="s">
        <v>99</v>
      </c>
      <c r="D19" s="560" t="s">
        <v>25</v>
      </c>
      <c r="E19" s="582" t="s">
        <v>501</v>
      </c>
      <c r="F19" s="582" t="s">
        <v>34</v>
      </c>
      <c r="G19" s="560">
        <v>1</v>
      </c>
      <c r="H19" s="563" t="s">
        <v>102</v>
      </c>
      <c r="I19" s="563" t="s">
        <v>103</v>
      </c>
      <c r="J19" s="581">
        <v>1</v>
      </c>
      <c r="K19" s="554">
        <v>17697</v>
      </c>
      <c r="L19" s="565">
        <v>23</v>
      </c>
      <c r="M19" s="554">
        <f t="shared" si="1"/>
        <v>1.2777777777777777</v>
      </c>
      <c r="N19" s="574" t="s">
        <v>152</v>
      </c>
      <c r="O19" s="566">
        <v>4.75</v>
      </c>
      <c r="P19" s="567">
        <f t="shared" si="0"/>
        <v>107410.95833333334</v>
      </c>
      <c r="Q19" s="568"/>
      <c r="R19" s="554"/>
      <c r="S19" s="554">
        <v>0.1</v>
      </c>
      <c r="T19" s="567">
        <f t="shared" si="3"/>
        <v>10741.095833333335</v>
      </c>
      <c r="U19" s="569"/>
      <c r="V19" s="554"/>
      <c r="W19" s="570">
        <f t="shared" si="2"/>
        <v>118152.05416666668</v>
      </c>
      <c r="X19" s="406"/>
      <c r="Y19" s="406"/>
    </row>
    <row r="20" spans="1:25" s="377" customFormat="1" ht="17.25" customHeight="1">
      <c r="A20" s="951">
        <v>13</v>
      </c>
      <c r="B20" s="153" t="s">
        <v>130</v>
      </c>
      <c r="C20" s="549" t="s">
        <v>99</v>
      </c>
      <c r="D20" s="560" t="s">
        <v>25</v>
      </c>
      <c r="E20" s="582" t="s">
        <v>473</v>
      </c>
      <c r="F20" s="582" t="s">
        <v>34</v>
      </c>
      <c r="G20" s="560">
        <v>1</v>
      </c>
      <c r="H20" s="563" t="s">
        <v>102</v>
      </c>
      <c r="I20" s="563" t="s">
        <v>103</v>
      </c>
      <c r="J20" s="581">
        <v>1</v>
      </c>
      <c r="K20" s="554">
        <v>17697</v>
      </c>
      <c r="L20" s="565">
        <v>9</v>
      </c>
      <c r="M20" s="554">
        <f t="shared" si="1"/>
        <v>0.5</v>
      </c>
      <c r="N20" s="574" t="s">
        <v>152</v>
      </c>
      <c r="O20" s="566">
        <v>4.75</v>
      </c>
      <c r="P20" s="567">
        <f t="shared" si="0"/>
        <v>42030.375</v>
      </c>
      <c r="Q20" s="568"/>
      <c r="R20" s="554"/>
      <c r="S20" s="554">
        <v>0.1</v>
      </c>
      <c r="T20" s="567">
        <f t="shared" si="3"/>
        <v>4203.0375000000004</v>
      </c>
      <c r="U20" s="569"/>
      <c r="V20" s="554"/>
      <c r="W20" s="570">
        <f t="shared" si="2"/>
        <v>46233.412499999999</v>
      </c>
      <c r="X20" s="406">
        <f t="shared" si="2"/>
        <v>0</v>
      </c>
      <c r="Y20" s="406">
        <f t="shared" si="2"/>
        <v>0</v>
      </c>
    </row>
    <row r="21" spans="1:25" s="377" customFormat="1" ht="17.25" customHeight="1">
      <c r="A21" s="952">
        <v>14</v>
      </c>
      <c r="B21" s="153" t="s">
        <v>455</v>
      </c>
      <c r="C21" s="549" t="s">
        <v>99</v>
      </c>
      <c r="D21" s="563" t="s">
        <v>25</v>
      </c>
      <c r="E21" s="210" t="s">
        <v>502</v>
      </c>
      <c r="F21" s="562" t="s">
        <v>34</v>
      </c>
      <c r="G21" s="560">
        <v>1</v>
      </c>
      <c r="H21" s="563" t="s">
        <v>102</v>
      </c>
      <c r="I21" s="563" t="s">
        <v>103</v>
      </c>
      <c r="J21" s="581">
        <v>1</v>
      </c>
      <c r="K21" s="554">
        <v>17697</v>
      </c>
      <c r="L21" s="565">
        <v>8</v>
      </c>
      <c r="M21" s="554">
        <f t="shared" si="1"/>
        <v>0.44444444444444442</v>
      </c>
      <c r="N21" s="574" t="s">
        <v>152</v>
      </c>
      <c r="O21" s="566">
        <v>4.75</v>
      </c>
      <c r="P21" s="567">
        <f t="shared" si="0"/>
        <v>37360.333333333336</v>
      </c>
      <c r="Q21" s="568"/>
      <c r="R21" s="554"/>
      <c r="S21" s="554">
        <v>0.1</v>
      </c>
      <c r="T21" s="567">
        <f t="shared" si="3"/>
        <v>3736.0333333333338</v>
      </c>
      <c r="U21" s="569"/>
      <c r="V21" s="554"/>
      <c r="W21" s="570">
        <f t="shared" si="2"/>
        <v>41096.366666666669</v>
      </c>
      <c r="X21" s="406">
        <f t="shared" si="2"/>
        <v>0</v>
      </c>
      <c r="Y21" s="406">
        <f t="shared" si="2"/>
        <v>0</v>
      </c>
    </row>
    <row r="22" spans="1:25" s="377" customFormat="1" ht="17.25" customHeight="1">
      <c r="A22" s="951">
        <v>15</v>
      </c>
      <c r="B22" s="153" t="s">
        <v>204</v>
      </c>
      <c r="C22" s="549" t="s">
        <v>99</v>
      </c>
      <c r="D22" s="563" t="s">
        <v>25</v>
      </c>
      <c r="E22" s="562" t="s">
        <v>503</v>
      </c>
      <c r="F22" s="562" t="s">
        <v>206</v>
      </c>
      <c r="G22" s="560">
        <v>1</v>
      </c>
      <c r="H22" s="563" t="s">
        <v>102</v>
      </c>
      <c r="I22" s="563" t="s">
        <v>103</v>
      </c>
      <c r="J22" s="581">
        <v>3</v>
      </c>
      <c r="K22" s="554">
        <v>17697</v>
      </c>
      <c r="L22" s="565">
        <v>6</v>
      </c>
      <c r="M22" s="554">
        <f t="shared" si="1"/>
        <v>0.33333333333333331</v>
      </c>
      <c r="N22" s="566" t="s">
        <v>109</v>
      </c>
      <c r="O22" s="566">
        <v>4</v>
      </c>
      <c r="P22" s="567">
        <f t="shared" si="0"/>
        <v>23596</v>
      </c>
      <c r="Q22" s="568"/>
      <c r="R22" s="554"/>
      <c r="S22" s="554">
        <v>0.1</v>
      </c>
      <c r="T22" s="567">
        <f t="shared" si="3"/>
        <v>2359.6</v>
      </c>
      <c r="U22" s="569"/>
      <c r="V22" s="554"/>
      <c r="W22" s="570">
        <f t="shared" si="2"/>
        <v>25955.599999999999</v>
      </c>
      <c r="X22" s="406">
        <f t="shared" si="2"/>
        <v>0</v>
      </c>
      <c r="Y22" s="406">
        <f t="shared" si="2"/>
        <v>0</v>
      </c>
    </row>
    <row r="23" spans="1:25" s="377" customFormat="1" ht="17.25" customHeight="1">
      <c r="A23" s="952">
        <v>16</v>
      </c>
      <c r="B23" s="153" t="s">
        <v>133</v>
      </c>
      <c r="C23" s="549" t="s">
        <v>99</v>
      </c>
      <c r="D23" s="563" t="s">
        <v>25</v>
      </c>
      <c r="E23" s="562" t="s">
        <v>474</v>
      </c>
      <c r="F23" s="562" t="s">
        <v>34</v>
      </c>
      <c r="G23" s="560">
        <v>1</v>
      </c>
      <c r="H23" s="563" t="s">
        <v>102</v>
      </c>
      <c r="I23" s="563" t="s">
        <v>103</v>
      </c>
      <c r="J23" s="581">
        <v>1</v>
      </c>
      <c r="K23" s="554">
        <v>17697</v>
      </c>
      <c r="L23" s="565">
        <v>11</v>
      </c>
      <c r="M23" s="554">
        <f t="shared" si="1"/>
        <v>0.61111111111111116</v>
      </c>
      <c r="N23" s="574" t="s">
        <v>152</v>
      </c>
      <c r="O23" s="566">
        <v>4.75</v>
      </c>
      <c r="P23" s="567">
        <f t="shared" si="0"/>
        <v>51370.458333333336</v>
      </c>
      <c r="Q23" s="568"/>
      <c r="R23" s="554"/>
      <c r="S23" s="554">
        <v>0.1</v>
      </c>
      <c r="T23" s="567">
        <f t="shared" si="3"/>
        <v>5137.0458333333336</v>
      </c>
      <c r="U23" s="569"/>
      <c r="V23" s="554"/>
      <c r="W23" s="570">
        <f t="shared" si="2"/>
        <v>56507.504166666666</v>
      </c>
      <c r="X23" s="406">
        <f t="shared" si="2"/>
        <v>0</v>
      </c>
      <c r="Y23" s="406">
        <f t="shared" si="2"/>
        <v>0</v>
      </c>
    </row>
    <row r="24" spans="1:25" s="377" customFormat="1" ht="17.25" customHeight="1">
      <c r="A24" s="951">
        <v>17</v>
      </c>
      <c r="B24" s="153" t="s">
        <v>135</v>
      </c>
      <c r="C24" s="549" t="s">
        <v>99</v>
      </c>
      <c r="D24" s="563" t="s">
        <v>25</v>
      </c>
      <c r="E24" s="562" t="s">
        <v>465</v>
      </c>
      <c r="F24" s="562" t="s">
        <v>34</v>
      </c>
      <c r="G24" s="560">
        <v>1</v>
      </c>
      <c r="H24" s="563" t="s">
        <v>102</v>
      </c>
      <c r="I24" s="563" t="s">
        <v>103</v>
      </c>
      <c r="J24" s="581">
        <v>1</v>
      </c>
      <c r="K24" s="554">
        <v>17697</v>
      </c>
      <c r="L24" s="565">
        <v>21</v>
      </c>
      <c r="M24" s="554">
        <f t="shared" si="1"/>
        <v>1.1666666666666667</v>
      </c>
      <c r="N24" s="574" t="s">
        <v>152</v>
      </c>
      <c r="O24" s="566">
        <v>4.75</v>
      </c>
      <c r="P24" s="567">
        <f t="shared" si="0"/>
        <v>98070.875</v>
      </c>
      <c r="Q24" s="568"/>
      <c r="R24" s="554"/>
      <c r="S24" s="554">
        <v>0.1</v>
      </c>
      <c r="T24" s="567">
        <f t="shared" si="3"/>
        <v>9807.0874999999996</v>
      </c>
      <c r="U24" s="569"/>
      <c r="V24" s="554"/>
      <c r="W24" s="570">
        <f t="shared" si="2"/>
        <v>107877.96249999999</v>
      </c>
      <c r="X24" s="406">
        <f t="shared" si="2"/>
        <v>0</v>
      </c>
      <c r="Y24" s="406">
        <f t="shared" si="2"/>
        <v>0</v>
      </c>
    </row>
    <row r="25" spans="1:25" s="377" customFormat="1" ht="17.25" customHeight="1">
      <c r="A25" s="952">
        <v>18</v>
      </c>
      <c r="B25" s="153" t="s">
        <v>138</v>
      </c>
      <c r="C25" s="549" t="s">
        <v>99</v>
      </c>
      <c r="D25" s="563" t="s">
        <v>25</v>
      </c>
      <c r="E25" s="562" t="s">
        <v>475</v>
      </c>
      <c r="F25" s="562" t="s">
        <v>476</v>
      </c>
      <c r="G25" s="560">
        <v>1</v>
      </c>
      <c r="H25" s="563" t="s">
        <v>102</v>
      </c>
      <c r="I25" s="563" t="s">
        <v>103</v>
      </c>
      <c r="J25" s="572">
        <v>4</v>
      </c>
      <c r="K25" s="554">
        <v>17697</v>
      </c>
      <c r="L25" s="565">
        <v>23</v>
      </c>
      <c r="M25" s="554">
        <f t="shared" si="1"/>
        <v>1.2777777777777777</v>
      </c>
      <c r="N25" s="574" t="s">
        <v>112</v>
      </c>
      <c r="O25" s="566">
        <v>3.78</v>
      </c>
      <c r="P25" s="567">
        <f t="shared" si="0"/>
        <v>85476.510000000009</v>
      </c>
      <c r="Q25" s="568"/>
      <c r="R25" s="554"/>
      <c r="S25" s="554">
        <v>0.1</v>
      </c>
      <c r="T25" s="567">
        <f t="shared" si="3"/>
        <v>8547.6510000000017</v>
      </c>
      <c r="U25" s="569"/>
      <c r="V25" s="554"/>
      <c r="W25" s="570">
        <f t="shared" si="2"/>
        <v>94024.161000000007</v>
      </c>
      <c r="X25" s="406"/>
      <c r="Y25" s="406"/>
    </row>
    <row r="26" spans="1:25" s="377" customFormat="1" ht="17.25" customHeight="1">
      <c r="A26" s="951">
        <v>19</v>
      </c>
      <c r="B26" s="153" t="s">
        <v>58</v>
      </c>
      <c r="C26" s="549" t="s">
        <v>99</v>
      </c>
      <c r="D26" s="563" t="s">
        <v>25</v>
      </c>
      <c r="E26" s="562" t="s">
        <v>477</v>
      </c>
      <c r="F26" s="562" t="s">
        <v>366</v>
      </c>
      <c r="G26" s="560">
        <v>1</v>
      </c>
      <c r="H26" s="563" t="s">
        <v>102</v>
      </c>
      <c r="I26" s="563" t="s">
        <v>103</v>
      </c>
      <c r="J26" s="581">
        <v>3</v>
      </c>
      <c r="K26" s="554">
        <v>17697</v>
      </c>
      <c r="L26" s="565">
        <v>18</v>
      </c>
      <c r="M26" s="554">
        <f t="shared" si="1"/>
        <v>1</v>
      </c>
      <c r="N26" s="566" t="s">
        <v>109</v>
      </c>
      <c r="O26" s="566">
        <v>4.43</v>
      </c>
      <c r="P26" s="567">
        <f t="shared" si="0"/>
        <v>78397.709999999992</v>
      </c>
      <c r="Q26" s="568"/>
      <c r="R26" s="554"/>
      <c r="S26" s="554">
        <v>0.1</v>
      </c>
      <c r="T26" s="567">
        <f t="shared" si="3"/>
        <v>7839.7709999999997</v>
      </c>
      <c r="U26" s="569"/>
      <c r="V26" s="554"/>
      <c r="W26" s="570">
        <f t="shared" si="2"/>
        <v>86237.480999999985</v>
      </c>
      <c r="X26" s="406">
        <f t="shared" si="2"/>
        <v>0</v>
      </c>
      <c r="Y26" s="406">
        <f t="shared" si="2"/>
        <v>0</v>
      </c>
    </row>
    <row r="27" spans="1:25" s="377" customFormat="1" ht="17.25" customHeight="1">
      <c r="A27" s="952">
        <v>20</v>
      </c>
      <c r="B27" s="153" t="s">
        <v>145</v>
      </c>
      <c r="C27" s="549" t="s">
        <v>99</v>
      </c>
      <c r="D27" s="563" t="s">
        <v>25</v>
      </c>
      <c r="E27" s="562" t="s">
        <v>478</v>
      </c>
      <c r="F27" s="562" t="s">
        <v>140</v>
      </c>
      <c r="G27" s="560">
        <v>1</v>
      </c>
      <c r="H27" s="563" t="s">
        <v>102</v>
      </c>
      <c r="I27" s="563" t="s">
        <v>103</v>
      </c>
      <c r="J27" s="581">
        <v>4</v>
      </c>
      <c r="K27" s="554">
        <v>17697</v>
      </c>
      <c r="L27" s="565">
        <v>18</v>
      </c>
      <c r="M27" s="554">
        <f t="shared" si="1"/>
        <v>1</v>
      </c>
      <c r="N27" s="574" t="s">
        <v>112</v>
      </c>
      <c r="O27" s="566">
        <v>3.78</v>
      </c>
      <c r="P27" s="567">
        <f t="shared" si="0"/>
        <v>66894.66</v>
      </c>
      <c r="Q27" s="568"/>
      <c r="R27" s="554"/>
      <c r="S27" s="554">
        <v>0.1</v>
      </c>
      <c r="T27" s="567">
        <f t="shared" si="3"/>
        <v>6689.4660000000003</v>
      </c>
      <c r="U27" s="569"/>
      <c r="V27" s="554"/>
      <c r="W27" s="570">
        <f t="shared" si="2"/>
        <v>73584.126000000004</v>
      </c>
      <c r="X27" s="406">
        <f t="shared" si="2"/>
        <v>0</v>
      </c>
      <c r="Y27" s="406">
        <f t="shared" si="2"/>
        <v>0</v>
      </c>
    </row>
    <row r="28" spans="1:25" s="377" customFormat="1" ht="17.25" customHeight="1">
      <c r="A28" s="951">
        <v>21</v>
      </c>
      <c r="B28" s="153" t="s">
        <v>143</v>
      </c>
      <c r="C28" s="549" t="s">
        <v>99</v>
      </c>
      <c r="D28" s="563" t="s">
        <v>25</v>
      </c>
      <c r="E28" s="562" t="s">
        <v>479</v>
      </c>
      <c r="F28" s="562" t="s">
        <v>73</v>
      </c>
      <c r="G28" s="560">
        <v>1</v>
      </c>
      <c r="H28" s="563" t="s">
        <v>102</v>
      </c>
      <c r="I28" s="563" t="s">
        <v>103</v>
      </c>
      <c r="J28" s="581">
        <v>1</v>
      </c>
      <c r="K28" s="554">
        <v>17697</v>
      </c>
      <c r="L28" s="565">
        <v>34</v>
      </c>
      <c r="M28" s="554">
        <f t="shared" si="1"/>
        <v>1.8888888888888888</v>
      </c>
      <c r="N28" s="574" t="s">
        <v>152</v>
      </c>
      <c r="O28" s="566">
        <v>4.42</v>
      </c>
      <c r="P28" s="567">
        <f t="shared" si="0"/>
        <v>147750.28666666668</v>
      </c>
      <c r="Q28" s="568"/>
      <c r="R28" s="554"/>
      <c r="S28" s="554">
        <v>0.1</v>
      </c>
      <c r="T28" s="567">
        <f t="shared" si="3"/>
        <v>14775.028666666669</v>
      </c>
      <c r="U28" s="569"/>
      <c r="V28" s="554"/>
      <c r="W28" s="570">
        <f t="shared" si="2"/>
        <v>162525.31533333336</v>
      </c>
      <c r="X28" s="406">
        <f t="shared" si="2"/>
        <v>0</v>
      </c>
      <c r="Y28" s="406">
        <f t="shared" si="2"/>
        <v>0</v>
      </c>
    </row>
    <row r="29" spans="1:25" s="377" customFormat="1" ht="17.25" customHeight="1">
      <c r="A29" s="952">
        <v>22</v>
      </c>
      <c r="B29" s="153" t="s">
        <v>447</v>
      </c>
      <c r="C29" s="549" t="s">
        <v>99</v>
      </c>
      <c r="D29" s="563" t="s">
        <v>75</v>
      </c>
      <c r="E29" s="585" t="s">
        <v>440</v>
      </c>
      <c r="F29" s="585" t="s">
        <v>159</v>
      </c>
      <c r="G29" s="560">
        <v>1</v>
      </c>
      <c r="H29" s="563" t="s">
        <v>102</v>
      </c>
      <c r="I29" s="563" t="s">
        <v>118</v>
      </c>
      <c r="J29" s="581">
        <v>4</v>
      </c>
      <c r="K29" s="554">
        <v>17697</v>
      </c>
      <c r="L29" s="565">
        <v>4</v>
      </c>
      <c r="M29" s="554">
        <f t="shared" si="1"/>
        <v>0.22222222222222221</v>
      </c>
      <c r="N29" s="574" t="s">
        <v>112</v>
      </c>
      <c r="O29" s="566">
        <v>3.32</v>
      </c>
      <c r="P29" s="567">
        <f t="shared" si="0"/>
        <v>13056.453333333331</v>
      </c>
      <c r="Q29" s="568"/>
      <c r="R29" s="554"/>
      <c r="S29" s="554">
        <v>0.1</v>
      </c>
      <c r="T29" s="567">
        <f t="shared" si="3"/>
        <v>1305.6453333333332</v>
      </c>
      <c r="U29" s="569"/>
      <c r="V29" s="554"/>
      <c r="W29" s="570">
        <f t="shared" si="2"/>
        <v>14362.098666666665</v>
      </c>
      <c r="X29" s="406">
        <f t="shared" si="2"/>
        <v>0</v>
      </c>
      <c r="Y29" s="406">
        <f t="shared" si="2"/>
        <v>0</v>
      </c>
    </row>
    <row r="30" spans="1:25" s="377" customFormat="1" ht="17.25" customHeight="1">
      <c r="A30" s="951">
        <v>23</v>
      </c>
      <c r="B30" s="153" t="s">
        <v>147</v>
      </c>
      <c r="C30" s="549" t="s">
        <v>99</v>
      </c>
      <c r="D30" s="563" t="s">
        <v>25</v>
      </c>
      <c r="E30" s="562" t="s">
        <v>480</v>
      </c>
      <c r="F30" s="562" t="s">
        <v>51</v>
      </c>
      <c r="G30" s="560">
        <v>1</v>
      </c>
      <c r="H30" s="563" t="s">
        <v>102</v>
      </c>
      <c r="I30" s="563" t="s">
        <v>103</v>
      </c>
      <c r="J30" s="564">
        <v>3</v>
      </c>
      <c r="K30" s="554">
        <v>17697</v>
      </c>
      <c r="L30" s="565">
        <v>36</v>
      </c>
      <c r="M30" s="554">
        <f t="shared" si="1"/>
        <v>2</v>
      </c>
      <c r="N30" s="566" t="s">
        <v>109</v>
      </c>
      <c r="O30" s="566">
        <v>4.43</v>
      </c>
      <c r="P30" s="567">
        <f t="shared" si="0"/>
        <v>156795.41999999998</v>
      </c>
      <c r="Q30" s="568"/>
      <c r="R30" s="554"/>
      <c r="S30" s="554">
        <v>0.1</v>
      </c>
      <c r="T30" s="567">
        <f t="shared" si="3"/>
        <v>15679.541999999999</v>
      </c>
      <c r="U30" s="569"/>
      <c r="V30" s="554"/>
      <c r="W30" s="570">
        <f t="shared" si="2"/>
        <v>172474.96199999997</v>
      </c>
      <c r="X30" s="406">
        <f t="shared" si="2"/>
        <v>0</v>
      </c>
      <c r="Y30" s="406">
        <f t="shared" si="2"/>
        <v>0</v>
      </c>
    </row>
    <row r="31" spans="1:25" s="377" customFormat="1" ht="17.25" customHeight="1">
      <c r="A31" s="952">
        <v>24</v>
      </c>
      <c r="B31" s="153" t="s">
        <v>91</v>
      </c>
      <c r="C31" s="549" t="s">
        <v>99</v>
      </c>
      <c r="D31" s="563" t="s">
        <v>25</v>
      </c>
      <c r="E31" s="562" t="s">
        <v>481</v>
      </c>
      <c r="F31" s="562" t="s">
        <v>93</v>
      </c>
      <c r="G31" s="560">
        <v>1</v>
      </c>
      <c r="H31" s="563" t="s">
        <v>102</v>
      </c>
      <c r="I31" s="563" t="s">
        <v>103</v>
      </c>
      <c r="J31" s="581">
        <v>1</v>
      </c>
      <c r="K31" s="554">
        <v>17697</v>
      </c>
      <c r="L31" s="565">
        <v>36</v>
      </c>
      <c r="M31" s="554">
        <f t="shared" si="1"/>
        <v>2</v>
      </c>
      <c r="N31" s="574" t="s">
        <v>152</v>
      </c>
      <c r="O31" s="566">
        <v>4.62</v>
      </c>
      <c r="P31" s="567">
        <f t="shared" si="0"/>
        <v>163520.27999999997</v>
      </c>
      <c r="Q31" s="568"/>
      <c r="R31" s="554"/>
      <c r="S31" s="554">
        <v>0.1</v>
      </c>
      <c r="T31" s="567">
        <f t="shared" si="3"/>
        <v>16352.027999999998</v>
      </c>
      <c r="U31" s="569"/>
      <c r="V31" s="554"/>
      <c r="W31" s="570">
        <f t="shared" si="2"/>
        <v>179872.30799999996</v>
      </c>
      <c r="X31" s="406">
        <f t="shared" si="2"/>
        <v>0</v>
      </c>
      <c r="Y31" s="406">
        <f t="shared" si="2"/>
        <v>0</v>
      </c>
    </row>
    <row r="32" spans="1:25" s="377" customFormat="1" ht="17.25" customHeight="1">
      <c r="A32" s="951">
        <v>25</v>
      </c>
      <c r="B32" s="153" t="s">
        <v>150</v>
      </c>
      <c r="C32" s="549" t="s">
        <v>99</v>
      </c>
      <c r="D32" s="563" t="s">
        <v>25</v>
      </c>
      <c r="E32" s="562" t="s">
        <v>482</v>
      </c>
      <c r="F32" s="562" t="s">
        <v>34</v>
      </c>
      <c r="G32" s="560">
        <v>1</v>
      </c>
      <c r="H32" s="563" t="s">
        <v>102</v>
      </c>
      <c r="I32" s="563" t="s">
        <v>103</v>
      </c>
      <c r="J32" s="581">
        <v>1</v>
      </c>
      <c r="K32" s="554">
        <v>17697</v>
      </c>
      <c r="L32" s="565">
        <v>35</v>
      </c>
      <c r="M32" s="554">
        <f t="shared" si="1"/>
        <v>1.9444444444444444</v>
      </c>
      <c r="N32" s="574" t="s">
        <v>152</v>
      </c>
      <c r="O32" s="566">
        <v>4.75</v>
      </c>
      <c r="P32" s="567">
        <f t="shared" si="0"/>
        <v>163451.45833333334</v>
      </c>
      <c r="Q32" s="568"/>
      <c r="R32" s="554"/>
      <c r="S32" s="554">
        <v>0.1</v>
      </c>
      <c r="T32" s="567">
        <f t="shared" si="3"/>
        <v>16345.145833333336</v>
      </c>
      <c r="U32" s="569"/>
      <c r="V32" s="554"/>
      <c r="W32" s="570">
        <f t="shared" si="2"/>
        <v>179796.60416666669</v>
      </c>
      <c r="X32" s="406">
        <f t="shared" si="2"/>
        <v>0</v>
      </c>
      <c r="Y32" s="406">
        <f t="shared" si="2"/>
        <v>0</v>
      </c>
    </row>
    <row r="33" spans="1:25" s="377" customFormat="1" ht="17.25" customHeight="1">
      <c r="A33" s="952">
        <v>26</v>
      </c>
      <c r="B33" s="153" t="s">
        <v>456</v>
      </c>
      <c r="C33" s="549" t="s">
        <v>99</v>
      </c>
      <c r="D33" s="563" t="s">
        <v>25</v>
      </c>
      <c r="E33" s="562" t="s">
        <v>461</v>
      </c>
      <c r="F33" s="562" t="s">
        <v>34</v>
      </c>
      <c r="G33" s="560">
        <v>1</v>
      </c>
      <c r="H33" s="563" t="s">
        <v>102</v>
      </c>
      <c r="I33" s="563" t="s">
        <v>103</v>
      </c>
      <c r="J33" s="581">
        <v>2</v>
      </c>
      <c r="K33" s="554">
        <v>17697</v>
      </c>
      <c r="L33" s="565">
        <v>10</v>
      </c>
      <c r="M33" s="554">
        <f t="shared" si="1"/>
        <v>0.55555555555555558</v>
      </c>
      <c r="N33" s="566" t="s">
        <v>104</v>
      </c>
      <c r="O33" s="566">
        <v>4.51</v>
      </c>
      <c r="P33" s="567">
        <f t="shared" si="0"/>
        <v>44340.816666666666</v>
      </c>
      <c r="Q33" s="568"/>
      <c r="R33" s="554"/>
      <c r="S33" s="554">
        <v>0.1</v>
      </c>
      <c r="T33" s="567">
        <f t="shared" si="3"/>
        <v>4434.0816666666669</v>
      </c>
      <c r="U33" s="569"/>
      <c r="V33" s="554"/>
      <c r="W33" s="570">
        <f t="shared" si="2"/>
        <v>48774.898333333331</v>
      </c>
      <c r="X33" s="406">
        <f t="shared" si="2"/>
        <v>0</v>
      </c>
      <c r="Y33" s="406">
        <f t="shared" si="2"/>
        <v>0</v>
      </c>
    </row>
    <row r="34" spans="1:25" s="377" customFormat="1" ht="17.25" customHeight="1">
      <c r="A34" s="951">
        <v>27</v>
      </c>
      <c r="B34" s="153" t="s">
        <v>157</v>
      </c>
      <c r="C34" s="549" t="s">
        <v>99</v>
      </c>
      <c r="D34" s="563" t="s">
        <v>25</v>
      </c>
      <c r="E34" s="562" t="s">
        <v>483</v>
      </c>
      <c r="F34" s="562" t="s">
        <v>159</v>
      </c>
      <c r="G34" s="560">
        <v>1</v>
      </c>
      <c r="H34" s="563" t="s">
        <v>102</v>
      </c>
      <c r="I34" s="563" t="s">
        <v>118</v>
      </c>
      <c r="J34" s="581">
        <v>4</v>
      </c>
      <c r="K34" s="554">
        <v>17697</v>
      </c>
      <c r="L34" s="565">
        <v>18</v>
      </c>
      <c r="M34" s="554">
        <f t="shared" si="1"/>
        <v>1</v>
      </c>
      <c r="N34" s="574" t="s">
        <v>112</v>
      </c>
      <c r="O34" s="566">
        <v>3.36</v>
      </c>
      <c r="P34" s="567">
        <f t="shared" si="0"/>
        <v>59461.919999999998</v>
      </c>
      <c r="Q34" s="568"/>
      <c r="R34" s="554"/>
      <c r="S34" s="554">
        <v>0.1</v>
      </c>
      <c r="T34" s="567">
        <f t="shared" si="3"/>
        <v>5946.192</v>
      </c>
      <c r="U34" s="569"/>
      <c r="V34" s="554"/>
      <c r="W34" s="570">
        <f t="shared" si="2"/>
        <v>65408.112000000001</v>
      </c>
      <c r="X34" s="406">
        <f t="shared" si="2"/>
        <v>0</v>
      </c>
      <c r="Y34" s="406">
        <f t="shared" si="2"/>
        <v>0</v>
      </c>
    </row>
    <row r="35" spans="1:25" s="377" customFormat="1" ht="17.25" customHeight="1">
      <c r="A35" s="952">
        <v>28</v>
      </c>
      <c r="B35" s="153" t="s">
        <v>160</v>
      </c>
      <c r="C35" s="549" t="s">
        <v>99</v>
      </c>
      <c r="D35" s="563" t="s">
        <v>25</v>
      </c>
      <c r="E35" s="562" t="s">
        <v>484</v>
      </c>
      <c r="F35" s="562" t="s">
        <v>34</v>
      </c>
      <c r="G35" s="560">
        <v>1</v>
      </c>
      <c r="H35" s="563" t="s">
        <v>102</v>
      </c>
      <c r="I35" s="563" t="s">
        <v>103</v>
      </c>
      <c r="J35" s="564">
        <v>2</v>
      </c>
      <c r="K35" s="554">
        <v>17697</v>
      </c>
      <c r="L35" s="565">
        <v>23</v>
      </c>
      <c r="M35" s="554">
        <f t="shared" si="1"/>
        <v>1.2777777777777777</v>
      </c>
      <c r="N35" s="566" t="s">
        <v>104</v>
      </c>
      <c r="O35" s="566">
        <v>4.51</v>
      </c>
      <c r="P35" s="567">
        <f t="shared" si="0"/>
        <v>101983.87833333334</v>
      </c>
      <c r="Q35" s="568"/>
      <c r="R35" s="554"/>
      <c r="S35" s="554">
        <v>0.1</v>
      </c>
      <c r="T35" s="567">
        <f t="shared" si="3"/>
        <v>10198.387833333334</v>
      </c>
      <c r="U35" s="569"/>
      <c r="V35" s="554"/>
      <c r="W35" s="570">
        <f t="shared" si="2"/>
        <v>112182.26616666667</v>
      </c>
      <c r="X35" s="406">
        <f>U35+Q35</f>
        <v>0</v>
      </c>
      <c r="Y35" s="406">
        <f>V35+R35</f>
        <v>0</v>
      </c>
    </row>
    <row r="36" spans="1:25" s="377" customFormat="1" ht="17.25" customHeight="1">
      <c r="A36" s="951">
        <v>29</v>
      </c>
      <c r="B36" s="153" t="s">
        <v>162</v>
      </c>
      <c r="C36" s="549" t="s">
        <v>99</v>
      </c>
      <c r="D36" s="563" t="s">
        <v>64</v>
      </c>
      <c r="E36" s="562" t="s">
        <v>485</v>
      </c>
      <c r="F36" s="562" t="s">
        <v>77</v>
      </c>
      <c r="G36" s="560">
        <v>1</v>
      </c>
      <c r="H36" s="563" t="s">
        <v>102</v>
      </c>
      <c r="I36" s="563" t="s">
        <v>103</v>
      </c>
      <c r="J36" s="581">
        <v>4</v>
      </c>
      <c r="K36" s="554">
        <v>17697</v>
      </c>
      <c r="L36" s="565">
        <v>10</v>
      </c>
      <c r="M36" s="554">
        <f t="shared" si="1"/>
        <v>0.55555555555555558</v>
      </c>
      <c r="N36" s="574" t="s">
        <v>112</v>
      </c>
      <c r="O36" s="566">
        <v>3.71</v>
      </c>
      <c r="P36" s="567">
        <f t="shared" si="0"/>
        <v>36475.48333333333</v>
      </c>
      <c r="Q36" s="568"/>
      <c r="R36" s="554"/>
      <c r="S36" s="554">
        <v>0.1</v>
      </c>
      <c r="T36" s="567">
        <f t="shared" si="3"/>
        <v>3647.5483333333332</v>
      </c>
      <c r="U36" s="569"/>
      <c r="V36" s="554"/>
      <c r="W36" s="570">
        <f t="shared" si="2"/>
        <v>40123.031666666662</v>
      </c>
      <c r="X36" s="406">
        <f t="shared" si="2"/>
        <v>0</v>
      </c>
      <c r="Y36" s="406">
        <f t="shared" si="2"/>
        <v>0</v>
      </c>
    </row>
    <row r="37" spans="1:25" s="377" customFormat="1" ht="17.25" customHeight="1">
      <c r="A37" s="952">
        <v>30</v>
      </c>
      <c r="B37" s="153" t="s">
        <v>166</v>
      </c>
      <c r="C37" s="549" t="s">
        <v>99</v>
      </c>
      <c r="D37" s="563" t="s">
        <v>25</v>
      </c>
      <c r="E37" s="562" t="s">
        <v>486</v>
      </c>
      <c r="F37" s="562" t="s">
        <v>73</v>
      </c>
      <c r="G37" s="560">
        <v>1</v>
      </c>
      <c r="H37" s="563" t="s">
        <v>102</v>
      </c>
      <c r="I37" s="563" t="s">
        <v>103</v>
      </c>
      <c r="J37" s="581">
        <v>1</v>
      </c>
      <c r="K37" s="554">
        <v>17697</v>
      </c>
      <c r="L37" s="565">
        <v>33</v>
      </c>
      <c r="M37" s="554">
        <f t="shared" si="1"/>
        <v>1.8333333333333333</v>
      </c>
      <c r="N37" s="574" t="s">
        <v>152</v>
      </c>
      <c r="O37" s="555">
        <v>4.42</v>
      </c>
      <c r="P37" s="567">
        <f t="shared" si="0"/>
        <v>143404.69000000003</v>
      </c>
      <c r="Q37" s="568"/>
      <c r="R37" s="554"/>
      <c r="S37" s="554">
        <v>0.1</v>
      </c>
      <c r="T37" s="567">
        <f t="shared" si="3"/>
        <v>14340.469000000005</v>
      </c>
      <c r="U37" s="569"/>
      <c r="V37" s="554"/>
      <c r="W37" s="570">
        <f t="shared" si="2"/>
        <v>157745.15900000004</v>
      </c>
      <c r="X37" s="406">
        <f t="shared" si="2"/>
        <v>0</v>
      </c>
      <c r="Y37" s="406">
        <f t="shared" si="2"/>
        <v>0</v>
      </c>
    </row>
    <row r="38" spans="1:25" s="377" customFormat="1" ht="17.25" customHeight="1">
      <c r="A38" s="951">
        <v>31</v>
      </c>
      <c r="B38" s="153" t="s">
        <v>168</v>
      </c>
      <c r="C38" s="549" t="s">
        <v>99</v>
      </c>
      <c r="D38" s="563" t="s">
        <v>25</v>
      </c>
      <c r="E38" s="562" t="s">
        <v>487</v>
      </c>
      <c r="F38" s="562" t="s">
        <v>73</v>
      </c>
      <c r="G38" s="560">
        <v>1</v>
      </c>
      <c r="H38" s="563" t="s">
        <v>102</v>
      </c>
      <c r="I38" s="563" t="s">
        <v>103</v>
      </c>
      <c r="J38" s="581">
        <v>3</v>
      </c>
      <c r="K38" s="554">
        <v>17697</v>
      </c>
      <c r="L38" s="565">
        <v>29</v>
      </c>
      <c r="M38" s="554">
        <f t="shared" si="1"/>
        <v>1.6111111111111112</v>
      </c>
      <c r="N38" s="566" t="s">
        <v>109</v>
      </c>
      <c r="O38" s="566">
        <v>4.1399999999999997</v>
      </c>
      <c r="P38" s="567">
        <f t="shared" si="0"/>
        <v>118038.98999999999</v>
      </c>
      <c r="Q38" s="568"/>
      <c r="R38" s="554"/>
      <c r="S38" s="554">
        <v>0.1</v>
      </c>
      <c r="T38" s="567">
        <f t="shared" si="3"/>
        <v>11803.898999999999</v>
      </c>
      <c r="U38" s="569"/>
      <c r="V38" s="554"/>
      <c r="W38" s="570">
        <f t="shared" si="2"/>
        <v>129842.889</v>
      </c>
      <c r="X38" s="406">
        <f t="shared" si="2"/>
        <v>0</v>
      </c>
      <c r="Y38" s="406">
        <f t="shared" si="2"/>
        <v>0</v>
      </c>
    </row>
    <row r="39" spans="1:25" s="377" customFormat="1" ht="17.25" customHeight="1">
      <c r="A39" s="952">
        <v>32</v>
      </c>
      <c r="B39" s="153" t="s">
        <v>89</v>
      </c>
      <c r="C39" s="549" t="s">
        <v>99</v>
      </c>
      <c r="D39" s="563" t="s">
        <v>25</v>
      </c>
      <c r="E39" s="562" t="s">
        <v>488</v>
      </c>
      <c r="F39" s="562" t="s">
        <v>73</v>
      </c>
      <c r="G39" s="560">
        <v>1</v>
      </c>
      <c r="H39" s="563" t="s">
        <v>102</v>
      </c>
      <c r="I39" s="563" t="s">
        <v>103</v>
      </c>
      <c r="J39" s="581">
        <v>3</v>
      </c>
      <c r="K39" s="554">
        <v>17697</v>
      </c>
      <c r="L39" s="565">
        <v>22</v>
      </c>
      <c r="M39" s="554">
        <f t="shared" si="1"/>
        <v>1.2222222222222223</v>
      </c>
      <c r="N39" s="566" t="s">
        <v>109</v>
      </c>
      <c r="O39" s="566">
        <v>4.1399999999999997</v>
      </c>
      <c r="P39" s="567">
        <f t="shared" si="0"/>
        <v>89546.819999999992</v>
      </c>
      <c r="Q39" s="568"/>
      <c r="R39" s="554"/>
      <c r="S39" s="554">
        <v>0.1</v>
      </c>
      <c r="T39" s="567">
        <f t="shared" si="3"/>
        <v>8954.6819999999989</v>
      </c>
      <c r="U39" s="569"/>
      <c r="V39" s="554"/>
      <c r="W39" s="570">
        <f t="shared" si="2"/>
        <v>98501.501999999993</v>
      </c>
      <c r="X39" s="406">
        <f t="shared" si="2"/>
        <v>0</v>
      </c>
      <c r="Y39" s="406">
        <f t="shared" si="2"/>
        <v>0</v>
      </c>
    </row>
    <row r="40" spans="1:25" s="377" customFormat="1" ht="17.25" customHeight="1">
      <c r="A40" s="951">
        <v>33</v>
      </c>
      <c r="B40" s="153" t="s">
        <v>171</v>
      </c>
      <c r="C40" s="549" t="s">
        <v>99</v>
      </c>
      <c r="D40" s="563" t="s">
        <v>25</v>
      </c>
      <c r="E40" s="562" t="s">
        <v>489</v>
      </c>
      <c r="F40" s="562" t="s">
        <v>34</v>
      </c>
      <c r="G40" s="560">
        <v>1</v>
      </c>
      <c r="H40" s="563" t="s">
        <v>102</v>
      </c>
      <c r="I40" s="563" t="s">
        <v>103</v>
      </c>
      <c r="J40" s="581">
        <v>1</v>
      </c>
      <c r="K40" s="554">
        <v>17697</v>
      </c>
      <c r="L40" s="565">
        <v>36</v>
      </c>
      <c r="M40" s="554">
        <f t="shared" si="1"/>
        <v>2</v>
      </c>
      <c r="N40" s="574" t="s">
        <v>152</v>
      </c>
      <c r="O40" s="566">
        <v>4.75</v>
      </c>
      <c r="P40" s="567">
        <f t="shared" si="0"/>
        <v>168121.5</v>
      </c>
      <c r="Q40" s="568"/>
      <c r="R40" s="554"/>
      <c r="S40" s="554">
        <v>0.1</v>
      </c>
      <c r="T40" s="567">
        <f t="shared" si="3"/>
        <v>16812.150000000001</v>
      </c>
      <c r="U40" s="569"/>
      <c r="V40" s="554"/>
      <c r="W40" s="570">
        <f t="shared" si="2"/>
        <v>184933.65</v>
      </c>
      <c r="X40" s="406"/>
      <c r="Y40" s="406"/>
    </row>
    <row r="41" spans="1:25" s="377" customFormat="1" ht="16.5" customHeight="1">
      <c r="A41" s="952">
        <v>34</v>
      </c>
      <c r="B41" s="153" t="s">
        <v>207</v>
      </c>
      <c r="C41" s="549" t="s">
        <v>99</v>
      </c>
      <c r="D41" s="563" t="s">
        <v>25</v>
      </c>
      <c r="E41" s="562" t="s">
        <v>208</v>
      </c>
      <c r="F41" s="562" t="s">
        <v>209</v>
      </c>
      <c r="G41" s="560">
        <v>1</v>
      </c>
      <c r="H41" s="563" t="s">
        <v>102</v>
      </c>
      <c r="I41" s="563" t="s">
        <v>103</v>
      </c>
      <c r="J41" s="581">
        <v>2</v>
      </c>
      <c r="K41" s="554">
        <v>17697</v>
      </c>
      <c r="L41" s="565">
        <v>4</v>
      </c>
      <c r="M41" s="554">
        <f t="shared" si="1"/>
        <v>0.22222222222222221</v>
      </c>
      <c r="N41" s="566" t="s">
        <v>104</v>
      </c>
      <c r="O41" s="566">
        <v>4.2300000000000004</v>
      </c>
      <c r="P41" s="567">
        <f t="shared" si="0"/>
        <v>16635.180000000004</v>
      </c>
      <c r="Q41" s="568"/>
      <c r="R41" s="554"/>
      <c r="S41" s="554">
        <v>0.1</v>
      </c>
      <c r="T41" s="567">
        <f t="shared" si="3"/>
        <v>1663.5180000000005</v>
      </c>
      <c r="U41" s="569"/>
      <c r="V41" s="554"/>
      <c r="W41" s="570">
        <f t="shared" ref="W41:Y58" si="4">T41+P41</f>
        <v>18298.698000000004</v>
      </c>
      <c r="X41" s="406">
        <f t="shared" si="4"/>
        <v>0</v>
      </c>
      <c r="Y41" s="406">
        <f t="shared" si="4"/>
        <v>0</v>
      </c>
    </row>
    <row r="42" spans="1:25" s="377" customFormat="1" ht="17.25" customHeight="1">
      <c r="A42" s="951">
        <v>35</v>
      </c>
      <c r="B42" s="153" t="s">
        <v>173</v>
      </c>
      <c r="C42" s="549" t="s">
        <v>99</v>
      </c>
      <c r="D42" s="563" t="s">
        <v>25</v>
      </c>
      <c r="E42" s="562" t="s">
        <v>490</v>
      </c>
      <c r="F42" s="562" t="s">
        <v>101</v>
      </c>
      <c r="G42" s="560">
        <v>1</v>
      </c>
      <c r="H42" s="563" t="s">
        <v>102</v>
      </c>
      <c r="I42" s="563" t="s">
        <v>103</v>
      </c>
      <c r="J42" s="581">
        <v>1</v>
      </c>
      <c r="K42" s="554">
        <v>17697</v>
      </c>
      <c r="L42" s="565">
        <v>34.5</v>
      </c>
      <c r="M42" s="554">
        <f t="shared" si="1"/>
        <v>1.9166666666666667</v>
      </c>
      <c r="N42" s="574" t="s">
        <v>152</v>
      </c>
      <c r="O42" s="582">
        <v>4.55</v>
      </c>
      <c r="P42" s="567">
        <f t="shared" si="0"/>
        <v>154332.58749999999</v>
      </c>
      <c r="Q42" s="568"/>
      <c r="R42" s="554"/>
      <c r="S42" s="554">
        <v>0.1</v>
      </c>
      <c r="T42" s="567">
        <f t="shared" si="3"/>
        <v>15433.258750000001</v>
      </c>
      <c r="U42" s="569"/>
      <c r="V42" s="554"/>
      <c r="W42" s="570">
        <f t="shared" si="4"/>
        <v>169765.84625</v>
      </c>
      <c r="X42" s="406">
        <f t="shared" si="4"/>
        <v>0</v>
      </c>
      <c r="Y42" s="406">
        <f t="shared" si="4"/>
        <v>0</v>
      </c>
    </row>
    <row r="43" spans="1:25" s="377" customFormat="1" ht="17.25" customHeight="1">
      <c r="A43" s="952">
        <v>36</v>
      </c>
      <c r="B43" s="153" t="s">
        <v>175</v>
      </c>
      <c r="C43" s="549" t="s">
        <v>99</v>
      </c>
      <c r="D43" s="563" t="s">
        <v>25</v>
      </c>
      <c r="E43" s="562" t="s">
        <v>491</v>
      </c>
      <c r="F43" s="562" t="s">
        <v>114</v>
      </c>
      <c r="G43" s="560">
        <v>1</v>
      </c>
      <c r="H43" s="563" t="s">
        <v>102</v>
      </c>
      <c r="I43" s="563" t="s">
        <v>103</v>
      </c>
      <c r="J43" s="581">
        <v>1</v>
      </c>
      <c r="K43" s="554">
        <v>17697</v>
      </c>
      <c r="L43" s="565">
        <v>9</v>
      </c>
      <c r="M43" s="554">
        <f t="shared" si="1"/>
        <v>0.5</v>
      </c>
      <c r="N43" s="574" t="s">
        <v>152</v>
      </c>
      <c r="O43" s="566">
        <v>4.75</v>
      </c>
      <c r="P43" s="567">
        <f t="shared" si="0"/>
        <v>42030.375</v>
      </c>
      <c r="Q43" s="568"/>
      <c r="R43" s="554"/>
      <c r="S43" s="554">
        <v>0.1</v>
      </c>
      <c r="T43" s="567">
        <f t="shared" si="3"/>
        <v>4203.0375000000004</v>
      </c>
      <c r="U43" s="569"/>
      <c r="V43" s="554"/>
      <c r="W43" s="570">
        <f t="shared" si="4"/>
        <v>46233.412499999999</v>
      </c>
      <c r="X43" s="406">
        <f t="shared" si="4"/>
        <v>0</v>
      </c>
      <c r="Y43" s="406">
        <f t="shared" si="4"/>
        <v>0</v>
      </c>
    </row>
    <row r="44" spans="1:25" s="503" customFormat="1" ht="17.25" customHeight="1">
      <c r="A44" s="951">
        <v>37</v>
      </c>
      <c r="B44" s="153" t="s">
        <v>177</v>
      </c>
      <c r="C44" s="549" t="s">
        <v>99</v>
      </c>
      <c r="D44" s="563" t="s">
        <v>178</v>
      </c>
      <c r="E44" s="562" t="s">
        <v>492</v>
      </c>
      <c r="F44" s="562" t="s">
        <v>366</v>
      </c>
      <c r="G44" s="560">
        <v>1</v>
      </c>
      <c r="H44" s="563" t="s">
        <v>102</v>
      </c>
      <c r="I44" s="563" t="s">
        <v>103</v>
      </c>
      <c r="J44" s="581">
        <v>2</v>
      </c>
      <c r="K44" s="554">
        <v>17697</v>
      </c>
      <c r="L44" s="565">
        <v>26</v>
      </c>
      <c r="M44" s="554">
        <f t="shared" si="1"/>
        <v>1.4444444444444444</v>
      </c>
      <c r="N44" s="566" t="s">
        <v>104</v>
      </c>
      <c r="O44" s="566">
        <v>4.4400000000000004</v>
      </c>
      <c r="P44" s="567">
        <f t="shared" si="0"/>
        <v>113496.76000000001</v>
      </c>
      <c r="Q44" s="568"/>
      <c r="R44" s="554"/>
      <c r="S44" s="554">
        <v>0.1</v>
      </c>
      <c r="T44" s="567">
        <f t="shared" si="3"/>
        <v>11349.676000000001</v>
      </c>
      <c r="U44" s="569"/>
      <c r="V44" s="554"/>
      <c r="W44" s="570">
        <f t="shared" si="4"/>
        <v>124846.43600000002</v>
      </c>
      <c r="X44" s="502">
        <f t="shared" si="4"/>
        <v>0</v>
      </c>
      <c r="Y44" s="502">
        <f t="shared" si="4"/>
        <v>0</v>
      </c>
    </row>
    <row r="45" spans="1:25" s="503" customFormat="1" ht="17.25" customHeight="1">
      <c r="A45" s="952">
        <v>38</v>
      </c>
      <c r="B45" s="491" t="s">
        <v>448</v>
      </c>
      <c r="C45" s="549" t="s">
        <v>99</v>
      </c>
      <c r="D45" s="563" t="s">
        <v>75</v>
      </c>
      <c r="E45" s="562" t="s">
        <v>449</v>
      </c>
      <c r="F45" s="562" t="s">
        <v>159</v>
      </c>
      <c r="G45" s="560">
        <v>1</v>
      </c>
      <c r="H45" s="563" t="s">
        <v>102</v>
      </c>
      <c r="I45" s="563" t="s">
        <v>118</v>
      </c>
      <c r="J45" s="581">
        <v>4</v>
      </c>
      <c r="K45" s="554">
        <v>17697</v>
      </c>
      <c r="L45" s="565">
        <v>14</v>
      </c>
      <c r="M45" s="554">
        <f t="shared" si="1"/>
        <v>0.77777777777777779</v>
      </c>
      <c r="N45" s="574" t="s">
        <v>112</v>
      </c>
      <c r="O45" s="566">
        <v>3.32</v>
      </c>
      <c r="P45" s="567">
        <f t="shared" si="0"/>
        <v>45697.586666666655</v>
      </c>
      <c r="Q45" s="568"/>
      <c r="R45" s="554"/>
      <c r="S45" s="554">
        <v>0.1</v>
      </c>
      <c r="T45" s="567">
        <f t="shared" si="3"/>
        <v>4569.7586666666657</v>
      </c>
      <c r="U45" s="569"/>
      <c r="V45" s="554"/>
      <c r="W45" s="570">
        <f t="shared" si="4"/>
        <v>50267.345333333324</v>
      </c>
      <c r="X45" s="502"/>
      <c r="Y45" s="502"/>
    </row>
    <row r="46" spans="1:25" s="503" customFormat="1" ht="17.25" customHeight="1">
      <c r="A46" s="951">
        <v>39</v>
      </c>
      <c r="B46" s="153" t="s">
        <v>182</v>
      </c>
      <c r="C46" s="549" t="s">
        <v>99</v>
      </c>
      <c r="D46" s="563" t="s">
        <v>25</v>
      </c>
      <c r="E46" s="562" t="s">
        <v>494</v>
      </c>
      <c r="F46" s="562" t="s">
        <v>93</v>
      </c>
      <c r="G46" s="560">
        <v>1</v>
      </c>
      <c r="H46" s="563" t="s">
        <v>102</v>
      </c>
      <c r="I46" s="563" t="s">
        <v>103</v>
      </c>
      <c r="J46" s="581">
        <v>1</v>
      </c>
      <c r="K46" s="554">
        <v>17697</v>
      </c>
      <c r="L46" s="565">
        <v>35</v>
      </c>
      <c r="M46" s="554">
        <f t="shared" si="1"/>
        <v>1.9444444444444444</v>
      </c>
      <c r="N46" s="574" t="s">
        <v>152</v>
      </c>
      <c r="O46" s="566">
        <v>4.6900000000000004</v>
      </c>
      <c r="P46" s="567">
        <f t="shared" si="0"/>
        <v>161386.80833333335</v>
      </c>
      <c r="Q46" s="568"/>
      <c r="R46" s="554"/>
      <c r="S46" s="554">
        <v>0.1</v>
      </c>
      <c r="T46" s="567">
        <f t="shared" si="3"/>
        <v>16138.680833333336</v>
      </c>
      <c r="U46" s="569"/>
      <c r="V46" s="554"/>
      <c r="W46" s="570">
        <f t="shared" si="4"/>
        <v>177525.4891666667</v>
      </c>
      <c r="X46" s="502"/>
      <c r="Y46" s="502"/>
    </row>
    <row r="47" spans="1:25" s="377" customFormat="1" ht="17.25" customHeight="1">
      <c r="A47" s="952">
        <v>40</v>
      </c>
      <c r="B47" s="153" t="s">
        <v>184</v>
      </c>
      <c r="C47" s="549" t="s">
        <v>99</v>
      </c>
      <c r="D47" s="563" t="s">
        <v>25</v>
      </c>
      <c r="E47" s="586" t="s">
        <v>495</v>
      </c>
      <c r="F47" s="562" t="s">
        <v>27</v>
      </c>
      <c r="G47" s="560">
        <v>1</v>
      </c>
      <c r="H47" s="563" t="s">
        <v>102</v>
      </c>
      <c r="I47" s="563" t="s">
        <v>103</v>
      </c>
      <c r="J47" s="581">
        <v>1</v>
      </c>
      <c r="K47" s="554">
        <v>17697</v>
      </c>
      <c r="L47" s="565">
        <v>31</v>
      </c>
      <c r="M47" s="554">
        <f t="shared" si="1"/>
        <v>1.7222222222222223</v>
      </c>
      <c r="N47" s="574" t="s">
        <v>152</v>
      </c>
      <c r="O47" s="566">
        <v>4.75</v>
      </c>
      <c r="P47" s="567">
        <f t="shared" si="0"/>
        <v>144771.29166666669</v>
      </c>
      <c r="Q47" s="568"/>
      <c r="R47" s="554"/>
      <c r="S47" s="554">
        <v>0.1</v>
      </c>
      <c r="T47" s="567">
        <f t="shared" si="3"/>
        <v>14477.129166666669</v>
      </c>
      <c r="U47" s="569"/>
      <c r="V47" s="554"/>
      <c r="W47" s="570">
        <f t="shared" si="4"/>
        <v>159248.42083333337</v>
      </c>
      <c r="X47" s="406">
        <f t="shared" si="4"/>
        <v>0</v>
      </c>
      <c r="Y47" s="406">
        <f t="shared" si="4"/>
        <v>0</v>
      </c>
    </row>
    <row r="48" spans="1:25" s="377" customFormat="1" ht="17.25" customHeight="1">
      <c r="A48" s="951">
        <v>41</v>
      </c>
      <c r="B48" s="153" t="s">
        <v>186</v>
      </c>
      <c r="C48" s="549" t="s">
        <v>99</v>
      </c>
      <c r="D48" s="563" t="s">
        <v>25</v>
      </c>
      <c r="E48" s="562" t="s">
        <v>496</v>
      </c>
      <c r="F48" s="562" t="s">
        <v>27</v>
      </c>
      <c r="G48" s="560">
        <v>1</v>
      </c>
      <c r="H48" s="563" t="s">
        <v>102</v>
      </c>
      <c r="I48" s="563" t="s">
        <v>103</v>
      </c>
      <c r="J48" s="581">
        <v>1</v>
      </c>
      <c r="K48" s="554">
        <v>17697</v>
      </c>
      <c r="L48" s="565">
        <v>23</v>
      </c>
      <c r="M48" s="554">
        <f t="shared" si="1"/>
        <v>1.2777777777777777</v>
      </c>
      <c r="N48" s="574" t="s">
        <v>152</v>
      </c>
      <c r="O48" s="566">
        <v>4.75</v>
      </c>
      <c r="P48" s="567">
        <f t="shared" si="0"/>
        <v>107410.95833333334</v>
      </c>
      <c r="Q48" s="568"/>
      <c r="R48" s="554"/>
      <c r="S48" s="554">
        <v>0.1</v>
      </c>
      <c r="T48" s="567">
        <f t="shared" si="3"/>
        <v>10741.095833333335</v>
      </c>
      <c r="U48" s="569"/>
      <c r="V48" s="554"/>
      <c r="W48" s="570">
        <f t="shared" si="4"/>
        <v>118152.05416666668</v>
      </c>
      <c r="X48" s="406">
        <f t="shared" si="4"/>
        <v>0</v>
      </c>
      <c r="Y48" s="406">
        <f t="shared" si="4"/>
        <v>0</v>
      </c>
    </row>
    <row r="49" spans="1:25" s="377" customFormat="1" ht="17.25" customHeight="1">
      <c r="A49" s="952">
        <v>42</v>
      </c>
      <c r="B49" s="587" t="s">
        <v>188</v>
      </c>
      <c r="C49" s="549" t="s">
        <v>99</v>
      </c>
      <c r="D49" s="589" t="s">
        <v>25</v>
      </c>
      <c r="E49" s="590" t="s">
        <v>497</v>
      </c>
      <c r="F49" s="591" t="s">
        <v>51</v>
      </c>
      <c r="G49" s="592">
        <v>1</v>
      </c>
      <c r="H49" s="589" t="s">
        <v>102</v>
      </c>
      <c r="I49" s="589" t="s">
        <v>103</v>
      </c>
      <c r="J49" s="581">
        <v>1</v>
      </c>
      <c r="K49" s="593">
        <v>17697</v>
      </c>
      <c r="L49" s="594">
        <v>36</v>
      </c>
      <c r="M49" s="554">
        <f t="shared" si="1"/>
        <v>2</v>
      </c>
      <c r="N49" s="574" t="s">
        <v>152</v>
      </c>
      <c r="O49" s="595">
        <v>4.6900000000000004</v>
      </c>
      <c r="P49" s="596">
        <f t="shared" si="0"/>
        <v>165997.86000000002</v>
      </c>
      <c r="Q49" s="597"/>
      <c r="R49" s="593"/>
      <c r="S49" s="593">
        <v>0.1</v>
      </c>
      <c r="T49" s="596">
        <f t="shared" si="3"/>
        <v>16599.786000000004</v>
      </c>
      <c r="U49" s="598"/>
      <c r="V49" s="593"/>
      <c r="W49" s="599">
        <f t="shared" si="4"/>
        <v>182597.64600000001</v>
      </c>
      <c r="X49" s="406">
        <f t="shared" si="4"/>
        <v>0</v>
      </c>
      <c r="Y49" s="406">
        <f t="shared" si="4"/>
        <v>0</v>
      </c>
    </row>
    <row r="50" spans="1:25" s="377" customFormat="1" ht="17.25" customHeight="1">
      <c r="A50" s="951">
        <v>43</v>
      </c>
      <c r="B50" s="587" t="s">
        <v>450</v>
      </c>
      <c r="C50" s="549" t="s">
        <v>99</v>
      </c>
      <c r="D50" s="589" t="s">
        <v>25</v>
      </c>
      <c r="E50" s="590" t="s">
        <v>451</v>
      </c>
      <c r="F50" s="591" t="s">
        <v>34</v>
      </c>
      <c r="G50" s="592">
        <v>1</v>
      </c>
      <c r="H50" s="589" t="s">
        <v>102</v>
      </c>
      <c r="I50" s="589" t="s">
        <v>103</v>
      </c>
      <c r="J50" s="581">
        <v>1</v>
      </c>
      <c r="K50" s="593">
        <v>17697</v>
      </c>
      <c r="L50" s="594">
        <v>21</v>
      </c>
      <c r="M50" s="554">
        <f t="shared" si="1"/>
        <v>1.1666666666666667</v>
      </c>
      <c r="N50" s="574" t="s">
        <v>152</v>
      </c>
      <c r="O50" s="595">
        <v>4.75</v>
      </c>
      <c r="P50" s="596">
        <f t="shared" si="0"/>
        <v>98070.875</v>
      </c>
      <c r="Q50" s="597"/>
      <c r="R50" s="593"/>
      <c r="S50" s="593">
        <v>0.1</v>
      </c>
      <c r="T50" s="596">
        <f t="shared" si="3"/>
        <v>9807.0874999999996</v>
      </c>
      <c r="U50" s="598"/>
      <c r="V50" s="593"/>
      <c r="W50" s="599">
        <f t="shared" si="4"/>
        <v>107877.96249999999</v>
      </c>
      <c r="X50" s="406">
        <f t="shared" si="4"/>
        <v>0</v>
      </c>
      <c r="Y50" s="406">
        <f t="shared" si="4"/>
        <v>0</v>
      </c>
    </row>
    <row r="51" spans="1:25" s="377" customFormat="1" ht="17.25" customHeight="1">
      <c r="A51" s="952">
        <v>44</v>
      </c>
      <c r="B51" s="587" t="s">
        <v>454</v>
      </c>
      <c r="C51" s="549" t="s">
        <v>99</v>
      </c>
      <c r="D51" s="589" t="s">
        <v>189</v>
      </c>
      <c r="E51" s="590" t="s">
        <v>460</v>
      </c>
      <c r="F51" s="591" t="s">
        <v>77</v>
      </c>
      <c r="G51" s="592">
        <v>1</v>
      </c>
      <c r="H51" s="589" t="s">
        <v>102</v>
      </c>
      <c r="I51" s="589" t="s">
        <v>103</v>
      </c>
      <c r="J51" s="581">
        <v>4</v>
      </c>
      <c r="K51" s="593">
        <v>17697</v>
      </c>
      <c r="L51" s="594">
        <v>34</v>
      </c>
      <c r="M51" s="554">
        <f t="shared" si="1"/>
        <v>1.8888888888888888</v>
      </c>
      <c r="N51" s="574" t="s">
        <v>112</v>
      </c>
      <c r="O51" s="595">
        <v>3.71</v>
      </c>
      <c r="P51" s="596">
        <f t="shared" si="0"/>
        <v>124016.64333333333</v>
      </c>
      <c r="Q51" s="597"/>
      <c r="R51" s="593"/>
      <c r="S51" s="593">
        <v>0.1</v>
      </c>
      <c r="T51" s="596">
        <f t="shared" si="3"/>
        <v>12401.664333333334</v>
      </c>
      <c r="U51" s="598"/>
      <c r="V51" s="593"/>
      <c r="W51" s="599">
        <f t="shared" si="4"/>
        <v>136418.30766666666</v>
      </c>
      <c r="X51" s="406">
        <f t="shared" si="4"/>
        <v>0</v>
      </c>
      <c r="Y51" s="406">
        <f t="shared" si="4"/>
        <v>0</v>
      </c>
    </row>
    <row r="52" spans="1:25" s="377" customFormat="1" ht="17.25" customHeight="1">
      <c r="A52" s="951">
        <v>45</v>
      </c>
      <c r="B52" s="159" t="s">
        <v>191</v>
      </c>
      <c r="C52" s="549" t="s">
        <v>99</v>
      </c>
      <c r="D52" s="601" t="s">
        <v>25</v>
      </c>
      <c r="E52" s="602" t="s">
        <v>498</v>
      </c>
      <c r="F52" s="585" t="s">
        <v>73</v>
      </c>
      <c r="G52" s="603">
        <v>1</v>
      </c>
      <c r="H52" s="601" t="s">
        <v>102</v>
      </c>
      <c r="I52" s="601" t="s">
        <v>103</v>
      </c>
      <c r="J52" s="604">
        <v>2</v>
      </c>
      <c r="K52" s="605">
        <v>17697</v>
      </c>
      <c r="L52" s="606">
        <v>20</v>
      </c>
      <c r="M52" s="554">
        <f t="shared" si="1"/>
        <v>1.1111111111111112</v>
      </c>
      <c r="N52" s="566" t="s">
        <v>104</v>
      </c>
      <c r="O52" s="579">
        <v>4.16</v>
      </c>
      <c r="P52" s="607">
        <f t="shared" si="0"/>
        <v>81799.466666666674</v>
      </c>
      <c r="Q52" s="608"/>
      <c r="R52" s="605"/>
      <c r="S52" s="605">
        <v>0.1</v>
      </c>
      <c r="T52" s="607">
        <f t="shared" si="3"/>
        <v>8179.9466666666676</v>
      </c>
      <c r="U52" s="609"/>
      <c r="V52" s="605"/>
      <c r="W52" s="610">
        <f t="shared" si="4"/>
        <v>89979.413333333345</v>
      </c>
      <c r="X52" s="437">
        <f t="shared" si="4"/>
        <v>0</v>
      </c>
      <c r="Y52" s="437">
        <f t="shared" si="4"/>
        <v>0</v>
      </c>
    </row>
    <row r="53" spans="1:25" s="377" customFormat="1" ht="17.25" customHeight="1">
      <c r="A53" s="952">
        <v>46</v>
      </c>
      <c r="B53" s="159" t="s">
        <v>193</v>
      </c>
      <c r="C53" s="549" t="s">
        <v>99</v>
      </c>
      <c r="D53" s="601" t="s">
        <v>64</v>
      </c>
      <c r="E53" s="602" t="s">
        <v>459</v>
      </c>
      <c r="F53" s="562" t="s">
        <v>252</v>
      </c>
      <c r="G53" s="603">
        <v>1</v>
      </c>
      <c r="H53" s="563" t="s">
        <v>102</v>
      </c>
      <c r="I53" s="563" t="s">
        <v>118</v>
      </c>
      <c r="J53" s="581">
        <v>3</v>
      </c>
      <c r="K53" s="554">
        <v>17697</v>
      </c>
      <c r="L53" s="606">
        <v>31</v>
      </c>
      <c r="M53" s="554">
        <f t="shared" si="1"/>
        <v>1.7222222222222223</v>
      </c>
      <c r="N53" s="566" t="s">
        <v>109</v>
      </c>
      <c r="O53" s="579">
        <v>3.97</v>
      </c>
      <c r="P53" s="607">
        <f t="shared" si="0"/>
        <v>120998.32166666667</v>
      </c>
      <c r="Q53" s="608"/>
      <c r="R53" s="605"/>
      <c r="S53" s="605">
        <v>0.1</v>
      </c>
      <c r="T53" s="607">
        <f t="shared" si="3"/>
        <v>12099.832166666667</v>
      </c>
      <c r="U53" s="609"/>
      <c r="V53" s="605"/>
      <c r="W53" s="611">
        <f t="shared" si="4"/>
        <v>133098.15383333334</v>
      </c>
      <c r="X53" s="437"/>
      <c r="Y53" s="437"/>
    </row>
    <row r="54" spans="1:25" s="377" customFormat="1" ht="17.25" customHeight="1">
      <c r="A54" s="951">
        <v>47</v>
      </c>
      <c r="B54" s="159" t="s">
        <v>197</v>
      </c>
      <c r="C54" s="549" t="s">
        <v>99</v>
      </c>
      <c r="D54" s="563" t="s">
        <v>25</v>
      </c>
      <c r="E54" s="210" t="s">
        <v>499</v>
      </c>
      <c r="F54" s="562" t="s">
        <v>34</v>
      </c>
      <c r="G54" s="603">
        <v>1</v>
      </c>
      <c r="H54" s="601" t="s">
        <v>102</v>
      </c>
      <c r="I54" s="601" t="s">
        <v>103</v>
      </c>
      <c r="J54" s="604">
        <v>1</v>
      </c>
      <c r="K54" s="605">
        <v>17697</v>
      </c>
      <c r="L54" s="606">
        <v>28</v>
      </c>
      <c r="M54" s="554">
        <f t="shared" si="1"/>
        <v>1.5555555555555556</v>
      </c>
      <c r="N54" s="574" t="s">
        <v>152</v>
      </c>
      <c r="O54" s="579">
        <v>4.75</v>
      </c>
      <c r="P54" s="607">
        <f t="shared" si="0"/>
        <v>130761.16666666667</v>
      </c>
      <c r="Q54" s="608"/>
      <c r="R54" s="605"/>
      <c r="S54" s="605">
        <v>0.1</v>
      </c>
      <c r="T54" s="607">
        <f t="shared" si="3"/>
        <v>13076.116666666669</v>
      </c>
      <c r="U54" s="609"/>
      <c r="V54" s="605"/>
      <c r="W54" s="611">
        <f t="shared" si="4"/>
        <v>143837.28333333333</v>
      </c>
      <c r="X54" s="437">
        <f t="shared" si="4"/>
        <v>0</v>
      </c>
      <c r="Y54" s="437">
        <f t="shared" si="4"/>
        <v>0</v>
      </c>
    </row>
    <row r="55" spans="1:25" s="377" customFormat="1" ht="17.25" customHeight="1">
      <c r="A55" s="952">
        <v>48</v>
      </c>
      <c r="B55" s="159" t="s">
        <v>199</v>
      </c>
      <c r="C55" s="549" t="s">
        <v>99</v>
      </c>
      <c r="D55" s="563" t="s">
        <v>25</v>
      </c>
      <c r="E55" s="210" t="s">
        <v>457</v>
      </c>
      <c r="F55" s="562" t="s">
        <v>122</v>
      </c>
      <c r="G55" s="603">
        <v>1</v>
      </c>
      <c r="H55" s="563" t="s">
        <v>102</v>
      </c>
      <c r="I55" s="563" t="s">
        <v>118</v>
      </c>
      <c r="J55" s="581">
        <v>4</v>
      </c>
      <c r="K55" s="605">
        <v>17697</v>
      </c>
      <c r="L55" s="606">
        <v>14</v>
      </c>
      <c r="M55" s="554">
        <f t="shared" si="1"/>
        <v>0.77777777777777779</v>
      </c>
      <c r="N55" s="574" t="s">
        <v>112</v>
      </c>
      <c r="O55" s="579">
        <v>3.36</v>
      </c>
      <c r="P55" s="607">
        <f t="shared" si="0"/>
        <v>46248.160000000003</v>
      </c>
      <c r="Q55" s="608"/>
      <c r="R55" s="605"/>
      <c r="S55" s="605">
        <v>0.1</v>
      </c>
      <c r="T55" s="607">
        <f t="shared" si="3"/>
        <v>4624.8160000000007</v>
      </c>
      <c r="U55" s="609"/>
      <c r="V55" s="605"/>
      <c r="W55" s="611">
        <f t="shared" si="4"/>
        <v>50872.976000000002</v>
      </c>
      <c r="X55" s="437">
        <f t="shared" si="4"/>
        <v>0</v>
      </c>
      <c r="Y55" s="437">
        <f t="shared" si="4"/>
        <v>0</v>
      </c>
    </row>
    <row r="56" spans="1:25" s="377" customFormat="1" ht="17.25" customHeight="1">
      <c r="A56" s="951">
        <v>49</v>
      </c>
      <c r="B56" s="159" t="s">
        <v>439</v>
      </c>
      <c r="C56" s="549" t="s">
        <v>99</v>
      </c>
      <c r="D56" s="563" t="s">
        <v>75</v>
      </c>
      <c r="E56" s="562" t="s">
        <v>504</v>
      </c>
      <c r="F56" s="562" t="s">
        <v>159</v>
      </c>
      <c r="G56" s="612">
        <v>1</v>
      </c>
      <c r="H56" s="580" t="s">
        <v>102</v>
      </c>
      <c r="I56" s="580" t="s">
        <v>118</v>
      </c>
      <c r="J56" s="574">
        <v>4</v>
      </c>
      <c r="K56" s="554">
        <v>17697</v>
      </c>
      <c r="L56" s="606">
        <v>25</v>
      </c>
      <c r="M56" s="554">
        <f t="shared" si="1"/>
        <v>1.3888888888888888</v>
      </c>
      <c r="N56" s="574" t="s">
        <v>112</v>
      </c>
      <c r="O56" s="579">
        <v>3.32</v>
      </c>
      <c r="P56" s="607">
        <f t="shared" si="0"/>
        <v>81602.833333333314</v>
      </c>
      <c r="Q56" s="608"/>
      <c r="R56" s="605"/>
      <c r="S56" s="605">
        <v>0.1</v>
      </c>
      <c r="T56" s="607">
        <f t="shared" si="3"/>
        <v>8160.2833333333319</v>
      </c>
      <c r="U56" s="609"/>
      <c r="V56" s="605"/>
      <c r="W56" s="611">
        <f t="shared" si="4"/>
        <v>89763.11666666664</v>
      </c>
      <c r="X56" s="437"/>
      <c r="Y56" s="437"/>
    </row>
    <row r="57" spans="1:25" s="377" customFormat="1" ht="17.25" customHeight="1">
      <c r="A57" s="952">
        <v>50</v>
      </c>
      <c r="B57" s="159" t="s">
        <v>200</v>
      </c>
      <c r="C57" s="549" t="s">
        <v>99</v>
      </c>
      <c r="D57" s="563" t="s">
        <v>25</v>
      </c>
      <c r="E57" s="210" t="s">
        <v>500</v>
      </c>
      <c r="F57" s="562" t="s">
        <v>34</v>
      </c>
      <c r="G57" s="603">
        <v>1</v>
      </c>
      <c r="H57" s="563" t="s">
        <v>102</v>
      </c>
      <c r="I57" s="563" t="s">
        <v>103</v>
      </c>
      <c r="J57" s="581">
        <v>2</v>
      </c>
      <c r="K57" s="554">
        <v>17697</v>
      </c>
      <c r="L57" s="565">
        <v>18</v>
      </c>
      <c r="M57" s="554">
        <f t="shared" si="1"/>
        <v>1</v>
      </c>
      <c r="N57" s="566" t="s">
        <v>104</v>
      </c>
      <c r="O57" s="566">
        <v>4.51</v>
      </c>
      <c r="P57" s="607">
        <f t="shared" si="0"/>
        <v>79813.47</v>
      </c>
      <c r="Q57" s="608"/>
      <c r="R57" s="605"/>
      <c r="S57" s="605">
        <v>0.1</v>
      </c>
      <c r="T57" s="607">
        <f t="shared" si="3"/>
        <v>7981.3470000000007</v>
      </c>
      <c r="U57" s="609"/>
      <c r="V57" s="605"/>
      <c r="W57" s="611">
        <f t="shared" si="4"/>
        <v>87794.816999999995</v>
      </c>
      <c r="X57" s="437"/>
      <c r="Y57" s="437"/>
    </row>
    <row r="58" spans="1:25" s="377" customFormat="1" ht="17.25" customHeight="1">
      <c r="A58" s="951">
        <v>51</v>
      </c>
      <c r="B58" s="153" t="s">
        <v>202</v>
      </c>
      <c r="C58" s="549" t="s">
        <v>99</v>
      </c>
      <c r="D58" s="563" t="s">
        <v>75</v>
      </c>
      <c r="E58" s="210" t="s">
        <v>203</v>
      </c>
      <c r="F58" s="562" t="s">
        <v>66</v>
      </c>
      <c r="G58" s="560">
        <v>1</v>
      </c>
      <c r="H58" s="563" t="s">
        <v>102</v>
      </c>
      <c r="I58" s="563" t="s">
        <v>103</v>
      </c>
      <c r="J58" s="581">
        <v>3</v>
      </c>
      <c r="K58" s="554">
        <v>17697</v>
      </c>
      <c r="L58" s="606">
        <v>32</v>
      </c>
      <c r="M58" s="554">
        <f t="shared" si="1"/>
        <v>1.7777777777777777</v>
      </c>
      <c r="N58" s="566" t="s">
        <v>109</v>
      </c>
      <c r="O58" s="579">
        <v>4.28</v>
      </c>
      <c r="P58" s="607">
        <f t="shared" si="0"/>
        <v>134654.50666666668</v>
      </c>
      <c r="Q58" s="608"/>
      <c r="R58" s="605"/>
      <c r="S58" s="605">
        <v>0.1</v>
      </c>
      <c r="T58" s="607">
        <f t="shared" si="3"/>
        <v>13465.450666666669</v>
      </c>
      <c r="U58" s="609"/>
      <c r="V58" s="605"/>
      <c r="W58" s="611">
        <f t="shared" si="4"/>
        <v>148119.95733333335</v>
      </c>
      <c r="X58" s="437"/>
      <c r="Y58" s="437"/>
    </row>
    <row r="59" spans="1:25" s="377" customFormat="1" ht="15.75">
      <c r="A59" s="952">
        <v>52</v>
      </c>
      <c r="B59" s="153" t="s">
        <v>215</v>
      </c>
      <c r="C59" s="549" t="s">
        <v>99</v>
      </c>
      <c r="D59" s="563" t="s">
        <v>25</v>
      </c>
      <c r="E59" s="562" t="s">
        <v>441</v>
      </c>
      <c r="F59" s="562" t="s">
        <v>217</v>
      </c>
      <c r="G59" s="571">
        <v>1</v>
      </c>
      <c r="H59" s="580" t="s">
        <v>102</v>
      </c>
      <c r="I59" s="580" t="s">
        <v>103</v>
      </c>
      <c r="J59" s="574">
        <v>1</v>
      </c>
      <c r="K59" s="554">
        <v>17697</v>
      </c>
      <c r="L59" s="573">
        <v>20</v>
      </c>
      <c r="M59" s="554">
        <f>L59/18</f>
        <v>1.1111111111111112</v>
      </c>
      <c r="N59" s="574" t="s">
        <v>112</v>
      </c>
      <c r="O59" s="575">
        <v>4.6900000000000004</v>
      </c>
      <c r="P59" s="567">
        <f>O59*K59/18*L59</f>
        <v>92221.03333333334</v>
      </c>
      <c r="Q59" s="568"/>
      <c r="R59" s="554"/>
      <c r="S59" s="554">
        <v>0.1</v>
      </c>
      <c r="T59" s="567">
        <f>P59*S59</f>
        <v>9222.1033333333344</v>
      </c>
      <c r="U59" s="569"/>
      <c r="V59" s="554"/>
      <c r="W59" s="570">
        <f t="shared" ref="W59:Y81" si="5">T59+P59</f>
        <v>101443.13666666667</v>
      </c>
      <c r="X59" s="406">
        <f t="shared" si="5"/>
        <v>0</v>
      </c>
      <c r="Y59" s="406">
        <f t="shared" si="5"/>
        <v>0</v>
      </c>
    </row>
    <row r="60" spans="1:25" s="377" customFormat="1" ht="17.25" customHeight="1">
      <c r="A60" s="952">
        <v>53</v>
      </c>
      <c r="B60" s="153" t="s">
        <v>222</v>
      </c>
      <c r="C60" s="549" t="s">
        <v>99</v>
      </c>
      <c r="D60" s="563" t="s">
        <v>25</v>
      </c>
      <c r="E60" s="562" t="s">
        <v>223</v>
      </c>
      <c r="F60" s="562" t="s">
        <v>224</v>
      </c>
      <c r="G60" s="571">
        <v>1</v>
      </c>
      <c r="H60" s="580" t="s">
        <v>102</v>
      </c>
      <c r="I60" s="580" t="s">
        <v>103</v>
      </c>
      <c r="J60" s="574">
        <v>3</v>
      </c>
      <c r="K60" s="554">
        <v>17697</v>
      </c>
      <c r="L60" s="573">
        <v>34</v>
      </c>
      <c r="M60" s="554">
        <f t="shared" ref="M60:M81" si="6">L60/18</f>
        <v>1.8888888888888888</v>
      </c>
      <c r="N60" s="566" t="s">
        <v>109</v>
      </c>
      <c r="O60" s="575">
        <v>4.16</v>
      </c>
      <c r="P60" s="567">
        <f t="shared" ref="P60:P81" si="7">O60*K60/18*L60</f>
        <v>139059.09333333332</v>
      </c>
      <c r="Q60" s="568"/>
      <c r="R60" s="554"/>
      <c r="S60" s="554">
        <v>0.1</v>
      </c>
      <c r="T60" s="567">
        <f t="shared" ref="T60:T81" si="8">P60*S60</f>
        <v>13905.909333333333</v>
      </c>
      <c r="U60" s="569"/>
      <c r="V60" s="554"/>
      <c r="W60" s="570">
        <f t="shared" si="5"/>
        <v>152965.00266666667</v>
      </c>
      <c r="X60" s="406">
        <f t="shared" si="5"/>
        <v>0</v>
      </c>
      <c r="Y60" s="406">
        <f t="shared" si="5"/>
        <v>0</v>
      </c>
    </row>
    <row r="61" spans="1:25" s="377" customFormat="1" ht="17.25" customHeight="1">
      <c r="A61" s="952">
        <v>54</v>
      </c>
      <c r="B61" s="153" t="s">
        <v>124</v>
      </c>
      <c r="C61" s="549" t="s">
        <v>99</v>
      </c>
      <c r="D61" s="560" t="s">
        <v>75</v>
      </c>
      <c r="E61" s="582" t="s">
        <v>205</v>
      </c>
      <c r="F61" s="562" t="s">
        <v>108</v>
      </c>
      <c r="G61" s="560">
        <v>1</v>
      </c>
      <c r="H61" s="563" t="s">
        <v>102</v>
      </c>
      <c r="I61" s="563" t="s">
        <v>118</v>
      </c>
      <c r="J61" s="581">
        <v>3</v>
      </c>
      <c r="K61" s="554">
        <v>17697</v>
      </c>
      <c r="L61" s="565">
        <v>13</v>
      </c>
      <c r="M61" s="554">
        <f t="shared" si="6"/>
        <v>0.72222222222222221</v>
      </c>
      <c r="N61" s="574" t="s">
        <v>109</v>
      </c>
      <c r="O61" s="566">
        <v>3.85</v>
      </c>
      <c r="P61" s="567">
        <f t="shared" si="7"/>
        <v>49207.491666666669</v>
      </c>
      <c r="Q61" s="568"/>
      <c r="R61" s="554"/>
      <c r="S61" s="554">
        <v>0.1</v>
      </c>
      <c r="T61" s="567">
        <f t="shared" si="8"/>
        <v>4920.7491666666674</v>
      </c>
      <c r="U61" s="569"/>
      <c r="V61" s="554"/>
      <c r="W61" s="570">
        <f t="shared" si="5"/>
        <v>54128.240833333337</v>
      </c>
      <c r="X61" s="406">
        <f t="shared" si="5"/>
        <v>0</v>
      </c>
      <c r="Y61" s="406">
        <f t="shared" si="5"/>
        <v>0</v>
      </c>
    </row>
    <row r="62" spans="1:25" s="377" customFormat="1" ht="17.25" customHeight="1">
      <c r="A62" s="952">
        <v>55</v>
      </c>
      <c r="B62" s="153" t="s">
        <v>116</v>
      </c>
      <c r="C62" s="549" t="s">
        <v>99</v>
      </c>
      <c r="D62" s="560" t="s">
        <v>64</v>
      </c>
      <c r="E62" s="583" t="s">
        <v>117</v>
      </c>
      <c r="F62" s="562" t="s">
        <v>114</v>
      </c>
      <c r="G62" s="560">
        <v>1</v>
      </c>
      <c r="H62" s="563" t="s">
        <v>102</v>
      </c>
      <c r="I62" s="563" t="s">
        <v>118</v>
      </c>
      <c r="J62" s="564">
        <v>1</v>
      </c>
      <c r="K62" s="554">
        <v>17697</v>
      </c>
      <c r="L62" s="565">
        <v>5</v>
      </c>
      <c r="M62" s="554">
        <f t="shared" si="6"/>
        <v>0.27777777777777779</v>
      </c>
      <c r="N62" s="574" t="s">
        <v>152</v>
      </c>
      <c r="O62" s="566">
        <v>4.5199999999999996</v>
      </c>
      <c r="P62" s="567">
        <f t="shared" si="7"/>
        <v>22219.566666666666</v>
      </c>
      <c r="Q62" s="568"/>
      <c r="R62" s="554"/>
      <c r="S62" s="554">
        <v>0.1</v>
      </c>
      <c r="T62" s="567">
        <f t="shared" si="8"/>
        <v>2221.9566666666665</v>
      </c>
      <c r="U62" s="569"/>
      <c r="V62" s="554"/>
      <c r="W62" s="570">
        <f t="shared" si="5"/>
        <v>24441.523333333331</v>
      </c>
      <c r="X62" s="406">
        <f t="shared" si="5"/>
        <v>0</v>
      </c>
      <c r="Y62" s="406">
        <f t="shared" si="5"/>
        <v>0</v>
      </c>
    </row>
    <row r="63" spans="1:25" s="377" customFormat="1" ht="17.25" customHeight="1">
      <c r="A63" s="952">
        <v>56</v>
      </c>
      <c r="B63" s="153" t="s">
        <v>127</v>
      </c>
      <c r="C63" s="549" t="s">
        <v>99</v>
      </c>
      <c r="D63" s="560" t="s">
        <v>25</v>
      </c>
      <c r="E63" s="562" t="s">
        <v>128</v>
      </c>
      <c r="F63" s="562" t="s">
        <v>34</v>
      </c>
      <c r="G63" s="560">
        <v>1</v>
      </c>
      <c r="H63" s="563" t="s">
        <v>102</v>
      </c>
      <c r="I63" s="563" t="s">
        <v>103</v>
      </c>
      <c r="J63" s="564">
        <v>1</v>
      </c>
      <c r="K63" s="554">
        <v>17697</v>
      </c>
      <c r="L63" s="565">
        <v>6</v>
      </c>
      <c r="M63" s="554">
        <f t="shared" si="6"/>
        <v>0.33333333333333331</v>
      </c>
      <c r="N63" s="574" t="s">
        <v>152</v>
      </c>
      <c r="O63" s="566">
        <v>4.75</v>
      </c>
      <c r="P63" s="567">
        <f t="shared" si="7"/>
        <v>28020.25</v>
      </c>
      <c r="Q63" s="568"/>
      <c r="R63" s="554"/>
      <c r="S63" s="554">
        <v>0.1</v>
      </c>
      <c r="T63" s="567">
        <f t="shared" si="8"/>
        <v>2802.0250000000001</v>
      </c>
      <c r="U63" s="569"/>
      <c r="V63" s="554"/>
      <c r="W63" s="570">
        <f t="shared" si="5"/>
        <v>30822.275000000001</v>
      </c>
      <c r="X63" s="406">
        <f t="shared" si="5"/>
        <v>0</v>
      </c>
      <c r="Y63" s="406">
        <f t="shared" si="5"/>
        <v>0</v>
      </c>
    </row>
    <row r="64" spans="1:25" s="377" customFormat="1" ht="17.25" customHeight="1">
      <c r="A64" s="952">
        <v>57</v>
      </c>
      <c r="B64" s="153" t="s">
        <v>227</v>
      </c>
      <c r="C64" s="549" t="s">
        <v>99</v>
      </c>
      <c r="D64" s="560" t="s">
        <v>25</v>
      </c>
      <c r="E64" s="562" t="s">
        <v>228</v>
      </c>
      <c r="F64" s="562" t="s">
        <v>229</v>
      </c>
      <c r="G64" s="571">
        <v>1</v>
      </c>
      <c r="H64" s="580" t="s">
        <v>102</v>
      </c>
      <c r="I64" s="580" t="s">
        <v>103</v>
      </c>
      <c r="J64" s="574">
        <v>3</v>
      </c>
      <c r="K64" s="554">
        <v>17697</v>
      </c>
      <c r="L64" s="573">
        <v>28</v>
      </c>
      <c r="M64" s="554">
        <f t="shared" si="6"/>
        <v>1.5555555555555556</v>
      </c>
      <c r="N64" s="566" t="s">
        <v>109</v>
      </c>
      <c r="O64" s="575">
        <v>4</v>
      </c>
      <c r="P64" s="567">
        <f t="shared" si="7"/>
        <v>110114.66666666666</v>
      </c>
      <c r="Q64" s="568"/>
      <c r="R64" s="554"/>
      <c r="S64" s="554">
        <v>0.1</v>
      </c>
      <c r="T64" s="567">
        <f t="shared" si="8"/>
        <v>11011.466666666667</v>
      </c>
      <c r="U64" s="569"/>
      <c r="V64" s="554"/>
      <c r="W64" s="570">
        <f t="shared" si="5"/>
        <v>121126.13333333333</v>
      </c>
      <c r="X64" s="406">
        <f t="shared" si="5"/>
        <v>0</v>
      </c>
      <c r="Y64" s="406">
        <f t="shared" si="5"/>
        <v>0</v>
      </c>
    </row>
    <row r="65" spans="1:25" s="377" customFormat="1" ht="17.25" customHeight="1">
      <c r="A65" s="952">
        <v>58</v>
      </c>
      <c r="B65" s="153" t="s">
        <v>230</v>
      </c>
      <c r="C65" s="549" t="s">
        <v>99</v>
      </c>
      <c r="D65" s="560" t="s">
        <v>25</v>
      </c>
      <c r="E65" s="582" t="s">
        <v>231</v>
      </c>
      <c r="F65" s="582" t="s">
        <v>40</v>
      </c>
      <c r="G65" s="627">
        <v>1</v>
      </c>
      <c r="H65" s="580" t="s">
        <v>232</v>
      </c>
      <c r="I65" s="580" t="s">
        <v>233</v>
      </c>
      <c r="J65" s="574">
        <v>1</v>
      </c>
      <c r="K65" s="554">
        <v>17697</v>
      </c>
      <c r="L65" s="573">
        <v>36</v>
      </c>
      <c r="M65" s="554">
        <f t="shared" si="6"/>
        <v>2</v>
      </c>
      <c r="N65" s="574" t="s">
        <v>152</v>
      </c>
      <c r="O65" s="566">
        <v>4.75</v>
      </c>
      <c r="P65" s="567">
        <f t="shared" si="7"/>
        <v>168121.5</v>
      </c>
      <c r="Q65" s="568"/>
      <c r="R65" s="554"/>
      <c r="S65" s="554">
        <v>0.1</v>
      </c>
      <c r="T65" s="567">
        <f t="shared" si="8"/>
        <v>16812.150000000001</v>
      </c>
      <c r="U65" s="569"/>
      <c r="V65" s="554"/>
      <c r="W65" s="570">
        <f t="shared" si="5"/>
        <v>184933.65</v>
      </c>
      <c r="X65" s="406">
        <f t="shared" si="5"/>
        <v>0</v>
      </c>
      <c r="Y65" s="406">
        <f t="shared" si="5"/>
        <v>0</v>
      </c>
    </row>
    <row r="66" spans="1:25" s="377" customFormat="1" ht="17.25" customHeight="1">
      <c r="A66" s="952">
        <v>59</v>
      </c>
      <c r="B66" s="153" t="s">
        <v>133</v>
      </c>
      <c r="C66" s="549" t="s">
        <v>99</v>
      </c>
      <c r="D66" s="563" t="s">
        <v>25</v>
      </c>
      <c r="E66" s="562" t="s">
        <v>474</v>
      </c>
      <c r="F66" s="562" t="s">
        <v>34</v>
      </c>
      <c r="G66" s="560">
        <v>1</v>
      </c>
      <c r="H66" s="563" t="s">
        <v>102</v>
      </c>
      <c r="I66" s="563" t="s">
        <v>103</v>
      </c>
      <c r="J66" s="581">
        <v>1</v>
      </c>
      <c r="K66" s="554">
        <v>17697</v>
      </c>
      <c r="L66" s="565">
        <v>17</v>
      </c>
      <c r="M66" s="554">
        <f t="shared" si="6"/>
        <v>0.94444444444444442</v>
      </c>
      <c r="N66" s="574" t="s">
        <v>152</v>
      </c>
      <c r="O66" s="566">
        <v>4.75</v>
      </c>
      <c r="P66" s="567">
        <f t="shared" si="7"/>
        <v>79390.708333333343</v>
      </c>
      <c r="Q66" s="568"/>
      <c r="R66" s="554"/>
      <c r="S66" s="554">
        <v>0.1</v>
      </c>
      <c r="T66" s="567">
        <f t="shared" si="8"/>
        <v>7939.070833333335</v>
      </c>
      <c r="U66" s="569"/>
      <c r="V66" s="554"/>
      <c r="W66" s="570">
        <f t="shared" si="5"/>
        <v>87329.779166666674</v>
      </c>
      <c r="X66" s="406">
        <f t="shared" si="5"/>
        <v>0</v>
      </c>
      <c r="Y66" s="406">
        <f t="shared" si="5"/>
        <v>0</v>
      </c>
    </row>
    <row r="67" spans="1:25" s="377" customFormat="1" ht="17.25" customHeight="1">
      <c r="A67" s="952">
        <v>60</v>
      </c>
      <c r="B67" s="153" t="s">
        <v>160</v>
      </c>
      <c r="C67" s="549" t="s">
        <v>99</v>
      </c>
      <c r="D67" s="563" t="s">
        <v>25</v>
      </c>
      <c r="E67" s="562" t="s">
        <v>484</v>
      </c>
      <c r="F67" s="562" t="s">
        <v>34</v>
      </c>
      <c r="G67" s="560">
        <v>1</v>
      </c>
      <c r="H67" s="563" t="s">
        <v>102</v>
      </c>
      <c r="I67" s="563" t="s">
        <v>103</v>
      </c>
      <c r="J67" s="564">
        <v>2</v>
      </c>
      <c r="K67" s="554">
        <v>17697</v>
      </c>
      <c r="L67" s="565">
        <v>11</v>
      </c>
      <c r="M67" s="554">
        <f t="shared" si="6"/>
        <v>0.61111111111111116</v>
      </c>
      <c r="N67" s="566" t="s">
        <v>104</v>
      </c>
      <c r="O67" s="566">
        <v>4.51</v>
      </c>
      <c r="P67" s="567">
        <f t="shared" si="7"/>
        <v>48774.898333333338</v>
      </c>
      <c r="Q67" s="568"/>
      <c r="R67" s="554"/>
      <c r="S67" s="554">
        <v>0.1</v>
      </c>
      <c r="T67" s="567">
        <f t="shared" si="8"/>
        <v>4877.489833333334</v>
      </c>
      <c r="U67" s="569"/>
      <c r="V67" s="554"/>
      <c r="W67" s="570">
        <f t="shared" si="5"/>
        <v>53652.388166666671</v>
      </c>
      <c r="X67" s="406">
        <f t="shared" si="5"/>
        <v>0</v>
      </c>
      <c r="Y67" s="406">
        <f t="shared" si="5"/>
        <v>0</v>
      </c>
    </row>
    <row r="68" spans="1:25" s="377" customFormat="1" ht="17.25" customHeight="1">
      <c r="A68" s="952">
        <v>61</v>
      </c>
      <c r="B68" s="153" t="s">
        <v>360</v>
      </c>
      <c r="C68" s="549" t="s">
        <v>99</v>
      </c>
      <c r="D68" s="563" t="s">
        <v>25</v>
      </c>
      <c r="E68" s="562" t="s">
        <v>361</v>
      </c>
      <c r="F68" s="562" t="s">
        <v>362</v>
      </c>
      <c r="G68" s="571">
        <v>1</v>
      </c>
      <c r="H68" s="580" t="s">
        <v>102</v>
      </c>
      <c r="I68" s="580" t="s">
        <v>103</v>
      </c>
      <c r="J68" s="574">
        <v>1</v>
      </c>
      <c r="K68" s="554">
        <v>17697</v>
      </c>
      <c r="L68" s="573">
        <v>24</v>
      </c>
      <c r="M68" s="554">
        <f t="shared" si="6"/>
        <v>1.3333333333333333</v>
      </c>
      <c r="N68" s="566" t="s">
        <v>152</v>
      </c>
      <c r="O68" s="575">
        <v>4.55</v>
      </c>
      <c r="P68" s="567">
        <f t="shared" si="7"/>
        <v>107361.79999999999</v>
      </c>
      <c r="Q68" s="568"/>
      <c r="R68" s="554"/>
      <c r="S68" s="554">
        <v>0.1</v>
      </c>
      <c r="T68" s="567">
        <f t="shared" si="8"/>
        <v>10736.18</v>
      </c>
      <c r="U68" s="569"/>
      <c r="V68" s="554"/>
      <c r="W68" s="570">
        <f>T68+P68</f>
        <v>118097.97999999998</v>
      </c>
      <c r="X68" s="406"/>
      <c r="Y68" s="406"/>
    </row>
    <row r="69" spans="1:25" s="377" customFormat="1" ht="17.25" customHeight="1">
      <c r="A69" s="952">
        <v>62</v>
      </c>
      <c r="B69" s="153" t="s">
        <v>162</v>
      </c>
      <c r="C69" s="549" t="s">
        <v>99</v>
      </c>
      <c r="D69" s="563" t="s">
        <v>25</v>
      </c>
      <c r="E69" s="562" t="s">
        <v>485</v>
      </c>
      <c r="F69" s="562" t="s">
        <v>77</v>
      </c>
      <c r="G69" s="560">
        <v>1</v>
      </c>
      <c r="H69" s="563" t="s">
        <v>102</v>
      </c>
      <c r="I69" s="580" t="s">
        <v>103</v>
      </c>
      <c r="J69" s="581">
        <v>4</v>
      </c>
      <c r="K69" s="554">
        <v>17697</v>
      </c>
      <c r="L69" s="565">
        <v>22</v>
      </c>
      <c r="M69" s="554">
        <f t="shared" si="6"/>
        <v>1.2222222222222223</v>
      </c>
      <c r="N69" s="574" t="s">
        <v>112</v>
      </c>
      <c r="O69" s="566">
        <v>3.71</v>
      </c>
      <c r="P69" s="567">
        <f t="shared" si="7"/>
        <v>80246.063333333324</v>
      </c>
      <c r="Q69" s="568"/>
      <c r="R69" s="554"/>
      <c r="S69" s="554">
        <v>0.1</v>
      </c>
      <c r="T69" s="567">
        <f t="shared" si="8"/>
        <v>8024.6063333333332</v>
      </c>
      <c r="U69" s="569"/>
      <c r="V69" s="554"/>
      <c r="W69" s="570">
        <f t="shared" si="5"/>
        <v>88270.669666666654</v>
      </c>
      <c r="X69" s="406">
        <f t="shared" si="5"/>
        <v>0</v>
      </c>
      <c r="Y69" s="406">
        <f t="shared" si="5"/>
        <v>0</v>
      </c>
    </row>
    <row r="70" spans="1:25" s="377" customFormat="1" ht="17.25" customHeight="1">
      <c r="A70" s="952">
        <v>63</v>
      </c>
      <c r="B70" s="153" t="s">
        <v>237</v>
      </c>
      <c r="C70" s="549" t="s">
        <v>99</v>
      </c>
      <c r="D70" s="563" t="s">
        <v>25</v>
      </c>
      <c r="E70" s="562" t="s">
        <v>238</v>
      </c>
      <c r="F70" s="562" t="s">
        <v>239</v>
      </c>
      <c r="G70" s="571">
        <v>1</v>
      </c>
      <c r="H70" s="580" t="s">
        <v>102</v>
      </c>
      <c r="I70" s="580" t="s">
        <v>103</v>
      </c>
      <c r="J70" s="574">
        <v>2</v>
      </c>
      <c r="K70" s="554">
        <v>17697</v>
      </c>
      <c r="L70" s="573">
        <v>25</v>
      </c>
      <c r="M70" s="554">
        <f t="shared" si="6"/>
        <v>1.3888888888888888</v>
      </c>
      <c r="N70" s="566" t="s">
        <v>104</v>
      </c>
      <c r="O70" s="575">
        <v>4.2300000000000004</v>
      </c>
      <c r="P70" s="567">
        <f t="shared" si="7"/>
        <v>103969.87500000003</v>
      </c>
      <c r="Q70" s="568"/>
      <c r="R70" s="554"/>
      <c r="S70" s="554">
        <v>0.1</v>
      </c>
      <c r="T70" s="567">
        <f t="shared" si="8"/>
        <v>10396.987500000003</v>
      </c>
      <c r="U70" s="569"/>
      <c r="V70" s="554"/>
      <c r="W70" s="570">
        <f t="shared" si="5"/>
        <v>114366.86250000003</v>
      </c>
      <c r="X70" s="406">
        <f t="shared" si="5"/>
        <v>0</v>
      </c>
      <c r="Y70" s="406">
        <f t="shared" si="5"/>
        <v>0</v>
      </c>
    </row>
    <row r="71" spans="1:25" s="377" customFormat="1" ht="17.25" customHeight="1">
      <c r="A71" s="952">
        <v>64</v>
      </c>
      <c r="B71" s="153" t="s">
        <v>281</v>
      </c>
      <c r="C71" s="549" t="s">
        <v>99</v>
      </c>
      <c r="D71" s="628" t="s">
        <v>25</v>
      </c>
      <c r="E71" s="586" t="s">
        <v>430</v>
      </c>
      <c r="F71" s="562" t="s">
        <v>40</v>
      </c>
      <c r="G71" s="560">
        <v>1</v>
      </c>
      <c r="H71" s="563" t="s">
        <v>102</v>
      </c>
      <c r="I71" s="563" t="s">
        <v>103</v>
      </c>
      <c r="J71" s="629">
        <v>1</v>
      </c>
      <c r="K71" s="554">
        <v>17697</v>
      </c>
      <c r="L71" s="573">
        <v>12</v>
      </c>
      <c r="M71" s="554">
        <f t="shared" si="6"/>
        <v>0.66666666666666663</v>
      </c>
      <c r="N71" s="574" t="s">
        <v>152</v>
      </c>
      <c r="O71" s="575">
        <v>4.75</v>
      </c>
      <c r="P71" s="567">
        <f t="shared" si="7"/>
        <v>56040.5</v>
      </c>
      <c r="Q71" s="568"/>
      <c r="R71" s="554"/>
      <c r="S71" s="554">
        <v>0.1</v>
      </c>
      <c r="T71" s="567">
        <f t="shared" si="8"/>
        <v>5604.05</v>
      </c>
      <c r="U71" s="569"/>
      <c r="V71" s="554"/>
      <c r="W71" s="570">
        <f t="shared" si="5"/>
        <v>61644.55</v>
      </c>
      <c r="X71" s="406">
        <f t="shared" si="5"/>
        <v>0</v>
      </c>
      <c r="Y71" s="406">
        <f t="shared" si="5"/>
        <v>0</v>
      </c>
    </row>
    <row r="72" spans="1:25" s="377" customFormat="1" ht="17.25" customHeight="1">
      <c r="A72" s="952">
        <v>65</v>
      </c>
      <c r="B72" s="477" t="s">
        <v>436</v>
      </c>
      <c r="C72" s="549" t="s">
        <v>99</v>
      </c>
      <c r="D72" s="563" t="s">
        <v>75</v>
      </c>
      <c r="E72" s="562" t="s">
        <v>437</v>
      </c>
      <c r="F72" s="562" t="s">
        <v>438</v>
      </c>
      <c r="G72" s="560"/>
      <c r="H72" s="563" t="s">
        <v>102</v>
      </c>
      <c r="I72" s="563" t="s">
        <v>118</v>
      </c>
      <c r="J72" s="581">
        <v>4</v>
      </c>
      <c r="K72" s="554">
        <v>17697</v>
      </c>
      <c r="L72" s="565">
        <v>6</v>
      </c>
      <c r="M72" s="554">
        <f t="shared" si="6"/>
        <v>0.33333333333333331</v>
      </c>
      <c r="N72" s="574" t="s">
        <v>112</v>
      </c>
      <c r="O72" s="566">
        <v>3.32</v>
      </c>
      <c r="P72" s="567">
        <f t="shared" si="7"/>
        <v>19584.679999999997</v>
      </c>
      <c r="Q72" s="568"/>
      <c r="R72" s="554"/>
      <c r="S72" s="554">
        <v>0.1</v>
      </c>
      <c r="T72" s="567">
        <f t="shared" si="8"/>
        <v>1958.4679999999998</v>
      </c>
      <c r="U72" s="569"/>
      <c r="V72" s="554"/>
      <c r="W72" s="570">
        <f t="shared" si="5"/>
        <v>21543.147999999997</v>
      </c>
      <c r="X72" s="406">
        <f>U72+Q72</f>
        <v>0</v>
      </c>
      <c r="Y72" s="406">
        <f>V72+R72</f>
        <v>0</v>
      </c>
    </row>
    <row r="73" spans="1:25" s="377" customFormat="1" ht="17.25" customHeight="1">
      <c r="A73" s="952">
        <v>66</v>
      </c>
      <c r="B73" s="153" t="s">
        <v>243</v>
      </c>
      <c r="C73" s="549" t="s">
        <v>99</v>
      </c>
      <c r="D73" s="563" t="s">
        <v>25</v>
      </c>
      <c r="E73" s="562" t="s">
        <v>244</v>
      </c>
      <c r="F73" s="562" t="s">
        <v>239</v>
      </c>
      <c r="G73" s="571">
        <v>1</v>
      </c>
      <c r="H73" s="580" t="s">
        <v>102</v>
      </c>
      <c r="I73" s="580" t="s">
        <v>103</v>
      </c>
      <c r="J73" s="574">
        <v>3</v>
      </c>
      <c r="K73" s="554">
        <v>17697</v>
      </c>
      <c r="L73" s="573">
        <v>36</v>
      </c>
      <c r="M73" s="554">
        <f t="shared" si="6"/>
        <v>2</v>
      </c>
      <c r="N73" s="566" t="s">
        <v>109</v>
      </c>
      <c r="O73" s="575">
        <v>4.16</v>
      </c>
      <c r="P73" s="567">
        <f t="shared" si="7"/>
        <v>147239.04000000001</v>
      </c>
      <c r="Q73" s="568"/>
      <c r="R73" s="554"/>
      <c r="S73" s="554">
        <v>0.1</v>
      </c>
      <c r="T73" s="567">
        <f t="shared" si="8"/>
        <v>14723.904000000002</v>
      </c>
      <c r="U73" s="569"/>
      <c r="V73" s="554"/>
      <c r="W73" s="570">
        <f t="shared" si="5"/>
        <v>161962.94400000002</v>
      </c>
      <c r="X73" s="406"/>
      <c r="Y73" s="406"/>
    </row>
    <row r="74" spans="1:25" s="377" customFormat="1" ht="17.25" customHeight="1">
      <c r="A74" s="952">
        <v>67</v>
      </c>
      <c r="B74" s="153" t="s">
        <v>245</v>
      </c>
      <c r="C74" s="549" t="s">
        <v>99</v>
      </c>
      <c r="D74" s="563" t="s">
        <v>25</v>
      </c>
      <c r="E74" s="562" t="s">
        <v>246</v>
      </c>
      <c r="F74" s="562" t="s">
        <v>40</v>
      </c>
      <c r="G74" s="571">
        <v>1</v>
      </c>
      <c r="H74" s="580" t="s">
        <v>102</v>
      </c>
      <c r="I74" s="580" t="s">
        <v>103</v>
      </c>
      <c r="J74" s="574">
        <v>1</v>
      </c>
      <c r="K74" s="554">
        <v>17697</v>
      </c>
      <c r="L74" s="573">
        <v>33</v>
      </c>
      <c r="M74" s="554">
        <f t="shared" si="6"/>
        <v>1.8333333333333333</v>
      </c>
      <c r="N74" s="574" t="s">
        <v>152</v>
      </c>
      <c r="O74" s="575">
        <v>4.75</v>
      </c>
      <c r="P74" s="567">
        <f t="shared" si="7"/>
        <v>154111.375</v>
      </c>
      <c r="Q74" s="568"/>
      <c r="R74" s="554"/>
      <c r="S74" s="554">
        <v>0.1</v>
      </c>
      <c r="T74" s="567">
        <f t="shared" si="8"/>
        <v>15411.137500000001</v>
      </c>
      <c r="U74" s="569"/>
      <c r="V74" s="554"/>
      <c r="W74" s="570">
        <f t="shared" si="5"/>
        <v>169522.51250000001</v>
      </c>
      <c r="X74" s="406">
        <f t="shared" si="5"/>
        <v>0</v>
      </c>
      <c r="Y74" s="406">
        <f t="shared" si="5"/>
        <v>0</v>
      </c>
    </row>
    <row r="75" spans="1:25" s="377" customFormat="1" ht="17.25" customHeight="1">
      <c r="A75" s="952">
        <v>68</v>
      </c>
      <c r="B75" s="153" t="s">
        <v>250</v>
      </c>
      <c r="C75" s="549" t="s">
        <v>99</v>
      </c>
      <c r="D75" s="563" t="s">
        <v>64</v>
      </c>
      <c r="E75" s="562" t="s">
        <v>251</v>
      </c>
      <c r="F75" s="562" t="s">
        <v>252</v>
      </c>
      <c r="G75" s="571">
        <v>1</v>
      </c>
      <c r="H75" s="580" t="s">
        <v>102</v>
      </c>
      <c r="I75" s="580" t="s">
        <v>118</v>
      </c>
      <c r="J75" s="574">
        <v>3</v>
      </c>
      <c r="K75" s="554">
        <v>17697</v>
      </c>
      <c r="L75" s="573">
        <v>22</v>
      </c>
      <c r="M75" s="554">
        <f t="shared" si="6"/>
        <v>1.2222222222222223</v>
      </c>
      <c r="N75" s="566" t="s">
        <v>109</v>
      </c>
      <c r="O75" s="575">
        <v>3.97</v>
      </c>
      <c r="P75" s="567">
        <f t="shared" si="7"/>
        <v>85869.776666666672</v>
      </c>
      <c r="Q75" s="568"/>
      <c r="R75" s="554"/>
      <c r="S75" s="554">
        <v>0.1</v>
      </c>
      <c r="T75" s="567">
        <f t="shared" si="8"/>
        <v>8586.9776666666676</v>
      </c>
      <c r="U75" s="569"/>
      <c r="V75" s="554"/>
      <c r="W75" s="570">
        <f t="shared" si="5"/>
        <v>94456.754333333345</v>
      </c>
      <c r="X75" s="406">
        <f t="shared" si="5"/>
        <v>0</v>
      </c>
      <c r="Y75" s="406">
        <f t="shared" si="5"/>
        <v>0</v>
      </c>
    </row>
    <row r="76" spans="1:25" s="377" customFormat="1" ht="17.25" customHeight="1">
      <c r="A76" s="952">
        <v>69</v>
      </c>
      <c r="B76" s="153" t="s">
        <v>253</v>
      </c>
      <c r="C76" s="549" t="s">
        <v>99</v>
      </c>
      <c r="D76" s="563" t="s">
        <v>25</v>
      </c>
      <c r="E76" s="562" t="s">
        <v>254</v>
      </c>
      <c r="F76" s="562" t="s">
        <v>242</v>
      </c>
      <c r="G76" s="571">
        <v>1</v>
      </c>
      <c r="H76" s="580" t="s">
        <v>102</v>
      </c>
      <c r="I76" s="580" t="s">
        <v>103</v>
      </c>
      <c r="J76" s="574">
        <v>1</v>
      </c>
      <c r="K76" s="554">
        <v>17697</v>
      </c>
      <c r="L76" s="573">
        <v>35</v>
      </c>
      <c r="M76" s="554">
        <f t="shared" si="6"/>
        <v>1.9444444444444444</v>
      </c>
      <c r="N76" s="566" t="s">
        <v>104</v>
      </c>
      <c r="O76" s="575">
        <v>4.75</v>
      </c>
      <c r="P76" s="567">
        <f t="shared" si="7"/>
        <v>163451.45833333334</v>
      </c>
      <c r="Q76" s="568"/>
      <c r="R76" s="554"/>
      <c r="S76" s="554">
        <v>0.1</v>
      </c>
      <c r="T76" s="567">
        <f t="shared" si="8"/>
        <v>16345.145833333336</v>
      </c>
      <c r="U76" s="569"/>
      <c r="V76" s="554"/>
      <c r="W76" s="570">
        <f t="shared" si="5"/>
        <v>179796.60416666669</v>
      </c>
      <c r="X76" s="406">
        <f t="shared" si="5"/>
        <v>0</v>
      </c>
      <c r="Y76" s="406">
        <f t="shared" si="5"/>
        <v>0</v>
      </c>
    </row>
    <row r="77" spans="1:25" s="377" customFormat="1" ht="17.25" customHeight="1">
      <c r="A77" s="952">
        <v>70</v>
      </c>
      <c r="B77" s="153" t="s">
        <v>255</v>
      </c>
      <c r="C77" s="549" t="s">
        <v>99</v>
      </c>
      <c r="D77" s="563" t="s">
        <v>25</v>
      </c>
      <c r="E77" s="562" t="s">
        <v>256</v>
      </c>
      <c r="F77" s="562" t="s">
        <v>40</v>
      </c>
      <c r="G77" s="571">
        <v>1</v>
      </c>
      <c r="H77" s="580" t="s">
        <v>102</v>
      </c>
      <c r="I77" s="580" t="s">
        <v>103</v>
      </c>
      <c r="J77" s="574">
        <v>1</v>
      </c>
      <c r="K77" s="554">
        <v>17697</v>
      </c>
      <c r="L77" s="573">
        <v>35</v>
      </c>
      <c r="M77" s="554">
        <f t="shared" si="6"/>
        <v>1.9444444444444444</v>
      </c>
      <c r="N77" s="574" t="s">
        <v>152</v>
      </c>
      <c r="O77" s="566">
        <v>4.75</v>
      </c>
      <c r="P77" s="567">
        <f t="shared" si="7"/>
        <v>163451.45833333334</v>
      </c>
      <c r="Q77" s="568"/>
      <c r="R77" s="554"/>
      <c r="S77" s="554">
        <v>0.1</v>
      </c>
      <c r="T77" s="567">
        <f t="shared" si="8"/>
        <v>16345.145833333336</v>
      </c>
      <c r="U77" s="569"/>
      <c r="V77" s="554"/>
      <c r="W77" s="570">
        <f t="shared" si="5"/>
        <v>179796.60416666669</v>
      </c>
      <c r="X77" s="406">
        <f t="shared" si="5"/>
        <v>0</v>
      </c>
      <c r="Y77" s="406">
        <f t="shared" si="5"/>
        <v>0</v>
      </c>
    </row>
    <row r="78" spans="1:25" s="377" customFormat="1" ht="17.25" customHeight="1">
      <c r="A78" s="952">
        <v>71</v>
      </c>
      <c r="B78" s="159" t="s">
        <v>257</v>
      </c>
      <c r="C78" s="549" t="s">
        <v>99</v>
      </c>
      <c r="D78" s="601" t="s">
        <v>25</v>
      </c>
      <c r="E78" s="946" t="s">
        <v>581</v>
      </c>
      <c r="F78" s="585" t="s">
        <v>259</v>
      </c>
      <c r="G78" s="612">
        <v>1</v>
      </c>
      <c r="H78" s="630" t="s">
        <v>102</v>
      </c>
      <c r="I78" s="630" t="s">
        <v>103</v>
      </c>
      <c r="J78" s="631">
        <v>2</v>
      </c>
      <c r="K78" s="605">
        <v>17697</v>
      </c>
      <c r="L78" s="632">
        <v>30</v>
      </c>
      <c r="M78" s="554">
        <f t="shared" si="6"/>
        <v>1.6666666666666667</v>
      </c>
      <c r="N78" s="566" t="s">
        <v>104</v>
      </c>
      <c r="O78" s="633">
        <v>4.16</v>
      </c>
      <c r="P78" s="567">
        <f t="shared" si="7"/>
        <v>122699.2</v>
      </c>
      <c r="Q78" s="608"/>
      <c r="R78" s="605"/>
      <c r="S78" s="605">
        <v>0.1</v>
      </c>
      <c r="T78" s="567">
        <f t="shared" si="8"/>
        <v>12269.92</v>
      </c>
      <c r="U78" s="609"/>
      <c r="V78" s="605"/>
      <c r="W78" s="611">
        <f t="shared" si="5"/>
        <v>134969.12</v>
      </c>
      <c r="X78" s="437">
        <f t="shared" si="5"/>
        <v>0</v>
      </c>
      <c r="Y78" s="437">
        <f t="shared" si="5"/>
        <v>0</v>
      </c>
    </row>
    <row r="79" spans="1:25" s="486" customFormat="1" ht="17.25" customHeight="1">
      <c r="A79" s="952">
        <v>72</v>
      </c>
      <c r="B79" s="153" t="s">
        <v>388</v>
      </c>
      <c r="C79" s="549" t="s">
        <v>99</v>
      </c>
      <c r="D79" s="563" t="s">
        <v>189</v>
      </c>
      <c r="E79" s="562" t="s">
        <v>390</v>
      </c>
      <c r="F79" s="562" t="s">
        <v>34</v>
      </c>
      <c r="G79" s="571">
        <v>1</v>
      </c>
      <c r="H79" s="580" t="s">
        <v>102</v>
      </c>
      <c r="I79" s="580" t="s">
        <v>103</v>
      </c>
      <c r="J79" s="574">
        <v>1</v>
      </c>
      <c r="K79" s="554">
        <v>17697</v>
      </c>
      <c r="L79" s="573">
        <v>9</v>
      </c>
      <c r="M79" s="554">
        <f t="shared" si="6"/>
        <v>0.5</v>
      </c>
      <c r="N79" s="574" t="s">
        <v>152</v>
      </c>
      <c r="O79" s="575">
        <v>4.75</v>
      </c>
      <c r="P79" s="567">
        <f t="shared" si="7"/>
        <v>42030.375</v>
      </c>
      <c r="Q79" s="568"/>
      <c r="R79" s="554"/>
      <c r="S79" s="554">
        <v>0.1</v>
      </c>
      <c r="T79" s="567">
        <f t="shared" si="8"/>
        <v>4203.0375000000004</v>
      </c>
      <c r="U79" s="569"/>
      <c r="V79" s="554"/>
      <c r="W79" s="570">
        <f t="shared" si="5"/>
        <v>46233.412499999999</v>
      </c>
      <c r="X79" s="406">
        <f t="shared" si="5"/>
        <v>0</v>
      </c>
      <c r="Y79" s="406">
        <f t="shared" si="5"/>
        <v>0</v>
      </c>
    </row>
    <row r="80" spans="1:25" s="375" customFormat="1" ht="17.25" customHeight="1">
      <c r="A80" s="952">
        <v>73</v>
      </c>
      <c r="B80" s="153" t="s">
        <v>199</v>
      </c>
      <c r="C80" s="549" t="s">
        <v>99</v>
      </c>
      <c r="D80" s="563" t="s">
        <v>25</v>
      </c>
      <c r="E80" s="210" t="s">
        <v>158</v>
      </c>
      <c r="F80" s="562" t="s">
        <v>159</v>
      </c>
      <c r="G80" s="560">
        <v>1</v>
      </c>
      <c r="H80" s="563" t="s">
        <v>102</v>
      </c>
      <c r="I80" s="563" t="s">
        <v>118</v>
      </c>
      <c r="J80" s="581">
        <v>4</v>
      </c>
      <c r="K80" s="554">
        <v>17697</v>
      </c>
      <c r="L80" s="565">
        <v>12</v>
      </c>
      <c r="M80" s="554">
        <f t="shared" si="6"/>
        <v>0.66666666666666663</v>
      </c>
      <c r="N80" s="574" t="s">
        <v>112</v>
      </c>
      <c r="O80" s="566">
        <v>3.36</v>
      </c>
      <c r="P80" s="567">
        <f>O80*K80/18*L80</f>
        <v>39641.279999999999</v>
      </c>
      <c r="Q80" s="568"/>
      <c r="R80" s="554"/>
      <c r="S80" s="554">
        <v>0.1</v>
      </c>
      <c r="T80" s="567">
        <f t="shared" si="8"/>
        <v>3964.1280000000002</v>
      </c>
      <c r="U80" s="569"/>
      <c r="V80" s="554"/>
      <c r="W80" s="570">
        <f t="shared" si="5"/>
        <v>43605.407999999996</v>
      </c>
      <c r="X80" s="406"/>
      <c r="Y80" s="406"/>
    </row>
    <row r="81" spans="1:25" s="375" customFormat="1" ht="17.25" customHeight="1">
      <c r="A81" s="952">
        <v>74</v>
      </c>
      <c r="B81" s="153" t="s">
        <v>439</v>
      </c>
      <c r="C81" s="549" t="s">
        <v>99</v>
      </c>
      <c r="D81" s="563" t="s">
        <v>75</v>
      </c>
      <c r="E81" s="562" t="s">
        <v>440</v>
      </c>
      <c r="F81" s="562" t="s">
        <v>159</v>
      </c>
      <c r="G81" s="571">
        <v>1</v>
      </c>
      <c r="H81" s="580" t="s">
        <v>102</v>
      </c>
      <c r="I81" s="580" t="s">
        <v>118</v>
      </c>
      <c r="J81" s="574">
        <v>4</v>
      </c>
      <c r="K81" s="554">
        <v>17697</v>
      </c>
      <c r="L81" s="573">
        <v>6</v>
      </c>
      <c r="M81" s="554">
        <f t="shared" si="6"/>
        <v>0.33333333333333331</v>
      </c>
      <c r="N81" s="574" t="s">
        <v>112</v>
      </c>
      <c r="O81" s="575">
        <v>3.32</v>
      </c>
      <c r="P81" s="567">
        <f t="shared" si="7"/>
        <v>19584.679999999997</v>
      </c>
      <c r="Q81" s="568"/>
      <c r="R81" s="554"/>
      <c r="S81" s="554">
        <v>0.1</v>
      </c>
      <c r="T81" s="567">
        <f t="shared" si="8"/>
        <v>1958.4679999999998</v>
      </c>
      <c r="U81" s="569"/>
      <c r="V81" s="554"/>
      <c r="W81" s="570">
        <f t="shared" si="5"/>
        <v>21543.147999999997</v>
      </c>
      <c r="X81" s="406">
        <f t="shared" si="5"/>
        <v>0</v>
      </c>
      <c r="Y81" s="406">
        <f t="shared" si="5"/>
        <v>0</v>
      </c>
    </row>
    <row r="82" spans="1:25" s="377" customFormat="1" ht="17.25" customHeight="1">
      <c r="A82" s="951">
        <v>75</v>
      </c>
      <c r="B82" s="640" t="s">
        <v>36</v>
      </c>
      <c r="C82" s="549" t="s">
        <v>99</v>
      </c>
      <c r="D82" s="642" t="s">
        <v>25</v>
      </c>
      <c r="E82" s="643" t="s">
        <v>424</v>
      </c>
      <c r="F82" s="583" t="s">
        <v>40</v>
      </c>
      <c r="G82" s="547">
        <v>1</v>
      </c>
      <c r="H82" s="577" t="s">
        <v>102</v>
      </c>
      <c r="I82" s="577" t="s">
        <v>103</v>
      </c>
      <c r="J82" s="644">
        <v>1</v>
      </c>
      <c r="K82" s="552">
        <v>17697</v>
      </c>
      <c r="L82" s="645">
        <v>9</v>
      </c>
      <c r="M82" s="552">
        <f>L82/18</f>
        <v>0.5</v>
      </c>
      <c r="N82" s="574" t="s">
        <v>152</v>
      </c>
      <c r="O82" s="642">
        <v>4.75</v>
      </c>
      <c r="P82" s="556">
        <f t="shared" ref="P82:P100" si="9">O82*K82/18*L82</f>
        <v>42030.375</v>
      </c>
      <c r="Q82" s="557"/>
      <c r="R82" s="552"/>
      <c r="S82" s="552">
        <v>0.1</v>
      </c>
      <c r="T82" s="556">
        <f t="shared" ref="T82:T92" si="10">P82*S82</f>
        <v>4203.0375000000004</v>
      </c>
      <c r="U82" s="558"/>
      <c r="V82" s="552"/>
      <c r="W82" s="559">
        <f t="shared" ref="W82:Y100" si="11">T82+P82</f>
        <v>46233.412499999999</v>
      </c>
      <c r="X82" s="363">
        <f t="shared" si="11"/>
        <v>0</v>
      </c>
      <c r="Y82" s="363">
        <f t="shared" si="11"/>
        <v>0</v>
      </c>
    </row>
    <row r="83" spans="1:25" s="377" customFormat="1" ht="17.25" customHeight="1">
      <c r="A83" s="951">
        <v>76</v>
      </c>
      <c r="B83" s="646" t="s">
        <v>261</v>
      </c>
      <c r="C83" s="549" t="s">
        <v>99</v>
      </c>
      <c r="D83" s="628" t="s">
        <v>25</v>
      </c>
      <c r="E83" s="586" t="s">
        <v>435</v>
      </c>
      <c r="F83" s="562" t="s">
        <v>425</v>
      </c>
      <c r="G83" s="560">
        <v>1</v>
      </c>
      <c r="H83" s="563" t="s">
        <v>102</v>
      </c>
      <c r="I83" s="563" t="s">
        <v>103</v>
      </c>
      <c r="J83" s="629">
        <v>2</v>
      </c>
      <c r="K83" s="554">
        <v>17697</v>
      </c>
      <c r="L83" s="648">
        <v>35</v>
      </c>
      <c r="M83" s="552">
        <f t="shared" ref="M83:M100" si="12">L83/18</f>
        <v>1.9444444444444444</v>
      </c>
      <c r="N83" s="566" t="s">
        <v>104</v>
      </c>
      <c r="O83" s="628">
        <v>4.49</v>
      </c>
      <c r="P83" s="567">
        <f t="shared" si="9"/>
        <v>154504.64166666666</v>
      </c>
      <c r="Q83" s="568"/>
      <c r="R83" s="554"/>
      <c r="S83" s="554">
        <v>0.1</v>
      </c>
      <c r="T83" s="567">
        <f t="shared" si="10"/>
        <v>15450.464166666667</v>
      </c>
      <c r="U83" s="569"/>
      <c r="V83" s="554"/>
      <c r="W83" s="570">
        <f t="shared" si="11"/>
        <v>169955.10583333333</v>
      </c>
      <c r="X83" s="406">
        <f t="shared" si="11"/>
        <v>0</v>
      </c>
      <c r="Y83" s="406">
        <f t="shared" si="11"/>
        <v>0</v>
      </c>
    </row>
    <row r="84" spans="1:25" s="377" customFormat="1" ht="16.5" customHeight="1">
      <c r="A84" s="951">
        <v>77</v>
      </c>
      <c r="B84" s="647" t="s">
        <v>264</v>
      </c>
      <c r="C84" s="549" t="s">
        <v>99</v>
      </c>
      <c r="D84" s="628" t="s">
        <v>25</v>
      </c>
      <c r="E84" s="586" t="s">
        <v>426</v>
      </c>
      <c r="F84" s="562" t="s">
        <v>40</v>
      </c>
      <c r="G84" s="560">
        <v>1</v>
      </c>
      <c r="H84" s="563" t="s">
        <v>102</v>
      </c>
      <c r="I84" s="563" t="s">
        <v>103</v>
      </c>
      <c r="J84" s="629">
        <v>1</v>
      </c>
      <c r="K84" s="554">
        <v>17697</v>
      </c>
      <c r="L84" s="648">
        <v>36</v>
      </c>
      <c r="M84" s="552">
        <f t="shared" si="12"/>
        <v>2</v>
      </c>
      <c r="N84" s="574" t="s">
        <v>152</v>
      </c>
      <c r="O84" s="628">
        <v>4.75</v>
      </c>
      <c r="P84" s="567">
        <f t="shared" si="9"/>
        <v>168121.5</v>
      </c>
      <c r="Q84" s="568"/>
      <c r="R84" s="554"/>
      <c r="S84" s="554">
        <v>0.1</v>
      </c>
      <c r="T84" s="567">
        <f t="shared" si="10"/>
        <v>16812.150000000001</v>
      </c>
      <c r="U84" s="569"/>
      <c r="V84" s="554"/>
      <c r="W84" s="570">
        <f t="shared" si="11"/>
        <v>184933.65</v>
      </c>
      <c r="X84" s="406">
        <f t="shared" si="11"/>
        <v>0</v>
      </c>
      <c r="Y84" s="406">
        <f t="shared" si="11"/>
        <v>0</v>
      </c>
    </row>
    <row r="85" spans="1:25" s="377" customFormat="1" ht="17.25" customHeight="1">
      <c r="A85" s="951">
        <v>78</v>
      </c>
      <c r="B85" s="647" t="s">
        <v>268</v>
      </c>
      <c r="C85" s="549" t="s">
        <v>99</v>
      </c>
      <c r="D85" s="628" t="s">
        <v>25</v>
      </c>
      <c r="E85" s="586" t="s">
        <v>427</v>
      </c>
      <c r="F85" s="562" t="s">
        <v>40</v>
      </c>
      <c r="G85" s="560">
        <v>1</v>
      </c>
      <c r="H85" s="563" t="s">
        <v>102</v>
      </c>
      <c r="I85" s="563" t="s">
        <v>103</v>
      </c>
      <c r="J85" s="629">
        <v>1</v>
      </c>
      <c r="K85" s="554">
        <v>17697</v>
      </c>
      <c r="L85" s="648">
        <v>36</v>
      </c>
      <c r="M85" s="552">
        <f t="shared" si="12"/>
        <v>2</v>
      </c>
      <c r="N85" s="574" t="s">
        <v>152</v>
      </c>
      <c r="O85" s="628">
        <v>4.75</v>
      </c>
      <c r="P85" s="567">
        <f t="shared" si="9"/>
        <v>168121.5</v>
      </c>
      <c r="Q85" s="568"/>
      <c r="R85" s="554"/>
      <c r="S85" s="554">
        <v>0.1</v>
      </c>
      <c r="T85" s="567">
        <f t="shared" si="10"/>
        <v>16812.150000000001</v>
      </c>
      <c r="U85" s="569"/>
      <c r="V85" s="554"/>
      <c r="W85" s="570">
        <f t="shared" si="11"/>
        <v>184933.65</v>
      </c>
      <c r="X85" s="406">
        <f t="shared" si="11"/>
        <v>0</v>
      </c>
      <c r="Y85" s="406">
        <f t="shared" si="11"/>
        <v>0</v>
      </c>
    </row>
    <row r="86" spans="1:25" s="377" customFormat="1" ht="17.25" customHeight="1">
      <c r="A86" s="951">
        <v>79</v>
      </c>
      <c r="B86" s="647" t="s">
        <v>269</v>
      </c>
      <c r="C86" s="549" t="s">
        <v>99</v>
      </c>
      <c r="D86" s="628" t="s">
        <v>25</v>
      </c>
      <c r="E86" s="586" t="s">
        <v>428</v>
      </c>
      <c r="F86" s="582" t="s">
        <v>271</v>
      </c>
      <c r="G86" s="560">
        <v>1</v>
      </c>
      <c r="H86" s="563" t="s">
        <v>102</v>
      </c>
      <c r="I86" s="563" t="s">
        <v>103</v>
      </c>
      <c r="J86" s="629">
        <v>1</v>
      </c>
      <c r="K86" s="554">
        <v>17697</v>
      </c>
      <c r="L86" s="648">
        <v>36</v>
      </c>
      <c r="M86" s="552">
        <f t="shared" si="12"/>
        <v>2</v>
      </c>
      <c r="N86" s="566" t="s">
        <v>104</v>
      </c>
      <c r="O86" s="628">
        <v>4.62</v>
      </c>
      <c r="P86" s="567">
        <f t="shared" si="9"/>
        <v>163520.27999999997</v>
      </c>
      <c r="Q86" s="568"/>
      <c r="R86" s="554"/>
      <c r="S86" s="554">
        <v>0.1</v>
      </c>
      <c r="T86" s="567">
        <f t="shared" si="10"/>
        <v>16352.027999999998</v>
      </c>
      <c r="U86" s="569"/>
      <c r="V86" s="554"/>
      <c r="W86" s="570">
        <f t="shared" si="11"/>
        <v>179872.30799999996</v>
      </c>
      <c r="X86" s="406">
        <f t="shared" si="11"/>
        <v>0</v>
      </c>
      <c r="Y86" s="406">
        <f t="shared" si="11"/>
        <v>0</v>
      </c>
    </row>
    <row r="87" spans="1:25" s="377" customFormat="1" ht="17.25" customHeight="1">
      <c r="A87" s="951">
        <v>80</v>
      </c>
      <c r="B87" s="647" t="s">
        <v>421</v>
      </c>
      <c r="C87" s="549" t="s">
        <v>99</v>
      </c>
      <c r="D87" s="628" t="s">
        <v>75</v>
      </c>
      <c r="E87" s="586" t="s">
        <v>422</v>
      </c>
      <c r="F87" s="562" t="s">
        <v>159</v>
      </c>
      <c r="G87" s="560">
        <v>1</v>
      </c>
      <c r="H87" s="563" t="s">
        <v>102</v>
      </c>
      <c r="I87" s="563" t="s">
        <v>118</v>
      </c>
      <c r="J87" s="629">
        <v>4</v>
      </c>
      <c r="K87" s="554">
        <v>17697</v>
      </c>
      <c r="L87" s="649">
        <v>10</v>
      </c>
      <c r="M87" s="552">
        <f t="shared" si="12"/>
        <v>0.55555555555555558</v>
      </c>
      <c r="N87" s="574" t="s">
        <v>112</v>
      </c>
      <c r="O87" s="628">
        <v>3.32</v>
      </c>
      <c r="P87" s="567">
        <f t="shared" si="9"/>
        <v>32641.133333333328</v>
      </c>
      <c r="Q87" s="568"/>
      <c r="R87" s="554"/>
      <c r="S87" s="554">
        <v>0.1</v>
      </c>
      <c r="T87" s="567">
        <f t="shared" si="10"/>
        <v>3264.1133333333328</v>
      </c>
      <c r="U87" s="569"/>
      <c r="V87" s="554"/>
      <c r="W87" s="570">
        <f t="shared" si="11"/>
        <v>35905.246666666659</v>
      </c>
      <c r="X87" s="406">
        <f t="shared" si="11"/>
        <v>0</v>
      </c>
      <c r="Y87" s="406">
        <f t="shared" si="11"/>
        <v>0</v>
      </c>
    </row>
    <row r="88" spans="1:25" s="377" customFormat="1" ht="17.25" customHeight="1">
      <c r="A88" s="951">
        <v>81</v>
      </c>
      <c r="B88" s="647" t="s">
        <v>391</v>
      </c>
      <c r="C88" s="549" t="s">
        <v>99</v>
      </c>
      <c r="D88" s="563" t="s">
        <v>75</v>
      </c>
      <c r="E88" s="586" t="s">
        <v>433</v>
      </c>
      <c r="F88" s="582" t="s">
        <v>77</v>
      </c>
      <c r="G88" s="560">
        <v>1</v>
      </c>
      <c r="H88" s="563" t="s">
        <v>102</v>
      </c>
      <c r="I88" s="563" t="s">
        <v>118</v>
      </c>
      <c r="J88" s="629">
        <v>4</v>
      </c>
      <c r="K88" s="554">
        <v>17697</v>
      </c>
      <c r="L88" s="648">
        <v>33</v>
      </c>
      <c r="M88" s="552">
        <f t="shared" si="12"/>
        <v>1.8333333333333333</v>
      </c>
      <c r="N88" s="574" t="s">
        <v>112</v>
      </c>
      <c r="O88" s="650">
        <v>3.41</v>
      </c>
      <c r="P88" s="567">
        <f t="shared" si="9"/>
        <v>110635.745</v>
      </c>
      <c r="Q88" s="568"/>
      <c r="R88" s="554"/>
      <c r="S88" s="554">
        <v>0.1</v>
      </c>
      <c r="T88" s="567">
        <f t="shared" si="10"/>
        <v>11063.574500000001</v>
      </c>
      <c r="U88" s="569"/>
      <c r="V88" s="554"/>
      <c r="W88" s="570">
        <f t="shared" si="11"/>
        <v>121699.3195</v>
      </c>
      <c r="X88" s="406">
        <f>U88+Q88</f>
        <v>0</v>
      </c>
      <c r="Y88" s="406">
        <f>V88+R88</f>
        <v>0</v>
      </c>
    </row>
    <row r="89" spans="1:25" s="377" customFormat="1" ht="17.25" customHeight="1">
      <c r="A89" s="951">
        <v>82</v>
      </c>
      <c r="B89" s="647" t="s">
        <v>272</v>
      </c>
      <c r="C89" s="549" t="s">
        <v>99</v>
      </c>
      <c r="D89" s="628" t="s">
        <v>25</v>
      </c>
      <c r="E89" s="586" t="s">
        <v>429</v>
      </c>
      <c r="F89" s="582" t="s">
        <v>434</v>
      </c>
      <c r="G89" s="560">
        <v>1</v>
      </c>
      <c r="H89" s="563" t="s">
        <v>102</v>
      </c>
      <c r="I89" s="563" t="s">
        <v>103</v>
      </c>
      <c r="J89" s="629">
        <v>1</v>
      </c>
      <c r="K89" s="554">
        <v>17697</v>
      </c>
      <c r="L89" s="648">
        <v>36</v>
      </c>
      <c r="M89" s="552">
        <f t="shared" si="12"/>
        <v>2</v>
      </c>
      <c r="N89" s="574" t="s">
        <v>152</v>
      </c>
      <c r="O89" s="628">
        <v>4.6900000000000004</v>
      </c>
      <c r="P89" s="567">
        <f t="shared" si="9"/>
        <v>165997.86000000002</v>
      </c>
      <c r="Q89" s="568"/>
      <c r="R89" s="554"/>
      <c r="S89" s="554">
        <v>0.1</v>
      </c>
      <c r="T89" s="567">
        <f t="shared" si="10"/>
        <v>16599.786000000004</v>
      </c>
      <c r="U89" s="569"/>
      <c r="V89" s="554"/>
      <c r="W89" s="570">
        <f t="shared" si="11"/>
        <v>182597.64600000001</v>
      </c>
      <c r="X89" s="406"/>
      <c r="Y89" s="406"/>
    </row>
    <row r="90" spans="1:25" s="377" customFormat="1" ht="17.25" customHeight="1">
      <c r="A90" s="951">
        <v>83</v>
      </c>
      <c r="B90" s="646" t="s">
        <v>274</v>
      </c>
      <c r="C90" s="549" t="s">
        <v>99</v>
      </c>
      <c r="D90" s="628" t="s">
        <v>25</v>
      </c>
      <c r="E90" s="586" t="s">
        <v>442</v>
      </c>
      <c r="F90" s="582" t="s">
        <v>403</v>
      </c>
      <c r="G90" s="560">
        <v>1</v>
      </c>
      <c r="H90" s="563" t="s">
        <v>102</v>
      </c>
      <c r="I90" s="563" t="s">
        <v>103</v>
      </c>
      <c r="J90" s="629">
        <v>2</v>
      </c>
      <c r="K90" s="554">
        <v>17697</v>
      </c>
      <c r="L90" s="648">
        <v>27</v>
      </c>
      <c r="M90" s="552">
        <f t="shared" si="12"/>
        <v>1.5</v>
      </c>
      <c r="N90" s="566" t="s">
        <v>104</v>
      </c>
      <c r="O90" s="628">
        <v>4.16</v>
      </c>
      <c r="P90" s="567">
        <f t="shared" si="9"/>
        <v>110429.28</v>
      </c>
      <c r="Q90" s="568"/>
      <c r="R90" s="554"/>
      <c r="S90" s="554">
        <v>0.1</v>
      </c>
      <c r="T90" s="567">
        <f t="shared" si="10"/>
        <v>11042.928</v>
      </c>
      <c r="U90" s="569"/>
      <c r="V90" s="554"/>
      <c r="W90" s="570">
        <f t="shared" si="11"/>
        <v>121472.208</v>
      </c>
      <c r="X90" s="406">
        <f t="shared" si="11"/>
        <v>0</v>
      </c>
      <c r="Y90" s="406">
        <f t="shared" si="11"/>
        <v>0</v>
      </c>
    </row>
    <row r="91" spans="1:25" s="377" customFormat="1" ht="17.25" customHeight="1">
      <c r="A91" s="951">
        <v>84</v>
      </c>
      <c r="B91" s="646" t="s">
        <v>420</v>
      </c>
      <c r="C91" s="549" t="s">
        <v>99</v>
      </c>
      <c r="D91" s="628" t="s">
        <v>25</v>
      </c>
      <c r="E91" s="586" t="s">
        <v>443</v>
      </c>
      <c r="F91" s="582" t="s">
        <v>403</v>
      </c>
      <c r="G91" s="560">
        <v>1</v>
      </c>
      <c r="H91" s="563" t="s">
        <v>102</v>
      </c>
      <c r="I91" s="563" t="s">
        <v>103</v>
      </c>
      <c r="J91" s="629">
        <v>4</v>
      </c>
      <c r="K91" s="554">
        <v>17697</v>
      </c>
      <c r="L91" s="648">
        <v>18</v>
      </c>
      <c r="M91" s="552">
        <f t="shared" si="12"/>
        <v>1</v>
      </c>
      <c r="N91" s="574" t="s">
        <v>112</v>
      </c>
      <c r="O91" s="628">
        <v>3.85</v>
      </c>
      <c r="P91" s="567">
        <f t="shared" si="9"/>
        <v>68133.45</v>
      </c>
      <c r="Q91" s="568"/>
      <c r="R91" s="554"/>
      <c r="S91" s="554">
        <v>0.1</v>
      </c>
      <c r="T91" s="567">
        <f t="shared" si="10"/>
        <v>6813.3450000000003</v>
      </c>
      <c r="U91" s="569"/>
      <c r="V91" s="554"/>
      <c r="W91" s="570">
        <f t="shared" si="11"/>
        <v>74946.794999999998</v>
      </c>
      <c r="X91" s="406">
        <f t="shared" si="11"/>
        <v>0</v>
      </c>
      <c r="Y91" s="406">
        <f t="shared" si="11"/>
        <v>0</v>
      </c>
    </row>
    <row r="92" spans="1:25" s="377" customFormat="1" ht="17.25" customHeight="1">
      <c r="A92" s="951">
        <v>85</v>
      </c>
      <c r="B92" s="646" t="s">
        <v>277</v>
      </c>
      <c r="C92" s="549" t="s">
        <v>99</v>
      </c>
      <c r="D92" s="628" t="s">
        <v>25</v>
      </c>
      <c r="E92" s="586" t="s">
        <v>430</v>
      </c>
      <c r="F92" s="562" t="s">
        <v>40</v>
      </c>
      <c r="G92" s="560">
        <v>1</v>
      </c>
      <c r="H92" s="563" t="s">
        <v>102</v>
      </c>
      <c r="I92" s="563" t="s">
        <v>103</v>
      </c>
      <c r="J92" s="629">
        <v>1</v>
      </c>
      <c r="K92" s="554">
        <v>17697</v>
      </c>
      <c r="L92" s="648">
        <v>14</v>
      </c>
      <c r="M92" s="552">
        <f t="shared" si="12"/>
        <v>0.77777777777777779</v>
      </c>
      <c r="N92" s="574" t="s">
        <v>152</v>
      </c>
      <c r="O92" s="628">
        <v>4.75</v>
      </c>
      <c r="P92" s="567">
        <f t="shared" si="9"/>
        <v>65380.583333333336</v>
      </c>
      <c r="Q92" s="568"/>
      <c r="R92" s="554"/>
      <c r="S92" s="554">
        <v>0.1</v>
      </c>
      <c r="T92" s="567">
        <f t="shared" si="10"/>
        <v>6538.0583333333343</v>
      </c>
      <c r="U92" s="569"/>
      <c r="V92" s="554"/>
      <c r="W92" s="570">
        <f t="shared" si="11"/>
        <v>71918.641666666663</v>
      </c>
      <c r="X92" s="406">
        <f t="shared" si="11"/>
        <v>0</v>
      </c>
      <c r="Y92" s="406">
        <f t="shared" si="11"/>
        <v>0</v>
      </c>
    </row>
    <row r="93" spans="1:25" s="377" customFormat="1" ht="17.25" customHeight="1">
      <c r="A93" s="951">
        <v>86</v>
      </c>
      <c r="B93" s="153" t="s">
        <v>175</v>
      </c>
      <c r="C93" s="549" t="s">
        <v>99</v>
      </c>
      <c r="D93" s="563" t="s">
        <v>25</v>
      </c>
      <c r="E93" s="562" t="s">
        <v>491</v>
      </c>
      <c r="F93" s="562" t="s">
        <v>114</v>
      </c>
      <c r="G93" s="560">
        <v>1</v>
      </c>
      <c r="H93" s="563" t="s">
        <v>102</v>
      </c>
      <c r="I93" s="563" t="s">
        <v>103</v>
      </c>
      <c r="J93" s="581">
        <v>1</v>
      </c>
      <c r="K93" s="554">
        <v>17697</v>
      </c>
      <c r="L93" s="565">
        <v>14</v>
      </c>
      <c r="M93" s="552">
        <f t="shared" si="12"/>
        <v>0.77777777777777779</v>
      </c>
      <c r="N93" s="574" t="s">
        <v>152</v>
      </c>
      <c r="O93" s="566">
        <v>4.75</v>
      </c>
      <c r="P93" s="567">
        <f t="shared" si="9"/>
        <v>65380.583333333336</v>
      </c>
      <c r="Q93" s="568"/>
      <c r="R93" s="554"/>
      <c r="S93" s="554">
        <v>0.1</v>
      </c>
      <c r="T93" s="567">
        <f>S93*P93</f>
        <v>6538.0583333333343</v>
      </c>
      <c r="U93" s="569"/>
      <c r="V93" s="554"/>
      <c r="W93" s="570">
        <f t="shared" si="11"/>
        <v>71918.641666666663</v>
      </c>
      <c r="X93" s="406">
        <f t="shared" si="11"/>
        <v>0</v>
      </c>
      <c r="Y93" s="406">
        <f t="shared" si="11"/>
        <v>0</v>
      </c>
    </row>
    <row r="94" spans="1:25" s="377" customFormat="1" ht="17.25" customHeight="1">
      <c r="A94" s="951">
        <v>87</v>
      </c>
      <c r="B94" s="647" t="s">
        <v>281</v>
      </c>
      <c r="C94" s="549" t="s">
        <v>99</v>
      </c>
      <c r="D94" s="628" t="s">
        <v>25</v>
      </c>
      <c r="E94" s="586" t="s">
        <v>430</v>
      </c>
      <c r="F94" s="562" t="s">
        <v>40</v>
      </c>
      <c r="G94" s="560">
        <v>1</v>
      </c>
      <c r="H94" s="563" t="s">
        <v>102</v>
      </c>
      <c r="I94" s="563" t="s">
        <v>103</v>
      </c>
      <c r="J94" s="629">
        <v>1</v>
      </c>
      <c r="K94" s="554">
        <v>17697</v>
      </c>
      <c r="L94" s="648">
        <v>24</v>
      </c>
      <c r="M94" s="552">
        <f t="shared" si="12"/>
        <v>1.3333333333333333</v>
      </c>
      <c r="N94" s="574" t="s">
        <v>152</v>
      </c>
      <c r="O94" s="628">
        <v>4.75</v>
      </c>
      <c r="P94" s="567">
        <f t="shared" si="9"/>
        <v>112081</v>
      </c>
      <c r="Q94" s="568"/>
      <c r="R94" s="554"/>
      <c r="S94" s="554">
        <v>0.1</v>
      </c>
      <c r="T94" s="567">
        <f t="shared" ref="T94:T100" si="13">P94*S94</f>
        <v>11208.1</v>
      </c>
      <c r="U94" s="569"/>
      <c r="V94" s="554"/>
      <c r="W94" s="570">
        <f t="shared" si="11"/>
        <v>123289.1</v>
      </c>
      <c r="X94" s="406"/>
      <c r="Y94" s="406"/>
    </row>
    <row r="95" spans="1:25" s="80" customFormat="1" ht="17.25" customHeight="1">
      <c r="A95" s="951">
        <v>88</v>
      </c>
      <c r="B95" s="647" t="s">
        <v>180</v>
      </c>
      <c r="C95" s="549" t="s">
        <v>99</v>
      </c>
      <c r="D95" s="628" t="s">
        <v>25</v>
      </c>
      <c r="E95" s="586" t="s">
        <v>493</v>
      </c>
      <c r="F95" s="562" t="s">
        <v>40</v>
      </c>
      <c r="G95" s="560">
        <v>1</v>
      </c>
      <c r="H95" s="563" t="s">
        <v>102</v>
      </c>
      <c r="I95" s="563" t="s">
        <v>103</v>
      </c>
      <c r="J95" s="629">
        <v>3</v>
      </c>
      <c r="K95" s="554">
        <v>17697</v>
      </c>
      <c r="L95" s="649">
        <v>20</v>
      </c>
      <c r="M95" s="552">
        <f t="shared" si="12"/>
        <v>1.1111111111111112</v>
      </c>
      <c r="N95" s="566" t="s">
        <v>109</v>
      </c>
      <c r="O95" s="628">
        <v>4.5</v>
      </c>
      <c r="P95" s="567">
        <f t="shared" si="9"/>
        <v>88485</v>
      </c>
      <c r="Q95" s="568"/>
      <c r="R95" s="554"/>
      <c r="S95" s="554">
        <v>0.1</v>
      </c>
      <c r="T95" s="567">
        <f t="shared" si="13"/>
        <v>8848.5</v>
      </c>
      <c r="U95" s="569"/>
      <c r="V95" s="554"/>
      <c r="W95" s="570">
        <f t="shared" si="11"/>
        <v>97333.5</v>
      </c>
      <c r="X95" s="274"/>
      <c r="Y95" s="274"/>
    </row>
    <row r="96" spans="1:25" s="80" customFormat="1" ht="17.25" customHeight="1">
      <c r="A96" s="951">
        <v>89</v>
      </c>
      <c r="B96" s="647" t="s">
        <v>282</v>
      </c>
      <c r="C96" s="549" t="s">
        <v>99</v>
      </c>
      <c r="D96" s="628" t="s">
        <v>25</v>
      </c>
      <c r="E96" s="586" t="s">
        <v>431</v>
      </c>
      <c r="F96" s="562" t="s">
        <v>40</v>
      </c>
      <c r="G96" s="560">
        <v>1</v>
      </c>
      <c r="H96" s="563" t="s">
        <v>102</v>
      </c>
      <c r="I96" s="563" t="s">
        <v>103</v>
      </c>
      <c r="J96" s="629">
        <v>1</v>
      </c>
      <c r="K96" s="554">
        <v>17697</v>
      </c>
      <c r="L96" s="648">
        <v>36</v>
      </c>
      <c r="M96" s="552">
        <f t="shared" si="12"/>
        <v>2</v>
      </c>
      <c r="N96" s="574" t="s">
        <v>152</v>
      </c>
      <c r="O96" s="628">
        <v>4.75</v>
      </c>
      <c r="P96" s="567">
        <f t="shared" si="9"/>
        <v>168121.5</v>
      </c>
      <c r="Q96" s="568"/>
      <c r="R96" s="554"/>
      <c r="S96" s="554">
        <v>0.1</v>
      </c>
      <c r="T96" s="567">
        <f t="shared" si="13"/>
        <v>16812.150000000001</v>
      </c>
      <c r="U96" s="569"/>
      <c r="V96" s="554"/>
      <c r="W96" s="570">
        <f t="shared" si="11"/>
        <v>184933.65</v>
      </c>
      <c r="X96" s="274">
        <f t="shared" si="11"/>
        <v>0</v>
      </c>
      <c r="Y96" s="274">
        <f t="shared" si="11"/>
        <v>0</v>
      </c>
    </row>
    <row r="97" spans="1:25" s="377" customFormat="1" ht="17.25" customHeight="1">
      <c r="A97" s="951">
        <v>90</v>
      </c>
      <c r="B97" s="647" t="s">
        <v>392</v>
      </c>
      <c r="C97" s="549" t="s">
        <v>99</v>
      </c>
      <c r="D97" s="563" t="s">
        <v>189</v>
      </c>
      <c r="E97" s="586" t="s">
        <v>444</v>
      </c>
      <c r="F97" s="582" t="s">
        <v>434</v>
      </c>
      <c r="G97" s="560">
        <v>1</v>
      </c>
      <c r="H97" s="563" t="s">
        <v>102</v>
      </c>
      <c r="I97" s="563" t="s">
        <v>103</v>
      </c>
      <c r="J97" s="572">
        <v>2</v>
      </c>
      <c r="K97" s="554">
        <v>17697</v>
      </c>
      <c r="L97" s="648">
        <v>15</v>
      </c>
      <c r="M97" s="552">
        <f t="shared" si="12"/>
        <v>0.83333333333333337</v>
      </c>
      <c r="N97" s="566" t="s">
        <v>104</v>
      </c>
      <c r="O97" s="650">
        <v>4.4400000000000004</v>
      </c>
      <c r="P97" s="567">
        <f t="shared" si="9"/>
        <v>65478.9</v>
      </c>
      <c r="Q97" s="568"/>
      <c r="R97" s="554"/>
      <c r="S97" s="554">
        <v>0.1</v>
      </c>
      <c r="T97" s="567">
        <f t="shared" si="13"/>
        <v>6547.89</v>
      </c>
      <c r="U97" s="569"/>
      <c r="V97" s="554"/>
      <c r="W97" s="570">
        <f t="shared" si="11"/>
        <v>72026.790000000008</v>
      </c>
      <c r="X97" s="406">
        <f t="shared" si="11"/>
        <v>0</v>
      </c>
      <c r="Y97" s="406">
        <f t="shared" si="11"/>
        <v>0</v>
      </c>
    </row>
    <row r="98" spans="1:25" s="377" customFormat="1" ht="17.25" customHeight="1">
      <c r="A98" s="951">
        <v>91</v>
      </c>
      <c r="B98" s="647" t="s">
        <v>184</v>
      </c>
      <c r="C98" s="549" t="s">
        <v>99</v>
      </c>
      <c r="D98" s="628" t="s">
        <v>25</v>
      </c>
      <c r="E98" s="586" t="s">
        <v>427</v>
      </c>
      <c r="F98" s="562" t="s">
        <v>40</v>
      </c>
      <c r="G98" s="560">
        <v>1</v>
      </c>
      <c r="H98" s="563" t="s">
        <v>102</v>
      </c>
      <c r="I98" s="563" t="s">
        <v>103</v>
      </c>
      <c r="J98" s="629">
        <v>1</v>
      </c>
      <c r="K98" s="554">
        <v>17697</v>
      </c>
      <c r="L98" s="648">
        <v>4</v>
      </c>
      <c r="M98" s="552">
        <f t="shared" si="12"/>
        <v>0.22222222222222221</v>
      </c>
      <c r="N98" s="574" t="s">
        <v>152</v>
      </c>
      <c r="O98" s="628">
        <v>4.75</v>
      </c>
      <c r="P98" s="567">
        <f t="shared" si="9"/>
        <v>18680.166666666668</v>
      </c>
      <c r="Q98" s="568"/>
      <c r="R98" s="554"/>
      <c r="S98" s="554">
        <v>0.1</v>
      </c>
      <c r="T98" s="567">
        <f t="shared" si="13"/>
        <v>1868.0166666666669</v>
      </c>
      <c r="U98" s="569"/>
      <c r="V98" s="554"/>
      <c r="W98" s="570">
        <f t="shared" si="11"/>
        <v>20548.183333333334</v>
      </c>
      <c r="X98" s="406">
        <f>U98+Q98</f>
        <v>0</v>
      </c>
      <c r="Y98" s="406">
        <f>V98+R98</f>
        <v>0</v>
      </c>
    </row>
    <row r="99" spans="1:25" s="377" customFormat="1" ht="17.25" customHeight="1">
      <c r="A99" s="951">
        <v>92</v>
      </c>
      <c r="B99" s="647" t="s">
        <v>287</v>
      </c>
      <c r="C99" s="549" t="s">
        <v>99</v>
      </c>
      <c r="D99" s="628" t="s">
        <v>25</v>
      </c>
      <c r="E99" s="586" t="s">
        <v>432</v>
      </c>
      <c r="F99" s="562" t="s">
        <v>40</v>
      </c>
      <c r="G99" s="560">
        <v>1</v>
      </c>
      <c r="H99" s="563" t="s">
        <v>102</v>
      </c>
      <c r="I99" s="563" t="s">
        <v>103</v>
      </c>
      <c r="J99" s="629">
        <v>1</v>
      </c>
      <c r="K99" s="554">
        <v>17697</v>
      </c>
      <c r="L99" s="648">
        <v>29</v>
      </c>
      <c r="M99" s="552">
        <f t="shared" si="12"/>
        <v>1.6111111111111112</v>
      </c>
      <c r="N99" s="574" t="s">
        <v>152</v>
      </c>
      <c r="O99" s="628">
        <v>4.75</v>
      </c>
      <c r="P99" s="567">
        <f t="shared" si="9"/>
        <v>135431.20833333334</v>
      </c>
      <c r="Q99" s="568"/>
      <c r="R99" s="554"/>
      <c r="S99" s="554">
        <v>0.1</v>
      </c>
      <c r="T99" s="567">
        <f t="shared" si="13"/>
        <v>13543.120833333334</v>
      </c>
      <c r="U99" s="569"/>
      <c r="V99" s="554"/>
      <c r="W99" s="570">
        <f t="shared" si="11"/>
        <v>148974.32916666666</v>
      </c>
      <c r="X99" s="406">
        <f t="shared" si="11"/>
        <v>0</v>
      </c>
      <c r="Y99" s="406">
        <f t="shared" si="11"/>
        <v>0</v>
      </c>
    </row>
    <row r="100" spans="1:25" s="377" customFormat="1" ht="17.25" customHeight="1">
      <c r="A100" s="951">
        <v>93</v>
      </c>
      <c r="B100" s="647" t="s">
        <v>289</v>
      </c>
      <c r="C100" s="549" t="s">
        <v>99</v>
      </c>
      <c r="D100" s="563" t="s">
        <v>64</v>
      </c>
      <c r="E100" s="586" t="s">
        <v>423</v>
      </c>
      <c r="F100" s="582" t="s">
        <v>108</v>
      </c>
      <c r="G100" s="560">
        <v>1</v>
      </c>
      <c r="H100" s="563" t="s">
        <v>102</v>
      </c>
      <c r="I100" s="563" t="s">
        <v>118</v>
      </c>
      <c r="J100" s="629">
        <v>4</v>
      </c>
      <c r="K100" s="554">
        <v>17697</v>
      </c>
      <c r="L100" s="648">
        <v>30</v>
      </c>
      <c r="M100" s="552">
        <f t="shared" si="12"/>
        <v>1.6666666666666667</v>
      </c>
      <c r="N100" s="574" t="s">
        <v>112</v>
      </c>
      <c r="O100" s="650">
        <v>3.41</v>
      </c>
      <c r="P100" s="567">
        <f t="shared" si="9"/>
        <v>100577.95</v>
      </c>
      <c r="Q100" s="568"/>
      <c r="R100" s="554"/>
      <c r="S100" s="554">
        <v>0.1</v>
      </c>
      <c r="T100" s="567">
        <f t="shared" si="13"/>
        <v>10057.795</v>
      </c>
      <c r="U100" s="569"/>
      <c r="V100" s="554"/>
      <c r="W100" s="570">
        <f t="shared" si="11"/>
        <v>110635.745</v>
      </c>
      <c r="X100" s="406">
        <f t="shared" si="11"/>
        <v>0</v>
      </c>
      <c r="Y100" s="406">
        <f t="shared" si="11"/>
        <v>0</v>
      </c>
    </row>
    <row r="101" spans="1:25" s="80" customFormat="1" ht="17.25" customHeight="1">
      <c r="A101" s="952">
        <v>94</v>
      </c>
      <c r="B101" s="661" t="s">
        <v>291</v>
      </c>
      <c r="C101" s="549" t="s">
        <v>99</v>
      </c>
      <c r="D101" s="663" t="s">
        <v>25</v>
      </c>
      <c r="E101" s="664" t="s">
        <v>293</v>
      </c>
      <c r="F101" s="664" t="s">
        <v>40</v>
      </c>
      <c r="G101" s="177">
        <v>1</v>
      </c>
      <c r="H101" s="177" t="s">
        <v>102</v>
      </c>
      <c r="I101" s="177" t="s">
        <v>103</v>
      </c>
      <c r="J101" s="178">
        <v>1</v>
      </c>
      <c r="K101" s="554">
        <v>17697</v>
      </c>
      <c r="L101" s="665">
        <v>31</v>
      </c>
      <c r="M101" s="567">
        <f>L101/18</f>
        <v>1.7222222222222223</v>
      </c>
      <c r="N101" s="574" t="s">
        <v>152</v>
      </c>
      <c r="O101" s="567">
        <v>4.75</v>
      </c>
      <c r="P101" s="567">
        <f t="shared" ref="P101:P115" si="14">K101*O101/18*L101</f>
        <v>144771.29166666669</v>
      </c>
      <c r="Q101" s="666">
        <v>0.25</v>
      </c>
      <c r="R101" s="554">
        <f t="shared" ref="R101:R115" si="15">Q101*P101</f>
        <v>36192.822916666672</v>
      </c>
      <c r="S101" s="554">
        <v>0.1</v>
      </c>
      <c r="T101" s="567">
        <f t="shared" ref="T101:T115" si="16">(P101+R101)*10%</f>
        <v>18096.411458333339</v>
      </c>
      <c r="U101" s="569"/>
      <c r="V101" s="554"/>
      <c r="W101" s="570">
        <f>T101+R101+P101</f>
        <v>199060.52604166669</v>
      </c>
      <c r="X101" s="274">
        <f>U101+S101+Q101</f>
        <v>0.35</v>
      </c>
      <c r="Y101" s="274">
        <f>V101+T101+R101</f>
        <v>54289.234375000015</v>
      </c>
    </row>
    <row r="102" spans="1:25" s="80" customFormat="1" ht="17.25" customHeight="1">
      <c r="A102" s="952">
        <v>95</v>
      </c>
      <c r="B102" s="661" t="s">
        <v>516</v>
      </c>
      <c r="C102" s="549" t="s">
        <v>99</v>
      </c>
      <c r="D102" s="663" t="s">
        <v>25</v>
      </c>
      <c r="E102" s="664" t="s">
        <v>430</v>
      </c>
      <c r="F102" s="664" t="s">
        <v>40</v>
      </c>
      <c r="G102" s="177">
        <v>1</v>
      </c>
      <c r="H102" s="177" t="s">
        <v>102</v>
      </c>
      <c r="I102" s="177" t="s">
        <v>103</v>
      </c>
      <c r="J102" s="178">
        <v>1</v>
      </c>
      <c r="K102" s="554">
        <v>17697</v>
      </c>
      <c r="L102" s="665">
        <v>18</v>
      </c>
      <c r="M102" s="567">
        <f t="shared" ref="M102:M114" si="17">L102/18</f>
        <v>1</v>
      </c>
      <c r="N102" s="574" t="s">
        <v>152</v>
      </c>
      <c r="O102" s="567">
        <v>4.75</v>
      </c>
      <c r="P102" s="567">
        <f t="shared" si="14"/>
        <v>84060.75</v>
      </c>
      <c r="Q102" s="666">
        <v>0.25</v>
      </c>
      <c r="R102" s="554">
        <f t="shared" si="15"/>
        <v>21015.1875</v>
      </c>
      <c r="S102" s="554">
        <v>0.1</v>
      </c>
      <c r="T102" s="567">
        <f t="shared" si="16"/>
        <v>10507.59375</v>
      </c>
      <c r="U102" s="569"/>
      <c r="V102" s="554"/>
      <c r="W102" s="570">
        <f>T102+R102+P102</f>
        <v>115583.53125</v>
      </c>
      <c r="X102" s="274"/>
      <c r="Y102" s="274"/>
    </row>
    <row r="103" spans="1:25" s="80" customFormat="1" ht="17.25" customHeight="1">
      <c r="A103" s="952">
        <v>96</v>
      </c>
      <c r="B103" s="690" t="s">
        <v>517</v>
      </c>
      <c r="C103" s="549" t="s">
        <v>99</v>
      </c>
      <c r="D103" s="663" t="s">
        <v>25</v>
      </c>
      <c r="E103" s="664" t="s">
        <v>527</v>
      </c>
      <c r="F103" s="664" t="s">
        <v>366</v>
      </c>
      <c r="G103" s="177">
        <v>1</v>
      </c>
      <c r="H103" s="177" t="s">
        <v>102</v>
      </c>
      <c r="I103" s="177" t="s">
        <v>103</v>
      </c>
      <c r="J103" s="178">
        <v>1</v>
      </c>
      <c r="K103" s="554">
        <v>17697</v>
      </c>
      <c r="L103" s="665">
        <v>4</v>
      </c>
      <c r="M103" s="567">
        <f t="shared" si="17"/>
        <v>0.22222222222222221</v>
      </c>
      <c r="N103" s="574" t="s">
        <v>152</v>
      </c>
      <c r="O103" s="567">
        <v>4.6900000000000004</v>
      </c>
      <c r="P103" s="567">
        <f t="shared" si="14"/>
        <v>18444.206666666669</v>
      </c>
      <c r="Q103" s="666">
        <v>0.25</v>
      </c>
      <c r="R103" s="554">
        <f t="shared" si="15"/>
        <v>4611.0516666666672</v>
      </c>
      <c r="S103" s="554">
        <v>0.1</v>
      </c>
      <c r="T103" s="567">
        <f t="shared" si="16"/>
        <v>2305.5258333333336</v>
      </c>
      <c r="U103" s="569"/>
      <c r="V103" s="554"/>
      <c r="W103" s="570">
        <f>T103+R103+P103</f>
        <v>25360.784166666672</v>
      </c>
      <c r="X103" s="274"/>
      <c r="Y103" s="274"/>
    </row>
    <row r="104" spans="1:25" s="80" customFormat="1" ht="17.25" customHeight="1">
      <c r="A104" s="952">
        <v>97</v>
      </c>
      <c r="B104" s="691" t="s">
        <v>421</v>
      </c>
      <c r="C104" s="549" t="s">
        <v>99</v>
      </c>
      <c r="D104" s="663" t="s">
        <v>75</v>
      </c>
      <c r="E104" s="664" t="s">
        <v>520</v>
      </c>
      <c r="F104" s="664" t="s">
        <v>159</v>
      </c>
      <c r="G104" s="177">
        <v>1</v>
      </c>
      <c r="H104" s="177" t="s">
        <v>102</v>
      </c>
      <c r="I104" s="177" t="s">
        <v>118</v>
      </c>
      <c r="J104" s="178">
        <v>4</v>
      </c>
      <c r="K104" s="554">
        <v>17697</v>
      </c>
      <c r="L104" s="665">
        <v>10</v>
      </c>
      <c r="M104" s="567">
        <f t="shared" si="17"/>
        <v>0.55555555555555558</v>
      </c>
      <c r="N104" s="574" t="s">
        <v>385</v>
      </c>
      <c r="O104" s="567">
        <v>3.32</v>
      </c>
      <c r="P104" s="567">
        <f t="shared" si="14"/>
        <v>32641.133333333328</v>
      </c>
      <c r="Q104" s="666">
        <v>0.25</v>
      </c>
      <c r="R104" s="554">
        <f t="shared" si="15"/>
        <v>8160.2833333333319</v>
      </c>
      <c r="S104" s="554">
        <v>0.1</v>
      </c>
      <c r="T104" s="567">
        <f t="shared" si="16"/>
        <v>4080.141666666666</v>
      </c>
      <c r="U104" s="569"/>
      <c r="V104" s="554"/>
      <c r="W104" s="570">
        <f>T104+R104+P104</f>
        <v>44881.558333333327</v>
      </c>
      <c r="X104" s="274"/>
      <c r="Y104" s="274"/>
    </row>
    <row r="105" spans="1:25" s="80" customFormat="1" ht="17.25" customHeight="1">
      <c r="A105" s="952">
        <v>98</v>
      </c>
      <c r="B105" s="691" t="s">
        <v>519</v>
      </c>
      <c r="C105" s="549" t="s">
        <v>99</v>
      </c>
      <c r="D105" s="693" t="s">
        <v>25</v>
      </c>
      <c r="E105" s="694" t="s">
        <v>521</v>
      </c>
      <c r="F105" s="664" t="s">
        <v>366</v>
      </c>
      <c r="G105" s="695">
        <v>1</v>
      </c>
      <c r="H105" s="177" t="s">
        <v>102</v>
      </c>
      <c r="I105" s="177" t="s">
        <v>103</v>
      </c>
      <c r="J105" s="178">
        <v>1</v>
      </c>
      <c r="K105" s="554">
        <v>17697</v>
      </c>
      <c r="L105" s="696">
        <v>18</v>
      </c>
      <c r="M105" s="567">
        <f t="shared" si="17"/>
        <v>1</v>
      </c>
      <c r="N105" s="698" t="s">
        <v>152</v>
      </c>
      <c r="O105" s="697">
        <v>4.75</v>
      </c>
      <c r="P105" s="567">
        <f t="shared" si="14"/>
        <v>84060.75</v>
      </c>
      <c r="Q105" s="666">
        <v>0.25</v>
      </c>
      <c r="R105" s="554">
        <f t="shared" si="15"/>
        <v>21015.1875</v>
      </c>
      <c r="S105" s="554">
        <v>0.1</v>
      </c>
      <c r="T105" s="567">
        <f t="shared" si="16"/>
        <v>10507.59375</v>
      </c>
      <c r="U105" s="699"/>
      <c r="V105" s="700"/>
      <c r="W105" s="570">
        <f>T105+R105+P105</f>
        <v>115583.53125</v>
      </c>
      <c r="X105" s="688"/>
      <c r="Y105" s="688"/>
    </row>
    <row r="106" spans="1:25" s="80" customFormat="1" ht="16.5" customHeight="1">
      <c r="A106" s="952">
        <v>99</v>
      </c>
      <c r="B106" s="662" t="s">
        <v>298</v>
      </c>
      <c r="C106" s="549" t="s">
        <v>99</v>
      </c>
      <c r="D106" s="663" t="s">
        <v>300</v>
      </c>
      <c r="E106" s="664" t="s">
        <v>522</v>
      </c>
      <c r="F106" s="667" t="s">
        <v>40</v>
      </c>
      <c r="G106" s="177">
        <v>1</v>
      </c>
      <c r="H106" s="177" t="s">
        <v>102</v>
      </c>
      <c r="I106" s="177" t="s">
        <v>118</v>
      </c>
      <c r="J106" s="178">
        <v>2</v>
      </c>
      <c r="K106" s="554">
        <v>17697</v>
      </c>
      <c r="L106" s="665">
        <v>9</v>
      </c>
      <c r="M106" s="567">
        <f t="shared" si="17"/>
        <v>0.5</v>
      </c>
      <c r="N106" s="566" t="s">
        <v>104</v>
      </c>
      <c r="O106" s="663">
        <v>4.3899999999999997</v>
      </c>
      <c r="P106" s="567">
        <f t="shared" si="14"/>
        <v>38844.914999999994</v>
      </c>
      <c r="Q106" s="666">
        <v>0.25</v>
      </c>
      <c r="R106" s="554">
        <f t="shared" si="15"/>
        <v>9711.2287499999984</v>
      </c>
      <c r="S106" s="554">
        <v>0.1</v>
      </c>
      <c r="T106" s="567">
        <f t="shared" si="16"/>
        <v>4855.6143749999992</v>
      </c>
      <c r="U106" s="569"/>
      <c r="V106" s="554"/>
      <c r="W106" s="570">
        <f t="shared" ref="W106:Y115" si="18">T106+R106+P106</f>
        <v>53411.758124999993</v>
      </c>
      <c r="X106" s="274">
        <f t="shared" si="18"/>
        <v>0.35</v>
      </c>
      <c r="Y106" s="274">
        <f t="shared" si="18"/>
        <v>14566.843124999998</v>
      </c>
    </row>
    <row r="107" spans="1:25" s="80" customFormat="1" ht="17.25" customHeight="1">
      <c r="A107" s="952">
        <v>100</v>
      </c>
      <c r="B107" s="153" t="s">
        <v>116</v>
      </c>
      <c r="C107" s="549" t="s">
        <v>99</v>
      </c>
      <c r="D107" s="560" t="s">
        <v>64</v>
      </c>
      <c r="E107" s="583" t="s">
        <v>470</v>
      </c>
      <c r="F107" s="562" t="s">
        <v>114</v>
      </c>
      <c r="G107" s="560">
        <v>1</v>
      </c>
      <c r="H107" s="563" t="s">
        <v>102</v>
      </c>
      <c r="I107" s="563" t="s">
        <v>118</v>
      </c>
      <c r="J107" s="564">
        <v>1</v>
      </c>
      <c r="K107" s="554">
        <v>17697</v>
      </c>
      <c r="L107" s="565">
        <v>12</v>
      </c>
      <c r="M107" s="567">
        <f t="shared" si="17"/>
        <v>0.66666666666666663</v>
      </c>
      <c r="N107" s="574" t="s">
        <v>152</v>
      </c>
      <c r="O107" s="566">
        <v>4.5199999999999996</v>
      </c>
      <c r="P107" s="567">
        <f>O107*K107/18*L107</f>
        <v>53326.959999999992</v>
      </c>
      <c r="Q107" s="666">
        <v>0.25</v>
      </c>
      <c r="R107" s="554">
        <f t="shared" si="15"/>
        <v>13331.739999999998</v>
      </c>
      <c r="S107" s="554">
        <v>0.1</v>
      </c>
      <c r="T107" s="567">
        <f t="shared" si="16"/>
        <v>6665.869999999999</v>
      </c>
      <c r="U107" s="569"/>
      <c r="V107" s="554"/>
      <c r="W107" s="570">
        <f t="shared" si="18"/>
        <v>73324.569999999992</v>
      </c>
      <c r="X107" s="274">
        <f>U107+Q107</f>
        <v>0.25</v>
      </c>
      <c r="Y107" s="274">
        <f>V107+R107</f>
        <v>13331.739999999998</v>
      </c>
    </row>
    <row r="108" spans="1:25" s="80" customFormat="1" ht="17.25" customHeight="1">
      <c r="A108" s="952">
        <v>101</v>
      </c>
      <c r="B108" s="661" t="s">
        <v>38</v>
      </c>
      <c r="C108" s="549" t="s">
        <v>99</v>
      </c>
      <c r="D108" s="663" t="s">
        <v>25</v>
      </c>
      <c r="E108" s="664" t="s">
        <v>305</v>
      </c>
      <c r="F108" s="667" t="s">
        <v>40</v>
      </c>
      <c r="G108" s="177">
        <v>1</v>
      </c>
      <c r="H108" s="177" t="s">
        <v>102</v>
      </c>
      <c r="I108" s="177" t="s">
        <v>103</v>
      </c>
      <c r="J108" s="178">
        <v>1</v>
      </c>
      <c r="K108" s="554">
        <v>17697</v>
      </c>
      <c r="L108" s="665">
        <v>9</v>
      </c>
      <c r="M108" s="567">
        <f t="shared" si="17"/>
        <v>0.5</v>
      </c>
      <c r="N108" s="574" t="s">
        <v>152</v>
      </c>
      <c r="O108" s="567">
        <v>4.75</v>
      </c>
      <c r="P108" s="567">
        <f t="shared" si="14"/>
        <v>42030.375</v>
      </c>
      <c r="Q108" s="666">
        <v>0.25</v>
      </c>
      <c r="R108" s="554">
        <f t="shared" si="15"/>
        <v>10507.59375</v>
      </c>
      <c r="S108" s="554">
        <v>0.1</v>
      </c>
      <c r="T108" s="567">
        <f t="shared" si="16"/>
        <v>5253.796875</v>
      </c>
      <c r="U108" s="569"/>
      <c r="V108" s="554"/>
      <c r="W108" s="570">
        <f t="shared" si="18"/>
        <v>57791.765625</v>
      </c>
      <c r="X108" s="274">
        <f t="shared" si="18"/>
        <v>0.35</v>
      </c>
      <c r="Y108" s="274">
        <f t="shared" si="18"/>
        <v>15761.390625</v>
      </c>
    </row>
    <row r="109" spans="1:25" s="80" customFormat="1" ht="17.25" customHeight="1">
      <c r="A109" s="952">
        <v>102</v>
      </c>
      <c r="B109" s="669" t="s">
        <v>306</v>
      </c>
      <c r="C109" s="549" t="s">
        <v>99</v>
      </c>
      <c r="D109" s="663" t="s">
        <v>25</v>
      </c>
      <c r="E109" s="670" t="s">
        <v>307</v>
      </c>
      <c r="F109" s="671" t="s">
        <v>308</v>
      </c>
      <c r="G109" s="182">
        <v>1</v>
      </c>
      <c r="H109" s="177" t="s">
        <v>102</v>
      </c>
      <c r="I109" s="177" t="s">
        <v>103</v>
      </c>
      <c r="J109" s="182">
        <v>4</v>
      </c>
      <c r="K109" s="554">
        <v>17697</v>
      </c>
      <c r="L109" s="665">
        <v>20</v>
      </c>
      <c r="M109" s="567">
        <f t="shared" si="17"/>
        <v>1.1111111111111112</v>
      </c>
      <c r="N109" s="574" t="s">
        <v>112</v>
      </c>
      <c r="O109" s="663">
        <v>3.58</v>
      </c>
      <c r="P109" s="567">
        <f t="shared" si="14"/>
        <v>70394.733333333337</v>
      </c>
      <c r="Q109" s="666">
        <v>0.25</v>
      </c>
      <c r="R109" s="554">
        <f t="shared" si="15"/>
        <v>17598.683333333334</v>
      </c>
      <c r="S109" s="554">
        <v>0.1</v>
      </c>
      <c r="T109" s="567">
        <f t="shared" si="16"/>
        <v>8799.3416666666672</v>
      </c>
      <c r="U109" s="569"/>
      <c r="V109" s="554"/>
      <c r="W109" s="570">
        <f>T109+R109+P109</f>
        <v>96792.758333333331</v>
      </c>
      <c r="X109" s="274">
        <f t="shared" si="18"/>
        <v>0.35</v>
      </c>
      <c r="Y109" s="274">
        <f t="shared" si="18"/>
        <v>26398.025000000001</v>
      </c>
    </row>
    <row r="110" spans="1:25" s="80" customFormat="1" ht="17.25" customHeight="1">
      <c r="A110" s="952">
        <v>103</v>
      </c>
      <c r="B110" s="661" t="s">
        <v>309</v>
      </c>
      <c r="C110" s="549" t="s">
        <v>99</v>
      </c>
      <c r="D110" s="663" t="s">
        <v>25</v>
      </c>
      <c r="E110" s="664" t="s">
        <v>311</v>
      </c>
      <c r="F110" s="667" t="s">
        <v>40</v>
      </c>
      <c r="G110" s="177">
        <v>1</v>
      </c>
      <c r="H110" s="177" t="s">
        <v>102</v>
      </c>
      <c r="I110" s="177" t="s">
        <v>103</v>
      </c>
      <c r="J110" s="178">
        <v>1</v>
      </c>
      <c r="K110" s="554">
        <v>17697</v>
      </c>
      <c r="L110" s="665">
        <v>26</v>
      </c>
      <c r="M110" s="567">
        <f t="shared" si="17"/>
        <v>1.4444444444444444</v>
      </c>
      <c r="N110" s="574" t="s">
        <v>152</v>
      </c>
      <c r="O110" s="567">
        <v>4.75</v>
      </c>
      <c r="P110" s="567">
        <f t="shared" si="14"/>
        <v>121421.08333333334</v>
      </c>
      <c r="Q110" s="666">
        <v>0.25</v>
      </c>
      <c r="R110" s="554">
        <f t="shared" si="15"/>
        <v>30355.270833333336</v>
      </c>
      <c r="S110" s="554">
        <v>0.1</v>
      </c>
      <c r="T110" s="567">
        <f t="shared" si="16"/>
        <v>15177.63541666667</v>
      </c>
      <c r="U110" s="569"/>
      <c r="V110" s="554"/>
      <c r="W110" s="570">
        <f t="shared" si="18"/>
        <v>166953.98958333334</v>
      </c>
      <c r="X110" s="274">
        <f t="shared" si="18"/>
        <v>0.35</v>
      </c>
      <c r="Y110" s="274">
        <f t="shared" si="18"/>
        <v>45532.906250000007</v>
      </c>
    </row>
    <row r="111" spans="1:25" s="80" customFormat="1" ht="17.25" customHeight="1">
      <c r="A111" s="952">
        <v>104</v>
      </c>
      <c r="B111" s="701" t="s">
        <v>447</v>
      </c>
      <c r="C111" s="549" t="s">
        <v>99</v>
      </c>
      <c r="D111" s="663" t="s">
        <v>300</v>
      </c>
      <c r="E111" s="664" t="s">
        <v>520</v>
      </c>
      <c r="F111" s="664" t="s">
        <v>159</v>
      </c>
      <c r="G111" s="695">
        <v>1</v>
      </c>
      <c r="H111" s="177" t="s">
        <v>102</v>
      </c>
      <c r="I111" s="177" t="s">
        <v>118</v>
      </c>
      <c r="J111" s="178">
        <v>4</v>
      </c>
      <c r="K111" s="554">
        <v>17697</v>
      </c>
      <c r="L111" s="696">
        <v>20</v>
      </c>
      <c r="M111" s="567">
        <f t="shared" si="17"/>
        <v>1.1111111111111112</v>
      </c>
      <c r="N111" s="698" t="s">
        <v>385</v>
      </c>
      <c r="O111" s="697">
        <v>3.32</v>
      </c>
      <c r="P111" s="567">
        <f t="shared" si="14"/>
        <v>65282.266666666656</v>
      </c>
      <c r="Q111" s="666">
        <v>0.25</v>
      </c>
      <c r="R111" s="554">
        <f t="shared" si="15"/>
        <v>16320.566666666664</v>
      </c>
      <c r="S111" s="554">
        <v>0.1</v>
      </c>
      <c r="T111" s="567">
        <f t="shared" si="16"/>
        <v>8160.2833333333319</v>
      </c>
      <c r="U111" s="699"/>
      <c r="V111" s="700"/>
      <c r="W111" s="570">
        <f t="shared" si="18"/>
        <v>89763.116666666654</v>
      </c>
      <c r="X111" s="688"/>
      <c r="Y111" s="688"/>
    </row>
    <row r="112" spans="1:25" s="80" customFormat="1" ht="17.25" customHeight="1">
      <c r="A112" s="952">
        <v>105</v>
      </c>
      <c r="B112" s="702" t="s">
        <v>274</v>
      </c>
      <c r="C112" s="549" t="s">
        <v>99</v>
      </c>
      <c r="D112" s="663" t="s">
        <v>25</v>
      </c>
      <c r="E112" s="694" t="s">
        <v>523</v>
      </c>
      <c r="F112" s="694" t="s">
        <v>403</v>
      </c>
      <c r="G112" s="695">
        <v>1</v>
      </c>
      <c r="H112" s="177" t="s">
        <v>102</v>
      </c>
      <c r="I112" s="177" t="s">
        <v>103</v>
      </c>
      <c r="J112" s="178">
        <v>1</v>
      </c>
      <c r="K112" s="554">
        <v>17697</v>
      </c>
      <c r="L112" s="696">
        <v>10</v>
      </c>
      <c r="M112" s="567">
        <f t="shared" si="17"/>
        <v>0.55555555555555558</v>
      </c>
      <c r="N112" s="698" t="s">
        <v>152</v>
      </c>
      <c r="O112" s="697">
        <v>4.16</v>
      </c>
      <c r="P112" s="567">
        <f t="shared" si="14"/>
        <v>40899.733333333337</v>
      </c>
      <c r="Q112" s="666">
        <v>0.25</v>
      </c>
      <c r="R112" s="554">
        <f t="shared" si="15"/>
        <v>10224.933333333334</v>
      </c>
      <c r="S112" s="554">
        <v>0.1</v>
      </c>
      <c r="T112" s="567">
        <f t="shared" si="16"/>
        <v>5112.4666666666672</v>
      </c>
      <c r="U112" s="699"/>
      <c r="V112" s="700"/>
      <c r="W112" s="570">
        <f t="shared" si="18"/>
        <v>56237.133333333339</v>
      </c>
      <c r="X112" s="688"/>
      <c r="Y112" s="688"/>
    </row>
    <row r="113" spans="1:43" s="80" customFormat="1" ht="17.25" customHeight="1">
      <c r="A113" s="952">
        <v>106</v>
      </c>
      <c r="B113" s="176" t="s">
        <v>524</v>
      </c>
      <c r="C113" s="549" t="s">
        <v>99</v>
      </c>
      <c r="D113" s="693" t="s">
        <v>25</v>
      </c>
      <c r="E113" s="694" t="s">
        <v>526</v>
      </c>
      <c r="F113" s="664" t="s">
        <v>366</v>
      </c>
      <c r="G113" s="695">
        <v>1</v>
      </c>
      <c r="H113" s="177" t="s">
        <v>102</v>
      </c>
      <c r="I113" s="177" t="s">
        <v>103</v>
      </c>
      <c r="J113" s="178">
        <v>1</v>
      </c>
      <c r="K113" s="554">
        <v>17697</v>
      </c>
      <c r="L113" s="696">
        <v>18</v>
      </c>
      <c r="M113" s="567">
        <f t="shared" si="17"/>
        <v>1</v>
      </c>
      <c r="N113" s="698" t="s">
        <v>152</v>
      </c>
      <c r="O113" s="697">
        <v>4.6900000000000004</v>
      </c>
      <c r="P113" s="567">
        <f t="shared" si="14"/>
        <v>82998.930000000008</v>
      </c>
      <c r="Q113" s="666">
        <v>0.25</v>
      </c>
      <c r="R113" s="554">
        <f t="shared" si="15"/>
        <v>20749.732500000002</v>
      </c>
      <c r="S113" s="554">
        <v>0.1</v>
      </c>
      <c r="T113" s="567">
        <f t="shared" si="16"/>
        <v>10374.866250000001</v>
      </c>
      <c r="U113" s="699"/>
      <c r="V113" s="700"/>
      <c r="W113" s="570">
        <f t="shared" si="18"/>
        <v>114123.52875000001</v>
      </c>
      <c r="X113" s="688"/>
      <c r="Y113" s="688"/>
    </row>
    <row r="114" spans="1:43" s="80" customFormat="1" ht="17.25" customHeight="1">
      <c r="A114" s="952">
        <v>107</v>
      </c>
      <c r="B114" s="662" t="s">
        <v>319</v>
      </c>
      <c r="C114" s="549" t="s">
        <v>99</v>
      </c>
      <c r="D114" s="663" t="s">
        <v>25</v>
      </c>
      <c r="E114" s="664" t="s">
        <v>320</v>
      </c>
      <c r="F114" s="667" t="s">
        <v>249</v>
      </c>
      <c r="G114" s="177">
        <v>1</v>
      </c>
      <c r="H114" s="177" t="s">
        <v>232</v>
      </c>
      <c r="I114" s="177" t="s">
        <v>233</v>
      </c>
      <c r="J114" s="178">
        <v>3</v>
      </c>
      <c r="K114" s="554">
        <v>17697</v>
      </c>
      <c r="L114" s="665">
        <v>27</v>
      </c>
      <c r="M114" s="567">
        <f t="shared" si="17"/>
        <v>1.5</v>
      </c>
      <c r="N114" s="566" t="s">
        <v>109</v>
      </c>
      <c r="O114" s="663">
        <v>4.1399999999999997</v>
      </c>
      <c r="P114" s="567">
        <f t="shared" si="14"/>
        <v>109898.36999999998</v>
      </c>
      <c r="Q114" s="666">
        <v>0.25</v>
      </c>
      <c r="R114" s="554">
        <f t="shared" si="15"/>
        <v>27474.592499999995</v>
      </c>
      <c r="S114" s="554">
        <v>0.1</v>
      </c>
      <c r="T114" s="567">
        <f t="shared" si="16"/>
        <v>13737.296249999998</v>
      </c>
      <c r="U114" s="569"/>
      <c r="V114" s="554"/>
      <c r="W114" s="570">
        <f t="shared" si="18"/>
        <v>151110.25874999998</v>
      </c>
      <c r="X114" s="10">
        <f t="shared" si="18"/>
        <v>0.35</v>
      </c>
      <c r="Y114" s="10">
        <f t="shared" si="18"/>
        <v>41211.888749999991</v>
      </c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</row>
    <row r="115" spans="1:43" s="80" customFormat="1" ht="17.25" customHeight="1">
      <c r="A115" s="952">
        <v>108</v>
      </c>
      <c r="B115" s="661" t="s">
        <v>324</v>
      </c>
      <c r="C115" s="549" t="s">
        <v>99</v>
      </c>
      <c r="D115" s="663" t="s">
        <v>25</v>
      </c>
      <c r="E115" s="664" t="s">
        <v>325</v>
      </c>
      <c r="F115" s="667" t="s">
        <v>40</v>
      </c>
      <c r="G115" s="177">
        <v>1</v>
      </c>
      <c r="H115" s="177" t="s">
        <v>102</v>
      </c>
      <c r="I115" s="177" t="s">
        <v>103</v>
      </c>
      <c r="J115" s="178">
        <v>1</v>
      </c>
      <c r="K115" s="554">
        <v>17697</v>
      </c>
      <c r="L115" s="665">
        <v>14</v>
      </c>
      <c r="M115" s="567">
        <v>0.77</v>
      </c>
      <c r="N115" s="574" t="s">
        <v>152</v>
      </c>
      <c r="O115" s="567">
        <v>4.75</v>
      </c>
      <c r="P115" s="567">
        <f t="shared" si="14"/>
        <v>65380.583333333336</v>
      </c>
      <c r="Q115" s="666">
        <v>0.25</v>
      </c>
      <c r="R115" s="554">
        <f t="shared" si="15"/>
        <v>16345.145833333334</v>
      </c>
      <c r="S115" s="554">
        <v>0.1</v>
      </c>
      <c r="T115" s="567">
        <f t="shared" si="16"/>
        <v>8172.5729166666679</v>
      </c>
      <c r="U115" s="569"/>
      <c r="V115" s="554"/>
      <c r="W115" s="570">
        <f t="shared" si="18"/>
        <v>89898.302083333343</v>
      </c>
      <c r="X115" s="274">
        <f t="shared" si="18"/>
        <v>0.35</v>
      </c>
      <c r="Y115" s="274">
        <f t="shared" si="18"/>
        <v>24517.71875</v>
      </c>
    </row>
    <row r="116" spans="1:43" s="24" customFormat="1" ht="17.25" customHeight="1">
      <c r="A116" s="953"/>
      <c r="B116" s="672"/>
      <c r="C116" s="961"/>
      <c r="D116" s="673"/>
      <c r="E116" s="673"/>
      <c r="F116" s="672"/>
      <c r="G116" s="119"/>
      <c r="H116" s="119"/>
      <c r="I116" s="119"/>
      <c r="J116" s="120"/>
      <c r="K116" s="619"/>
      <c r="L116" s="960">
        <f>SUM(L8:L115)</f>
        <v>2284</v>
      </c>
      <c r="M116" s="623"/>
      <c r="N116" s="675"/>
      <c r="O116" s="668"/>
      <c r="P116" s="623"/>
      <c r="Q116" s="676"/>
      <c r="R116" s="619"/>
      <c r="S116" s="619"/>
      <c r="T116" s="623"/>
      <c r="U116" s="625"/>
      <c r="V116" s="619"/>
      <c r="W116" s="626"/>
      <c r="X116" s="104"/>
      <c r="Y116" s="104"/>
    </row>
    <row r="117" spans="1:43" ht="27.75" customHeight="1">
      <c r="M117" s="85"/>
      <c r="N117" s="86"/>
      <c r="O117" s="23"/>
      <c r="P117" s="87"/>
      <c r="Q117" s="88"/>
    </row>
    <row r="118" spans="1:43" s="24" customFormat="1" ht="20.25">
      <c r="A118" s="950"/>
      <c r="B118" s="962" t="s">
        <v>582</v>
      </c>
      <c r="C118" s="963"/>
      <c r="D118" s="2331" t="s">
        <v>583</v>
      </c>
      <c r="E118" s="2331"/>
      <c r="F118" s="955"/>
      <c r="G118" s="955"/>
      <c r="H118" s="955"/>
      <c r="I118" s="955"/>
      <c r="J118" s="955"/>
      <c r="K118" s="955"/>
      <c r="L118" s="954"/>
      <c r="N118" s="89"/>
      <c r="Q118" s="1"/>
      <c r="R118" s="1"/>
      <c r="S118" s="1"/>
      <c r="T118" s="1"/>
      <c r="U118" s="1"/>
      <c r="V118" s="1"/>
      <c r="W118" s="3"/>
      <c r="X118" s="3"/>
      <c r="Y118" s="3"/>
    </row>
    <row r="119" spans="1:43" s="24" customFormat="1" ht="20.25">
      <c r="A119" s="950"/>
      <c r="B119" s="964"/>
      <c r="C119" s="965"/>
      <c r="D119" s="962"/>
      <c r="E119" s="964"/>
      <c r="F119" s="955"/>
      <c r="G119" s="955"/>
      <c r="H119" s="955"/>
      <c r="I119" s="955"/>
      <c r="J119" s="955"/>
      <c r="K119" s="955"/>
      <c r="L119" s="958"/>
      <c r="M119" s="3"/>
      <c r="N119" s="948"/>
      <c r="O119" s="1"/>
      <c r="P119" s="1"/>
      <c r="Q119" s="1"/>
      <c r="R119" s="1"/>
      <c r="S119" s="1"/>
      <c r="T119" s="1"/>
      <c r="U119" s="3"/>
      <c r="V119" s="3"/>
      <c r="W119" s="3"/>
      <c r="X119" s="3"/>
      <c r="Y119" s="3"/>
    </row>
    <row r="120" spans="1:43" s="24" customFormat="1" ht="20.25">
      <c r="A120" s="950"/>
      <c r="B120" s="964" t="s">
        <v>49</v>
      </c>
      <c r="C120" s="963"/>
      <c r="D120" s="2331" t="s">
        <v>585</v>
      </c>
      <c r="E120" s="2331"/>
      <c r="F120" s="956"/>
      <c r="G120" s="956"/>
      <c r="H120" s="956"/>
      <c r="I120" s="956"/>
      <c r="J120" s="956"/>
      <c r="K120" s="957"/>
      <c r="L120" s="954"/>
      <c r="M120" s="3"/>
      <c r="N120" s="94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43" s="24" customFormat="1">
      <c r="A121" s="950"/>
      <c r="B121" s="1"/>
      <c r="C121" s="948"/>
      <c r="D121" s="959"/>
      <c r="E121" s="1"/>
      <c r="F121" s="1"/>
      <c r="G121" s="1"/>
      <c r="H121" s="1"/>
      <c r="I121" s="3"/>
      <c r="J121" s="1"/>
      <c r="K121" s="3"/>
      <c r="L121" s="959"/>
      <c r="M121" s="3"/>
      <c r="N121" s="94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22"/>
    </row>
    <row r="122" spans="1:43">
      <c r="K122" s="3"/>
    </row>
    <row r="123" spans="1:43">
      <c r="M123" s="3"/>
    </row>
    <row r="124" spans="1:43">
      <c r="Z124" s="22"/>
    </row>
    <row r="125" spans="1:43">
      <c r="M125" s="3"/>
      <c r="T125" s="3"/>
    </row>
    <row r="126" spans="1:43" s="24" customFormat="1">
      <c r="A126" s="950"/>
      <c r="B126" s="1"/>
      <c r="C126" s="948"/>
      <c r="D126" s="1"/>
      <c r="E126" s="1"/>
      <c r="F126" s="1"/>
      <c r="G126" s="1"/>
      <c r="H126" s="1"/>
      <c r="I126" s="1"/>
      <c r="J126" s="1"/>
      <c r="K126" s="1"/>
      <c r="L126" s="1"/>
      <c r="M126" s="3"/>
      <c r="N126" s="94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</sheetData>
  <mergeCells count="26">
    <mergeCell ref="A3:W3"/>
    <mergeCell ref="A4:W4"/>
    <mergeCell ref="A6:A7"/>
    <mergeCell ref="B6:B7"/>
    <mergeCell ref="C6:C7"/>
    <mergeCell ref="D6:D7"/>
    <mergeCell ref="E6:E7"/>
    <mergeCell ref="F6:F7"/>
    <mergeCell ref="G6:G7"/>
    <mergeCell ref="H6:H7"/>
    <mergeCell ref="X6:X7"/>
    <mergeCell ref="Y6:Y7"/>
    <mergeCell ref="D118:E118"/>
    <mergeCell ref="D120:E120"/>
    <mergeCell ref="O6:O7"/>
    <mergeCell ref="P6:P7"/>
    <mergeCell ref="Q6:R6"/>
    <mergeCell ref="S6:T6"/>
    <mergeCell ref="U6:V6"/>
    <mergeCell ref="W6:W7"/>
    <mergeCell ref="I6:I7"/>
    <mergeCell ref="J6:J7"/>
    <mergeCell ref="K6:K7"/>
    <mergeCell ref="L6:L7"/>
    <mergeCell ref="M6:M7"/>
    <mergeCell ref="N6:N7"/>
  </mergeCells>
  <pageMargins left="0.72" right="0" top="0.62992125984251968" bottom="0" header="0.43307086614173229" footer="0.31496062992125984"/>
  <pageSetup paperSize="9" scale="6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"/>
  <sheetViews>
    <sheetView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tabColor rgb="FFFF0000"/>
  </sheetPr>
  <dimension ref="A1:AR170"/>
  <sheetViews>
    <sheetView topLeftCell="A31" zoomScale="80" zoomScaleNormal="80" zoomScaleSheetLayoutView="40" workbookViewId="0">
      <pane xSplit="3" topLeftCell="D1" activePane="topRight" state="frozen"/>
      <selection pane="topRight" activeCell="A49" sqref="A49:XFD49"/>
    </sheetView>
  </sheetViews>
  <sheetFormatPr defaultRowHeight="12.75"/>
  <cols>
    <col min="1" max="1" width="6.42578125" style="1" customWidth="1"/>
    <col min="2" max="2" width="24" style="1" customWidth="1"/>
    <col min="3" max="3" width="22" style="208" customWidth="1"/>
    <col min="4" max="4" width="11.140625" style="1" customWidth="1"/>
    <col min="5" max="5" width="16.7109375" style="1" customWidth="1"/>
    <col min="6" max="6" width="13.5703125" style="1" customWidth="1"/>
    <col min="7" max="7" width="10.42578125" style="1" customWidth="1"/>
    <col min="8" max="8" width="4.7109375" style="1" customWidth="1"/>
    <col min="9" max="9" width="8.5703125" style="1" customWidth="1"/>
    <col min="10" max="10" width="5.5703125" style="1" customWidth="1"/>
    <col min="11" max="12" width="11.5703125" style="1" customWidth="1"/>
    <col min="13" max="13" width="10.85546875" style="1" customWidth="1"/>
    <col min="14" max="14" width="7.7109375" style="208" customWidth="1"/>
    <col min="15" max="15" width="8" style="1" customWidth="1"/>
    <col min="16" max="16" width="8" style="1" hidden="1" customWidth="1"/>
    <col min="17" max="17" width="16.28515625" style="1" customWidth="1"/>
    <col min="18" max="18" width="10.5703125" style="1" customWidth="1"/>
    <col min="19" max="19" width="12.42578125" style="1" customWidth="1"/>
    <col min="20" max="20" width="10.140625" style="1" customWidth="1"/>
    <col min="21" max="21" width="15.140625" style="1" customWidth="1"/>
    <col min="22" max="22" width="8.5703125" style="1" customWidth="1"/>
    <col min="23" max="23" width="11.7109375" style="1" customWidth="1"/>
    <col min="24" max="24" width="15.28515625" style="1" customWidth="1"/>
    <col min="25" max="26" width="18.28515625" style="1" hidden="1" customWidth="1"/>
    <col min="27" max="33" width="9.140625" style="24"/>
    <col min="34" max="34" width="11.28515625" style="24" bestFit="1" customWidth="1"/>
    <col min="35" max="35" width="10.7109375" style="24" bestFit="1" customWidth="1"/>
    <col min="36" max="44" width="9.140625" style="24"/>
    <col min="45" max="257" width="9.140625" style="1"/>
    <col min="258" max="258" width="6.42578125" style="1" customWidth="1"/>
    <col min="259" max="259" width="20.7109375" style="1" customWidth="1"/>
    <col min="260" max="260" width="24.7109375" style="1" customWidth="1"/>
    <col min="261" max="261" width="11.140625" style="1" customWidth="1"/>
    <col min="262" max="262" width="12.28515625" style="1" customWidth="1"/>
    <col min="263" max="263" width="11.140625" style="1" customWidth="1"/>
    <col min="264" max="264" width="10.42578125" style="1" customWidth="1"/>
    <col min="265" max="265" width="4.7109375" style="1" customWidth="1"/>
    <col min="266" max="266" width="8.5703125" style="1" customWidth="1"/>
    <col min="267" max="267" width="5.5703125" style="1" customWidth="1"/>
    <col min="268" max="269" width="11.5703125" style="1" customWidth="1"/>
    <col min="270" max="270" width="10.85546875" style="1" customWidth="1"/>
    <col min="271" max="271" width="7.7109375" style="1" customWidth="1"/>
    <col min="272" max="272" width="8" style="1" customWidth="1"/>
    <col min="273" max="273" width="16.28515625" style="1" customWidth="1"/>
    <col min="274" max="274" width="10.5703125" style="1" customWidth="1"/>
    <col min="275" max="275" width="14.140625" style="1" customWidth="1"/>
    <col min="276" max="276" width="10.140625" style="1" customWidth="1"/>
    <col min="277" max="277" width="15.140625" style="1" customWidth="1"/>
    <col min="278" max="278" width="8.5703125" style="1" customWidth="1"/>
    <col min="279" max="279" width="14.28515625" style="1" customWidth="1"/>
    <col min="280" max="280" width="18.28515625" style="1" customWidth="1"/>
    <col min="281" max="281" width="13" style="1" bestFit="1" customWidth="1"/>
    <col min="282" max="282" width="11.7109375" style="1" bestFit="1" customWidth="1"/>
    <col min="283" max="289" width="9.140625" style="1"/>
    <col min="290" max="290" width="11.28515625" style="1" bestFit="1" customWidth="1"/>
    <col min="291" max="291" width="10.7109375" style="1" bestFit="1" customWidth="1"/>
    <col min="292" max="513" width="9.140625" style="1"/>
    <col min="514" max="514" width="6.42578125" style="1" customWidth="1"/>
    <col min="515" max="515" width="20.7109375" style="1" customWidth="1"/>
    <col min="516" max="516" width="24.7109375" style="1" customWidth="1"/>
    <col min="517" max="517" width="11.140625" style="1" customWidth="1"/>
    <col min="518" max="518" width="12.28515625" style="1" customWidth="1"/>
    <col min="519" max="519" width="11.140625" style="1" customWidth="1"/>
    <col min="520" max="520" width="10.42578125" style="1" customWidth="1"/>
    <col min="521" max="521" width="4.7109375" style="1" customWidth="1"/>
    <col min="522" max="522" width="8.5703125" style="1" customWidth="1"/>
    <col min="523" max="523" width="5.5703125" style="1" customWidth="1"/>
    <col min="524" max="525" width="11.5703125" style="1" customWidth="1"/>
    <col min="526" max="526" width="10.85546875" style="1" customWidth="1"/>
    <col min="527" max="527" width="7.7109375" style="1" customWidth="1"/>
    <col min="528" max="528" width="8" style="1" customWidth="1"/>
    <col min="529" max="529" width="16.28515625" style="1" customWidth="1"/>
    <col min="530" max="530" width="10.5703125" style="1" customWidth="1"/>
    <col min="531" max="531" width="14.140625" style="1" customWidth="1"/>
    <col min="532" max="532" width="10.140625" style="1" customWidth="1"/>
    <col min="533" max="533" width="15.140625" style="1" customWidth="1"/>
    <col min="534" max="534" width="8.5703125" style="1" customWidth="1"/>
    <col min="535" max="535" width="14.28515625" style="1" customWidth="1"/>
    <col min="536" max="536" width="18.28515625" style="1" customWidth="1"/>
    <col min="537" max="537" width="13" style="1" bestFit="1" customWidth="1"/>
    <col min="538" max="538" width="11.7109375" style="1" bestFit="1" customWidth="1"/>
    <col min="539" max="545" width="9.140625" style="1"/>
    <col min="546" max="546" width="11.28515625" style="1" bestFit="1" customWidth="1"/>
    <col min="547" max="547" width="10.7109375" style="1" bestFit="1" customWidth="1"/>
    <col min="548" max="769" width="9.140625" style="1"/>
    <col min="770" max="770" width="6.42578125" style="1" customWidth="1"/>
    <col min="771" max="771" width="20.7109375" style="1" customWidth="1"/>
    <col min="772" max="772" width="24.7109375" style="1" customWidth="1"/>
    <col min="773" max="773" width="11.140625" style="1" customWidth="1"/>
    <col min="774" max="774" width="12.28515625" style="1" customWidth="1"/>
    <col min="775" max="775" width="11.140625" style="1" customWidth="1"/>
    <col min="776" max="776" width="10.42578125" style="1" customWidth="1"/>
    <col min="777" max="777" width="4.7109375" style="1" customWidth="1"/>
    <col min="778" max="778" width="8.5703125" style="1" customWidth="1"/>
    <col min="779" max="779" width="5.5703125" style="1" customWidth="1"/>
    <col min="780" max="781" width="11.5703125" style="1" customWidth="1"/>
    <col min="782" max="782" width="10.85546875" style="1" customWidth="1"/>
    <col min="783" max="783" width="7.7109375" style="1" customWidth="1"/>
    <col min="784" max="784" width="8" style="1" customWidth="1"/>
    <col min="785" max="785" width="16.28515625" style="1" customWidth="1"/>
    <col min="786" max="786" width="10.5703125" style="1" customWidth="1"/>
    <col min="787" max="787" width="14.140625" style="1" customWidth="1"/>
    <col min="788" max="788" width="10.140625" style="1" customWidth="1"/>
    <col min="789" max="789" width="15.140625" style="1" customWidth="1"/>
    <col min="790" max="790" width="8.5703125" style="1" customWidth="1"/>
    <col min="791" max="791" width="14.28515625" style="1" customWidth="1"/>
    <col min="792" max="792" width="18.28515625" style="1" customWidth="1"/>
    <col min="793" max="793" width="13" style="1" bestFit="1" customWidth="1"/>
    <col min="794" max="794" width="11.7109375" style="1" bestFit="1" customWidth="1"/>
    <col min="795" max="801" width="9.140625" style="1"/>
    <col min="802" max="802" width="11.28515625" style="1" bestFit="1" customWidth="1"/>
    <col min="803" max="803" width="10.7109375" style="1" bestFit="1" customWidth="1"/>
    <col min="804" max="1025" width="9.140625" style="1"/>
    <col min="1026" max="1026" width="6.42578125" style="1" customWidth="1"/>
    <col min="1027" max="1027" width="20.7109375" style="1" customWidth="1"/>
    <col min="1028" max="1028" width="24.7109375" style="1" customWidth="1"/>
    <col min="1029" max="1029" width="11.140625" style="1" customWidth="1"/>
    <col min="1030" max="1030" width="12.28515625" style="1" customWidth="1"/>
    <col min="1031" max="1031" width="11.140625" style="1" customWidth="1"/>
    <col min="1032" max="1032" width="10.42578125" style="1" customWidth="1"/>
    <col min="1033" max="1033" width="4.7109375" style="1" customWidth="1"/>
    <col min="1034" max="1034" width="8.5703125" style="1" customWidth="1"/>
    <col min="1035" max="1035" width="5.5703125" style="1" customWidth="1"/>
    <col min="1036" max="1037" width="11.5703125" style="1" customWidth="1"/>
    <col min="1038" max="1038" width="10.85546875" style="1" customWidth="1"/>
    <col min="1039" max="1039" width="7.7109375" style="1" customWidth="1"/>
    <col min="1040" max="1040" width="8" style="1" customWidth="1"/>
    <col min="1041" max="1041" width="16.28515625" style="1" customWidth="1"/>
    <col min="1042" max="1042" width="10.5703125" style="1" customWidth="1"/>
    <col min="1043" max="1043" width="14.140625" style="1" customWidth="1"/>
    <col min="1044" max="1044" width="10.140625" style="1" customWidth="1"/>
    <col min="1045" max="1045" width="15.140625" style="1" customWidth="1"/>
    <col min="1046" max="1046" width="8.5703125" style="1" customWidth="1"/>
    <col min="1047" max="1047" width="14.28515625" style="1" customWidth="1"/>
    <col min="1048" max="1048" width="18.28515625" style="1" customWidth="1"/>
    <col min="1049" max="1049" width="13" style="1" bestFit="1" customWidth="1"/>
    <col min="1050" max="1050" width="11.7109375" style="1" bestFit="1" customWidth="1"/>
    <col min="1051" max="1057" width="9.140625" style="1"/>
    <col min="1058" max="1058" width="11.28515625" style="1" bestFit="1" customWidth="1"/>
    <col min="1059" max="1059" width="10.7109375" style="1" bestFit="1" customWidth="1"/>
    <col min="1060" max="1281" width="9.140625" style="1"/>
    <col min="1282" max="1282" width="6.42578125" style="1" customWidth="1"/>
    <col min="1283" max="1283" width="20.7109375" style="1" customWidth="1"/>
    <col min="1284" max="1284" width="24.7109375" style="1" customWidth="1"/>
    <col min="1285" max="1285" width="11.140625" style="1" customWidth="1"/>
    <col min="1286" max="1286" width="12.28515625" style="1" customWidth="1"/>
    <col min="1287" max="1287" width="11.140625" style="1" customWidth="1"/>
    <col min="1288" max="1288" width="10.42578125" style="1" customWidth="1"/>
    <col min="1289" max="1289" width="4.7109375" style="1" customWidth="1"/>
    <col min="1290" max="1290" width="8.5703125" style="1" customWidth="1"/>
    <col min="1291" max="1291" width="5.5703125" style="1" customWidth="1"/>
    <col min="1292" max="1293" width="11.5703125" style="1" customWidth="1"/>
    <col min="1294" max="1294" width="10.85546875" style="1" customWidth="1"/>
    <col min="1295" max="1295" width="7.7109375" style="1" customWidth="1"/>
    <col min="1296" max="1296" width="8" style="1" customWidth="1"/>
    <col min="1297" max="1297" width="16.28515625" style="1" customWidth="1"/>
    <col min="1298" max="1298" width="10.5703125" style="1" customWidth="1"/>
    <col min="1299" max="1299" width="14.140625" style="1" customWidth="1"/>
    <col min="1300" max="1300" width="10.140625" style="1" customWidth="1"/>
    <col min="1301" max="1301" width="15.140625" style="1" customWidth="1"/>
    <col min="1302" max="1302" width="8.5703125" style="1" customWidth="1"/>
    <col min="1303" max="1303" width="14.28515625" style="1" customWidth="1"/>
    <col min="1304" max="1304" width="18.28515625" style="1" customWidth="1"/>
    <col min="1305" max="1305" width="13" style="1" bestFit="1" customWidth="1"/>
    <col min="1306" max="1306" width="11.7109375" style="1" bestFit="1" customWidth="1"/>
    <col min="1307" max="1313" width="9.140625" style="1"/>
    <col min="1314" max="1314" width="11.28515625" style="1" bestFit="1" customWidth="1"/>
    <col min="1315" max="1315" width="10.7109375" style="1" bestFit="1" customWidth="1"/>
    <col min="1316" max="1537" width="9.140625" style="1"/>
    <col min="1538" max="1538" width="6.42578125" style="1" customWidth="1"/>
    <col min="1539" max="1539" width="20.7109375" style="1" customWidth="1"/>
    <col min="1540" max="1540" width="24.7109375" style="1" customWidth="1"/>
    <col min="1541" max="1541" width="11.140625" style="1" customWidth="1"/>
    <col min="1542" max="1542" width="12.28515625" style="1" customWidth="1"/>
    <col min="1543" max="1543" width="11.140625" style="1" customWidth="1"/>
    <col min="1544" max="1544" width="10.42578125" style="1" customWidth="1"/>
    <col min="1545" max="1545" width="4.7109375" style="1" customWidth="1"/>
    <col min="1546" max="1546" width="8.5703125" style="1" customWidth="1"/>
    <col min="1547" max="1547" width="5.5703125" style="1" customWidth="1"/>
    <col min="1548" max="1549" width="11.5703125" style="1" customWidth="1"/>
    <col min="1550" max="1550" width="10.85546875" style="1" customWidth="1"/>
    <col min="1551" max="1551" width="7.7109375" style="1" customWidth="1"/>
    <col min="1552" max="1552" width="8" style="1" customWidth="1"/>
    <col min="1553" max="1553" width="16.28515625" style="1" customWidth="1"/>
    <col min="1554" max="1554" width="10.5703125" style="1" customWidth="1"/>
    <col min="1555" max="1555" width="14.140625" style="1" customWidth="1"/>
    <col min="1556" max="1556" width="10.140625" style="1" customWidth="1"/>
    <col min="1557" max="1557" width="15.140625" style="1" customWidth="1"/>
    <col min="1558" max="1558" width="8.5703125" style="1" customWidth="1"/>
    <col min="1559" max="1559" width="14.28515625" style="1" customWidth="1"/>
    <col min="1560" max="1560" width="18.28515625" style="1" customWidth="1"/>
    <col min="1561" max="1561" width="13" style="1" bestFit="1" customWidth="1"/>
    <col min="1562" max="1562" width="11.7109375" style="1" bestFit="1" customWidth="1"/>
    <col min="1563" max="1569" width="9.140625" style="1"/>
    <col min="1570" max="1570" width="11.28515625" style="1" bestFit="1" customWidth="1"/>
    <col min="1571" max="1571" width="10.7109375" style="1" bestFit="1" customWidth="1"/>
    <col min="1572" max="1793" width="9.140625" style="1"/>
    <col min="1794" max="1794" width="6.42578125" style="1" customWidth="1"/>
    <col min="1795" max="1795" width="20.7109375" style="1" customWidth="1"/>
    <col min="1796" max="1796" width="24.7109375" style="1" customWidth="1"/>
    <col min="1797" max="1797" width="11.140625" style="1" customWidth="1"/>
    <col min="1798" max="1798" width="12.28515625" style="1" customWidth="1"/>
    <col min="1799" max="1799" width="11.140625" style="1" customWidth="1"/>
    <col min="1800" max="1800" width="10.42578125" style="1" customWidth="1"/>
    <col min="1801" max="1801" width="4.7109375" style="1" customWidth="1"/>
    <col min="1802" max="1802" width="8.5703125" style="1" customWidth="1"/>
    <col min="1803" max="1803" width="5.5703125" style="1" customWidth="1"/>
    <col min="1804" max="1805" width="11.5703125" style="1" customWidth="1"/>
    <col min="1806" max="1806" width="10.85546875" style="1" customWidth="1"/>
    <col min="1807" max="1807" width="7.7109375" style="1" customWidth="1"/>
    <col min="1808" max="1808" width="8" style="1" customWidth="1"/>
    <col min="1809" max="1809" width="16.28515625" style="1" customWidth="1"/>
    <col min="1810" max="1810" width="10.5703125" style="1" customWidth="1"/>
    <col min="1811" max="1811" width="14.140625" style="1" customWidth="1"/>
    <col min="1812" max="1812" width="10.140625" style="1" customWidth="1"/>
    <col min="1813" max="1813" width="15.140625" style="1" customWidth="1"/>
    <col min="1814" max="1814" width="8.5703125" style="1" customWidth="1"/>
    <col min="1815" max="1815" width="14.28515625" style="1" customWidth="1"/>
    <col min="1816" max="1816" width="18.28515625" style="1" customWidth="1"/>
    <col min="1817" max="1817" width="13" style="1" bestFit="1" customWidth="1"/>
    <col min="1818" max="1818" width="11.7109375" style="1" bestFit="1" customWidth="1"/>
    <col min="1819" max="1825" width="9.140625" style="1"/>
    <col min="1826" max="1826" width="11.28515625" style="1" bestFit="1" customWidth="1"/>
    <col min="1827" max="1827" width="10.7109375" style="1" bestFit="1" customWidth="1"/>
    <col min="1828" max="2049" width="9.140625" style="1"/>
    <col min="2050" max="2050" width="6.42578125" style="1" customWidth="1"/>
    <col min="2051" max="2051" width="20.7109375" style="1" customWidth="1"/>
    <col min="2052" max="2052" width="24.7109375" style="1" customWidth="1"/>
    <col min="2053" max="2053" width="11.140625" style="1" customWidth="1"/>
    <col min="2054" max="2054" width="12.28515625" style="1" customWidth="1"/>
    <col min="2055" max="2055" width="11.140625" style="1" customWidth="1"/>
    <col min="2056" max="2056" width="10.42578125" style="1" customWidth="1"/>
    <col min="2057" max="2057" width="4.7109375" style="1" customWidth="1"/>
    <col min="2058" max="2058" width="8.5703125" style="1" customWidth="1"/>
    <col min="2059" max="2059" width="5.5703125" style="1" customWidth="1"/>
    <col min="2060" max="2061" width="11.5703125" style="1" customWidth="1"/>
    <col min="2062" max="2062" width="10.85546875" style="1" customWidth="1"/>
    <col min="2063" max="2063" width="7.7109375" style="1" customWidth="1"/>
    <col min="2064" max="2064" width="8" style="1" customWidth="1"/>
    <col min="2065" max="2065" width="16.28515625" style="1" customWidth="1"/>
    <col min="2066" max="2066" width="10.5703125" style="1" customWidth="1"/>
    <col min="2067" max="2067" width="14.140625" style="1" customWidth="1"/>
    <col min="2068" max="2068" width="10.140625" style="1" customWidth="1"/>
    <col min="2069" max="2069" width="15.140625" style="1" customWidth="1"/>
    <col min="2070" max="2070" width="8.5703125" style="1" customWidth="1"/>
    <col min="2071" max="2071" width="14.28515625" style="1" customWidth="1"/>
    <col min="2072" max="2072" width="18.28515625" style="1" customWidth="1"/>
    <col min="2073" max="2073" width="13" style="1" bestFit="1" customWidth="1"/>
    <col min="2074" max="2074" width="11.7109375" style="1" bestFit="1" customWidth="1"/>
    <col min="2075" max="2081" width="9.140625" style="1"/>
    <col min="2082" max="2082" width="11.28515625" style="1" bestFit="1" customWidth="1"/>
    <col min="2083" max="2083" width="10.7109375" style="1" bestFit="1" customWidth="1"/>
    <col min="2084" max="2305" width="9.140625" style="1"/>
    <col min="2306" max="2306" width="6.42578125" style="1" customWidth="1"/>
    <col min="2307" max="2307" width="20.7109375" style="1" customWidth="1"/>
    <col min="2308" max="2308" width="24.7109375" style="1" customWidth="1"/>
    <col min="2309" max="2309" width="11.140625" style="1" customWidth="1"/>
    <col min="2310" max="2310" width="12.28515625" style="1" customWidth="1"/>
    <col min="2311" max="2311" width="11.140625" style="1" customWidth="1"/>
    <col min="2312" max="2312" width="10.42578125" style="1" customWidth="1"/>
    <col min="2313" max="2313" width="4.7109375" style="1" customWidth="1"/>
    <col min="2314" max="2314" width="8.5703125" style="1" customWidth="1"/>
    <col min="2315" max="2315" width="5.5703125" style="1" customWidth="1"/>
    <col min="2316" max="2317" width="11.5703125" style="1" customWidth="1"/>
    <col min="2318" max="2318" width="10.85546875" style="1" customWidth="1"/>
    <col min="2319" max="2319" width="7.7109375" style="1" customWidth="1"/>
    <col min="2320" max="2320" width="8" style="1" customWidth="1"/>
    <col min="2321" max="2321" width="16.28515625" style="1" customWidth="1"/>
    <col min="2322" max="2322" width="10.5703125" style="1" customWidth="1"/>
    <col min="2323" max="2323" width="14.140625" style="1" customWidth="1"/>
    <col min="2324" max="2324" width="10.140625" style="1" customWidth="1"/>
    <col min="2325" max="2325" width="15.140625" style="1" customWidth="1"/>
    <col min="2326" max="2326" width="8.5703125" style="1" customWidth="1"/>
    <col min="2327" max="2327" width="14.28515625" style="1" customWidth="1"/>
    <col min="2328" max="2328" width="18.28515625" style="1" customWidth="1"/>
    <col min="2329" max="2329" width="13" style="1" bestFit="1" customWidth="1"/>
    <col min="2330" max="2330" width="11.7109375" style="1" bestFit="1" customWidth="1"/>
    <col min="2331" max="2337" width="9.140625" style="1"/>
    <col min="2338" max="2338" width="11.28515625" style="1" bestFit="1" customWidth="1"/>
    <col min="2339" max="2339" width="10.7109375" style="1" bestFit="1" customWidth="1"/>
    <col min="2340" max="2561" width="9.140625" style="1"/>
    <col min="2562" max="2562" width="6.42578125" style="1" customWidth="1"/>
    <col min="2563" max="2563" width="20.7109375" style="1" customWidth="1"/>
    <col min="2564" max="2564" width="24.7109375" style="1" customWidth="1"/>
    <col min="2565" max="2565" width="11.140625" style="1" customWidth="1"/>
    <col min="2566" max="2566" width="12.28515625" style="1" customWidth="1"/>
    <col min="2567" max="2567" width="11.140625" style="1" customWidth="1"/>
    <col min="2568" max="2568" width="10.42578125" style="1" customWidth="1"/>
    <col min="2569" max="2569" width="4.7109375" style="1" customWidth="1"/>
    <col min="2570" max="2570" width="8.5703125" style="1" customWidth="1"/>
    <col min="2571" max="2571" width="5.5703125" style="1" customWidth="1"/>
    <col min="2572" max="2573" width="11.5703125" style="1" customWidth="1"/>
    <col min="2574" max="2574" width="10.85546875" style="1" customWidth="1"/>
    <col min="2575" max="2575" width="7.7109375" style="1" customWidth="1"/>
    <col min="2576" max="2576" width="8" style="1" customWidth="1"/>
    <col min="2577" max="2577" width="16.28515625" style="1" customWidth="1"/>
    <col min="2578" max="2578" width="10.5703125" style="1" customWidth="1"/>
    <col min="2579" max="2579" width="14.140625" style="1" customWidth="1"/>
    <col min="2580" max="2580" width="10.140625" style="1" customWidth="1"/>
    <col min="2581" max="2581" width="15.140625" style="1" customWidth="1"/>
    <col min="2582" max="2582" width="8.5703125" style="1" customWidth="1"/>
    <col min="2583" max="2583" width="14.28515625" style="1" customWidth="1"/>
    <col min="2584" max="2584" width="18.28515625" style="1" customWidth="1"/>
    <col min="2585" max="2585" width="13" style="1" bestFit="1" customWidth="1"/>
    <col min="2586" max="2586" width="11.7109375" style="1" bestFit="1" customWidth="1"/>
    <col min="2587" max="2593" width="9.140625" style="1"/>
    <col min="2594" max="2594" width="11.28515625" style="1" bestFit="1" customWidth="1"/>
    <col min="2595" max="2595" width="10.7109375" style="1" bestFit="1" customWidth="1"/>
    <col min="2596" max="2817" width="9.140625" style="1"/>
    <col min="2818" max="2818" width="6.42578125" style="1" customWidth="1"/>
    <col min="2819" max="2819" width="20.7109375" style="1" customWidth="1"/>
    <col min="2820" max="2820" width="24.7109375" style="1" customWidth="1"/>
    <col min="2821" max="2821" width="11.140625" style="1" customWidth="1"/>
    <col min="2822" max="2822" width="12.28515625" style="1" customWidth="1"/>
    <col min="2823" max="2823" width="11.140625" style="1" customWidth="1"/>
    <col min="2824" max="2824" width="10.42578125" style="1" customWidth="1"/>
    <col min="2825" max="2825" width="4.7109375" style="1" customWidth="1"/>
    <col min="2826" max="2826" width="8.5703125" style="1" customWidth="1"/>
    <col min="2827" max="2827" width="5.5703125" style="1" customWidth="1"/>
    <col min="2828" max="2829" width="11.5703125" style="1" customWidth="1"/>
    <col min="2830" max="2830" width="10.85546875" style="1" customWidth="1"/>
    <col min="2831" max="2831" width="7.7109375" style="1" customWidth="1"/>
    <col min="2832" max="2832" width="8" style="1" customWidth="1"/>
    <col min="2833" max="2833" width="16.28515625" style="1" customWidth="1"/>
    <col min="2834" max="2834" width="10.5703125" style="1" customWidth="1"/>
    <col min="2835" max="2835" width="14.140625" style="1" customWidth="1"/>
    <col min="2836" max="2836" width="10.140625" style="1" customWidth="1"/>
    <col min="2837" max="2837" width="15.140625" style="1" customWidth="1"/>
    <col min="2838" max="2838" width="8.5703125" style="1" customWidth="1"/>
    <col min="2839" max="2839" width="14.28515625" style="1" customWidth="1"/>
    <col min="2840" max="2840" width="18.28515625" style="1" customWidth="1"/>
    <col min="2841" max="2841" width="13" style="1" bestFit="1" customWidth="1"/>
    <col min="2842" max="2842" width="11.7109375" style="1" bestFit="1" customWidth="1"/>
    <col min="2843" max="2849" width="9.140625" style="1"/>
    <col min="2850" max="2850" width="11.28515625" style="1" bestFit="1" customWidth="1"/>
    <col min="2851" max="2851" width="10.7109375" style="1" bestFit="1" customWidth="1"/>
    <col min="2852" max="3073" width="9.140625" style="1"/>
    <col min="3074" max="3074" width="6.42578125" style="1" customWidth="1"/>
    <col min="3075" max="3075" width="20.7109375" style="1" customWidth="1"/>
    <col min="3076" max="3076" width="24.7109375" style="1" customWidth="1"/>
    <col min="3077" max="3077" width="11.140625" style="1" customWidth="1"/>
    <col min="3078" max="3078" width="12.28515625" style="1" customWidth="1"/>
    <col min="3079" max="3079" width="11.140625" style="1" customWidth="1"/>
    <col min="3080" max="3080" width="10.42578125" style="1" customWidth="1"/>
    <col min="3081" max="3081" width="4.7109375" style="1" customWidth="1"/>
    <col min="3082" max="3082" width="8.5703125" style="1" customWidth="1"/>
    <col min="3083" max="3083" width="5.5703125" style="1" customWidth="1"/>
    <col min="3084" max="3085" width="11.5703125" style="1" customWidth="1"/>
    <col min="3086" max="3086" width="10.85546875" style="1" customWidth="1"/>
    <col min="3087" max="3087" width="7.7109375" style="1" customWidth="1"/>
    <col min="3088" max="3088" width="8" style="1" customWidth="1"/>
    <col min="3089" max="3089" width="16.28515625" style="1" customWidth="1"/>
    <col min="3090" max="3090" width="10.5703125" style="1" customWidth="1"/>
    <col min="3091" max="3091" width="14.140625" style="1" customWidth="1"/>
    <col min="3092" max="3092" width="10.140625" style="1" customWidth="1"/>
    <col min="3093" max="3093" width="15.140625" style="1" customWidth="1"/>
    <col min="3094" max="3094" width="8.5703125" style="1" customWidth="1"/>
    <col min="3095" max="3095" width="14.28515625" style="1" customWidth="1"/>
    <col min="3096" max="3096" width="18.28515625" style="1" customWidth="1"/>
    <col min="3097" max="3097" width="13" style="1" bestFit="1" customWidth="1"/>
    <col min="3098" max="3098" width="11.7109375" style="1" bestFit="1" customWidth="1"/>
    <col min="3099" max="3105" width="9.140625" style="1"/>
    <col min="3106" max="3106" width="11.28515625" style="1" bestFit="1" customWidth="1"/>
    <col min="3107" max="3107" width="10.7109375" style="1" bestFit="1" customWidth="1"/>
    <col min="3108" max="3329" width="9.140625" style="1"/>
    <col min="3330" max="3330" width="6.42578125" style="1" customWidth="1"/>
    <col min="3331" max="3331" width="20.7109375" style="1" customWidth="1"/>
    <col min="3332" max="3332" width="24.7109375" style="1" customWidth="1"/>
    <col min="3333" max="3333" width="11.140625" style="1" customWidth="1"/>
    <col min="3334" max="3334" width="12.28515625" style="1" customWidth="1"/>
    <col min="3335" max="3335" width="11.140625" style="1" customWidth="1"/>
    <col min="3336" max="3336" width="10.42578125" style="1" customWidth="1"/>
    <col min="3337" max="3337" width="4.7109375" style="1" customWidth="1"/>
    <col min="3338" max="3338" width="8.5703125" style="1" customWidth="1"/>
    <col min="3339" max="3339" width="5.5703125" style="1" customWidth="1"/>
    <col min="3340" max="3341" width="11.5703125" style="1" customWidth="1"/>
    <col min="3342" max="3342" width="10.85546875" style="1" customWidth="1"/>
    <col min="3343" max="3343" width="7.7109375" style="1" customWidth="1"/>
    <col min="3344" max="3344" width="8" style="1" customWidth="1"/>
    <col min="3345" max="3345" width="16.28515625" style="1" customWidth="1"/>
    <col min="3346" max="3346" width="10.5703125" style="1" customWidth="1"/>
    <col min="3347" max="3347" width="14.140625" style="1" customWidth="1"/>
    <col min="3348" max="3348" width="10.140625" style="1" customWidth="1"/>
    <col min="3349" max="3349" width="15.140625" style="1" customWidth="1"/>
    <col min="3350" max="3350" width="8.5703125" style="1" customWidth="1"/>
    <col min="3351" max="3351" width="14.28515625" style="1" customWidth="1"/>
    <col min="3352" max="3352" width="18.28515625" style="1" customWidth="1"/>
    <col min="3353" max="3353" width="13" style="1" bestFit="1" customWidth="1"/>
    <col min="3354" max="3354" width="11.7109375" style="1" bestFit="1" customWidth="1"/>
    <col min="3355" max="3361" width="9.140625" style="1"/>
    <col min="3362" max="3362" width="11.28515625" style="1" bestFit="1" customWidth="1"/>
    <col min="3363" max="3363" width="10.7109375" style="1" bestFit="1" customWidth="1"/>
    <col min="3364" max="3585" width="9.140625" style="1"/>
    <col min="3586" max="3586" width="6.42578125" style="1" customWidth="1"/>
    <col min="3587" max="3587" width="20.7109375" style="1" customWidth="1"/>
    <col min="3588" max="3588" width="24.7109375" style="1" customWidth="1"/>
    <col min="3589" max="3589" width="11.140625" style="1" customWidth="1"/>
    <col min="3590" max="3590" width="12.28515625" style="1" customWidth="1"/>
    <col min="3591" max="3591" width="11.140625" style="1" customWidth="1"/>
    <col min="3592" max="3592" width="10.42578125" style="1" customWidth="1"/>
    <col min="3593" max="3593" width="4.7109375" style="1" customWidth="1"/>
    <col min="3594" max="3594" width="8.5703125" style="1" customWidth="1"/>
    <col min="3595" max="3595" width="5.5703125" style="1" customWidth="1"/>
    <col min="3596" max="3597" width="11.5703125" style="1" customWidth="1"/>
    <col min="3598" max="3598" width="10.85546875" style="1" customWidth="1"/>
    <col min="3599" max="3599" width="7.7109375" style="1" customWidth="1"/>
    <col min="3600" max="3600" width="8" style="1" customWidth="1"/>
    <col min="3601" max="3601" width="16.28515625" style="1" customWidth="1"/>
    <col min="3602" max="3602" width="10.5703125" style="1" customWidth="1"/>
    <col min="3603" max="3603" width="14.140625" style="1" customWidth="1"/>
    <col min="3604" max="3604" width="10.140625" style="1" customWidth="1"/>
    <col min="3605" max="3605" width="15.140625" style="1" customWidth="1"/>
    <col min="3606" max="3606" width="8.5703125" style="1" customWidth="1"/>
    <col min="3607" max="3607" width="14.28515625" style="1" customWidth="1"/>
    <col min="3608" max="3608" width="18.28515625" style="1" customWidth="1"/>
    <col min="3609" max="3609" width="13" style="1" bestFit="1" customWidth="1"/>
    <col min="3610" max="3610" width="11.7109375" style="1" bestFit="1" customWidth="1"/>
    <col min="3611" max="3617" width="9.140625" style="1"/>
    <col min="3618" max="3618" width="11.28515625" style="1" bestFit="1" customWidth="1"/>
    <col min="3619" max="3619" width="10.7109375" style="1" bestFit="1" customWidth="1"/>
    <col min="3620" max="3841" width="9.140625" style="1"/>
    <col min="3842" max="3842" width="6.42578125" style="1" customWidth="1"/>
    <col min="3843" max="3843" width="20.7109375" style="1" customWidth="1"/>
    <col min="3844" max="3844" width="24.7109375" style="1" customWidth="1"/>
    <col min="3845" max="3845" width="11.140625" style="1" customWidth="1"/>
    <col min="3846" max="3846" width="12.28515625" style="1" customWidth="1"/>
    <col min="3847" max="3847" width="11.140625" style="1" customWidth="1"/>
    <col min="3848" max="3848" width="10.42578125" style="1" customWidth="1"/>
    <col min="3849" max="3849" width="4.7109375" style="1" customWidth="1"/>
    <col min="3850" max="3850" width="8.5703125" style="1" customWidth="1"/>
    <col min="3851" max="3851" width="5.5703125" style="1" customWidth="1"/>
    <col min="3852" max="3853" width="11.5703125" style="1" customWidth="1"/>
    <col min="3854" max="3854" width="10.85546875" style="1" customWidth="1"/>
    <col min="3855" max="3855" width="7.7109375" style="1" customWidth="1"/>
    <col min="3856" max="3856" width="8" style="1" customWidth="1"/>
    <col min="3857" max="3857" width="16.28515625" style="1" customWidth="1"/>
    <col min="3858" max="3858" width="10.5703125" style="1" customWidth="1"/>
    <col min="3859" max="3859" width="14.140625" style="1" customWidth="1"/>
    <col min="3860" max="3860" width="10.140625" style="1" customWidth="1"/>
    <col min="3861" max="3861" width="15.140625" style="1" customWidth="1"/>
    <col min="3862" max="3862" width="8.5703125" style="1" customWidth="1"/>
    <col min="3863" max="3863" width="14.28515625" style="1" customWidth="1"/>
    <col min="3864" max="3864" width="18.28515625" style="1" customWidth="1"/>
    <col min="3865" max="3865" width="13" style="1" bestFit="1" customWidth="1"/>
    <col min="3866" max="3866" width="11.7109375" style="1" bestFit="1" customWidth="1"/>
    <col min="3867" max="3873" width="9.140625" style="1"/>
    <col min="3874" max="3874" width="11.28515625" style="1" bestFit="1" customWidth="1"/>
    <col min="3875" max="3875" width="10.7109375" style="1" bestFit="1" customWidth="1"/>
    <col min="3876" max="4097" width="9.140625" style="1"/>
    <col min="4098" max="4098" width="6.42578125" style="1" customWidth="1"/>
    <col min="4099" max="4099" width="20.7109375" style="1" customWidth="1"/>
    <col min="4100" max="4100" width="24.7109375" style="1" customWidth="1"/>
    <col min="4101" max="4101" width="11.140625" style="1" customWidth="1"/>
    <col min="4102" max="4102" width="12.28515625" style="1" customWidth="1"/>
    <col min="4103" max="4103" width="11.140625" style="1" customWidth="1"/>
    <col min="4104" max="4104" width="10.42578125" style="1" customWidth="1"/>
    <col min="4105" max="4105" width="4.7109375" style="1" customWidth="1"/>
    <col min="4106" max="4106" width="8.5703125" style="1" customWidth="1"/>
    <col min="4107" max="4107" width="5.5703125" style="1" customWidth="1"/>
    <col min="4108" max="4109" width="11.5703125" style="1" customWidth="1"/>
    <col min="4110" max="4110" width="10.85546875" style="1" customWidth="1"/>
    <col min="4111" max="4111" width="7.7109375" style="1" customWidth="1"/>
    <col min="4112" max="4112" width="8" style="1" customWidth="1"/>
    <col min="4113" max="4113" width="16.28515625" style="1" customWidth="1"/>
    <col min="4114" max="4114" width="10.5703125" style="1" customWidth="1"/>
    <col min="4115" max="4115" width="14.140625" style="1" customWidth="1"/>
    <col min="4116" max="4116" width="10.140625" style="1" customWidth="1"/>
    <col min="4117" max="4117" width="15.140625" style="1" customWidth="1"/>
    <col min="4118" max="4118" width="8.5703125" style="1" customWidth="1"/>
    <col min="4119" max="4119" width="14.28515625" style="1" customWidth="1"/>
    <col min="4120" max="4120" width="18.28515625" style="1" customWidth="1"/>
    <col min="4121" max="4121" width="13" style="1" bestFit="1" customWidth="1"/>
    <col min="4122" max="4122" width="11.7109375" style="1" bestFit="1" customWidth="1"/>
    <col min="4123" max="4129" width="9.140625" style="1"/>
    <col min="4130" max="4130" width="11.28515625" style="1" bestFit="1" customWidth="1"/>
    <col min="4131" max="4131" width="10.7109375" style="1" bestFit="1" customWidth="1"/>
    <col min="4132" max="4353" width="9.140625" style="1"/>
    <col min="4354" max="4354" width="6.42578125" style="1" customWidth="1"/>
    <col min="4355" max="4355" width="20.7109375" style="1" customWidth="1"/>
    <col min="4356" max="4356" width="24.7109375" style="1" customWidth="1"/>
    <col min="4357" max="4357" width="11.140625" style="1" customWidth="1"/>
    <col min="4358" max="4358" width="12.28515625" style="1" customWidth="1"/>
    <col min="4359" max="4359" width="11.140625" style="1" customWidth="1"/>
    <col min="4360" max="4360" width="10.42578125" style="1" customWidth="1"/>
    <col min="4361" max="4361" width="4.7109375" style="1" customWidth="1"/>
    <col min="4362" max="4362" width="8.5703125" style="1" customWidth="1"/>
    <col min="4363" max="4363" width="5.5703125" style="1" customWidth="1"/>
    <col min="4364" max="4365" width="11.5703125" style="1" customWidth="1"/>
    <col min="4366" max="4366" width="10.85546875" style="1" customWidth="1"/>
    <col min="4367" max="4367" width="7.7109375" style="1" customWidth="1"/>
    <col min="4368" max="4368" width="8" style="1" customWidth="1"/>
    <col min="4369" max="4369" width="16.28515625" style="1" customWidth="1"/>
    <col min="4370" max="4370" width="10.5703125" style="1" customWidth="1"/>
    <col min="4371" max="4371" width="14.140625" style="1" customWidth="1"/>
    <col min="4372" max="4372" width="10.140625" style="1" customWidth="1"/>
    <col min="4373" max="4373" width="15.140625" style="1" customWidth="1"/>
    <col min="4374" max="4374" width="8.5703125" style="1" customWidth="1"/>
    <col min="4375" max="4375" width="14.28515625" style="1" customWidth="1"/>
    <col min="4376" max="4376" width="18.28515625" style="1" customWidth="1"/>
    <col min="4377" max="4377" width="13" style="1" bestFit="1" customWidth="1"/>
    <col min="4378" max="4378" width="11.7109375" style="1" bestFit="1" customWidth="1"/>
    <col min="4379" max="4385" width="9.140625" style="1"/>
    <col min="4386" max="4386" width="11.28515625" style="1" bestFit="1" customWidth="1"/>
    <col min="4387" max="4387" width="10.7109375" style="1" bestFit="1" customWidth="1"/>
    <col min="4388" max="4609" width="9.140625" style="1"/>
    <col min="4610" max="4610" width="6.42578125" style="1" customWidth="1"/>
    <col min="4611" max="4611" width="20.7109375" style="1" customWidth="1"/>
    <col min="4612" max="4612" width="24.7109375" style="1" customWidth="1"/>
    <col min="4613" max="4613" width="11.140625" style="1" customWidth="1"/>
    <col min="4614" max="4614" width="12.28515625" style="1" customWidth="1"/>
    <col min="4615" max="4615" width="11.140625" style="1" customWidth="1"/>
    <col min="4616" max="4616" width="10.42578125" style="1" customWidth="1"/>
    <col min="4617" max="4617" width="4.7109375" style="1" customWidth="1"/>
    <col min="4618" max="4618" width="8.5703125" style="1" customWidth="1"/>
    <col min="4619" max="4619" width="5.5703125" style="1" customWidth="1"/>
    <col min="4620" max="4621" width="11.5703125" style="1" customWidth="1"/>
    <col min="4622" max="4622" width="10.85546875" style="1" customWidth="1"/>
    <col min="4623" max="4623" width="7.7109375" style="1" customWidth="1"/>
    <col min="4624" max="4624" width="8" style="1" customWidth="1"/>
    <col min="4625" max="4625" width="16.28515625" style="1" customWidth="1"/>
    <col min="4626" max="4626" width="10.5703125" style="1" customWidth="1"/>
    <col min="4627" max="4627" width="14.140625" style="1" customWidth="1"/>
    <col min="4628" max="4628" width="10.140625" style="1" customWidth="1"/>
    <col min="4629" max="4629" width="15.140625" style="1" customWidth="1"/>
    <col min="4630" max="4630" width="8.5703125" style="1" customWidth="1"/>
    <col min="4631" max="4631" width="14.28515625" style="1" customWidth="1"/>
    <col min="4632" max="4632" width="18.28515625" style="1" customWidth="1"/>
    <col min="4633" max="4633" width="13" style="1" bestFit="1" customWidth="1"/>
    <col min="4634" max="4634" width="11.7109375" style="1" bestFit="1" customWidth="1"/>
    <col min="4635" max="4641" width="9.140625" style="1"/>
    <col min="4642" max="4642" width="11.28515625" style="1" bestFit="1" customWidth="1"/>
    <col min="4643" max="4643" width="10.7109375" style="1" bestFit="1" customWidth="1"/>
    <col min="4644" max="4865" width="9.140625" style="1"/>
    <col min="4866" max="4866" width="6.42578125" style="1" customWidth="1"/>
    <col min="4867" max="4867" width="20.7109375" style="1" customWidth="1"/>
    <col min="4868" max="4868" width="24.7109375" style="1" customWidth="1"/>
    <col min="4869" max="4869" width="11.140625" style="1" customWidth="1"/>
    <col min="4870" max="4870" width="12.28515625" style="1" customWidth="1"/>
    <col min="4871" max="4871" width="11.140625" style="1" customWidth="1"/>
    <col min="4872" max="4872" width="10.42578125" style="1" customWidth="1"/>
    <col min="4873" max="4873" width="4.7109375" style="1" customWidth="1"/>
    <col min="4874" max="4874" width="8.5703125" style="1" customWidth="1"/>
    <col min="4875" max="4875" width="5.5703125" style="1" customWidth="1"/>
    <col min="4876" max="4877" width="11.5703125" style="1" customWidth="1"/>
    <col min="4878" max="4878" width="10.85546875" style="1" customWidth="1"/>
    <col min="4879" max="4879" width="7.7109375" style="1" customWidth="1"/>
    <col min="4880" max="4880" width="8" style="1" customWidth="1"/>
    <col min="4881" max="4881" width="16.28515625" style="1" customWidth="1"/>
    <col min="4882" max="4882" width="10.5703125" style="1" customWidth="1"/>
    <col min="4883" max="4883" width="14.140625" style="1" customWidth="1"/>
    <col min="4884" max="4884" width="10.140625" style="1" customWidth="1"/>
    <col min="4885" max="4885" width="15.140625" style="1" customWidth="1"/>
    <col min="4886" max="4886" width="8.5703125" style="1" customWidth="1"/>
    <col min="4887" max="4887" width="14.28515625" style="1" customWidth="1"/>
    <col min="4888" max="4888" width="18.28515625" style="1" customWidth="1"/>
    <col min="4889" max="4889" width="13" style="1" bestFit="1" customWidth="1"/>
    <col min="4890" max="4890" width="11.7109375" style="1" bestFit="1" customWidth="1"/>
    <col min="4891" max="4897" width="9.140625" style="1"/>
    <col min="4898" max="4898" width="11.28515625" style="1" bestFit="1" customWidth="1"/>
    <col min="4899" max="4899" width="10.7109375" style="1" bestFit="1" customWidth="1"/>
    <col min="4900" max="5121" width="9.140625" style="1"/>
    <col min="5122" max="5122" width="6.42578125" style="1" customWidth="1"/>
    <col min="5123" max="5123" width="20.7109375" style="1" customWidth="1"/>
    <col min="5124" max="5124" width="24.7109375" style="1" customWidth="1"/>
    <col min="5125" max="5125" width="11.140625" style="1" customWidth="1"/>
    <col min="5126" max="5126" width="12.28515625" style="1" customWidth="1"/>
    <col min="5127" max="5127" width="11.140625" style="1" customWidth="1"/>
    <col min="5128" max="5128" width="10.42578125" style="1" customWidth="1"/>
    <col min="5129" max="5129" width="4.7109375" style="1" customWidth="1"/>
    <col min="5130" max="5130" width="8.5703125" style="1" customWidth="1"/>
    <col min="5131" max="5131" width="5.5703125" style="1" customWidth="1"/>
    <col min="5132" max="5133" width="11.5703125" style="1" customWidth="1"/>
    <col min="5134" max="5134" width="10.85546875" style="1" customWidth="1"/>
    <col min="5135" max="5135" width="7.7109375" style="1" customWidth="1"/>
    <col min="5136" max="5136" width="8" style="1" customWidth="1"/>
    <col min="5137" max="5137" width="16.28515625" style="1" customWidth="1"/>
    <col min="5138" max="5138" width="10.5703125" style="1" customWidth="1"/>
    <col min="5139" max="5139" width="14.140625" style="1" customWidth="1"/>
    <col min="5140" max="5140" width="10.140625" style="1" customWidth="1"/>
    <col min="5141" max="5141" width="15.140625" style="1" customWidth="1"/>
    <col min="5142" max="5142" width="8.5703125" style="1" customWidth="1"/>
    <col min="5143" max="5143" width="14.28515625" style="1" customWidth="1"/>
    <col min="5144" max="5144" width="18.28515625" style="1" customWidth="1"/>
    <col min="5145" max="5145" width="13" style="1" bestFit="1" customWidth="1"/>
    <col min="5146" max="5146" width="11.7109375" style="1" bestFit="1" customWidth="1"/>
    <col min="5147" max="5153" width="9.140625" style="1"/>
    <col min="5154" max="5154" width="11.28515625" style="1" bestFit="1" customWidth="1"/>
    <col min="5155" max="5155" width="10.7109375" style="1" bestFit="1" customWidth="1"/>
    <col min="5156" max="5377" width="9.140625" style="1"/>
    <col min="5378" max="5378" width="6.42578125" style="1" customWidth="1"/>
    <col min="5379" max="5379" width="20.7109375" style="1" customWidth="1"/>
    <col min="5380" max="5380" width="24.7109375" style="1" customWidth="1"/>
    <col min="5381" max="5381" width="11.140625" style="1" customWidth="1"/>
    <col min="5382" max="5382" width="12.28515625" style="1" customWidth="1"/>
    <col min="5383" max="5383" width="11.140625" style="1" customWidth="1"/>
    <col min="5384" max="5384" width="10.42578125" style="1" customWidth="1"/>
    <col min="5385" max="5385" width="4.7109375" style="1" customWidth="1"/>
    <col min="5386" max="5386" width="8.5703125" style="1" customWidth="1"/>
    <col min="5387" max="5387" width="5.5703125" style="1" customWidth="1"/>
    <col min="5388" max="5389" width="11.5703125" style="1" customWidth="1"/>
    <col min="5390" max="5390" width="10.85546875" style="1" customWidth="1"/>
    <col min="5391" max="5391" width="7.7109375" style="1" customWidth="1"/>
    <col min="5392" max="5392" width="8" style="1" customWidth="1"/>
    <col min="5393" max="5393" width="16.28515625" style="1" customWidth="1"/>
    <col min="5394" max="5394" width="10.5703125" style="1" customWidth="1"/>
    <col min="5395" max="5395" width="14.140625" style="1" customWidth="1"/>
    <col min="5396" max="5396" width="10.140625" style="1" customWidth="1"/>
    <col min="5397" max="5397" width="15.140625" style="1" customWidth="1"/>
    <col min="5398" max="5398" width="8.5703125" style="1" customWidth="1"/>
    <col min="5399" max="5399" width="14.28515625" style="1" customWidth="1"/>
    <col min="5400" max="5400" width="18.28515625" style="1" customWidth="1"/>
    <col min="5401" max="5401" width="13" style="1" bestFit="1" customWidth="1"/>
    <col min="5402" max="5402" width="11.7109375" style="1" bestFit="1" customWidth="1"/>
    <col min="5403" max="5409" width="9.140625" style="1"/>
    <col min="5410" max="5410" width="11.28515625" style="1" bestFit="1" customWidth="1"/>
    <col min="5411" max="5411" width="10.7109375" style="1" bestFit="1" customWidth="1"/>
    <col min="5412" max="5633" width="9.140625" style="1"/>
    <col min="5634" max="5634" width="6.42578125" style="1" customWidth="1"/>
    <col min="5635" max="5635" width="20.7109375" style="1" customWidth="1"/>
    <col min="5636" max="5636" width="24.7109375" style="1" customWidth="1"/>
    <col min="5637" max="5637" width="11.140625" style="1" customWidth="1"/>
    <col min="5638" max="5638" width="12.28515625" style="1" customWidth="1"/>
    <col min="5639" max="5639" width="11.140625" style="1" customWidth="1"/>
    <col min="5640" max="5640" width="10.42578125" style="1" customWidth="1"/>
    <col min="5641" max="5641" width="4.7109375" style="1" customWidth="1"/>
    <col min="5642" max="5642" width="8.5703125" style="1" customWidth="1"/>
    <col min="5643" max="5643" width="5.5703125" style="1" customWidth="1"/>
    <col min="5644" max="5645" width="11.5703125" style="1" customWidth="1"/>
    <col min="5646" max="5646" width="10.85546875" style="1" customWidth="1"/>
    <col min="5647" max="5647" width="7.7109375" style="1" customWidth="1"/>
    <col min="5648" max="5648" width="8" style="1" customWidth="1"/>
    <col min="5649" max="5649" width="16.28515625" style="1" customWidth="1"/>
    <col min="5650" max="5650" width="10.5703125" style="1" customWidth="1"/>
    <col min="5651" max="5651" width="14.140625" style="1" customWidth="1"/>
    <col min="5652" max="5652" width="10.140625" style="1" customWidth="1"/>
    <col min="5653" max="5653" width="15.140625" style="1" customWidth="1"/>
    <col min="5654" max="5654" width="8.5703125" style="1" customWidth="1"/>
    <col min="5655" max="5655" width="14.28515625" style="1" customWidth="1"/>
    <col min="5656" max="5656" width="18.28515625" style="1" customWidth="1"/>
    <col min="5657" max="5657" width="13" style="1" bestFit="1" customWidth="1"/>
    <col min="5658" max="5658" width="11.7109375" style="1" bestFit="1" customWidth="1"/>
    <col min="5659" max="5665" width="9.140625" style="1"/>
    <col min="5666" max="5666" width="11.28515625" style="1" bestFit="1" customWidth="1"/>
    <col min="5667" max="5667" width="10.7109375" style="1" bestFit="1" customWidth="1"/>
    <col min="5668" max="5889" width="9.140625" style="1"/>
    <col min="5890" max="5890" width="6.42578125" style="1" customWidth="1"/>
    <col min="5891" max="5891" width="20.7109375" style="1" customWidth="1"/>
    <col min="5892" max="5892" width="24.7109375" style="1" customWidth="1"/>
    <col min="5893" max="5893" width="11.140625" style="1" customWidth="1"/>
    <col min="5894" max="5894" width="12.28515625" style="1" customWidth="1"/>
    <col min="5895" max="5895" width="11.140625" style="1" customWidth="1"/>
    <col min="5896" max="5896" width="10.42578125" style="1" customWidth="1"/>
    <col min="5897" max="5897" width="4.7109375" style="1" customWidth="1"/>
    <col min="5898" max="5898" width="8.5703125" style="1" customWidth="1"/>
    <col min="5899" max="5899" width="5.5703125" style="1" customWidth="1"/>
    <col min="5900" max="5901" width="11.5703125" style="1" customWidth="1"/>
    <col min="5902" max="5902" width="10.85546875" style="1" customWidth="1"/>
    <col min="5903" max="5903" width="7.7109375" style="1" customWidth="1"/>
    <col min="5904" max="5904" width="8" style="1" customWidth="1"/>
    <col min="5905" max="5905" width="16.28515625" style="1" customWidth="1"/>
    <col min="5906" max="5906" width="10.5703125" style="1" customWidth="1"/>
    <col min="5907" max="5907" width="14.140625" style="1" customWidth="1"/>
    <col min="5908" max="5908" width="10.140625" style="1" customWidth="1"/>
    <col min="5909" max="5909" width="15.140625" style="1" customWidth="1"/>
    <col min="5910" max="5910" width="8.5703125" style="1" customWidth="1"/>
    <col min="5911" max="5911" width="14.28515625" style="1" customWidth="1"/>
    <col min="5912" max="5912" width="18.28515625" style="1" customWidth="1"/>
    <col min="5913" max="5913" width="13" style="1" bestFit="1" customWidth="1"/>
    <col min="5914" max="5914" width="11.7109375" style="1" bestFit="1" customWidth="1"/>
    <col min="5915" max="5921" width="9.140625" style="1"/>
    <col min="5922" max="5922" width="11.28515625" style="1" bestFit="1" customWidth="1"/>
    <col min="5923" max="5923" width="10.7109375" style="1" bestFit="1" customWidth="1"/>
    <col min="5924" max="6145" width="9.140625" style="1"/>
    <col min="6146" max="6146" width="6.42578125" style="1" customWidth="1"/>
    <col min="6147" max="6147" width="20.7109375" style="1" customWidth="1"/>
    <col min="6148" max="6148" width="24.7109375" style="1" customWidth="1"/>
    <col min="6149" max="6149" width="11.140625" style="1" customWidth="1"/>
    <col min="6150" max="6150" width="12.28515625" style="1" customWidth="1"/>
    <col min="6151" max="6151" width="11.140625" style="1" customWidth="1"/>
    <col min="6152" max="6152" width="10.42578125" style="1" customWidth="1"/>
    <col min="6153" max="6153" width="4.7109375" style="1" customWidth="1"/>
    <col min="6154" max="6154" width="8.5703125" style="1" customWidth="1"/>
    <col min="6155" max="6155" width="5.5703125" style="1" customWidth="1"/>
    <col min="6156" max="6157" width="11.5703125" style="1" customWidth="1"/>
    <col min="6158" max="6158" width="10.85546875" style="1" customWidth="1"/>
    <col min="6159" max="6159" width="7.7109375" style="1" customWidth="1"/>
    <col min="6160" max="6160" width="8" style="1" customWidth="1"/>
    <col min="6161" max="6161" width="16.28515625" style="1" customWidth="1"/>
    <col min="6162" max="6162" width="10.5703125" style="1" customWidth="1"/>
    <col min="6163" max="6163" width="14.140625" style="1" customWidth="1"/>
    <col min="6164" max="6164" width="10.140625" style="1" customWidth="1"/>
    <col min="6165" max="6165" width="15.140625" style="1" customWidth="1"/>
    <col min="6166" max="6166" width="8.5703125" style="1" customWidth="1"/>
    <col min="6167" max="6167" width="14.28515625" style="1" customWidth="1"/>
    <col min="6168" max="6168" width="18.28515625" style="1" customWidth="1"/>
    <col min="6169" max="6169" width="13" style="1" bestFit="1" customWidth="1"/>
    <col min="6170" max="6170" width="11.7109375" style="1" bestFit="1" customWidth="1"/>
    <col min="6171" max="6177" width="9.140625" style="1"/>
    <col min="6178" max="6178" width="11.28515625" style="1" bestFit="1" customWidth="1"/>
    <col min="6179" max="6179" width="10.7109375" style="1" bestFit="1" customWidth="1"/>
    <col min="6180" max="6401" width="9.140625" style="1"/>
    <col min="6402" max="6402" width="6.42578125" style="1" customWidth="1"/>
    <col min="6403" max="6403" width="20.7109375" style="1" customWidth="1"/>
    <col min="6404" max="6404" width="24.7109375" style="1" customWidth="1"/>
    <col min="6405" max="6405" width="11.140625" style="1" customWidth="1"/>
    <col min="6406" max="6406" width="12.28515625" style="1" customWidth="1"/>
    <col min="6407" max="6407" width="11.140625" style="1" customWidth="1"/>
    <col min="6408" max="6408" width="10.42578125" style="1" customWidth="1"/>
    <col min="6409" max="6409" width="4.7109375" style="1" customWidth="1"/>
    <col min="6410" max="6410" width="8.5703125" style="1" customWidth="1"/>
    <col min="6411" max="6411" width="5.5703125" style="1" customWidth="1"/>
    <col min="6412" max="6413" width="11.5703125" style="1" customWidth="1"/>
    <col min="6414" max="6414" width="10.85546875" style="1" customWidth="1"/>
    <col min="6415" max="6415" width="7.7109375" style="1" customWidth="1"/>
    <col min="6416" max="6416" width="8" style="1" customWidth="1"/>
    <col min="6417" max="6417" width="16.28515625" style="1" customWidth="1"/>
    <col min="6418" max="6418" width="10.5703125" style="1" customWidth="1"/>
    <col min="6419" max="6419" width="14.140625" style="1" customWidth="1"/>
    <col min="6420" max="6420" width="10.140625" style="1" customWidth="1"/>
    <col min="6421" max="6421" width="15.140625" style="1" customWidth="1"/>
    <col min="6422" max="6422" width="8.5703125" style="1" customWidth="1"/>
    <col min="6423" max="6423" width="14.28515625" style="1" customWidth="1"/>
    <col min="6424" max="6424" width="18.28515625" style="1" customWidth="1"/>
    <col min="6425" max="6425" width="13" style="1" bestFit="1" customWidth="1"/>
    <col min="6426" max="6426" width="11.7109375" style="1" bestFit="1" customWidth="1"/>
    <col min="6427" max="6433" width="9.140625" style="1"/>
    <col min="6434" max="6434" width="11.28515625" style="1" bestFit="1" customWidth="1"/>
    <col min="6435" max="6435" width="10.7109375" style="1" bestFit="1" customWidth="1"/>
    <col min="6436" max="6657" width="9.140625" style="1"/>
    <col min="6658" max="6658" width="6.42578125" style="1" customWidth="1"/>
    <col min="6659" max="6659" width="20.7109375" style="1" customWidth="1"/>
    <col min="6660" max="6660" width="24.7109375" style="1" customWidth="1"/>
    <col min="6661" max="6661" width="11.140625" style="1" customWidth="1"/>
    <col min="6662" max="6662" width="12.28515625" style="1" customWidth="1"/>
    <col min="6663" max="6663" width="11.140625" style="1" customWidth="1"/>
    <col min="6664" max="6664" width="10.42578125" style="1" customWidth="1"/>
    <col min="6665" max="6665" width="4.7109375" style="1" customWidth="1"/>
    <col min="6666" max="6666" width="8.5703125" style="1" customWidth="1"/>
    <col min="6667" max="6667" width="5.5703125" style="1" customWidth="1"/>
    <col min="6668" max="6669" width="11.5703125" style="1" customWidth="1"/>
    <col min="6670" max="6670" width="10.85546875" style="1" customWidth="1"/>
    <col min="6671" max="6671" width="7.7109375" style="1" customWidth="1"/>
    <col min="6672" max="6672" width="8" style="1" customWidth="1"/>
    <col min="6673" max="6673" width="16.28515625" style="1" customWidth="1"/>
    <col min="6674" max="6674" width="10.5703125" style="1" customWidth="1"/>
    <col min="6675" max="6675" width="14.140625" style="1" customWidth="1"/>
    <col min="6676" max="6676" width="10.140625" style="1" customWidth="1"/>
    <col min="6677" max="6677" width="15.140625" style="1" customWidth="1"/>
    <col min="6678" max="6678" width="8.5703125" style="1" customWidth="1"/>
    <col min="6679" max="6679" width="14.28515625" style="1" customWidth="1"/>
    <col min="6680" max="6680" width="18.28515625" style="1" customWidth="1"/>
    <col min="6681" max="6681" width="13" style="1" bestFit="1" customWidth="1"/>
    <col min="6682" max="6682" width="11.7109375" style="1" bestFit="1" customWidth="1"/>
    <col min="6683" max="6689" width="9.140625" style="1"/>
    <col min="6690" max="6690" width="11.28515625" style="1" bestFit="1" customWidth="1"/>
    <col min="6691" max="6691" width="10.7109375" style="1" bestFit="1" customWidth="1"/>
    <col min="6692" max="6913" width="9.140625" style="1"/>
    <col min="6914" max="6914" width="6.42578125" style="1" customWidth="1"/>
    <col min="6915" max="6915" width="20.7109375" style="1" customWidth="1"/>
    <col min="6916" max="6916" width="24.7109375" style="1" customWidth="1"/>
    <col min="6917" max="6917" width="11.140625" style="1" customWidth="1"/>
    <col min="6918" max="6918" width="12.28515625" style="1" customWidth="1"/>
    <col min="6919" max="6919" width="11.140625" style="1" customWidth="1"/>
    <col min="6920" max="6920" width="10.42578125" style="1" customWidth="1"/>
    <col min="6921" max="6921" width="4.7109375" style="1" customWidth="1"/>
    <col min="6922" max="6922" width="8.5703125" style="1" customWidth="1"/>
    <col min="6923" max="6923" width="5.5703125" style="1" customWidth="1"/>
    <col min="6924" max="6925" width="11.5703125" style="1" customWidth="1"/>
    <col min="6926" max="6926" width="10.85546875" style="1" customWidth="1"/>
    <col min="6927" max="6927" width="7.7109375" style="1" customWidth="1"/>
    <col min="6928" max="6928" width="8" style="1" customWidth="1"/>
    <col min="6929" max="6929" width="16.28515625" style="1" customWidth="1"/>
    <col min="6930" max="6930" width="10.5703125" style="1" customWidth="1"/>
    <col min="6931" max="6931" width="14.140625" style="1" customWidth="1"/>
    <col min="6932" max="6932" width="10.140625" style="1" customWidth="1"/>
    <col min="6933" max="6933" width="15.140625" style="1" customWidth="1"/>
    <col min="6934" max="6934" width="8.5703125" style="1" customWidth="1"/>
    <col min="6935" max="6935" width="14.28515625" style="1" customWidth="1"/>
    <col min="6936" max="6936" width="18.28515625" style="1" customWidth="1"/>
    <col min="6937" max="6937" width="13" style="1" bestFit="1" customWidth="1"/>
    <col min="6938" max="6938" width="11.7109375" style="1" bestFit="1" customWidth="1"/>
    <col min="6939" max="6945" width="9.140625" style="1"/>
    <col min="6946" max="6946" width="11.28515625" style="1" bestFit="1" customWidth="1"/>
    <col min="6947" max="6947" width="10.7109375" style="1" bestFit="1" customWidth="1"/>
    <col min="6948" max="7169" width="9.140625" style="1"/>
    <col min="7170" max="7170" width="6.42578125" style="1" customWidth="1"/>
    <col min="7171" max="7171" width="20.7109375" style="1" customWidth="1"/>
    <col min="7172" max="7172" width="24.7109375" style="1" customWidth="1"/>
    <col min="7173" max="7173" width="11.140625" style="1" customWidth="1"/>
    <col min="7174" max="7174" width="12.28515625" style="1" customWidth="1"/>
    <col min="7175" max="7175" width="11.140625" style="1" customWidth="1"/>
    <col min="7176" max="7176" width="10.42578125" style="1" customWidth="1"/>
    <col min="7177" max="7177" width="4.7109375" style="1" customWidth="1"/>
    <col min="7178" max="7178" width="8.5703125" style="1" customWidth="1"/>
    <col min="7179" max="7179" width="5.5703125" style="1" customWidth="1"/>
    <col min="7180" max="7181" width="11.5703125" style="1" customWidth="1"/>
    <col min="7182" max="7182" width="10.85546875" style="1" customWidth="1"/>
    <col min="7183" max="7183" width="7.7109375" style="1" customWidth="1"/>
    <col min="7184" max="7184" width="8" style="1" customWidth="1"/>
    <col min="7185" max="7185" width="16.28515625" style="1" customWidth="1"/>
    <col min="7186" max="7186" width="10.5703125" style="1" customWidth="1"/>
    <col min="7187" max="7187" width="14.140625" style="1" customWidth="1"/>
    <col min="7188" max="7188" width="10.140625" style="1" customWidth="1"/>
    <col min="7189" max="7189" width="15.140625" style="1" customWidth="1"/>
    <col min="7190" max="7190" width="8.5703125" style="1" customWidth="1"/>
    <col min="7191" max="7191" width="14.28515625" style="1" customWidth="1"/>
    <col min="7192" max="7192" width="18.28515625" style="1" customWidth="1"/>
    <col min="7193" max="7193" width="13" style="1" bestFit="1" customWidth="1"/>
    <col min="7194" max="7194" width="11.7109375" style="1" bestFit="1" customWidth="1"/>
    <col min="7195" max="7201" width="9.140625" style="1"/>
    <col min="7202" max="7202" width="11.28515625" style="1" bestFit="1" customWidth="1"/>
    <col min="7203" max="7203" width="10.7109375" style="1" bestFit="1" customWidth="1"/>
    <col min="7204" max="7425" width="9.140625" style="1"/>
    <col min="7426" max="7426" width="6.42578125" style="1" customWidth="1"/>
    <col min="7427" max="7427" width="20.7109375" style="1" customWidth="1"/>
    <col min="7428" max="7428" width="24.7109375" style="1" customWidth="1"/>
    <col min="7429" max="7429" width="11.140625" style="1" customWidth="1"/>
    <col min="7430" max="7430" width="12.28515625" style="1" customWidth="1"/>
    <col min="7431" max="7431" width="11.140625" style="1" customWidth="1"/>
    <col min="7432" max="7432" width="10.42578125" style="1" customWidth="1"/>
    <col min="7433" max="7433" width="4.7109375" style="1" customWidth="1"/>
    <col min="7434" max="7434" width="8.5703125" style="1" customWidth="1"/>
    <col min="7435" max="7435" width="5.5703125" style="1" customWidth="1"/>
    <col min="7436" max="7437" width="11.5703125" style="1" customWidth="1"/>
    <col min="7438" max="7438" width="10.85546875" style="1" customWidth="1"/>
    <col min="7439" max="7439" width="7.7109375" style="1" customWidth="1"/>
    <col min="7440" max="7440" width="8" style="1" customWidth="1"/>
    <col min="7441" max="7441" width="16.28515625" style="1" customWidth="1"/>
    <col min="7442" max="7442" width="10.5703125" style="1" customWidth="1"/>
    <col min="7443" max="7443" width="14.140625" style="1" customWidth="1"/>
    <col min="7444" max="7444" width="10.140625" style="1" customWidth="1"/>
    <col min="7445" max="7445" width="15.140625" style="1" customWidth="1"/>
    <col min="7446" max="7446" width="8.5703125" style="1" customWidth="1"/>
    <col min="7447" max="7447" width="14.28515625" style="1" customWidth="1"/>
    <col min="7448" max="7448" width="18.28515625" style="1" customWidth="1"/>
    <col min="7449" max="7449" width="13" style="1" bestFit="1" customWidth="1"/>
    <col min="7450" max="7450" width="11.7109375" style="1" bestFit="1" customWidth="1"/>
    <col min="7451" max="7457" width="9.140625" style="1"/>
    <col min="7458" max="7458" width="11.28515625" style="1" bestFit="1" customWidth="1"/>
    <col min="7459" max="7459" width="10.7109375" style="1" bestFit="1" customWidth="1"/>
    <col min="7460" max="7681" width="9.140625" style="1"/>
    <col min="7682" max="7682" width="6.42578125" style="1" customWidth="1"/>
    <col min="7683" max="7683" width="20.7109375" style="1" customWidth="1"/>
    <col min="7684" max="7684" width="24.7109375" style="1" customWidth="1"/>
    <col min="7685" max="7685" width="11.140625" style="1" customWidth="1"/>
    <col min="7686" max="7686" width="12.28515625" style="1" customWidth="1"/>
    <col min="7687" max="7687" width="11.140625" style="1" customWidth="1"/>
    <col min="7688" max="7688" width="10.42578125" style="1" customWidth="1"/>
    <col min="7689" max="7689" width="4.7109375" style="1" customWidth="1"/>
    <col min="7690" max="7690" width="8.5703125" style="1" customWidth="1"/>
    <col min="7691" max="7691" width="5.5703125" style="1" customWidth="1"/>
    <col min="7692" max="7693" width="11.5703125" style="1" customWidth="1"/>
    <col min="7694" max="7694" width="10.85546875" style="1" customWidth="1"/>
    <col min="7695" max="7695" width="7.7109375" style="1" customWidth="1"/>
    <col min="7696" max="7696" width="8" style="1" customWidth="1"/>
    <col min="7697" max="7697" width="16.28515625" style="1" customWidth="1"/>
    <col min="7698" max="7698" width="10.5703125" style="1" customWidth="1"/>
    <col min="7699" max="7699" width="14.140625" style="1" customWidth="1"/>
    <col min="7700" max="7700" width="10.140625" style="1" customWidth="1"/>
    <col min="7701" max="7701" width="15.140625" style="1" customWidth="1"/>
    <col min="7702" max="7702" width="8.5703125" style="1" customWidth="1"/>
    <col min="7703" max="7703" width="14.28515625" style="1" customWidth="1"/>
    <col min="7704" max="7704" width="18.28515625" style="1" customWidth="1"/>
    <col min="7705" max="7705" width="13" style="1" bestFit="1" customWidth="1"/>
    <col min="7706" max="7706" width="11.7109375" style="1" bestFit="1" customWidth="1"/>
    <col min="7707" max="7713" width="9.140625" style="1"/>
    <col min="7714" max="7714" width="11.28515625" style="1" bestFit="1" customWidth="1"/>
    <col min="7715" max="7715" width="10.7109375" style="1" bestFit="1" customWidth="1"/>
    <col min="7716" max="7937" width="9.140625" style="1"/>
    <col min="7938" max="7938" width="6.42578125" style="1" customWidth="1"/>
    <col min="7939" max="7939" width="20.7109375" style="1" customWidth="1"/>
    <col min="7940" max="7940" width="24.7109375" style="1" customWidth="1"/>
    <col min="7941" max="7941" width="11.140625" style="1" customWidth="1"/>
    <col min="7942" max="7942" width="12.28515625" style="1" customWidth="1"/>
    <col min="7943" max="7943" width="11.140625" style="1" customWidth="1"/>
    <col min="7944" max="7944" width="10.42578125" style="1" customWidth="1"/>
    <col min="7945" max="7945" width="4.7109375" style="1" customWidth="1"/>
    <col min="7946" max="7946" width="8.5703125" style="1" customWidth="1"/>
    <col min="7947" max="7947" width="5.5703125" style="1" customWidth="1"/>
    <col min="7948" max="7949" width="11.5703125" style="1" customWidth="1"/>
    <col min="7950" max="7950" width="10.85546875" style="1" customWidth="1"/>
    <col min="7951" max="7951" width="7.7109375" style="1" customWidth="1"/>
    <col min="7952" max="7952" width="8" style="1" customWidth="1"/>
    <col min="7953" max="7953" width="16.28515625" style="1" customWidth="1"/>
    <col min="7954" max="7954" width="10.5703125" style="1" customWidth="1"/>
    <col min="7955" max="7955" width="14.140625" style="1" customWidth="1"/>
    <col min="7956" max="7956" width="10.140625" style="1" customWidth="1"/>
    <col min="7957" max="7957" width="15.140625" style="1" customWidth="1"/>
    <col min="7958" max="7958" width="8.5703125" style="1" customWidth="1"/>
    <col min="7959" max="7959" width="14.28515625" style="1" customWidth="1"/>
    <col min="7960" max="7960" width="18.28515625" style="1" customWidth="1"/>
    <col min="7961" max="7961" width="13" style="1" bestFit="1" customWidth="1"/>
    <col min="7962" max="7962" width="11.7109375" style="1" bestFit="1" customWidth="1"/>
    <col min="7963" max="7969" width="9.140625" style="1"/>
    <col min="7970" max="7970" width="11.28515625" style="1" bestFit="1" customWidth="1"/>
    <col min="7971" max="7971" width="10.7109375" style="1" bestFit="1" customWidth="1"/>
    <col min="7972" max="8193" width="9.140625" style="1"/>
    <col min="8194" max="8194" width="6.42578125" style="1" customWidth="1"/>
    <col min="8195" max="8195" width="20.7109375" style="1" customWidth="1"/>
    <col min="8196" max="8196" width="24.7109375" style="1" customWidth="1"/>
    <col min="8197" max="8197" width="11.140625" style="1" customWidth="1"/>
    <col min="8198" max="8198" width="12.28515625" style="1" customWidth="1"/>
    <col min="8199" max="8199" width="11.140625" style="1" customWidth="1"/>
    <col min="8200" max="8200" width="10.42578125" style="1" customWidth="1"/>
    <col min="8201" max="8201" width="4.7109375" style="1" customWidth="1"/>
    <col min="8202" max="8202" width="8.5703125" style="1" customWidth="1"/>
    <col min="8203" max="8203" width="5.5703125" style="1" customWidth="1"/>
    <col min="8204" max="8205" width="11.5703125" style="1" customWidth="1"/>
    <col min="8206" max="8206" width="10.85546875" style="1" customWidth="1"/>
    <col min="8207" max="8207" width="7.7109375" style="1" customWidth="1"/>
    <col min="8208" max="8208" width="8" style="1" customWidth="1"/>
    <col min="8209" max="8209" width="16.28515625" style="1" customWidth="1"/>
    <col min="8210" max="8210" width="10.5703125" style="1" customWidth="1"/>
    <col min="8211" max="8211" width="14.140625" style="1" customWidth="1"/>
    <col min="8212" max="8212" width="10.140625" style="1" customWidth="1"/>
    <col min="8213" max="8213" width="15.140625" style="1" customWidth="1"/>
    <col min="8214" max="8214" width="8.5703125" style="1" customWidth="1"/>
    <col min="8215" max="8215" width="14.28515625" style="1" customWidth="1"/>
    <col min="8216" max="8216" width="18.28515625" style="1" customWidth="1"/>
    <col min="8217" max="8217" width="13" style="1" bestFit="1" customWidth="1"/>
    <col min="8218" max="8218" width="11.7109375" style="1" bestFit="1" customWidth="1"/>
    <col min="8219" max="8225" width="9.140625" style="1"/>
    <col min="8226" max="8226" width="11.28515625" style="1" bestFit="1" customWidth="1"/>
    <col min="8227" max="8227" width="10.7109375" style="1" bestFit="1" customWidth="1"/>
    <col min="8228" max="8449" width="9.140625" style="1"/>
    <col min="8450" max="8450" width="6.42578125" style="1" customWidth="1"/>
    <col min="8451" max="8451" width="20.7109375" style="1" customWidth="1"/>
    <col min="8452" max="8452" width="24.7109375" style="1" customWidth="1"/>
    <col min="8453" max="8453" width="11.140625" style="1" customWidth="1"/>
    <col min="8454" max="8454" width="12.28515625" style="1" customWidth="1"/>
    <col min="8455" max="8455" width="11.140625" style="1" customWidth="1"/>
    <col min="8456" max="8456" width="10.42578125" style="1" customWidth="1"/>
    <col min="8457" max="8457" width="4.7109375" style="1" customWidth="1"/>
    <col min="8458" max="8458" width="8.5703125" style="1" customWidth="1"/>
    <col min="8459" max="8459" width="5.5703125" style="1" customWidth="1"/>
    <col min="8460" max="8461" width="11.5703125" style="1" customWidth="1"/>
    <col min="8462" max="8462" width="10.85546875" style="1" customWidth="1"/>
    <col min="8463" max="8463" width="7.7109375" style="1" customWidth="1"/>
    <col min="8464" max="8464" width="8" style="1" customWidth="1"/>
    <col min="8465" max="8465" width="16.28515625" style="1" customWidth="1"/>
    <col min="8466" max="8466" width="10.5703125" style="1" customWidth="1"/>
    <col min="8467" max="8467" width="14.140625" style="1" customWidth="1"/>
    <col min="8468" max="8468" width="10.140625" style="1" customWidth="1"/>
    <col min="8469" max="8469" width="15.140625" style="1" customWidth="1"/>
    <col min="8470" max="8470" width="8.5703125" style="1" customWidth="1"/>
    <col min="8471" max="8471" width="14.28515625" style="1" customWidth="1"/>
    <col min="8472" max="8472" width="18.28515625" style="1" customWidth="1"/>
    <col min="8473" max="8473" width="13" style="1" bestFit="1" customWidth="1"/>
    <col min="8474" max="8474" width="11.7109375" style="1" bestFit="1" customWidth="1"/>
    <col min="8475" max="8481" width="9.140625" style="1"/>
    <col min="8482" max="8482" width="11.28515625" style="1" bestFit="1" customWidth="1"/>
    <col min="8483" max="8483" width="10.7109375" style="1" bestFit="1" customWidth="1"/>
    <col min="8484" max="8705" width="9.140625" style="1"/>
    <col min="8706" max="8706" width="6.42578125" style="1" customWidth="1"/>
    <col min="8707" max="8707" width="20.7109375" style="1" customWidth="1"/>
    <col min="8708" max="8708" width="24.7109375" style="1" customWidth="1"/>
    <col min="8709" max="8709" width="11.140625" style="1" customWidth="1"/>
    <col min="8710" max="8710" width="12.28515625" style="1" customWidth="1"/>
    <col min="8711" max="8711" width="11.140625" style="1" customWidth="1"/>
    <col min="8712" max="8712" width="10.42578125" style="1" customWidth="1"/>
    <col min="8713" max="8713" width="4.7109375" style="1" customWidth="1"/>
    <col min="8714" max="8714" width="8.5703125" style="1" customWidth="1"/>
    <col min="8715" max="8715" width="5.5703125" style="1" customWidth="1"/>
    <col min="8716" max="8717" width="11.5703125" style="1" customWidth="1"/>
    <col min="8718" max="8718" width="10.85546875" style="1" customWidth="1"/>
    <col min="8719" max="8719" width="7.7109375" style="1" customWidth="1"/>
    <col min="8720" max="8720" width="8" style="1" customWidth="1"/>
    <col min="8721" max="8721" width="16.28515625" style="1" customWidth="1"/>
    <col min="8722" max="8722" width="10.5703125" style="1" customWidth="1"/>
    <col min="8723" max="8723" width="14.140625" style="1" customWidth="1"/>
    <col min="8724" max="8724" width="10.140625" style="1" customWidth="1"/>
    <col min="8725" max="8725" width="15.140625" style="1" customWidth="1"/>
    <col min="8726" max="8726" width="8.5703125" style="1" customWidth="1"/>
    <col min="8727" max="8727" width="14.28515625" style="1" customWidth="1"/>
    <col min="8728" max="8728" width="18.28515625" style="1" customWidth="1"/>
    <col min="8729" max="8729" width="13" style="1" bestFit="1" customWidth="1"/>
    <col min="8730" max="8730" width="11.7109375" style="1" bestFit="1" customWidth="1"/>
    <col min="8731" max="8737" width="9.140625" style="1"/>
    <col min="8738" max="8738" width="11.28515625" style="1" bestFit="1" customWidth="1"/>
    <col min="8739" max="8739" width="10.7109375" style="1" bestFit="1" customWidth="1"/>
    <col min="8740" max="8961" width="9.140625" style="1"/>
    <col min="8962" max="8962" width="6.42578125" style="1" customWidth="1"/>
    <col min="8963" max="8963" width="20.7109375" style="1" customWidth="1"/>
    <col min="8964" max="8964" width="24.7109375" style="1" customWidth="1"/>
    <col min="8965" max="8965" width="11.140625" style="1" customWidth="1"/>
    <col min="8966" max="8966" width="12.28515625" style="1" customWidth="1"/>
    <col min="8967" max="8967" width="11.140625" style="1" customWidth="1"/>
    <col min="8968" max="8968" width="10.42578125" style="1" customWidth="1"/>
    <col min="8969" max="8969" width="4.7109375" style="1" customWidth="1"/>
    <col min="8970" max="8970" width="8.5703125" style="1" customWidth="1"/>
    <col min="8971" max="8971" width="5.5703125" style="1" customWidth="1"/>
    <col min="8972" max="8973" width="11.5703125" style="1" customWidth="1"/>
    <col min="8974" max="8974" width="10.85546875" style="1" customWidth="1"/>
    <col min="8975" max="8975" width="7.7109375" style="1" customWidth="1"/>
    <col min="8976" max="8976" width="8" style="1" customWidth="1"/>
    <col min="8977" max="8977" width="16.28515625" style="1" customWidth="1"/>
    <col min="8978" max="8978" width="10.5703125" style="1" customWidth="1"/>
    <col min="8979" max="8979" width="14.140625" style="1" customWidth="1"/>
    <col min="8980" max="8980" width="10.140625" style="1" customWidth="1"/>
    <col min="8981" max="8981" width="15.140625" style="1" customWidth="1"/>
    <col min="8982" max="8982" width="8.5703125" style="1" customWidth="1"/>
    <col min="8983" max="8983" width="14.28515625" style="1" customWidth="1"/>
    <col min="8984" max="8984" width="18.28515625" style="1" customWidth="1"/>
    <col min="8985" max="8985" width="13" style="1" bestFit="1" customWidth="1"/>
    <col min="8986" max="8986" width="11.7109375" style="1" bestFit="1" customWidth="1"/>
    <col min="8987" max="8993" width="9.140625" style="1"/>
    <col min="8994" max="8994" width="11.28515625" style="1" bestFit="1" customWidth="1"/>
    <col min="8995" max="8995" width="10.7109375" style="1" bestFit="1" customWidth="1"/>
    <col min="8996" max="9217" width="9.140625" style="1"/>
    <col min="9218" max="9218" width="6.42578125" style="1" customWidth="1"/>
    <col min="9219" max="9219" width="20.7109375" style="1" customWidth="1"/>
    <col min="9220" max="9220" width="24.7109375" style="1" customWidth="1"/>
    <col min="9221" max="9221" width="11.140625" style="1" customWidth="1"/>
    <col min="9222" max="9222" width="12.28515625" style="1" customWidth="1"/>
    <col min="9223" max="9223" width="11.140625" style="1" customWidth="1"/>
    <col min="9224" max="9224" width="10.42578125" style="1" customWidth="1"/>
    <col min="9225" max="9225" width="4.7109375" style="1" customWidth="1"/>
    <col min="9226" max="9226" width="8.5703125" style="1" customWidth="1"/>
    <col min="9227" max="9227" width="5.5703125" style="1" customWidth="1"/>
    <col min="9228" max="9229" width="11.5703125" style="1" customWidth="1"/>
    <col min="9230" max="9230" width="10.85546875" style="1" customWidth="1"/>
    <col min="9231" max="9231" width="7.7109375" style="1" customWidth="1"/>
    <col min="9232" max="9232" width="8" style="1" customWidth="1"/>
    <col min="9233" max="9233" width="16.28515625" style="1" customWidth="1"/>
    <col min="9234" max="9234" width="10.5703125" style="1" customWidth="1"/>
    <col min="9235" max="9235" width="14.140625" style="1" customWidth="1"/>
    <col min="9236" max="9236" width="10.140625" style="1" customWidth="1"/>
    <col min="9237" max="9237" width="15.140625" style="1" customWidth="1"/>
    <col min="9238" max="9238" width="8.5703125" style="1" customWidth="1"/>
    <col min="9239" max="9239" width="14.28515625" style="1" customWidth="1"/>
    <col min="9240" max="9240" width="18.28515625" style="1" customWidth="1"/>
    <col min="9241" max="9241" width="13" style="1" bestFit="1" customWidth="1"/>
    <col min="9242" max="9242" width="11.7109375" style="1" bestFit="1" customWidth="1"/>
    <col min="9243" max="9249" width="9.140625" style="1"/>
    <col min="9250" max="9250" width="11.28515625" style="1" bestFit="1" customWidth="1"/>
    <col min="9251" max="9251" width="10.7109375" style="1" bestFit="1" customWidth="1"/>
    <col min="9252" max="9473" width="9.140625" style="1"/>
    <col min="9474" max="9474" width="6.42578125" style="1" customWidth="1"/>
    <col min="9475" max="9475" width="20.7109375" style="1" customWidth="1"/>
    <col min="9476" max="9476" width="24.7109375" style="1" customWidth="1"/>
    <col min="9477" max="9477" width="11.140625" style="1" customWidth="1"/>
    <col min="9478" max="9478" width="12.28515625" style="1" customWidth="1"/>
    <col min="9479" max="9479" width="11.140625" style="1" customWidth="1"/>
    <col min="9480" max="9480" width="10.42578125" style="1" customWidth="1"/>
    <col min="9481" max="9481" width="4.7109375" style="1" customWidth="1"/>
    <col min="9482" max="9482" width="8.5703125" style="1" customWidth="1"/>
    <col min="9483" max="9483" width="5.5703125" style="1" customWidth="1"/>
    <col min="9484" max="9485" width="11.5703125" style="1" customWidth="1"/>
    <col min="9486" max="9486" width="10.85546875" style="1" customWidth="1"/>
    <col min="9487" max="9487" width="7.7109375" style="1" customWidth="1"/>
    <col min="9488" max="9488" width="8" style="1" customWidth="1"/>
    <col min="9489" max="9489" width="16.28515625" style="1" customWidth="1"/>
    <col min="9490" max="9490" width="10.5703125" style="1" customWidth="1"/>
    <col min="9491" max="9491" width="14.140625" style="1" customWidth="1"/>
    <col min="9492" max="9492" width="10.140625" style="1" customWidth="1"/>
    <col min="9493" max="9493" width="15.140625" style="1" customWidth="1"/>
    <col min="9494" max="9494" width="8.5703125" style="1" customWidth="1"/>
    <col min="9495" max="9495" width="14.28515625" style="1" customWidth="1"/>
    <col min="9496" max="9496" width="18.28515625" style="1" customWidth="1"/>
    <col min="9497" max="9497" width="13" style="1" bestFit="1" customWidth="1"/>
    <col min="9498" max="9498" width="11.7109375" style="1" bestFit="1" customWidth="1"/>
    <col min="9499" max="9505" width="9.140625" style="1"/>
    <col min="9506" max="9506" width="11.28515625" style="1" bestFit="1" customWidth="1"/>
    <col min="9507" max="9507" width="10.7109375" style="1" bestFit="1" customWidth="1"/>
    <col min="9508" max="9729" width="9.140625" style="1"/>
    <col min="9730" max="9730" width="6.42578125" style="1" customWidth="1"/>
    <col min="9731" max="9731" width="20.7109375" style="1" customWidth="1"/>
    <col min="9732" max="9732" width="24.7109375" style="1" customWidth="1"/>
    <col min="9733" max="9733" width="11.140625" style="1" customWidth="1"/>
    <col min="9734" max="9734" width="12.28515625" style="1" customWidth="1"/>
    <col min="9735" max="9735" width="11.140625" style="1" customWidth="1"/>
    <col min="9736" max="9736" width="10.42578125" style="1" customWidth="1"/>
    <col min="9737" max="9737" width="4.7109375" style="1" customWidth="1"/>
    <col min="9738" max="9738" width="8.5703125" style="1" customWidth="1"/>
    <col min="9739" max="9739" width="5.5703125" style="1" customWidth="1"/>
    <col min="9740" max="9741" width="11.5703125" style="1" customWidth="1"/>
    <col min="9742" max="9742" width="10.85546875" style="1" customWidth="1"/>
    <col min="9743" max="9743" width="7.7109375" style="1" customWidth="1"/>
    <col min="9744" max="9744" width="8" style="1" customWidth="1"/>
    <col min="9745" max="9745" width="16.28515625" style="1" customWidth="1"/>
    <col min="9746" max="9746" width="10.5703125" style="1" customWidth="1"/>
    <col min="9747" max="9747" width="14.140625" style="1" customWidth="1"/>
    <col min="9748" max="9748" width="10.140625" style="1" customWidth="1"/>
    <col min="9749" max="9749" width="15.140625" style="1" customWidth="1"/>
    <col min="9750" max="9750" width="8.5703125" style="1" customWidth="1"/>
    <col min="9751" max="9751" width="14.28515625" style="1" customWidth="1"/>
    <col min="9752" max="9752" width="18.28515625" style="1" customWidth="1"/>
    <col min="9753" max="9753" width="13" style="1" bestFit="1" customWidth="1"/>
    <col min="9754" max="9754" width="11.7109375" style="1" bestFit="1" customWidth="1"/>
    <col min="9755" max="9761" width="9.140625" style="1"/>
    <col min="9762" max="9762" width="11.28515625" style="1" bestFit="1" customWidth="1"/>
    <col min="9763" max="9763" width="10.7109375" style="1" bestFit="1" customWidth="1"/>
    <col min="9764" max="9985" width="9.140625" style="1"/>
    <col min="9986" max="9986" width="6.42578125" style="1" customWidth="1"/>
    <col min="9987" max="9987" width="20.7109375" style="1" customWidth="1"/>
    <col min="9988" max="9988" width="24.7109375" style="1" customWidth="1"/>
    <col min="9989" max="9989" width="11.140625" style="1" customWidth="1"/>
    <col min="9990" max="9990" width="12.28515625" style="1" customWidth="1"/>
    <col min="9991" max="9991" width="11.140625" style="1" customWidth="1"/>
    <col min="9992" max="9992" width="10.42578125" style="1" customWidth="1"/>
    <col min="9993" max="9993" width="4.7109375" style="1" customWidth="1"/>
    <col min="9994" max="9994" width="8.5703125" style="1" customWidth="1"/>
    <col min="9995" max="9995" width="5.5703125" style="1" customWidth="1"/>
    <col min="9996" max="9997" width="11.5703125" style="1" customWidth="1"/>
    <col min="9998" max="9998" width="10.85546875" style="1" customWidth="1"/>
    <col min="9999" max="9999" width="7.7109375" style="1" customWidth="1"/>
    <col min="10000" max="10000" width="8" style="1" customWidth="1"/>
    <col min="10001" max="10001" width="16.28515625" style="1" customWidth="1"/>
    <col min="10002" max="10002" width="10.5703125" style="1" customWidth="1"/>
    <col min="10003" max="10003" width="14.140625" style="1" customWidth="1"/>
    <col min="10004" max="10004" width="10.140625" style="1" customWidth="1"/>
    <col min="10005" max="10005" width="15.140625" style="1" customWidth="1"/>
    <col min="10006" max="10006" width="8.5703125" style="1" customWidth="1"/>
    <col min="10007" max="10007" width="14.28515625" style="1" customWidth="1"/>
    <col min="10008" max="10008" width="18.28515625" style="1" customWidth="1"/>
    <col min="10009" max="10009" width="13" style="1" bestFit="1" customWidth="1"/>
    <col min="10010" max="10010" width="11.7109375" style="1" bestFit="1" customWidth="1"/>
    <col min="10011" max="10017" width="9.140625" style="1"/>
    <col min="10018" max="10018" width="11.28515625" style="1" bestFit="1" customWidth="1"/>
    <col min="10019" max="10019" width="10.7109375" style="1" bestFit="1" customWidth="1"/>
    <col min="10020" max="10241" width="9.140625" style="1"/>
    <col min="10242" max="10242" width="6.42578125" style="1" customWidth="1"/>
    <col min="10243" max="10243" width="20.7109375" style="1" customWidth="1"/>
    <col min="10244" max="10244" width="24.7109375" style="1" customWidth="1"/>
    <col min="10245" max="10245" width="11.140625" style="1" customWidth="1"/>
    <col min="10246" max="10246" width="12.28515625" style="1" customWidth="1"/>
    <col min="10247" max="10247" width="11.140625" style="1" customWidth="1"/>
    <col min="10248" max="10248" width="10.42578125" style="1" customWidth="1"/>
    <col min="10249" max="10249" width="4.7109375" style="1" customWidth="1"/>
    <col min="10250" max="10250" width="8.5703125" style="1" customWidth="1"/>
    <col min="10251" max="10251" width="5.5703125" style="1" customWidth="1"/>
    <col min="10252" max="10253" width="11.5703125" style="1" customWidth="1"/>
    <col min="10254" max="10254" width="10.85546875" style="1" customWidth="1"/>
    <col min="10255" max="10255" width="7.7109375" style="1" customWidth="1"/>
    <col min="10256" max="10256" width="8" style="1" customWidth="1"/>
    <col min="10257" max="10257" width="16.28515625" style="1" customWidth="1"/>
    <col min="10258" max="10258" width="10.5703125" style="1" customWidth="1"/>
    <col min="10259" max="10259" width="14.140625" style="1" customWidth="1"/>
    <col min="10260" max="10260" width="10.140625" style="1" customWidth="1"/>
    <col min="10261" max="10261" width="15.140625" style="1" customWidth="1"/>
    <col min="10262" max="10262" width="8.5703125" style="1" customWidth="1"/>
    <col min="10263" max="10263" width="14.28515625" style="1" customWidth="1"/>
    <col min="10264" max="10264" width="18.28515625" style="1" customWidth="1"/>
    <col min="10265" max="10265" width="13" style="1" bestFit="1" customWidth="1"/>
    <col min="10266" max="10266" width="11.7109375" style="1" bestFit="1" customWidth="1"/>
    <col min="10267" max="10273" width="9.140625" style="1"/>
    <col min="10274" max="10274" width="11.28515625" style="1" bestFit="1" customWidth="1"/>
    <col min="10275" max="10275" width="10.7109375" style="1" bestFit="1" customWidth="1"/>
    <col min="10276" max="10497" width="9.140625" style="1"/>
    <col min="10498" max="10498" width="6.42578125" style="1" customWidth="1"/>
    <col min="10499" max="10499" width="20.7109375" style="1" customWidth="1"/>
    <col min="10500" max="10500" width="24.7109375" style="1" customWidth="1"/>
    <col min="10501" max="10501" width="11.140625" style="1" customWidth="1"/>
    <col min="10502" max="10502" width="12.28515625" style="1" customWidth="1"/>
    <col min="10503" max="10503" width="11.140625" style="1" customWidth="1"/>
    <col min="10504" max="10504" width="10.42578125" style="1" customWidth="1"/>
    <col min="10505" max="10505" width="4.7109375" style="1" customWidth="1"/>
    <col min="10506" max="10506" width="8.5703125" style="1" customWidth="1"/>
    <col min="10507" max="10507" width="5.5703125" style="1" customWidth="1"/>
    <col min="10508" max="10509" width="11.5703125" style="1" customWidth="1"/>
    <col min="10510" max="10510" width="10.85546875" style="1" customWidth="1"/>
    <col min="10511" max="10511" width="7.7109375" style="1" customWidth="1"/>
    <col min="10512" max="10512" width="8" style="1" customWidth="1"/>
    <col min="10513" max="10513" width="16.28515625" style="1" customWidth="1"/>
    <col min="10514" max="10514" width="10.5703125" style="1" customWidth="1"/>
    <col min="10515" max="10515" width="14.140625" style="1" customWidth="1"/>
    <col min="10516" max="10516" width="10.140625" style="1" customWidth="1"/>
    <col min="10517" max="10517" width="15.140625" style="1" customWidth="1"/>
    <col min="10518" max="10518" width="8.5703125" style="1" customWidth="1"/>
    <col min="10519" max="10519" width="14.28515625" style="1" customWidth="1"/>
    <col min="10520" max="10520" width="18.28515625" style="1" customWidth="1"/>
    <col min="10521" max="10521" width="13" style="1" bestFit="1" customWidth="1"/>
    <col min="10522" max="10522" width="11.7109375" style="1" bestFit="1" customWidth="1"/>
    <col min="10523" max="10529" width="9.140625" style="1"/>
    <col min="10530" max="10530" width="11.28515625" style="1" bestFit="1" customWidth="1"/>
    <col min="10531" max="10531" width="10.7109375" style="1" bestFit="1" customWidth="1"/>
    <col min="10532" max="10753" width="9.140625" style="1"/>
    <col min="10754" max="10754" width="6.42578125" style="1" customWidth="1"/>
    <col min="10755" max="10755" width="20.7109375" style="1" customWidth="1"/>
    <col min="10756" max="10756" width="24.7109375" style="1" customWidth="1"/>
    <col min="10757" max="10757" width="11.140625" style="1" customWidth="1"/>
    <col min="10758" max="10758" width="12.28515625" style="1" customWidth="1"/>
    <col min="10759" max="10759" width="11.140625" style="1" customWidth="1"/>
    <col min="10760" max="10760" width="10.42578125" style="1" customWidth="1"/>
    <col min="10761" max="10761" width="4.7109375" style="1" customWidth="1"/>
    <col min="10762" max="10762" width="8.5703125" style="1" customWidth="1"/>
    <col min="10763" max="10763" width="5.5703125" style="1" customWidth="1"/>
    <col min="10764" max="10765" width="11.5703125" style="1" customWidth="1"/>
    <col min="10766" max="10766" width="10.85546875" style="1" customWidth="1"/>
    <col min="10767" max="10767" width="7.7109375" style="1" customWidth="1"/>
    <col min="10768" max="10768" width="8" style="1" customWidth="1"/>
    <col min="10769" max="10769" width="16.28515625" style="1" customWidth="1"/>
    <col min="10770" max="10770" width="10.5703125" style="1" customWidth="1"/>
    <col min="10771" max="10771" width="14.140625" style="1" customWidth="1"/>
    <col min="10772" max="10772" width="10.140625" style="1" customWidth="1"/>
    <col min="10773" max="10773" width="15.140625" style="1" customWidth="1"/>
    <col min="10774" max="10774" width="8.5703125" style="1" customWidth="1"/>
    <col min="10775" max="10775" width="14.28515625" style="1" customWidth="1"/>
    <col min="10776" max="10776" width="18.28515625" style="1" customWidth="1"/>
    <col min="10777" max="10777" width="13" style="1" bestFit="1" customWidth="1"/>
    <col min="10778" max="10778" width="11.7109375" style="1" bestFit="1" customWidth="1"/>
    <col min="10779" max="10785" width="9.140625" style="1"/>
    <col min="10786" max="10786" width="11.28515625" style="1" bestFit="1" customWidth="1"/>
    <col min="10787" max="10787" width="10.7109375" style="1" bestFit="1" customWidth="1"/>
    <col min="10788" max="11009" width="9.140625" style="1"/>
    <col min="11010" max="11010" width="6.42578125" style="1" customWidth="1"/>
    <col min="11011" max="11011" width="20.7109375" style="1" customWidth="1"/>
    <col min="11012" max="11012" width="24.7109375" style="1" customWidth="1"/>
    <col min="11013" max="11013" width="11.140625" style="1" customWidth="1"/>
    <col min="11014" max="11014" width="12.28515625" style="1" customWidth="1"/>
    <col min="11015" max="11015" width="11.140625" style="1" customWidth="1"/>
    <col min="11016" max="11016" width="10.42578125" style="1" customWidth="1"/>
    <col min="11017" max="11017" width="4.7109375" style="1" customWidth="1"/>
    <col min="11018" max="11018" width="8.5703125" style="1" customWidth="1"/>
    <col min="11019" max="11019" width="5.5703125" style="1" customWidth="1"/>
    <col min="11020" max="11021" width="11.5703125" style="1" customWidth="1"/>
    <col min="11022" max="11022" width="10.85546875" style="1" customWidth="1"/>
    <col min="11023" max="11023" width="7.7109375" style="1" customWidth="1"/>
    <col min="11024" max="11024" width="8" style="1" customWidth="1"/>
    <col min="11025" max="11025" width="16.28515625" style="1" customWidth="1"/>
    <col min="11026" max="11026" width="10.5703125" style="1" customWidth="1"/>
    <col min="11027" max="11027" width="14.140625" style="1" customWidth="1"/>
    <col min="11028" max="11028" width="10.140625" style="1" customWidth="1"/>
    <col min="11029" max="11029" width="15.140625" style="1" customWidth="1"/>
    <col min="11030" max="11030" width="8.5703125" style="1" customWidth="1"/>
    <col min="11031" max="11031" width="14.28515625" style="1" customWidth="1"/>
    <col min="11032" max="11032" width="18.28515625" style="1" customWidth="1"/>
    <col min="11033" max="11033" width="13" style="1" bestFit="1" customWidth="1"/>
    <col min="11034" max="11034" width="11.7109375" style="1" bestFit="1" customWidth="1"/>
    <col min="11035" max="11041" width="9.140625" style="1"/>
    <col min="11042" max="11042" width="11.28515625" style="1" bestFit="1" customWidth="1"/>
    <col min="11043" max="11043" width="10.7109375" style="1" bestFit="1" customWidth="1"/>
    <col min="11044" max="11265" width="9.140625" style="1"/>
    <col min="11266" max="11266" width="6.42578125" style="1" customWidth="1"/>
    <col min="11267" max="11267" width="20.7109375" style="1" customWidth="1"/>
    <col min="11268" max="11268" width="24.7109375" style="1" customWidth="1"/>
    <col min="11269" max="11269" width="11.140625" style="1" customWidth="1"/>
    <col min="11270" max="11270" width="12.28515625" style="1" customWidth="1"/>
    <col min="11271" max="11271" width="11.140625" style="1" customWidth="1"/>
    <col min="11272" max="11272" width="10.42578125" style="1" customWidth="1"/>
    <col min="11273" max="11273" width="4.7109375" style="1" customWidth="1"/>
    <col min="11274" max="11274" width="8.5703125" style="1" customWidth="1"/>
    <col min="11275" max="11275" width="5.5703125" style="1" customWidth="1"/>
    <col min="11276" max="11277" width="11.5703125" style="1" customWidth="1"/>
    <col min="11278" max="11278" width="10.85546875" style="1" customWidth="1"/>
    <col min="11279" max="11279" width="7.7109375" style="1" customWidth="1"/>
    <col min="11280" max="11280" width="8" style="1" customWidth="1"/>
    <col min="11281" max="11281" width="16.28515625" style="1" customWidth="1"/>
    <col min="11282" max="11282" width="10.5703125" style="1" customWidth="1"/>
    <col min="11283" max="11283" width="14.140625" style="1" customWidth="1"/>
    <col min="11284" max="11284" width="10.140625" style="1" customWidth="1"/>
    <col min="11285" max="11285" width="15.140625" style="1" customWidth="1"/>
    <col min="11286" max="11286" width="8.5703125" style="1" customWidth="1"/>
    <col min="11287" max="11287" width="14.28515625" style="1" customWidth="1"/>
    <col min="11288" max="11288" width="18.28515625" style="1" customWidth="1"/>
    <col min="11289" max="11289" width="13" style="1" bestFit="1" customWidth="1"/>
    <col min="11290" max="11290" width="11.7109375" style="1" bestFit="1" customWidth="1"/>
    <col min="11291" max="11297" width="9.140625" style="1"/>
    <col min="11298" max="11298" width="11.28515625" style="1" bestFit="1" customWidth="1"/>
    <col min="11299" max="11299" width="10.7109375" style="1" bestFit="1" customWidth="1"/>
    <col min="11300" max="11521" width="9.140625" style="1"/>
    <col min="11522" max="11522" width="6.42578125" style="1" customWidth="1"/>
    <col min="11523" max="11523" width="20.7109375" style="1" customWidth="1"/>
    <col min="11524" max="11524" width="24.7109375" style="1" customWidth="1"/>
    <col min="11525" max="11525" width="11.140625" style="1" customWidth="1"/>
    <col min="11526" max="11526" width="12.28515625" style="1" customWidth="1"/>
    <col min="11527" max="11527" width="11.140625" style="1" customWidth="1"/>
    <col min="11528" max="11528" width="10.42578125" style="1" customWidth="1"/>
    <col min="11529" max="11529" width="4.7109375" style="1" customWidth="1"/>
    <col min="11530" max="11530" width="8.5703125" style="1" customWidth="1"/>
    <col min="11531" max="11531" width="5.5703125" style="1" customWidth="1"/>
    <col min="11532" max="11533" width="11.5703125" style="1" customWidth="1"/>
    <col min="11534" max="11534" width="10.85546875" style="1" customWidth="1"/>
    <col min="11535" max="11535" width="7.7109375" style="1" customWidth="1"/>
    <col min="11536" max="11536" width="8" style="1" customWidth="1"/>
    <col min="11537" max="11537" width="16.28515625" style="1" customWidth="1"/>
    <col min="11538" max="11538" width="10.5703125" style="1" customWidth="1"/>
    <col min="11539" max="11539" width="14.140625" style="1" customWidth="1"/>
    <col min="11540" max="11540" width="10.140625" style="1" customWidth="1"/>
    <col min="11541" max="11541" width="15.140625" style="1" customWidth="1"/>
    <col min="11542" max="11542" width="8.5703125" style="1" customWidth="1"/>
    <col min="11543" max="11543" width="14.28515625" style="1" customWidth="1"/>
    <col min="11544" max="11544" width="18.28515625" style="1" customWidth="1"/>
    <col min="11545" max="11545" width="13" style="1" bestFit="1" customWidth="1"/>
    <col min="11546" max="11546" width="11.7109375" style="1" bestFit="1" customWidth="1"/>
    <col min="11547" max="11553" width="9.140625" style="1"/>
    <col min="11554" max="11554" width="11.28515625" style="1" bestFit="1" customWidth="1"/>
    <col min="11555" max="11555" width="10.7109375" style="1" bestFit="1" customWidth="1"/>
    <col min="11556" max="11777" width="9.140625" style="1"/>
    <col min="11778" max="11778" width="6.42578125" style="1" customWidth="1"/>
    <col min="11779" max="11779" width="20.7109375" style="1" customWidth="1"/>
    <col min="11780" max="11780" width="24.7109375" style="1" customWidth="1"/>
    <col min="11781" max="11781" width="11.140625" style="1" customWidth="1"/>
    <col min="11782" max="11782" width="12.28515625" style="1" customWidth="1"/>
    <col min="11783" max="11783" width="11.140625" style="1" customWidth="1"/>
    <col min="11784" max="11784" width="10.42578125" style="1" customWidth="1"/>
    <col min="11785" max="11785" width="4.7109375" style="1" customWidth="1"/>
    <col min="11786" max="11786" width="8.5703125" style="1" customWidth="1"/>
    <col min="11787" max="11787" width="5.5703125" style="1" customWidth="1"/>
    <col min="11788" max="11789" width="11.5703125" style="1" customWidth="1"/>
    <col min="11790" max="11790" width="10.85546875" style="1" customWidth="1"/>
    <col min="11791" max="11791" width="7.7109375" style="1" customWidth="1"/>
    <col min="11792" max="11792" width="8" style="1" customWidth="1"/>
    <col min="11793" max="11793" width="16.28515625" style="1" customWidth="1"/>
    <col min="11794" max="11794" width="10.5703125" style="1" customWidth="1"/>
    <col min="11795" max="11795" width="14.140625" style="1" customWidth="1"/>
    <col min="11796" max="11796" width="10.140625" style="1" customWidth="1"/>
    <col min="11797" max="11797" width="15.140625" style="1" customWidth="1"/>
    <col min="11798" max="11798" width="8.5703125" style="1" customWidth="1"/>
    <col min="11799" max="11799" width="14.28515625" style="1" customWidth="1"/>
    <col min="11800" max="11800" width="18.28515625" style="1" customWidth="1"/>
    <col min="11801" max="11801" width="13" style="1" bestFit="1" customWidth="1"/>
    <col min="11802" max="11802" width="11.7109375" style="1" bestFit="1" customWidth="1"/>
    <col min="11803" max="11809" width="9.140625" style="1"/>
    <col min="11810" max="11810" width="11.28515625" style="1" bestFit="1" customWidth="1"/>
    <col min="11811" max="11811" width="10.7109375" style="1" bestFit="1" customWidth="1"/>
    <col min="11812" max="12033" width="9.140625" style="1"/>
    <col min="12034" max="12034" width="6.42578125" style="1" customWidth="1"/>
    <col min="12035" max="12035" width="20.7109375" style="1" customWidth="1"/>
    <col min="12036" max="12036" width="24.7109375" style="1" customWidth="1"/>
    <col min="12037" max="12037" width="11.140625" style="1" customWidth="1"/>
    <col min="12038" max="12038" width="12.28515625" style="1" customWidth="1"/>
    <col min="12039" max="12039" width="11.140625" style="1" customWidth="1"/>
    <col min="12040" max="12040" width="10.42578125" style="1" customWidth="1"/>
    <col min="12041" max="12041" width="4.7109375" style="1" customWidth="1"/>
    <col min="12042" max="12042" width="8.5703125" style="1" customWidth="1"/>
    <col min="12043" max="12043" width="5.5703125" style="1" customWidth="1"/>
    <col min="12044" max="12045" width="11.5703125" style="1" customWidth="1"/>
    <col min="12046" max="12046" width="10.85546875" style="1" customWidth="1"/>
    <col min="12047" max="12047" width="7.7109375" style="1" customWidth="1"/>
    <col min="12048" max="12048" width="8" style="1" customWidth="1"/>
    <col min="12049" max="12049" width="16.28515625" style="1" customWidth="1"/>
    <col min="12050" max="12050" width="10.5703125" style="1" customWidth="1"/>
    <col min="12051" max="12051" width="14.140625" style="1" customWidth="1"/>
    <col min="12052" max="12052" width="10.140625" style="1" customWidth="1"/>
    <col min="12053" max="12053" width="15.140625" style="1" customWidth="1"/>
    <col min="12054" max="12054" width="8.5703125" style="1" customWidth="1"/>
    <col min="12055" max="12055" width="14.28515625" style="1" customWidth="1"/>
    <col min="12056" max="12056" width="18.28515625" style="1" customWidth="1"/>
    <col min="12057" max="12057" width="13" style="1" bestFit="1" customWidth="1"/>
    <col min="12058" max="12058" width="11.7109375" style="1" bestFit="1" customWidth="1"/>
    <col min="12059" max="12065" width="9.140625" style="1"/>
    <col min="12066" max="12066" width="11.28515625" style="1" bestFit="1" customWidth="1"/>
    <col min="12067" max="12067" width="10.7109375" style="1" bestFit="1" customWidth="1"/>
    <col min="12068" max="12289" width="9.140625" style="1"/>
    <col min="12290" max="12290" width="6.42578125" style="1" customWidth="1"/>
    <col min="12291" max="12291" width="20.7109375" style="1" customWidth="1"/>
    <col min="12292" max="12292" width="24.7109375" style="1" customWidth="1"/>
    <col min="12293" max="12293" width="11.140625" style="1" customWidth="1"/>
    <col min="12294" max="12294" width="12.28515625" style="1" customWidth="1"/>
    <col min="12295" max="12295" width="11.140625" style="1" customWidth="1"/>
    <col min="12296" max="12296" width="10.42578125" style="1" customWidth="1"/>
    <col min="12297" max="12297" width="4.7109375" style="1" customWidth="1"/>
    <col min="12298" max="12298" width="8.5703125" style="1" customWidth="1"/>
    <col min="12299" max="12299" width="5.5703125" style="1" customWidth="1"/>
    <col min="12300" max="12301" width="11.5703125" style="1" customWidth="1"/>
    <col min="12302" max="12302" width="10.85546875" style="1" customWidth="1"/>
    <col min="12303" max="12303" width="7.7109375" style="1" customWidth="1"/>
    <col min="12304" max="12304" width="8" style="1" customWidth="1"/>
    <col min="12305" max="12305" width="16.28515625" style="1" customWidth="1"/>
    <col min="12306" max="12306" width="10.5703125" style="1" customWidth="1"/>
    <col min="12307" max="12307" width="14.140625" style="1" customWidth="1"/>
    <col min="12308" max="12308" width="10.140625" style="1" customWidth="1"/>
    <col min="12309" max="12309" width="15.140625" style="1" customWidth="1"/>
    <col min="12310" max="12310" width="8.5703125" style="1" customWidth="1"/>
    <col min="12311" max="12311" width="14.28515625" style="1" customWidth="1"/>
    <col min="12312" max="12312" width="18.28515625" style="1" customWidth="1"/>
    <col min="12313" max="12313" width="13" style="1" bestFit="1" customWidth="1"/>
    <col min="12314" max="12314" width="11.7109375" style="1" bestFit="1" customWidth="1"/>
    <col min="12315" max="12321" width="9.140625" style="1"/>
    <col min="12322" max="12322" width="11.28515625" style="1" bestFit="1" customWidth="1"/>
    <col min="12323" max="12323" width="10.7109375" style="1" bestFit="1" customWidth="1"/>
    <col min="12324" max="12545" width="9.140625" style="1"/>
    <col min="12546" max="12546" width="6.42578125" style="1" customWidth="1"/>
    <col min="12547" max="12547" width="20.7109375" style="1" customWidth="1"/>
    <col min="12548" max="12548" width="24.7109375" style="1" customWidth="1"/>
    <col min="12549" max="12549" width="11.140625" style="1" customWidth="1"/>
    <col min="12550" max="12550" width="12.28515625" style="1" customWidth="1"/>
    <col min="12551" max="12551" width="11.140625" style="1" customWidth="1"/>
    <col min="12552" max="12552" width="10.42578125" style="1" customWidth="1"/>
    <col min="12553" max="12553" width="4.7109375" style="1" customWidth="1"/>
    <col min="12554" max="12554" width="8.5703125" style="1" customWidth="1"/>
    <col min="12555" max="12555" width="5.5703125" style="1" customWidth="1"/>
    <col min="12556" max="12557" width="11.5703125" style="1" customWidth="1"/>
    <col min="12558" max="12558" width="10.85546875" style="1" customWidth="1"/>
    <col min="12559" max="12559" width="7.7109375" style="1" customWidth="1"/>
    <col min="12560" max="12560" width="8" style="1" customWidth="1"/>
    <col min="12561" max="12561" width="16.28515625" style="1" customWidth="1"/>
    <col min="12562" max="12562" width="10.5703125" style="1" customWidth="1"/>
    <col min="12563" max="12563" width="14.140625" style="1" customWidth="1"/>
    <col min="12564" max="12564" width="10.140625" style="1" customWidth="1"/>
    <col min="12565" max="12565" width="15.140625" style="1" customWidth="1"/>
    <col min="12566" max="12566" width="8.5703125" style="1" customWidth="1"/>
    <col min="12567" max="12567" width="14.28515625" style="1" customWidth="1"/>
    <col min="12568" max="12568" width="18.28515625" style="1" customWidth="1"/>
    <col min="12569" max="12569" width="13" style="1" bestFit="1" customWidth="1"/>
    <col min="12570" max="12570" width="11.7109375" style="1" bestFit="1" customWidth="1"/>
    <col min="12571" max="12577" width="9.140625" style="1"/>
    <col min="12578" max="12578" width="11.28515625" style="1" bestFit="1" customWidth="1"/>
    <col min="12579" max="12579" width="10.7109375" style="1" bestFit="1" customWidth="1"/>
    <col min="12580" max="12801" width="9.140625" style="1"/>
    <col min="12802" max="12802" width="6.42578125" style="1" customWidth="1"/>
    <col min="12803" max="12803" width="20.7109375" style="1" customWidth="1"/>
    <col min="12804" max="12804" width="24.7109375" style="1" customWidth="1"/>
    <col min="12805" max="12805" width="11.140625" style="1" customWidth="1"/>
    <col min="12806" max="12806" width="12.28515625" style="1" customWidth="1"/>
    <col min="12807" max="12807" width="11.140625" style="1" customWidth="1"/>
    <col min="12808" max="12808" width="10.42578125" style="1" customWidth="1"/>
    <col min="12809" max="12809" width="4.7109375" style="1" customWidth="1"/>
    <col min="12810" max="12810" width="8.5703125" style="1" customWidth="1"/>
    <col min="12811" max="12811" width="5.5703125" style="1" customWidth="1"/>
    <col min="12812" max="12813" width="11.5703125" style="1" customWidth="1"/>
    <col min="12814" max="12814" width="10.85546875" style="1" customWidth="1"/>
    <col min="12815" max="12815" width="7.7109375" style="1" customWidth="1"/>
    <col min="12816" max="12816" width="8" style="1" customWidth="1"/>
    <col min="12817" max="12817" width="16.28515625" style="1" customWidth="1"/>
    <col min="12818" max="12818" width="10.5703125" style="1" customWidth="1"/>
    <col min="12819" max="12819" width="14.140625" style="1" customWidth="1"/>
    <col min="12820" max="12820" width="10.140625" style="1" customWidth="1"/>
    <col min="12821" max="12821" width="15.140625" style="1" customWidth="1"/>
    <col min="12822" max="12822" width="8.5703125" style="1" customWidth="1"/>
    <col min="12823" max="12823" width="14.28515625" style="1" customWidth="1"/>
    <col min="12824" max="12824" width="18.28515625" style="1" customWidth="1"/>
    <col min="12825" max="12825" width="13" style="1" bestFit="1" customWidth="1"/>
    <col min="12826" max="12826" width="11.7109375" style="1" bestFit="1" customWidth="1"/>
    <col min="12827" max="12833" width="9.140625" style="1"/>
    <col min="12834" max="12834" width="11.28515625" style="1" bestFit="1" customWidth="1"/>
    <col min="12835" max="12835" width="10.7109375" style="1" bestFit="1" customWidth="1"/>
    <col min="12836" max="13057" width="9.140625" style="1"/>
    <col min="13058" max="13058" width="6.42578125" style="1" customWidth="1"/>
    <col min="13059" max="13059" width="20.7109375" style="1" customWidth="1"/>
    <col min="13060" max="13060" width="24.7109375" style="1" customWidth="1"/>
    <col min="13061" max="13061" width="11.140625" style="1" customWidth="1"/>
    <col min="13062" max="13062" width="12.28515625" style="1" customWidth="1"/>
    <col min="13063" max="13063" width="11.140625" style="1" customWidth="1"/>
    <col min="13064" max="13064" width="10.42578125" style="1" customWidth="1"/>
    <col min="13065" max="13065" width="4.7109375" style="1" customWidth="1"/>
    <col min="13066" max="13066" width="8.5703125" style="1" customWidth="1"/>
    <col min="13067" max="13067" width="5.5703125" style="1" customWidth="1"/>
    <col min="13068" max="13069" width="11.5703125" style="1" customWidth="1"/>
    <col min="13070" max="13070" width="10.85546875" style="1" customWidth="1"/>
    <col min="13071" max="13071" width="7.7109375" style="1" customWidth="1"/>
    <col min="13072" max="13072" width="8" style="1" customWidth="1"/>
    <col min="13073" max="13073" width="16.28515625" style="1" customWidth="1"/>
    <col min="13074" max="13074" width="10.5703125" style="1" customWidth="1"/>
    <col min="13075" max="13075" width="14.140625" style="1" customWidth="1"/>
    <col min="13076" max="13076" width="10.140625" style="1" customWidth="1"/>
    <col min="13077" max="13077" width="15.140625" style="1" customWidth="1"/>
    <col min="13078" max="13078" width="8.5703125" style="1" customWidth="1"/>
    <col min="13079" max="13079" width="14.28515625" style="1" customWidth="1"/>
    <col min="13080" max="13080" width="18.28515625" style="1" customWidth="1"/>
    <col min="13081" max="13081" width="13" style="1" bestFit="1" customWidth="1"/>
    <col min="13082" max="13082" width="11.7109375" style="1" bestFit="1" customWidth="1"/>
    <col min="13083" max="13089" width="9.140625" style="1"/>
    <col min="13090" max="13090" width="11.28515625" style="1" bestFit="1" customWidth="1"/>
    <col min="13091" max="13091" width="10.7109375" style="1" bestFit="1" customWidth="1"/>
    <col min="13092" max="13313" width="9.140625" style="1"/>
    <col min="13314" max="13314" width="6.42578125" style="1" customWidth="1"/>
    <col min="13315" max="13315" width="20.7109375" style="1" customWidth="1"/>
    <col min="13316" max="13316" width="24.7109375" style="1" customWidth="1"/>
    <col min="13317" max="13317" width="11.140625" style="1" customWidth="1"/>
    <col min="13318" max="13318" width="12.28515625" style="1" customWidth="1"/>
    <col min="13319" max="13319" width="11.140625" style="1" customWidth="1"/>
    <col min="13320" max="13320" width="10.42578125" style="1" customWidth="1"/>
    <col min="13321" max="13321" width="4.7109375" style="1" customWidth="1"/>
    <col min="13322" max="13322" width="8.5703125" style="1" customWidth="1"/>
    <col min="13323" max="13323" width="5.5703125" style="1" customWidth="1"/>
    <col min="13324" max="13325" width="11.5703125" style="1" customWidth="1"/>
    <col min="13326" max="13326" width="10.85546875" style="1" customWidth="1"/>
    <col min="13327" max="13327" width="7.7109375" style="1" customWidth="1"/>
    <col min="13328" max="13328" width="8" style="1" customWidth="1"/>
    <col min="13329" max="13329" width="16.28515625" style="1" customWidth="1"/>
    <col min="13330" max="13330" width="10.5703125" style="1" customWidth="1"/>
    <col min="13331" max="13331" width="14.140625" style="1" customWidth="1"/>
    <col min="13332" max="13332" width="10.140625" style="1" customWidth="1"/>
    <col min="13333" max="13333" width="15.140625" style="1" customWidth="1"/>
    <col min="13334" max="13334" width="8.5703125" style="1" customWidth="1"/>
    <col min="13335" max="13335" width="14.28515625" style="1" customWidth="1"/>
    <col min="13336" max="13336" width="18.28515625" style="1" customWidth="1"/>
    <col min="13337" max="13337" width="13" style="1" bestFit="1" customWidth="1"/>
    <col min="13338" max="13338" width="11.7109375" style="1" bestFit="1" customWidth="1"/>
    <col min="13339" max="13345" width="9.140625" style="1"/>
    <col min="13346" max="13346" width="11.28515625" style="1" bestFit="1" customWidth="1"/>
    <col min="13347" max="13347" width="10.7109375" style="1" bestFit="1" customWidth="1"/>
    <col min="13348" max="13569" width="9.140625" style="1"/>
    <col min="13570" max="13570" width="6.42578125" style="1" customWidth="1"/>
    <col min="13571" max="13571" width="20.7109375" style="1" customWidth="1"/>
    <col min="13572" max="13572" width="24.7109375" style="1" customWidth="1"/>
    <col min="13573" max="13573" width="11.140625" style="1" customWidth="1"/>
    <col min="13574" max="13574" width="12.28515625" style="1" customWidth="1"/>
    <col min="13575" max="13575" width="11.140625" style="1" customWidth="1"/>
    <col min="13576" max="13576" width="10.42578125" style="1" customWidth="1"/>
    <col min="13577" max="13577" width="4.7109375" style="1" customWidth="1"/>
    <col min="13578" max="13578" width="8.5703125" style="1" customWidth="1"/>
    <col min="13579" max="13579" width="5.5703125" style="1" customWidth="1"/>
    <col min="13580" max="13581" width="11.5703125" style="1" customWidth="1"/>
    <col min="13582" max="13582" width="10.85546875" style="1" customWidth="1"/>
    <col min="13583" max="13583" width="7.7109375" style="1" customWidth="1"/>
    <col min="13584" max="13584" width="8" style="1" customWidth="1"/>
    <col min="13585" max="13585" width="16.28515625" style="1" customWidth="1"/>
    <col min="13586" max="13586" width="10.5703125" style="1" customWidth="1"/>
    <col min="13587" max="13587" width="14.140625" style="1" customWidth="1"/>
    <col min="13588" max="13588" width="10.140625" style="1" customWidth="1"/>
    <col min="13589" max="13589" width="15.140625" style="1" customWidth="1"/>
    <col min="13590" max="13590" width="8.5703125" style="1" customWidth="1"/>
    <col min="13591" max="13591" width="14.28515625" style="1" customWidth="1"/>
    <col min="13592" max="13592" width="18.28515625" style="1" customWidth="1"/>
    <col min="13593" max="13593" width="13" style="1" bestFit="1" customWidth="1"/>
    <col min="13594" max="13594" width="11.7109375" style="1" bestFit="1" customWidth="1"/>
    <col min="13595" max="13601" width="9.140625" style="1"/>
    <col min="13602" max="13602" width="11.28515625" style="1" bestFit="1" customWidth="1"/>
    <col min="13603" max="13603" width="10.7109375" style="1" bestFit="1" customWidth="1"/>
    <col min="13604" max="13825" width="9.140625" style="1"/>
    <col min="13826" max="13826" width="6.42578125" style="1" customWidth="1"/>
    <col min="13827" max="13827" width="20.7109375" style="1" customWidth="1"/>
    <col min="13828" max="13828" width="24.7109375" style="1" customWidth="1"/>
    <col min="13829" max="13829" width="11.140625" style="1" customWidth="1"/>
    <col min="13830" max="13830" width="12.28515625" style="1" customWidth="1"/>
    <col min="13831" max="13831" width="11.140625" style="1" customWidth="1"/>
    <col min="13832" max="13832" width="10.42578125" style="1" customWidth="1"/>
    <col min="13833" max="13833" width="4.7109375" style="1" customWidth="1"/>
    <col min="13834" max="13834" width="8.5703125" style="1" customWidth="1"/>
    <col min="13835" max="13835" width="5.5703125" style="1" customWidth="1"/>
    <col min="13836" max="13837" width="11.5703125" style="1" customWidth="1"/>
    <col min="13838" max="13838" width="10.85546875" style="1" customWidth="1"/>
    <col min="13839" max="13839" width="7.7109375" style="1" customWidth="1"/>
    <col min="13840" max="13840" width="8" style="1" customWidth="1"/>
    <col min="13841" max="13841" width="16.28515625" style="1" customWidth="1"/>
    <col min="13842" max="13842" width="10.5703125" style="1" customWidth="1"/>
    <col min="13843" max="13843" width="14.140625" style="1" customWidth="1"/>
    <col min="13844" max="13844" width="10.140625" style="1" customWidth="1"/>
    <col min="13845" max="13845" width="15.140625" style="1" customWidth="1"/>
    <col min="13846" max="13846" width="8.5703125" style="1" customWidth="1"/>
    <col min="13847" max="13847" width="14.28515625" style="1" customWidth="1"/>
    <col min="13848" max="13848" width="18.28515625" style="1" customWidth="1"/>
    <col min="13849" max="13849" width="13" style="1" bestFit="1" customWidth="1"/>
    <col min="13850" max="13850" width="11.7109375" style="1" bestFit="1" customWidth="1"/>
    <col min="13851" max="13857" width="9.140625" style="1"/>
    <col min="13858" max="13858" width="11.28515625" style="1" bestFit="1" customWidth="1"/>
    <col min="13859" max="13859" width="10.7109375" style="1" bestFit="1" customWidth="1"/>
    <col min="13860" max="14081" width="9.140625" style="1"/>
    <col min="14082" max="14082" width="6.42578125" style="1" customWidth="1"/>
    <col min="14083" max="14083" width="20.7109375" style="1" customWidth="1"/>
    <col min="14084" max="14084" width="24.7109375" style="1" customWidth="1"/>
    <col min="14085" max="14085" width="11.140625" style="1" customWidth="1"/>
    <col min="14086" max="14086" width="12.28515625" style="1" customWidth="1"/>
    <col min="14087" max="14087" width="11.140625" style="1" customWidth="1"/>
    <col min="14088" max="14088" width="10.42578125" style="1" customWidth="1"/>
    <col min="14089" max="14089" width="4.7109375" style="1" customWidth="1"/>
    <col min="14090" max="14090" width="8.5703125" style="1" customWidth="1"/>
    <col min="14091" max="14091" width="5.5703125" style="1" customWidth="1"/>
    <col min="14092" max="14093" width="11.5703125" style="1" customWidth="1"/>
    <col min="14094" max="14094" width="10.85546875" style="1" customWidth="1"/>
    <col min="14095" max="14095" width="7.7109375" style="1" customWidth="1"/>
    <col min="14096" max="14096" width="8" style="1" customWidth="1"/>
    <col min="14097" max="14097" width="16.28515625" style="1" customWidth="1"/>
    <col min="14098" max="14098" width="10.5703125" style="1" customWidth="1"/>
    <col min="14099" max="14099" width="14.140625" style="1" customWidth="1"/>
    <col min="14100" max="14100" width="10.140625" style="1" customWidth="1"/>
    <col min="14101" max="14101" width="15.140625" style="1" customWidth="1"/>
    <col min="14102" max="14102" width="8.5703125" style="1" customWidth="1"/>
    <col min="14103" max="14103" width="14.28515625" style="1" customWidth="1"/>
    <col min="14104" max="14104" width="18.28515625" style="1" customWidth="1"/>
    <col min="14105" max="14105" width="13" style="1" bestFit="1" customWidth="1"/>
    <col min="14106" max="14106" width="11.7109375" style="1" bestFit="1" customWidth="1"/>
    <col min="14107" max="14113" width="9.140625" style="1"/>
    <col min="14114" max="14114" width="11.28515625" style="1" bestFit="1" customWidth="1"/>
    <col min="14115" max="14115" width="10.7109375" style="1" bestFit="1" customWidth="1"/>
    <col min="14116" max="14337" width="9.140625" style="1"/>
    <col min="14338" max="14338" width="6.42578125" style="1" customWidth="1"/>
    <col min="14339" max="14339" width="20.7109375" style="1" customWidth="1"/>
    <col min="14340" max="14340" width="24.7109375" style="1" customWidth="1"/>
    <col min="14341" max="14341" width="11.140625" style="1" customWidth="1"/>
    <col min="14342" max="14342" width="12.28515625" style="1" customWidth="1"/>
    <col min="14343" max="14343" width="11.140625" style="1" customWidth="1"/>
    <col min="14344" max="14344" width="10.42578125" style="1" customWidth="1"/>
    <col min="14345" max="14345" width="4.7109375" style="1" customWidth="1"/>
    <col min="14346" max="14346" width="8.5703125" style="1" customWidth="1"/>
    <col min="14347" max="14347" width="5.5703125" style="1" customWidth="1"/>
    <col min="14348" max="14349" width="11.5703125" style="1" customWidth="1"/>
    <col min="14350" max="14350" width="10.85546875" style="1" customWidth="1"/>
    <col min="14351" max="14351" width="7.7109375" style="1" customWidth="1"/>
    <col min="14352" max="14352" width="8" style="1" customWidth="1"/>
    <col min="14353" max="14353" width="16.28515625" style="1" customWidth="1"/>
    <col min="14354" max="14354" width="10.5703125" style="1" customWidth="1"/>
    <col min="14355" max="14355" width="14.140625" style="1" customWidth="1"/>
    <col min="14356" max="14356" width="10.140625" style="1" customWidth="1"/>
    <col min="14357" max="14357" width="15.140625" style="1" customWidth="1"/>
    <col min="14358" max="14358" width="8.5703125" style="1" customWidth="1"/>
    <col min="14359" max="14359" width="14.28515625" style="1" customWidth="1"/>
    <col min="14360" max="14360" width="18.28515625" style="1" customWidth="1"/>
    <col min="14361" max="14361" width="13" style="1" bestFit="1" customWidth="1"/>
    <col min="14362" max="14362" width="11.7109375" style="1" bestFit="1" customWidth="1"/>
    <col min="14363" max="14369" width="9.140625" style="1"/>
    <col min="14370" max="14370" width="11.28515625" style="1" bestFit="1" customWidth="1"/>
    <col min="14371" max="14371" width="10.7109375" style="1" bestFit="1" customWidth="1"/>
    <col min="14372" max="14593" width="9.140625" style="1"/>
    <col min="14594" max="14594" width="6.42578125" style="1" customWidth="1"/>
    <col min="14595" max="14595" width="20.7109375" style="1" customWidth="1"/>
    <col min="14596" max="14596" width="24.7109375" style="1" customWidth="1"/>
    <col min="14597" max="14597" width="11.140625" style="1" customWidth="1"/>
    <col min="14598" max="14598" width="12.28515625" style="1" customWidth="1"/>
    <col min="14599" max="14599" width="11.140625" style="1" customWidth="1"/>
    <col min="14600" max="14600" width="10.42578125" style="1" customWidth="1"/>
    <col min="14601" max="14601" width="4.7109375" style="1" customWidth="1"/>
    <col min="14602" max="14602" width="8.5703125" style="1" customWidth="1"/>
    <col min="14603" max="14603" width="5.5703125" style="1" customWidth="1"/>
    <col min="14604" max="14605" width="11.5703125" style="1" customWidth="1"/>
    <col min="14606" max="14606" width="10.85546875" style="1" customWidth="1"/>
    <col min="14607" max="14607" width="7.7109375" style="1" customWidth="1"/>
    <col min="14608" max="14608" width="8" style="1" customWidth="1"/>
    <col min="14609" max="14609" width="16.28515625" style="1" customWidth="1"/>
    <col min="14610" max="14610" width="10.5703125" style="1" customWidth="1"/>
    <col min="14611" max="14611" width="14.140625" style="1" customWidth="1"/>
    <col min="14612" max="14612" width="10.140625" style="1" customWidth="1"/>
    <col min="14613" max="14613" width="15.140625" style="1" customWidth="1"/>
    <col min="14614" max="14614" width="8.5703125" style="1" customWidth="1"/>
    <col min="14615" max="14615" width="14.28515625" style="1" customWidth="1"/>
    <col min="14616" max="14616" width="18.28515625" style="1" customWidth="1"/>
    <col min="14617" max="14617" width="13" style="1" bestFit="1" customWidth="1"/>
    <col min="14618" max="14618" width="11.7109375" style="1" bestFit="1" customWidth="1"/>
    <col min="14619" max="14625" width="9.140625" style="1"/>
    <col min="14626" max="14626" width="11.28515625" style="1" bestFit="1" customWidth="1"/>
    <col min="14627" max="14627" width="10.7109375" style="1" bestFit="1" customWidth="1"/>
    <col min="14628" max="14849" width="9.140625" style="1"/>
    <col min="14850" max="14850" width="6.42578125" style="1" customWidth="1"/>
    <col min="14851" max="14851" width="20.7109375" style="1" customWidth="1"/>
    <col min="14852" max="14852" width="24.7109375" style="1" customWidth="1"/>
    <col min="14853" max="14853" width="11.140625" style="1" customWidth="1"/>
    <col min="14854" max="14854" width="12.28515625" style="1" customWidth="1"/>
    <col min="14855" max="14855" width="11.140625" style="1" customWidth="1"/>
    <col min="14856" max="14856" width="10.42578125" style="1" customWidth="1"/>
    <col min="14857" max="14857" width="4.7109375" style="1" customWidth="1"/>
    <col min="14858" max="14858" width="8.5703125" style="1" customWidth="1"/>
    <col min="14859" max="14859" width="5.5703125" style="1" customWidth="1"/>
    <col min="14860" max="14861" width="11.5703125" style="1" customWidth="1"/>
    <col min="14862" max="14862" width="10.85546875" style="1" customWidth="1"/>
    <col min="14863" max="14863" width="7.7109375" style="1" customWidth="1"/>
    <col min="14864" max="14864" width="8" style="1" customWidth="1"/>
    <col min="14865" max="14865" width="16.28515625" style="1" customWidth="1"/>
    <col min="14866" max="14866" width="10.5703125" style="1" customWidth="1"/>
    <col min="14867" max="14867" width="14.140625" style="1" customWidth="1"/>
    <col min="14868" max="14868" width="10.140625" style="1" customWidth="1"/>
    <col min="14869" max="14869" width="15.140625" style="1" customWidth="1"/>
    <col min="14870" max="14870" width="8.5703125" style="1" customWidth="1"/>
    <col min="14871" max="14871" width="14.28515625" style="1" customWidth="1"/>
    <col min="14872" max="14872" width="18.28515625" style="1" customWidth="1"/>
    <col min="14873" max="14873" width="13" style="1" bestFit="1" customWidth="1"/>
    <col min="14874" max="14874" width="11.7109375" style="1" bestFit="1" customWidth="1"/>
    <col min="14875" max="14881" width="9.140625" style="1"/>
    <col min="14882" max="14882" width="11.28515625" style="1" bestFit="1" customWidth="1"/>
    <col min="14883" max="14883" width="10.7109375" style="1" bestFit="1" customWidth="1"/>
    <col min="14884" max="15105" width="9.140625" style="1"/>
    <col min="15106" max="15106" width="6.42578125" style="1" customWidth="1"/>
    <col min="15107" max="15107" width="20.7109375" style="1" customWidth="1"/>
    <col min="15108" max="15108" width="24.7109375" style="1" customWidth="1"/>
    <col min="15109" max="15109" width="11.140625" style="1" customWidth="1"/>
    <col min="15110" max="15110" width="12.28515625" style="1" customWidth="1"/>
    <col min="15111" max="15111" width="11.140625" style="1" customWidth="1"/>
    <col min="15112" max="15112" width="10.42578125" style="1" customWidth="1"/>
    <col min="15113" max="15113" width="4.7109375" style="1" customWidth="1"/>
    <col min="15114" max="15114" width="8.5703125" style="1" customWidth="1"/>
    <col min="15115" max="15115" width="5.5703125" style="1" customWidth="1"/>
    <col min="15116" max="15117" width="11.5703125" style="1" customWidth="1"/>
    <col min="15118" max="15118" width="10.85546875" style="1" customWidth="1"/>
    <col min="15119" max="15119" width="7.7109375" style="1" customWidth="1"/>
    <col min="15120" max="15120" width="8" style="1" customWidth="1"/>
    <col min="15121" max="15121" width="16.28515625" style="1" customWidth="1"/>
    <col min="15122" max="15122" width="10.5703125" style="1" customWidth="1"/>
    <col min="15123" max="15123" width="14.140625" style="1" customWidth="1"/>
    <col min="15124" max="15124" width="10.140625" style="1" customWidth="1"/>
    <col min="15125" max="15125" width="15.140625" style="1" customWidth="1"/>
    <col min="15126" max="15126" width="8.5703125" style="1" customWidth="1"/>
    <col min="15127" max="15127" width="14.28515625" style="1" customWidth="1"/>
    <col min="15128" max="15128" width="18.28515625" style="1" customWidth="1"/>
    <col min="15129" max="15129" width="13" style="1" bestFit="1" customWidth="1"/>
    <col min="15130" max="15130" width="11.7109375" style="1" bestFit="1" customWidth="1"/>
    <col min="15131" max="15137" width="9.140625" style="1"/>
    <col min="15138" max="15138" width="11.28515625" style="1" bestFit="1" customWidth="1"/>
    <col min="15139" max="15139" width="10.7109375" style="1" bestFit="1" customWidth="1"/>
    <col min="15140" max="15361" width="9.140625" style="1"/>
    <col min="15362" max="15362" width="6.42578125" style="1" customWidth="1"/>
    <col min="15363" max="15363" width="20.7109375" style="1" customWidth="1"/>
    <col min="15364" max="15364" width="24.7109375" style="1" customWidth="1"/>
    <col min="15365" max="15365" width="11.140625" style="1" customWidth="1"/>
    <col min="15366" max="15366" width="12.28515625" style="1" customWidth="1"/>
    <col min="15367" max="15367" width="11.140625" style="1" customWidth="1"/>
    <col min="15368" max="15368" width="10.42578125" style="1" customWidth="1"/>
    <col min="15369" max="15369" width="4.7109375" style="1" customWidth="1"/>
    <col min="15370" max="15370" width="8.5703125" style="1" customWidth="1"/>
    <col min="15371" max="15371" width="5.5703125" style="1" customWidth="1"/>
    <col min="15372" max="15373" width="11.5703125" style="1" customWidth="1"/>
    <col min="15374" max="15374" width="10.85546875" style="1" customWidth="1"/>
    <col min="15375" max="15375" width="7.7109375" style="1" customWidth="1"/>
    <col min="15376" max="15376" width="8" style="1" customWidth="1"/>
    <col min="15377" max="15377" width="16.28515625" style="1" customWidth="1"/>
    <col min="15378" max="15378" width="10.5703125" style="1" customWidth="1"/>
    <col min="15379" max="15379" width="14.140625" style="1" customWidth="1"/>
    <col min="15380" max="15380" width="10.140625" style="1" customWidth="1"/>
    <col min="15381" max="15381" width="15.140625" style="1" customWidth="1"/>
    <col min="15382" max="15382" width="8.5703125" style="1" customWidth="1"/>
    <col min="15383" max="15383" width="14.28515625" style="1" customWidth="1"/>
    <col min="15384" max="15384" width="18.28515625" style="1" customWidth="1"/>
    <col min="15385" max="15385" width="13" style="1" bestFit="1" customWidth="1"/>
    <col min="15386" max="15386" width="11.7109375" style="1" bestFit="1" customWidth="1"/>
    <col min="15387" max="15393" width="9.140625" style="1"/>
    <col min="15394" max="15394" width="11.28515625" style="1" bestFit="1" customWidth="1"/>
    <col min="15395" max="15395" width="10.7109375" style="1" bestFit="1" customWidth="1"/>
    <col min="15396" max="15617" width="9.140625" style="1"/>
    <col min="15618" max="15618" width="6.42578125" style="1" customWidth="1"/>
    <col min="15619" max="15619" width="20.7109375" style="1" customWidth="1"/>
    <col min="15620" max="15620" width="24.7109375" style="1" customWidth="1"/>
    <col min="15621" max="15621" width="11.140625" style="1" customWidth="1"/>
    <col min="15622" max="15622" width="12.28515625" style="1" customWidth="1"/>
    <col min="15623" max="15623" width="11.140625" style="1" customWidth="1"/>
    <col min="15624" max="15624" width="10.42578125" style="1" customWidth="1"/>
    <col min="15625" max="15625" width="4.7109375" style="1" customWidth="1"/>
    <col min="15626" max="15626" width="8.5703125" style="1" customWidth="1"/>
    <col min="15627" max="15627" width="5.5703125" style="1" customWidth="1"/>
    <col min="15628" max="15629" width="11.5703125" style="1" customWidth="1"/>
    <col min="15630" max="15630" width="10.85546875" style="1" customWidth="1"/>
    <col min="15631" max="15631" width="7.7109375" style="1" customWidth="1"/>
    <col min="15632" max="15632" width="8" style="1" customWidth="1"/>
    <col min="15633" max="15633" width="16.28515625" style="1" customWidth="1"/>
    <col min="15634" max="15634" width="10.5703125" style="1" customWidth="1"/>
    <col min="15635" max="15635" width="14.140625" style="1" customWidth="1"/>
    <col min="15636" max="15636" width="10.140625" style="1" customWidth="1"/>
    <col min="15637" max="15637" width="15.140625" style="1" customWidth="1"/>
    <col min="15638" max="15638" width="8.5703125" style="1" customWidth="1"/>
    <col min="15639" max="15639" width="14.28515625" style="1" customWidth="1"/>
    <col min="15640" max="15640" width="18.28515625" style="1" customWidth="1"/>
    <col min="15641" max="15641" width="13" style="1" bestFit="1" customWidth="1"/>
    <col min="15642" max="15642" width="11.7109375" style="1" bestFit="1" customWidth="1"/>
    <col min="15643" max="15649" width="9.140625" style="1"/>
    <col min="15650" max="15650" width="11.28515625" style="1" bestFit="1" customWidth="1"/>
    <col min="15651" max="15651" width="10.7109375" style="1" bestFit="1" customWidth="1"/>
    <col min="15652" max="15873" width="9.140625" style="1"/>
    <col min="15874" max="15874" width="6.42578125" style="1" customWidth="1"/>
    <col min="15875" max="15875" width="20.7109375" style="1" customWidth="1"/>
    <col min="15876" max="15876" width="24.7109375" style="1" customWidth="1"/>
    <col min="15877" max="15877" width="11.140625" style="1" customWidth="1"/>
    <col min="15878" max="15878" width="12.28515625" style="1" customWidth="1"/>
    <col min="15879" max="15879" width="11.140625" style="1" customWidth="1"/>
    <col min="15880" max="15880" width="10.42578125" style="1" customWidth="1"/>
    <col min="15881" max="15881" width="4.7109375" style="1" customWidth="1"/>
    <col min="15882" max="15882" width="8.5703125" style="1" customWidth="1"/>
    <col min="15883" max="15883" width="5.5703125" style="1" customWidth="1"/>
    <col min="15884" max="15885" width="11.5703125" style="1" customWidth="1"/>
    <col min="15886" max="15886" width="10.85546875" style="1" customWidth="1"/>
    <col min="15887" max="15887" width="7.7109375" style="1" customWidth="1"/>
    <col min="15888" max="15888" width="8" style="1" customWidth="1"/>
    <col min="15889" max="15889" width="16.28515625" style="1" customWidth="1"/>
    <col min="15890" max="15890" width="10.5703125" style="1" customWidth="1"/>
    <col min="15891" max="15891" width="14.140625" style="1" customWidth="1"/>
    <col min="15892" max="15892" width="10.140625" style="1" customWidth="1"/>
    <col min="15893" max="15893" width="15.140625" style="1" customWidth="1"/>
    <col min="15894" max="15894" width="8.5703125" style="1" customWidth="1"/>
    <col min="15895" max="15895" width="14.28515625" style="1" customWidth="1"/>
    <col min="15896" max="15896" width="18.28515625" style="1" customWidth="1"/>
    <col min="15897" max="15897" width="13" style="1" bestFit="1" customWidth="1"/>
    <col min="15898" max="15898" width="11.7109375" style="1" bestFit="1" customWidth="1"/>
    <col min="15899" max="15905" width="9.140625" style="1"/>
    <col min="15906" max="15906" width="11.28515625" style="1" bestFit="1" customWidth="1"/>
    <col min="15907" max="15907" width="10.7109375" style="1" bestFit="1" customWidth="1"/>
    <col min="15908" max="16129" width="9.140625" style="1"/>
    <col min="16130" max="16130" width="6.42578125" style="1" customWidth="1"/>
    <col min="16131" max="16131" width="20.7109375" style="1" customWidth="1"/>
    <col min="16132" max="16132" width="24.7109375" style="1" customWidth="1"/>
    <col min="16133" max="16133" width="11.140625" style="1" customWidth="1"/>
    <col min="16134" max="16134" width="12.28515625" style="1" customWidth="1"/>
    <col min="16135" max="16135" width="11.140625" style="1" customWidth="1"/>
    <col min="16136" max="16136" width="10.42578125" style="1" customWidth="1"/>
    <col min="16137" max="16137" width="4.7109375" style="1" customWidth="1"/>
    <col min="16138" max="16138" width="8.5703125" style="1" customWidth="1"/>
    <col min="16139" max="16139" width="5.5703125" style="1" customWidth="1"/>
    <col min="16140" max="16141" width="11.5703125" style="1" customWidth="1"/>
    <col min="16142" max="16142" width="10.85546875" style="1" customWidth="1"/>
    <col min="16143" max="16143" width="7.7109375" style="1" customWidth="1"/>
    <col min="16144" max="16144" width="8" style="1" customWidth="1"/>
    <col min="16145" max="16145" width="16.28515625" style="1" customWidth="1"/>
    <col min="16146" max="16146" width="10.5703125" style="1" customWidth="1"/>
    <col min="16147" max="16147" width="14.140625" style="1" customWidth="1"/>
    <col min="16148" max="16148" width="10.140625" style="1" customWidth="1"/>
    <col min="16149" max="16149" width="15.140625" style="1" customWidth="1"/>
    <col min="16150" max="16150" width="8.5703125" style="1" customWidth="1"/>
    <col min="16151" max="16151" width="14.28515625" style="1" customWidth="1"/>
    <col min="16152" max="16152" width="18.28515625" style="1" customWidth="1"/>
    <col min="16153" max="16153" width="13" style="1" bestFit="1" customWidth="1"/>
    <col min="16154" max="16154" width="11.7109375" style="1" bestFit="1" customWidth="1"/>
    <col min="16155" max="16161" width="9.140625" style="1"/>
    <col min="16162" max="16162" width="11.28515625" style="1" bestFit="1" customWidth="1"/>
    <col min="16163" max="16163" width="10.7109375" style="1" bestFit="1" customWidth="1"/>
    <col min="16164" max="16384" width="9.140625" style="1"/>
  </cols>
  <sheetData>
    <row r="1" spans="1:44" ht="9.75" customHeight="1">
      <c r="V1" s="3"/>
    </row>
    <row r="2" spans="1:44" ht="16.5" customHeight="1">
      <c r="A2" s="2258" t="s">
        <v>417</v>
      </c>
      <c r="B2" s="2258"/>
      <c r="C2" s="2258"/>
      <c r="D2" s="2258"/>
      <c r="E2" s="2258"/>
      <c r="F2" s="2258"/>
      <c r="G2" s="2258"/>
      <c r="H2" s="2258"/>
      <c r="I2" s="2258"/>
      <c r="J2" s="2258"/>
      <c r="K2" s="2258"/>
      <c r="L2" s="2258"/>
      <c r="M2" s="2258"/>
      <c r="N2" s="2258"/>
      <c r="O2" s="2258"/>
      <c r="P2" s="2258"/>
      <c r="Q2" s="2258"/>
      <c r="R2" s="2258"/>
      <c r="S2" s="2258"/>
      <c r="T2" s="2258"/>
      <c r="U2" s="2258"/>
      <c r="V2" s="2258"/>
      <c r="W2" s="2258"/>
      <c r="X2" s="2258"/>
      <c r="Y2" s="24"/>
      <c r="Z2" s="24"/>
    </row>
    <row r="3" spans="1:44" ht="13.5" customHeight="1">
      <c r="A3" s="2259" t="s">
        <v>0</v>
      </c>
      <c r="B3" s="2259"/>
      <c r="C3" s="2259"/>
      <c r="D3" s="2259"/>
      <c r="E3" s="2259"/>
      <c r="F3" s="2259"/>
      <c r="G3" s="2259"/>
      <c r="H3" s="2259"/>
      <c r="I3" s="2259"/>
      <c r="J3" s="2259"/>
      <c r="K3" s="2259"/>
      <c r="L3" s="2259"/>
      <c r="M3" s="2259"/>
      <c r="N3" s="2259"/>
      <c r="O3" s="2259"/>
      <c r="P3" s="2259"/>
      <c r="Q3" s="2259"/>
      <c r="R3" s="2259"/>
      <c r="S3" s="2259"/>
      <c r="T3" s="2259"/>
      <c r="U3" s="2259"/>
      <c r="V3" s="2259"/>
      <c r="W3" s="2259"/>
      <c r="X3" s="2259"/>
      <c r="Y3" s="24"/>
      <c r="Z3" s="24"/>
    </row>
    <row r="4" spans="1:44" s="208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5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304" t="s">
        <v>395</v>
      </c>
      <c r="P4" s="2256" t="s">
        <v>396</v>
      </c>
      <c r="Q4" s="2256" t="s">
        <v>16</v>
      </c>
      <c r="R4" s="2256" t="s">
        <v>17</v>
      </c>
      <c r="S4" s="2256"/>
      <c r="T4" s="2256" t="s">
        <v>18</v>
      </c>
      <c r="U4" s="2256"/>
      <c r="V4" s="2256" t="s">
        <v>19</v>
      </c>
      <c r="W4" s="2256"/>
      <c r="X4" s="2306" t="s">
        <v>401</v>
      </c>
      <c r="Y4" s="2260" t="s">
        <v>393</v>
      </c>
      <c r="Z4" s="2305" t="s">
        <v>394</v>
      </c>
      <c r="AA4" s="24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</row>
    <row r="5" spans="1:44" s="208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304"/>
      <c r="P5" s="2256"/>
      <c r="Q5" s="2256"/>
      <c r="R5" s="206" t="s">
        <v>21</v>
      </c>
      <c r="S5" s="206" t="s">
        <v>22</v>
      </c>
      <c r="T5" s="206" t="s">
        <v>21</v>
      </c>
      <c r="U5" s="206" t="s">
        <v>22</v>
      </c>
      <c r="V5" s="206" t="s">
        <v>21</v>
      </c>
      <c r="W5" s="206" t="s">
        <v>22</v>
      </c>
      <c r="X5" s="2306"/>
      <c r="Y5" s="2260"/>
      <c r="Z5" s="2305"/>
      <c r="AA5" s="24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</row>
    <row r="6" spans="1:44" s="377" customFormat="1" ht="15" customHeight="1">
      <c r="A6" s="379">
        <v>1</v>
      </c>
      <c r="B6" s="404" t="s">
        <v>23</v>
      </c>
      <c r="C6" s="392" t="s">
        <v>24</v>
      </c>
      <c r="D6" s="379" t="s">
        <v>25</v>
      </c>
      <c r="E6" s="379" t="s">
        <v>26</v>
      </c>
      <c r="F6" s="379" t="s">
        <v>27</v>
      </c>
      <c r="G6" s="379">
        <v>1</v>
      </c>
      <c r="H6" s="379" t="s">
        <v>28</v>
      </c>
      <c r="I6" s="379" t="s">
        <v>29</v>
      </c>
      <c r="J6" s="405" t="s">
        <v>30</v>
      </c>
      <c r="K6" s="359">
        <v>17697</v>
      </c>
      <c r="L6" s="359"/>
      <c r="M6" s="359">
        <v>1</v>
      </c>
      <c r="N6" s="359"/>
      <c r="O6" s="359">
        <v>6.22</v>
      </c>
      <c r="P6" s="359"/>
      <c r="Q6" s="379">
        <f>O6*K6</f>
        <v>110075.34</v>
      </c>
      <c r="R6" s="359"/>
      <c r="S6" s="388"/>
      <c r="T6" s="359">
        <v>0.1</v>
      </c>
      <c r="U6" s="387">
        <f>T6*Q6</f>
        <v>11007.534</v>
      </c>
      <c r="V6" s="359"/>
      <c r="W6" s="383"/>
      <c r="X6" s="406">
        <f>Q6+S6+U6</f>
        <v>121082.874</v>
      </c>
      <c r="Y6" s="406">
        <f>R6+T6+V6</f>
        <v>0.1</v>
      </c>
      <c r="Z6" s="406">
        <f>S6+U6+W6</f>
        <v>11007.534</v>
      </c>
      <c r="AA6" s="375"/>
      <c r="AB6" s="407"/>
      <c r="AC6" s="374"/>
      <c r="AD6" s="375"/>
      <c r="AE6" s="375"/>
      <c r="AF6" s="375"/>
      <c r="AG6" s="375"/>
      <c r="AH6" s="375"/>
      <c r="AI6" s="375"/>
      <c r="AJ6" s="375"/>
      <c r="AK6" s="375"/>
      <c r="AL6" s="375"/>
      <c r="AM6" s="375"/>
      <c r="AN6" s="375"/>
    </row>
    <row r="7" spans="1:44" s="377" customFormat="1" ht="15" customHeight="1">
      <c r="A7" s="379">
        <v>2</v>
      </c>
      <c r="B7" s="404" t="s">
        <v>31</v>
      </c>
      <c r="C7" s="392" t="s">
        <v>32</v>
      </c>
      <c r="D7" s="379" t="s">
        <v>25</v>
      </c>
      <c r="E7" s="408" t="s">
        <v>33</v>
      </c>
      <c r="F7" s="409" t="s">
        <v>34</v>
      </c>
      <c r="G7" s="379">
        <v>1</v>
      </c>
      <c r="H7" s="379" t="s">
        <v>28</v>
      </c>
      <c r="I7" s="379" t="s">
        <v>35</v>
      </c>
      <c r="J7" s="410" t="s">
        <v>30</v>
      </c>
      <c r="K7" s="359">
        <v>17697</v>
      </c>
      <c r="L7" s="359"/>
      <c r="M7" s="359">
        <v>1</v>
      </c>
      <c r="N7" s="359"/>
      <c r="O7" s="379">
        <v>5.77</v>
      </c>
      <c r="P7" s="379"/>
      <c r="Q7" s="359">
        <f>O7*K7</f>
        <v>102111.68999999999</v>
      </c>
      <c r="R7" s="388"/>
      <c r="S7" s="359"/>
      <c r="T7" s="359">
        <v>0.1</v>
      </c>
      <c r="U7" s="359">
        <f>ROUND(Q7*T7*M7,2)</f>
        <v>10211.17</v>
      </c>
      <c r="V7" s="383"/>
      <c r="W7" s="359"/>
      <c r="X7" s="406">
        <f t="shared" ref="X7:Z26" si="0">Q7+S7+U7</f>
        <v>112322.85999999999</v>
      </c>
      <c r="Y7" s="406">
        <f t="shared" si="0"/>
        <v>0.1</v>
      </c>
      <c r="Z7" s="406">
        <f t="shared" si="0"/>
        <v>10211.17</v>
      </c>
      <c r="AH7" s="411"/>
      <c r="AI7" s="412"/>
    </row>
    <row r="8" spans="1:44" s="364" customFormat="1" ht="15" customHeight="1">
      <c r="A8" s="379">
        <v>3</v>
      </c>
      <c r="B8" s="354" t="s">
        <v>36</v>
      </c>
      <c r="C8" s="392" t="s">
        <v>32</v>
      </c>
      <c r="D8" s="356" t="s">
        <v>25</v>
      </c>
      <c r="E8" s="356" t="s">
        <v>37</v>
      </c>
      <c r="F8" s="409" t="s">
        <v>34</v>
      </c>
      <c r="G8" s="356">
        <v>1</v>
      </c>
      <c r="H8" s="379" t="s">
        <v>28</v>
      </c>
      <c r="I8" s="379" t="s">
        <v>35</v>
      </c>
      <c r="J8" s="356">
        <v>3</v>
      </c>
      <c r="K8" s="358">
        <v>17697</v>
      </c>
      <c r="L8" s="358"/>
      <c r="M8" s="358">
        <v>1</v>
      </c>
      <c r="N8" s="359"/>
      <c r="O8" s="355">
        <v>5.77</v>
      </c>
      <c r="P8" s="355"/>
      <c r="Q8" s="359">
        <f>O8*K8</f>
        <v>102111.68999999999</v>
      </c>
      <c r="R8" s="388"/>
      <c r="S8" s="359"/>
      <c r="T8" s="359">
        <v>0.1</v>
      </c>
      <c r="U8" s="359">
        <f>ROUND(Q8*T8*M8,2)</f>
        <v>10211.17</v>
      </c>
      <c r="V8" s="383"/>
      <c r="W8" s="359"/>
      <c r="X8" s="406">
        <f t="shared" si="0"/>
        <v>112322.85999999999</v>
      </c>
      <c r="Y8" s="406">
        <f t="shared" si="0"/>
        <v>0.1</v>
      </c>
      <c r="Z8" s="406">
        <f t="shared" si="0"/>
        <v>10211.17</v>
      </c>
      <c r="AH8" s="421"/>
      <c r="AI8" s="422"/>
    </row>
    <row r="9" spans="1:44" s="418" customFormat="1" ht="15">
      <c r="A9" s="379">
        <v>4</v>
      </c>
      <c r="B9" s="413" t="s">
        <v>38</v>
      </c>
      <c r="C9" s="392" t="s">
        <v>32</v>
      </c>
      <c r="D9" s="355" t="s">
        <v>25</v>
      </c>
      <c r="E9" s="355" t="s">
        <v>39</v>
      </c>
      <c r="F9" s="414" t="s">
        <v>40</v>
      </c>
      <c r="G9" s="355">
        <v>1</v>
      </c>
      <c r="H9" s="379" t="s">
        <v>28</v>
      </c>
      <c r="I9" s="379" t="s">
        <v>35</v>
      </c>
      <c r="J9" s="415">
        <v>3</v>
      </c>
      <c r="K9" s="360">
        <v>17697</v>
      </c>
      <c r="L9" s="360"/>
      <c r="M9" s="360">
        <v>1</v>
      </c>
      <c r="N9" s="360"/>
      <c r="O9" s="355">
        <v>5.77</v>
      </c>
      <c r="P9" s="355"/>
      <c r="Q9" s="360">
        <f t="shared" ref="Q9:Q23" si="1">O9*K9*M9</f>
        <v>102111.68999999999</v>
      </c>
      <c r="R9" s="416">
        <v>0.25</v>
      </c>
      <c r="S9" s="360">
        <f>R9*Q9</f>
        <v>25527.922499999997</v>
      </c>
      <c r="T9" s="359">
        <v>0.1</v>
      </c>
      <c r="U9" s="360">
        <f>ROUND(Q9*T9,2)</f>
        <v>10211.17</v>
      </c>
      <c r="V9" s="417"/>
      <c r="W9" s="360"/>
      <c r="X9" s="406">
        <f t="shared" si="0"/>
        <v>137850.7825</v>
      </c>
      <c r="Y9" s="406">
        <f t="shared" si="0"/>
        <v>0.35</v>
      </c>
      <c r="Z9" s="406">
        <f t="shared" si="0"/>
        <v>35739.092499999999</v>
      </c>
      <c r="AA9" s="374"/>
      <c r="AB9" s="374"/>
      <c r="AC9" s="375"/>
      <c r="AD9" s="375"/>
      <c r="AE9" s="374"/>
      <c r="AF9" s="374"/>
      <c r="AG9" s="375"/>
      <c r="AP9" s="419"/>
      <c r="AQ9" s="420">
        <f>Q9+U9+S9+W9</f>
        <v>137850.78249999997</v>
      </c>
    </row>
    <row r="10" spans="1:44" s="377" customFormat="1" ht="15" customHeight="1">
      <c r="A10" s="379">
        <v>5</v>
      </c>
      <c r="B10" s="404" t="s">
        <v>41</v>
      </c>
      <c r="C10" s="392" t="s">
        <v>42</v>
      </c>
      <c r="D10" s="379" t="s">
        <v>25</v>
      </c>
      <c r="E10" s="379" t="s">
        <v>43</v>
      </c>
      <c r="F10" s="379" t="s">
        <v>27</v>
      </c>
      <c r="G10" s="379">
        <v>1</v>
      </c>
      <c r="H10" s="382" t="s">
        <v>28</v>
      </c>
      <c r="I10" s="382" t="s">
        <v>29</v>
      </c>
      <c r="J10" s="405" t="s">
        <v>44</v>
      </c>
      <c r="K10" s="359">
        <v>17697</v>
      </c>
      <c r="L10" s="359"/>
      <c r="M10" s="359">
        <v>1</v>
      </c>
      <c r="N10" s="359"/>
      <c r="O10" s="381" t="s">
        <v>369</v>
      </c>
      <c r="P10" s="381"/>
      <c r="Q10" s="360">
        <f t="shared" si="1"/>
        <v>104589.27</v>
      </c>
      <c r="R10" s="359"/>
      <c r="S10" s="388"/>
      <c r="T10" s="359">
        <v>0.1</v>
      </c>
      <c r="U10" s="360">
        <f t="shared" ref="U10:U26" si="2">ROUND(Q10*T10,2)</f>
        <v>10458.93</v>
      </c>
      <c r="V10" s="359"/>
      <c r="W10" s="383"/>
      <c r="X10" s="406">
        <f t="shared" si="0"/>
        <v>115048.20000000001</v>
      </c>
      <c r="Y10" s="406">
        <f t="shared" si="0"/>
        <v>0.1</v>
      </c>
      <c r="Z10" s="406">
        <f t="shared" si="0"/>
        <v>10458.93</v>
      </c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5"/>
      <c r="AN10" s="375"/>
    </row>
    <row r="11" spans="1:44" s="377" customFormat="1" ht="15" customHeight="1">
      <c r="A11" s="379">
        <v>6</v>
      </c>
      <c r="B11" s="404" t="s">
        <v>45</v>
      </c>
      <c r="C11" s="392" t="s">
        <v>46</v>
      </c>
      <c r="D11" s="423" t="s">
        <v>25</v>
      </c>
      <c r="E11" s="424" t="s">
        <v>47</v>
      </c>
      <c r="F11" s="424" t="s">
        <v>34</v>
      </c>
      <c r="G11" s="423">
        <v>1</v>
      </c>
      <c r="H11" s="379" t="s">
        <v>28</v>
      </c>
      <c r="I11" s="379" t="s">
        <v>29</v>
      </c>
      <c r="J11" s="405" t="s">
        <v>44</v>
      </c>
      <c r="K11" s="359">
        <v>17697</v>
      </c>
      <c r="L11" s="359"/>
      <c r="M11" s="359">
        <v>1</v>
      </c>
      <c r="N11" s="359"/>
      <c r="O11" s="359">
        <v>5.91</v>
      </c>
      <c r="P11" s="359"/>
      <c r="Q11" s="360">
        <f t="shared" si="1"/>
        <v>104589.27</v>
      </c>
      <c r="R11" s="416"/>
      <c r="S11" s="359"/>
      <c r="T11" s="359">
        <v>0.1</v>
      </c>
      <c r="U11" s="360">
        <f t="shared" si="2"/>
        <v>10458.93</v>
      </c>
      <c r="V11" s="383"/>
      <c r="W11" s="359"/>
      <c r="X11" s="406">
        <f t="shared" ref="X11:Z14" si="3">Q11+S11+U11</f>
        <v>115048.20000000001</v>
      </c>
      <c r="Y11" s="406">
        <f t="shared" si="3"/>
        <v>0.1</v>
      </c>
      <c r="Z11" s="406">
        <f t="shared" si="3"/>
        <v>10458.93</v>
      </c>
    </row>
    <row r="12" spans="1:44" s="377" customFormat="1" ht="15" customHeight="1">
      <c r="A12" s="379">
        <v>7</v>
      </c>
      <c r="B12" s="404" t="s">
        <v>48</v>
      </c>
      <c r="C12" s="392" t="s">
        <v>49</v>
      </c>
      <c r="D12" s="379" t="s">
        <v>25</v>
      </c>
      <c r="E12" s="379" t="s">
        <v>50</v>
      </c>
      <c r="F12" s="379" t="s">
        <v>51</v>
      </c>
      <c r="G12" s="379">
        <v>1</v>
      </c>
      <c r="H12" s="382" t="s">
        <v>28</v>
      </c>
      <c r="I12" s="382" t="s">
        <v>35</v>
      </c>
      <c r="J12" s="405" t="s">
        <v>30</v>
      </c>
      <c r="K12" s="359">
        <v>17697</v>
      </c>
      <c r="L12" s="359"/>
      <c r="M12" s="359">
        <v>1</v>
      </c>
      <c r="N12" s="359"/>
      <c r="O12" s="381" t="s">
        <v>370</v>
      </c>
      <c r="P12" s="381"/>
      <c r="Q12" s="360">
        <f t="shared" si="1"/>
        <v>99280.170000000013</v>
      </c>
      <c r="R12" s="359"/>
      <c r="S12" s="388"/>
      <c r="T12" s="359">
        <v>0.1</v>
      </c>
      <c r="U12" s="360">
        <f t="shared" si="2"/>
        <v>9928.02</v>
      </c>
      <c r="V12" s="359"/>
      <c r="W12" s="383"/>
      <c r="X12" s="406">
        <f t="shared" si="3"/>
        <v>109208.19000000002</v>
      </c>
      <c r="Y12" s="406">
        <f t="shared" si="3"/>
        <v>0.1</v>
      </c>
      <c r="Z12" s="406">
        <f t="shared" si="3"/>
        <v>9928.02</v>
      </c>
      <c r="AA12" s="375"/>
      <c r="AB12" s="375"/>
      <c r="AC12" s="375"/>
      <c r="AD12" s="375"/>
      <c r="AE12" s="375"/>
      <c r="AF12" s="375"/>
      <c r="AG12" s="375"/>
      <c r="AH12" s="375"/>
      <c r="AI12" s="375"/>
      <c r="AJ12" s="375"/>
      <c r="AK12" s="375"/>
      <c r="AL12" s="375"/>
      <c r="AM12" s="375"/>
      <c r="AN12" s="375"/>
    </row>
    <row r="13" spans="1:44" s="377" customFormat="1" ht="15" customHeight="1">
      <c r="A13" s="379">
        <v>8</v>
      </c>
      <c r="B13" s="384" t="s">
        <v>52</v>
      </c>
      <c r="C13" s="392" t="s">
        <v>53</v>
      </c>
      <c r="D13" s="379" t="s">
        <v>25</v>
      </c>
      <c r="E13" s="379" t="s">
        <v>54</v>
      </c>
      <c r="F13" s="379" t="s">
        <v>55</v>
      </c>
      <c r="G13" s="379">
        <v>1</v>
      </c>
      <c r="H13" s="382" t="s">
        <v>56</v>
      </c>
      <c r="I13" s="382" t="s">
        <v>56</v>
      </c>
      <c r="J13" s="405" t="s">
        <v>57</v>
      </c>
      <c r="K13" s="359">
        <v>17697</v>
      </c>
      <c r="L13" s="359"/>
      <c r="M13" s="359">
        <v>1</v>
      </c>
      <c r="N13" s="359"/>
      <c r="O13" s="381" t="s">
        <v>371</v>
      </c>
      <c r="P13" s="381"/>
      <c r="Q13" s="360">
        <f t="shared" si="1"/>
        <v>75566.189999999988</v>
      </c>
      <c r="R13" s="359"/>
      <c r="S13" s="388"/>
      <c r="T13" s="359">
        <v>0.1</v>
      </c>
      <c r="U13" s="360">
        <f t="shared" si="2"/>
        <v>7556.62</v>
      </c>
      <c r="V13" s="359"/>
      <c r="W13" s="383"/>
      <c r="X13" s="406">
        <f t="shared" si="3"/>
        <v>83122.809999999983</v>
      </c>
      <c r="Y13" s="406">
        <f t="shared" si="3"/>
        <v>0.1</v>
      </c>
      <c r="Z13" s="406">
        <f t="shared" si="3"/>
        <v>7556.62</v>
      </c>
      <c r="AA13" s="375"/>
      <c r="AB13" s="375"/>
      <c r="AC13" s="375"/>
      <c r="AD13" s="375"/>
      <c r="AE13" s="375"/>
      <c r="AF13" s="375"/>
      <c r="AG13" s="375"/>
      <c r="AH13" s="375"/>
      <c r="AI13" s="375"/>
      <c r="AJ13" s="375"/>
      <c r="AK13" s="375"/>
      <c r="AL13" s="375"/>
      <c r="AM13" s="375"/>
      <c r="AN13" s="375"/>
    </row>
    <row r="14" spans="1:44" s="377" customFormat="1" ht="18" customHeight="1">
      <c r="A14" s="379">
        <v>9</v>
      </c>
      <c r="B14" s="384" t="s">
        <v>58</v>
      </c>
      <c r="C14" s="392" t="s">
        <v>410</v>
      </c>
      <c r="D14" s="379" t="s">
        <v>25</v>
      </c>
      <c r="E14" s="381" t="s">
        <v>411</v>
      </c>
      <c r="F14" s="379" t="s">
        <v>51</v>
      </c>
      <c r="G14" s="379">
        <v>0.5</v>
      </c>
      <c r="H14" s="379" t="s">
        <v>61</v>
      </c>
      <c r="I14" s="379" t="s">
        <v>61</v>
      </c>
      <c r="J14" s="425">
        <v>1</v>
      </c>
      <c r="K14" s="359">
        <v>17697</v>
      </c>
      <c r="L14" s="359"/>
      <c r="M14" s="359">
        <v>0.5</v>
      </c>
      <c r="N14" s="387"/>
      <c r="O14" s="381" t="s">
        <v>372</v>
      </c>
      <c r="P14" s="381"/>
      <c r="Q14" s="360">
        <f t="shared" si="1"/>
        <v>28492.170000000002</v>
      </c>
      <c r="R14" s="359"/>
      <c r="S14" s="388"/>
      <c r="T14" s="359">
        <v>0.1</v>
      </c>
      <c r="U14" s="360">
        <f>ROUND(Q14*T14,2)</f>
        <v>2849.22</v>
      </c>
      <c r="V14" s="359"/>
      <c r="W14" s="383"/>
      <c r="X14" s="406">
        <f t="shared" si="3"/>
        <v>31341.390000000003</v>
      </c>
      <c r="Y14" s="406">
        <f t="shared" si="3"/>
        <v>0.1</v>
      </c>
      <c r="Z14" s="406">
        <f t="shared" si="3"/>
        <v>2849.22</v>
      </c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5"/>
      <c r="AN14" s="375"/>
    </row>
    <row r="15" spans="1:44" s="377" customFormat="1" ht="18" customHeight="1">
      <c r="A15" s="379">
        <v>9</v>
      </c>
      <c r="B15" s="384" t="s">
        <v>399</v>
      </c>
      <c r="C15" s="392" t="s">
        <v>59</v>
      </c>
      <c r="D15" s="379" t="s">
        <v>25</v>
      </c>
      <c r="E15" s="373" t="s">
        <v>418</v>
      </c>
      <c r="F15" s="379" t="s">
        <v>77</v>
      </c>
      <c r="G15" s="426">
        <v>1</v>
      </c>
      <c r="H15" s="379" t="s">
        <v>61</v>
      </c>
      <c r="I15" s="379" t="s">
        <v>61</v>
      </c>
      <c r="J15" s="425">
        <v>1</v>
      </c>
      <c r="K15" s="359">
        <v>17697</v>
      </c>
      <c r="L15" s="359"/>
      <c r="M15" s="359">
        <v>1</v>
      </c>
      <c r="N15" s="387"/>
      <c r="O15" s="381" t="s">
        <v>402</v>
      </c>
      <c r="P15" s="381"/>
      <c r="Q15" s="360">
        <f>O15*K15*M15</f>
        <v>53798.879999999997</v>
      </c>
      <c r="R15" s="359"/>
      <c r="S15" s="388"/>
      <c r="T15" s="359">
        <v>0.1</v>
      </c>
      <c r="U15" s="360">
        <f>ROUND(Q15*T15,2)</f>
        <v>5379.89</v>
      </c>
      <c r="V15" s="359"/>
      <c r="W15" s="383"/>
      <c r="X15" s="406">
        <f>Q15+S15+U15</f>
        <v>59178.77</v>
      </c>
      <c r="Y15" s="406">
        <f>R15+T15+V15</f>
        <v>0.1</v>
      </c>
      <c r="Z15" s="406">
        <f>S15+U15+W15</f>
        <v>5379.89</v>
      </c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  <c r="AN15" s="375"/>
    </row>
    <row r="16" spans="1:44" s="377" customFormat="1" ht="15" customHeight="1">
      <c r="A16" s="379">
        <v>10</v>
      </c>
      <c r="B16" s="384" t="s">
        <v>62</v>
      </c>
      <c r="C16" s="354" t="s">
        <v>63</v>
      </c>
      <c r="D16" s="379" t="s">
        <v>64</v>
      </c>
      <c r="E16" s="379" t="s">
        <v>412</v>
      </c>
      <c r="F16" s="379" t="s">
        <v>66</v>
      </c>
      <c r="G16" s="379">
        <v>1</v>
      </c>
      <c r="H16" s="382" t="s">
        <v>56</v>
      </c>
      <c r="I16" s="382" t="s">
        <v>56</v>
      </c>
      <c r="J16" s="425">
        <v>3</v>
      </c>
      <c r="K16" s="359">
        <v>17697</v>
      </c>
      <c r="L16" s="359"/>
      <c r="M16" s="359">
        <v>1</v>
      </c>
      <c r="N16" s="359"/>
      <c r="O16" s="359">
        <v>3.57</v>
      </c>
      <c r="P16" s="359"/>
      <c r="Q16" s="360">
        <f t="shared" si="1"/>
        <v>63178.289999999994</v>
      </c>
      <c r="R16" s="359"/>
      <c r="S16" s="388"/>
      <c r="T16" s="359">
        <v>0.1</v>
      </c>
      <c r="U16" s="360">
        <f t="shared" si="2"/>
        <v>6317.83</v>
      </c>
      <c r="V16" s="359"/>
      <c r="W16" s="383"/>
      <c r="X16" s="406">
        <f t="shared" si="0"/>
        <v>69496.12</v>
      </c>
      <c r="Y16" s="406">
        <f t="shared" si="0"/>
        <v>0.1</v>
      </c>
      <c r="Z16" s="406">
        <f t="shared" si="0"/>
        <v>6317.83</v>
      </c>
      <c r="AA16" s="375"/>
      <c r="AB16" s="375"/>
      <c r="AC16" s="375"/>
      <c r="AD16" s="375"/>
      <c r="AE16" s="375"/>
      <c r="AF16" s="375"/>
      <c r="AG16" s="375"/>
      <c r="AH16" s="375"/>
      <c r="AI16" s="375"/>
      <c r="AJ16" s="375"/>
      <c r="AK16" s="375"/>
      <c r="AL16" s="375"/>
      <c r="AM16" s="375"/>
      <c r="AN16" s="375"/>
    </row>
    <row r="17" spans="1:40" s="377" customFormat="1" ht="15" customHeight="1">
      <c r="A17" s="379">
        <v>11</v>
      </c>
      <c r="B17" s="384" t="s">
        <v>400</v>
      </c>
      <c r="C17" s="354" t="s">
        <v>63</v>
      </c>
      <c r="D17" s="379" t="s">
        <v>64</v>
      </c>
      <c r="E17" s="387">
        <v>0</v>
      </c>
      <c r="F17" s="379" t="s">
        <v>159</v>
      </c>
      <c r="G17" s="379">
        <v>1.5</v>
      </c>
      <c r="H17" s="382" t="s">
        <v>69</v>
      </c>
      <c r="I17" s="382" t="s">
        <v>69</v>
      </c>
      <c r="J17" s="427" t="s">
        <v>30</v>
      </c>
      <c r="K17" s="359">
        <v>17697</v>
      </c>
      <c r="L17" s="359"/>
      <c r="M17" s="359">
        <v>1.5</v>
      </c>
      <c r="N17" s="359"/>
      <c r="O17" s="379">
        <v>3.31</v>
      </c>
      <c r="P17" s="379"/>
      <c r="Q17" s="360">
        <f>O17*K17*M17</f>
        <v>87865.604999999996</v>
      </c>
      <c r="R17" s="388"/>
      <c r="S17" s="359"/>
      <c r="T17" s="359">
        <v>0.1</v>
      </c>
      <c r="U17" s="360">
        <f t="shared" si="2"/>
        <v>8786.56</v>
      </c>
      <c r="V17" s="383"/>
      <c r="W17" s="359"/>
      <c r="X17" s="406">
        <f>Q17+S17+U17</f>
        <v>96652.164999999994</v>
      </c>
      <c r="Y17" s="406">
        <f t="shared" si="0"/>
        <v>0.1</v>
      </c>
      <c r="Z17" s="406">
        <f t="shared" si="0"/>
        <v>8786.56</v>
      </c>
    </row>
    <row r="18" spans="1:40" s="364" customFormat="1" ht="15.75" customHeight="1">
      <c r="A18" s="379">
        <v>12</v>
      </c>
      <c r="B18" s="354" t="s">
        <v>378</v>
      </c>
      <c r="C18" s="354" t="s">
        <v>63</v>
      </c>
      <c r="D18" s="379" t="s">
        <v>64</v>
      </c>
      <c r="E18" s="356">
        <v>0</v>
      </c>
      <c r="F18" s="379" t="s">
        <v>159</v>
      </c>
      <c r="G18" s="379">
        <v>0.5</v>
      </c>
      <c r="H18" s="358" t="s">
        <v>56</v>
      </c>
      <c r="I18" s="358" t="s">
        <v>56</v>
      </c>
      <c r="J18" s="356">
        <v>3</v>
      </c>
      <c r="K18" s="358">
        <v>17697</v>
      </c>
      <c r="L18" s="358"/>
      <c r="M18" s="359">
        <v>0.5</v>
      </c>
      <c r="N18" s="381"/>
      <c r="O18" s="359">
        <v>3.31</v>
      </c>
      <c r="P18" s="359"/>
      <c r="Q18" s="360">
        <f t="shared" si="1"/>
        <v>29288.535</v>
      </c>
      <c r="R18" s="388"/>
      <c r="S18" s="359"/>
      <c r="T18" s="359">
        <v>0.1</v>
      </c>
      <c r="U18" s="360">
        <f t="shared" si="2"/>
        <v>2928.85</v>
      </c>
      <c r="V18" s="383"/>
      <c r="W18" s="359"/>
      <c r="X18" s="406">
        <f t="shared" si="0"/>
        <v>32217.384999999998</v>
      </c>
      <c r="Y18" s="406">
        <f t="shared" si="0"/>
        <v>0.1</v>
      </c>
      <c r="Z18" s="406">
        <f t="shared" si="0"/>
        <v>2928.85</v>
      </c>
    </row>
    <row r="19" spans="1:40" s="364" customFormat="1" ht="15.75" customHeight="1">
      <c r="A19" s="379">
        <v>13</v>
      </c>
      <c r="B19" s="354" t="s">
        <v>70</v>
      </c>
      <c r="C19" s="354" t="s">
        <v>71</v>
      </c>
      <c r="D19" s="379" t="s">
        <v>25</v>
      </c>
      <c r="E19" s="356" t="s">
        <v>72</v>
      </c>
      <c r="F19" s="379" t="s">
        <v>73</v>
      </c>
      <c r="G19" s="379">
        <v>1</v>
      </c>
      <c r="H19" s="428" t="s">
        <v>56</v>
      </c>
      <c r="I19" s="428" t="s">
        <v>56</v>
      </c>
      <c r="J19" s="428">
        <v>2</v>
      </c>
      <c r="K19" s="358">
        <v>17697</v>
      </c>
      <c r="L19" s="358"/>
      <c r="M19" s="406">
        <v>0.5</v>
      </c>
      <c r="N19" s="381"/>
      <c r="O19" s="359">
        <v>4.43</v>
      </c>
      <c r="P19" s="359"/>
      <c r="Q19" s="360">
        <f>O19*K19*M19</f>
        <v>39198.854999999996</v>
      </c>
      <c r="R19" s="388"/>
      <c r="S19" s="359"/>
      <c r="T19" s="359">
        <v>0.1</v>
      </c>
      <c r="U19" s="360">
        <f>ROUND(Q19*T19,2)</f>
        <v>3919.89</v>
      </c>
      <c r="V19" s="383">
        <v>0.2</v>
      </c>
      <c r="W19" s="359">
        <f>V19*K19*50%</f>
        <v>1769.7</v>
      </c>
      <c r="X19" s="406">
        <f t="shared" ref="X19:Z20" si="4">Q19+S19+U19+W19</f>
        <v>44888.444999999992</v>
      </c>
      <c r="Y19" s="406">
        <f t="shared" si="4"/>
        <v>44888.744999999995</v>
      </c>
      <c r="Z19" s="406">
        <f t="shared" si="4"/>
        <v>50578.334999999992</v>
      </c>
    </row>
    <row r="20" spans="1:40" s="364" customFormat="1" ht="15.75" customHeight="1">
      <c r="A20" s="379">
        <v>14</v>
      </c>
      <c r="B20" s="354" t="s">
        <v>378</v>
      </c>
      <c r="C20" s="354" t="s">
        <v>71</v>
      </c>
      <c r="D20" s="379" t="s">
        <v>75</v>
      </c>
      <c r="E20" s="356">
        <v>0</v>
      </c>
      <c r="F20" s="379" t="s">
        <v>159</v>
      </c>
      <c r="G20" s="379">
        <v>0.5</v>
      </c>
      <c r="H20" s="358" t="s">
        <v>56</v>
      </c>
      <c r="I20" s="358" t="s">
        <v>56</v>
      </c>
      <c r="J20" s="356">
        <v>3</v>
      </c>
      <c r="K20" s="358">
        <v>17697</v>
      </c>
      <c r="L20" s="358"/>
      <c r="M20" s="406">
        <v>0.5</v>
      </c>
      <c r="N20" s="381"/>
      <c r="O20" s="359">
        <v>3.31</v>
      </c>
      <c r="P20" s="359"/>
      <c r="Q20" s="360">
        <f>O20*K20*M20</f>
        <v>29288.535</v>
      </c>
      <c r="R20" s="388"/>
      <c r="S20" s="359"/>
      <c r="T20" s="359">
        <v>0.1</v>
      </c>
      <c r="U20" s="360">
        <f t="shared" si="2"/>
        <v>2928.85</v>
      </c>
      <c r="V20" s="383">
        <v>0.2</v>
      </c>
      <c r="W20" s="359">
        <f>V20*K20*50%</f>
        <v>1769.7</v>
      </c>
      <c r="X20" s="406">
        <f>Q20+S20+U20+W20</f>
        <v>33987.084999999999</v>
      </c>
      <c r="Y20" s="406">
        <f t="shared" si="4"/>
        <v>33987.385000000002</v>
      </c>
      <c r="Z20" s="406">
        <f t="shared" si="4"/>
        <v>38685.935000000005</v>
      </c>
    </row>
    <row r="21" spans="1:40" s="377" customFormat="1" ht="15" customHeight="1">
      <c r="A21" s="379">
        <v>15</v>
      </c>
      <c r="B21" s="384" t="s">
        <v>78</v>
      </c>
      <c r="C21" s="392" t="s">
        <v>79</v>
      </c>
      <c r="D21" s="379" t="s">
        <v>25</v>
      </c>
      <c r="E21" s="379" t="s">
        <v>413</v>
      </c>
      <c r="F21" s="379" t="s">
        <v>73</v>
      </c>
      <c r="G21" s="379">
        <v>1</v>
      </c>
      <c r="H21" s="379" t="s">
        <v>56</v>
      </c>
      <c r="I21" s="379" t="s">
        <v>56</v>
      </c>
      <c r="J21" s="425">
        <v>2</v>
      </c>
      <c r="K21" s="359">
        <v>17697</v>
      </c>
      <c r="L21" s="359"/>
      <c r="M21" s="359">
        <v>0.5</v>
      </c>
      <c r="N21" s="429"/>
      <c r="O21" s="359">
        <v>4.43</v>
      </c>
      <c r="P21" s="359"/>
      <c r="Q21" s="360">
        <f t="shared" si="1"/>
        <v>39198.854999999996</v>
      </c>
      <c r="R21" s="359"/>
      <c r="S21" s="388"/>
      <c r="T21" s="359">
        <v>0.1</v>
      </c>
      <c r="U21" s="360">
        <f t="shared" si="2"/>
        <v>3919.89</v>
      </c>
      <c r="V21" s="359"/>
      <c r="W21" s="383"/>
      <c r="X21" s="406">
        <f t="shared" si="0"/>
        <v>43118.744999999995</v>
      </c>
      <c r="Y21" s="406">
        <f t="shared" si="0"/>
        <v>0.1</v>
      </c>
      <c r="Z21" s="406">
        <f t="shared" si="0"/>
        <v>3919.89</v>
      </c>
      <c r="AA21" s="375"/>
      <c r="AB21" s="375"/>
      <c r="AC21" s="375"/>
      <c r="AD21" s="375"/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</row>
    <row r="22" spans="1:40" s="390" customFormat="1" ht="15.75" customHeight="1">
      <c r="A22" s="379">
        <v>16</v>
      </c>
      <c r="B22" s="430" t="s">
        <v>81</v>
      </c>
      <c r="C22" s="392" t="s">
        <v>82</v>
      </c>
      <c r="D22" s="431" t="s">
        <v>64</v>
      </c>
      <c r="E22" s="379" t="s">
        <v>413</v>
      </c>
      <c r="F22" s="431" t="s">
        <v>84</v>
      </c>
      <c r="G22" s="381">
        <v>1</v>
      </c>
      <c r="H22" s="382" t="s">
        <v>56</v>
      </c>
      <c r="I22" s="379" t="s">
        <v>56</v>
      </c>
      <c r="J22" s="382">
        <v>3</v>
      </c>
      <c r="K22" s="359">
        <v>17697</v>
      </c>
      <c r="L22" s="359"/>
      <c r="M22" s="359">
        <v>1</v>
      </c>
      <c r="N22" s="359"/>
      <c r="O22" s="359">
        <v>3.5</v>
      </c>
      <c r="P22" s="359"/>
      <c r="Q22" s="360">
        <f t="shared" si="1"/>
        <v>61939.5</v>
      </c>
      <c r="R22" s="359"/>
      <c r="S22" s="388"/>
      <c r="T22" s="359">
        <v>0.1</v>
      </c>
      <c r="U22" s="360">
        <f t="shared" si="2"/>
        <v>6193.95</v>
      </c>
      <c r="V22" s="359"/>
      <c r="W22" s="383"/>
      <c r="X22" s="406">
        <f t="shared" si="0"/>
        <v>68133.45</v>
      </c>
      <c r="Y22" s="406">
        <f t="shared" si="0"/>
        <v>0.1</v>
      </c>
      <c r="Z22" s="406">
        <f t="shared" si="0"/>
        <v>6193.95</v>
      </c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</row>
    <row r="23" spans="1:40" s="377" customFormat="1" ht="18" customHeight="1">
      <c r="A23" s="379">
        <v>17</v>
      </c>
      <c r="B23" s="384" t="s">
        <v>85</v>
      </c>
      <c r="C23" s="392" t="s">
        <v>86</v>
      </c>
      <c r="D23" s="379" t="s">
        <v>25</v>
      </c>
      <c r="E23" s="359" t="s">
        <v>414</v>
      </c>
      <c r="F23" s="379" t="s">
        <v>88</v>
      </c>
      <c r="G23" s="379">
        <v>1</v>
      </c>
      <c r="H23" s="379" t="s">
        <v>56</v>
      </c>
      <c r="I23" s="379" t="s">
        <v>56</v>
      </c>
      <c r="J23" s="405" t="s">
        <v>57</v>
      </c>
      <c r="K23" s="359">
        <v>17697</v>
      </c>
      <c r="L23" s="359"/>
      <c r="M23" s="359">
        <v>1</v>
      </c>
      <c r="N23" s="359"/>
      <c r="O23" s="359">
        <v>4.43</v>
      </c>
      <c r="P23" s="359"/>
      <c r="Q23" s="360">
        <f t="shared" si="1"/>
        <v>78397.709999999992</v>
      </c>
      <c r="R23" s="388"/>
      <c r="S23" s="432"/>
      <c r="T23" s="359">
        <v>0.1</v>
      </c>
      <c r="U23" s="360">
        <f t="shared" si="2"/>
        <v>7839.77</v>
      </c>
      <c r="V23" s="433"/>
      <c r="W23" s="432"/>
      <c r="X23" s="406">
        <f t="shared" ref="X23:Z24" si="5">Q23+S23+U23</f>
        <v>86237.48</v>
      </c>
      <c r="Y23" s="406">
        <f t="shared" si="5"/>
        <v>0.1</v>
      </c>
      <c r="Z23" s="406">
        <f t="shared" si="5"/>
        <v>7839.77</v>
      </c>
    </row>
    <row r="24" spans="1:40" s="377" customFormat="1" ht="17.25" customHeight="1">
      <c r="A24" s="379">
        <v>19</v>
      </c>
      <c r="B24" s="434" t="s">
        <v>294</v>
      </c>
      <c r="C24" s="392" t="s">
        <v>86</v>
      </c>
      <c r="D24" s="382" t="s">
        <v>25</v>
      </c>
      <c r="E24" s="435">
        <v>0</v>
      </c>
      <c r="F24" s="435" t="s">
        <v>159</v>
      </c>
      <c r="G24" s="436">
        <v>1</v>
      </c>
      <c r="H24" s="379" t="s">
        <v>56</v>
      </c>
      <c r="I24" s="379" t="s">
        <v>56</v>
      </c>
      <c r="J24" s="405" t="s">
        <v>57</v>
      </c>
      <c r="K24" s="359">
        <v>17697</v>
      </c>
      <c r="L24" s="373"/>
      <c r="M24" s="437">
        <v>1</v>
      </c>
      <c r="N24" s="373"/>
      <c r="O24" s="373">
        <v>4.0999999999999996</v>
      </c>
      <c r="P24" s="373"/>
      <c r="Q24" s="438">
        <f>O24*K24*M24</f>
        <v>72557.7</v>
      </c>
      <c r="R24" s="439"/>
      <c r="S24" s="373"/>
      <c r="T24" s="373">
        <v>0.1</v>
      </c>
      <c r="U24" s="438">
        <f>ROUND(Q24*T24,2)</f>
        <v>7255.77</v>
      </c>
      <c r="V24" s="372"/>
      <c r="W24" s="373"/>
      <c r="X24" s="437">
        <f>Q24+S24+U24</f>
        <v>79813.47</v>
      </c>
      <c r="Y24" s="437">
        <f t="shared" si="5"/>
        <v>0.1</v>
      </c>
      <c r="Z24" s="437">
        <f t="shared" si="5"/>
        <v>7255.77</v>
      </c>
    </row>
    <row r="25" spans="1:40" s="377" customFormat="1" ht="17.25" customHeight="1">
      <c r="A25" s="379">
        <v>21</v>
      </c>
      <c r="B25" s="440" t="s">
        <v>373</v>
      </c>
      <c r="C25" s="441" t="s">
        <v>95</v>
      </c>
      <c r="D25" s="426" t="s">
        <v>25</v>
      </c>
      <c r="E25" s="373" t="s">
        <v>415</v>
      </c>
      <c r="F25" s="426" t="s">
        <v>376</v>
      </c>
      <c r="G25" s="426">
        <v>0.5</v>
      </c>
      <c r="H25" s="426" t="s">
        <v>56</v>
      </c>
      <c r="I25" s="426" t="s">
        <v>56</v>
      </c>
      <c r="J25" s="442" t="s">
        <v>57</v>
      </c>
      <c r="K25" s="373">
        <v>17697</v>
      </c>
      <c r="L25" s="373"/>
      <c r="M25" s="373">
        <v>0.5</v>
      </c>
      <c r="N25" s="373"/>
      <c r="O25" s="373">
        <v>4.1900000000000004</v>
      </c>
      <c r="P25" s="373"/>
      <c r="Q25" s="438">
        <f>O25*K25*M25</f>
        <v>37075.215000000004</v>
      </c>
      <c r="R25" s="439"/>
      <c r="S25" s="373"/>
      <c r="T25" s="373">
        <v>0.1</v>
      </c>
      <c r="U25" s="438">
        <f t="shared" si="2"/>
        <v>3707.52</v>
      </c>
      <c r="V25" s="372"/>
      <c r="W25" s="373"/>
      <c r="X25" s="437">
        <f t="shared" si="0"/>
        <v>40782.735000000001</v>
      </c>
      <c r="Y25" s="437">
        <f t="shared" si="0"/>
        <v>0.1</v>
      </c>
      <c r="Z25" s="437">
        <f t="shared" si="0"/>
        <v>3707.52</v>
      </c>
    </row>
    <row r="26" spans="1:40" s="377" customFormat="1" ht="17.25" customHeight="1">
      <c r="A26" s="379">
        <v>22</v>
      </c>
      <c r="B26" s="440" t="s">
        <v>399</v>
      </c>
      <c r="C26" s="441" t="s">
        <v>95</v>
      </c>
      <c r="D26" s="426" t="s">
        <v>25</v>
      </c>
      <c r="E26" s="373" t="s">
        <v>419</v>
      </c>
      <c r="F26" s="379" t="s">
        <v>403</v>
      </c>
      <c r="G26" s="426">
        <v>0.5</v>
      </c>
      <c r="H26" s="426" t="s">
        <v>56</v>
      </c>
      <c r="I26" s="426" t="s">
        <v>56</v>
      </c>
      <c r="J26" s="442" t="s">
        <v>57</v>
      </c>
      <c r="K26" s="373">
        <v>17697</v>
      </c>
      <c r="L26" s="373"/>
      <c r="M26" s="373">
        <v>0.5</v>
      </c>
      <c r="N26" s="373"/>
      <c r="O26" s="373">
        <v>4.43</v>
      </c>
      <c r="P26" s="373"/>
      <c r="Q26" s="438">
        <f>O26*K26*M26</f>
        <v>39198.854999999996</v>
      </c>
      <c r="R26" s="439"/>
      <c r="S26" s="373"/>
      <c r="T26" s="373">
        <v>0.1</v>
      </c>
      <c r="U26" s="438">
        <f t="shared" si="2"/>
        <v>3919.89</v>
      </c>
      <c r="V26" s="372"/>
      <c r="W26" s="373"/>
      <c r="X26" s="437">
        <f>Q26+S26+U26</f>
        <v>43118.744999999995</v>
      </c>
      <c r="Y26" s="437">
        <f t="shared" si="0"/>
        <v>0.1</v>
      </c>
      <c r="Z26" s="437">
        <f t="shared" si="0"/>
        <v>3919.89</v>
      </c>
    </row>
    <row r="27" spans="1:40" s="24" customFormat="1" ht="17.25" customHeight="1">
      <c r="A27" s="95"/>
      <c r="B27" s="105"/>
      <c r="C27" s="106"/>
      <c r="D27" s="95"/>
      <c r="E27" s="97"/>
      <c r="F27" s="95"/>
      <c r="G27" s="95"/>
      <c r="H27" s="95"/>
      <c r="I27" s="95"/>
      <c r="J27" s="123"/>
      <c r="K27" s="97"/>
      <c r="L27" s="97"/>
      <c r="M27" s="97"/>
      <c r="N27" s="97"/>
      <c r="O27" s="197"/>
      <c r="P27" s="97"/>
      <c r="Q27" s="101"/>
      <c r="R27" s="102"/>
      <c r="S27" s="97"/>
      <c r="T27" s="97"/>
      <c r="U27" s="101"/>
      <c r="V27" s="103"/>
      <c r="W27" s="97"/>
      <c r="X27" s="203"/>
      <c r="Y27" s="104"/>
      <c r="Z27" s="104"/>
    </row>
    <row r="28" spans="1:40" s="377" customFormat="1" ht="17.25" customHeight="1">
      <c r="A28" s="42">
        <v>1</v>
      </c>
      <c r="B28" s="43" t="s">
        <v>98</v>
      </c>
      <c r="C28" s="243" t="s">
        <v>99</v>
      </c>
      <c r="D28" s="42" t="s">
        <v>25</v>
      </c>
      <c r="E28" s="244" t="s">
        <v>462</v>
      </c>
      <c r="F28" s="244" t="s">
        <v>463</v>
      </c>
      <c r="G28" s="42">
        <v>1</v>
      </c>
      <c r="H28" s="42" t="s">
        <v>102</v>
      </c>
      <c r="I28" s="42" t="s">
        <v>103</v>
      </c>
      <c r="J28" s="245">
        <v>1</v>
      </c>
      <c r="K28" s="44">
        <v>17697</v>
      </c>
      <c r="L28" s="246">
        <v>35</v>
      </c>
      <c r="M28" s="7">
        <f>L28/18</f>
        <v>1.9444444444444444</v>
      </c>
      <c r="N28" s="50" t="s">
        <v>104</v>
      </c>
      <c r="O28" s="142">
        <v>4.55</v>
      </c>
      <c r="P28" s="142">
        <v>4.1399999999999997</v>
      </c>
      <c r="Q28" s="67">
        <f>O28*K28/18*L28</f>
        <v>156569.29166666666</v>
      </c>
      <c r="R28" s="68"/>
      <c r="S28" s="44"/>
      <c r="T28" s="44">
        <v>0.1</v>
      </c>
      <c r="U28" s="67">
        <f>T28*Q28</f>
        <v>15656.929166666667</v>
      </c>
      <c r="V28" s="69"/>
      <c r="W28" s="44"/>
      <c r="X28" s="70">
        <f>U28+Q28</f>
        <v>172226.22083333333</v>
      </c>
      <c r="Y28" s="363">
        <f>V28+R28</f>
        <v>0</v>
      </c>
      <c r="Z28" s="363">
        <f>W28+S28</f>
        <v>0</v>
      </c>
    </row>
    <row r="29" spans="1:40" s="377" customFormat="1" ht="17.25" customHeight="1">
      <c r="A29" s="5">
        <v>2</v>
      </c>
      <c r="B29" s="26" t="s">
        <v>41</v>
      </c>
      <c r="C29" s="6" t="s">
        <v>99</v>
      </c>
      <c r="D29" s="5" t="s">
        <v>25</v>
      </c>
      <c r="E29" s="54" t="s">
        <v>466</v>
      </c>
      <c r="F29" s="54" t="s">
        <v>34</v>
      </c>
      <c r="G29" s="5">
        <v>1</v>
      </c>
      <c r="H29" s="20" t="s">
        <v>102</v>
      </c>
      <c r="I29" s="20" t="s">
        <v>103</v>
      </c>
      <c r="J29" s="46">
        <v>2</v>
      </c>
      <c r="K29" s="7">
        <v>17697</v>
      </c>
      <c r="L29" s="47">
        <v>9</v>
      </c>
      <c r="M29" s="7">
        <f t="shared" ref="M29:M76" si="6">L29/18</f>
        <v>0.5</v>
      </c>
      <c r="N29" s="45" t="s">
        <v>104</v>
      </c>
      <c r="O29" s="45">
        <v>4.51</v>
      </c>
      <c r="P29" s="45">
        <v>3.92</v>
      </c>
      <c r="Q29" s="18">
        <f t="shared" ref="Q29:Q98" si="7">O29*K29/18*L29</f>
        <v>39906.735000000001</v>
      </c>
      <c r="R29" s="8"/>
      <c r="S29" s="7"/>
      <c r="T29" s="7">
        <v>0.1</v>
      </c>
      <c r="U29" s="18">
        <f t="shared" ref="U29:U78" si="8">T29*Q29</f>
        <v>3990.6735000000003</v>
      </c>
      <c r="V29" s="9"/>
      <c r="W29" s="7"/>
      <c r="X29" s="10">
        <f t="shared" ref="X29:Z73" si="9">U29+Q29</f>
        <v>43897.408499999998</v>
      </c>
      <c r="Y29" s="406">
        <f t="shared" si="9"/>
        <v>0</v>
      </c>
      <c r="Z29" s="406">
        <f t="shared" si="9"/>
        <v>0</v>
      </c>
    </row>
    <row r="30" spans="1:40" s="377" customFormat="1" ht="15">
      <c r="A30" s="42">
        <v>3</v>
      </c>
      <c r="B30" s="153" t="s">
        <v>215</v>
      </c>
      <c r="C30" s="6" t="s">
        <v>99</v>
      </c>
      <c r="D30" s="20" t="s">
        <v>25</v>
      </c>
      <c r="E30" s="54" t="s">
        <v>441</v>
      </c>
      <c r="F30" s="54" t="s">
        <v>217</v>
      </c>
      <c r="G30" s="155">
        <v>1</v>
      </c>
      <c r="H30" s="156" t="s">
        <v>102</v>
      </c>
      <c r="I30" s="156" t="s">
        <v>103</v>
      </c>
      <c r="J30" s="55">
        <v>1</v>
      </c>
      <c r="K30" s="7">
        <v>17697</v>
      </c>
      <c r="L30" s="157">
        <v>6</v>
      </c>
      <c r="M30" s="7">
        <f>L30/18</f>
        <v>0.33333333333333331</v>
      </c>
      <c r="N30" s="55" t="s">
        <v>152</v>
      </c>
      <c r="O30" s="11">
        <v>4.6900000000000004</v>
      </c>
      <c r="P30" s="11"/>
      <c r="Q30" s="18">
        <f>O30*K30/18*L30</f>
        <v>27666.310000000005</v>
      </c>
      <c r="R30" s="8"/>
      <c r="S30" s="7"/>
      <c r="T30" s="7">
        <v>0.1</v>
      </c>
      <c r="U30" s="18">
        <f>Q30*T30</f>
        <v>2766.6310000000008</v>
      </c>
      <c r="V30" s="9"/>
      <c r="W30" s="7"/>
      <c r="X30" s="10">
        <f t="shared" si="9"/>
        <v>30432.941000000006</v>
      </c>
      <c r="Y30" s="406">
        <f t="shared" si="9"/>
        <v>0</v>
      </c>
      <c r="Z30" s="406">
        <f t="shared" si="9"/>
        <v>0</v>
      </c>
    </row>
    <row r="31" spans="1:40" s="377" customFormat="1" ht="15">
      <c r="A31" s="5">
        <v>4</v>
      </c>
      <c r="B31" s="153" t="s">
        <v>445</v>
      </c>
      <c r="C31" s="6" t="s">
        <v>99</v>
      </c>
      <c r="D31" s="20" t="s">
        <v>25</v>
      </c>
      <c r="E31" s="54" t="s">
        <v>464</v>
      </c>
      <c r="F31" s="54" t="s">
        <v>217</v>
      </c>
      <c r="G31" s="155">
        <v>1</v>
      </c>
      <c r="H31" s="42" t="s">
        <v>102</v>
      </c>
      <c r="I31" s="42" t="s">
        <v>103</v>
      </c>
      <c r="J31" s="245">
        <v>1</v>
      </c>
      <c r="K31" s="7">
        <v>17697</v>
      </c>
      <c r="L31" s="157">
        <v>10</v>
      </c>
      <c r="M31" s="7">
        <f>L31/18</f>
        <v>0.55555555555555558</v>
      </c>
      <c r="N31" s="55" t="s">
        <v>152</v>
      </c>
      <c r="O31" s="534">
        <v>4.26</v>
      </c>
      <c r="P31" s="534"/>
      <c r="Q31" s="18">
        <f>O31*K31/18*L31</f>
        <v>41882.9</v>
      </c>
      <c r="R31" s="8"/>
      <c r="S31" s="7"/>
      <c r="T31" s="7">
        <v>0.1</v>
      </c>
      <c r="U31" s="18">
        <f>Q31*T31</f>
        <v>4188.29</v>
      </c>
      <c r="V31" s="9"/>
      <c r="W31" s="7"/>
      <c r="X31" s="10">
        <f t="shared" si="9"/>
        <v>46071.19</v>
      </c>
      <c r="Y31" s="406"/>
      <c r="Z31" s="406"/>
    </row>
    <row r="32" spans="1:40" s="377" customFormat="1" ht="17.25" customHeight="1">
      <c r="A32" s="42">
        <v>5</v>
      </c>
      <c r="B32" s="26" t="s">
        <v>106</v>
      </c>
      <c r="C32" s="6" t="s">
        <v>99</v>
      </c>
      <c r="D32" s="5" t="s">
        <v>25</v>
      </c>
      <c r="E32" s="33" t="s">
        <v>107</v>
      </c>
      <c r="F32" s="33" t="s">
        <v>108</v>
      </c>
      <c r="G32" s="5">
        <v>1</v>
      </c>
      <c r="H32" s="20" t="s">
        <v>102</v>
      </c>
      <c r="I32" s="20" t="s">
        <v>103</v>
      </c>
      <c r="J32" s="46">
        <v>3</v>
      </c>
      <c r="K32" s="7">
        <v>17697</v>
      </c>
      <c r="L32" s="47">
        <v>15</v>
      </c>
      <c r="M32" s="7">
        <f t="shared" si="6"/>
        <v>0.83333333333333337</v>
      </c>
      <c r="N32" s="45" t="s">
        <v>109</v>
      </c>
      <c r="O32" s="48">
        <v>4</v>
      </c>
      <c r="P32" s="48">
        <v>3.33</v>
      </c>
      <c r="Q32" s="18">
        <f>O32*K32/18*L32</f>
        <v>58990</v>
      </c>
      <c r="R32" s="8"/>
      <c r="S32" s="7"/>
      <c r="T32" s="7">
        <v>0.1</v>
      </c>
      <c r="U32" s="18">
        <f t="shared" si="8"/>
        <v>5899</v>
      </c>
      <c r="V32" s="9"/>
      <c r="W32" s="7"/>
      <c r="X32" s="10">
        <f t="shared" ref="X32:Z33" si="10">U32+Q32</f>
        <v>64889</v>
      </c>
      <c r="Y32" s="406">
        <f t="shared" si="10"/>
        <v>0</v>
      </c>
      <c r="Z32" s="406">
        <f t="shared" si="10"/>
        <v>0</v>
      </c>
    </row>
    <row r="33" spans="1:26" s="377" customFormat="1" ht="15">
      <c r="A33" s="5">
        <v>6</v>
      </c>
      <c r="B33" s="247" t="s">
        <v>110</v>
      </c>
      <c r="C33" s="6" t="s">
        <v>99</v>
      </c>
      <c r="D33" s="5" t="s">
        <v>25</v>
      </c>
      <c r="E33" s="33" t="s">
        <v>467</v>
      </c>
      <c r="F33" s="33" t="s">
        <v>468</v>
      </c>
      <c r="G33" s="5">
        <v>1</v>
      </c>
      <c r="H33" s="20" t="s">
        <v>102</v>
      </c>
      <c r="I33" s="20" t="s">
        <v>103</v>
      </c>
      <c r="J33" s="49">
        <v>4</v>
      </c>
      <c r="K33" s="7">
        <v>17697</v>
      </c>
      <c r="L33" s="47">
        <v>31</v>
      </c>
      <c r="M33" s="7">
        <f t="shared" si="6"/>
        <v>1.7222222222222223</v>
      </c>
      <c r="N33" s="55" t="s">
        <v>112</v>
      </c>
      <c r="O33" s="45">
        <v>3.71</v>
      </c>
      <c r="P33" s="45">
        <v>2.92</v>
      </c>
      <c r="Q33" s="18">
        <f t="shared" si="7"/>
        <v>113073.99833333332</v>
      </c>
      <c r="R33" s="8"/>
      <c r="S33" s="7"/>
      <c r="T33" s="7">
        <v>0.1</v>
      </c>
      <c r="U33" s="18">
        <f t="shared" si="8"/>
        <v>11307.399833333333</v>
      </c>
      <c r="V33" s="9"/>
      <c r="W33" s="7"/>
      <c r="X33" s="10">
        <f t="shared" si="10"/>
        <v>124381.39816666665</v>
      </c>
      <c r="Y33" s="406">
        <f t="shared" si="10"/>
        <v>0</v>
      </c>
      <c r="Z33" s="406">
        <f t="shared" si="10"/>
        <v>0</v>
      </c>
    </row>
    <row r="34" spans="1:26" s="377" customFormat="1" ht="17.25" customHeight="1">
      <c r="A34" s="42">
        <v>7</v>
      </c>
      <c r="B34" s="26" t="s">
        <v>23</v>
      </c>
      <c r="C34" s="6" t="s">
        <v>99</v>
      </c>
      <c r="D34" s="5" t="s">
        <v>25</v>
      </c>
      <c r="E34" s="33" t="s">
        <v>469</v>
      </c>
      <c r="F34" s="33" t="s">
        <v>114</v>
      </c>
      <c r="G34" s="5">
        <v>1</v>
      </c>
      <c r="H34" s="20" t="s">
        <v>102</v>
      </c>
      <c r="I34" s="20" t="s">
        <v>103</v>
      </c>
      <c r="J34" s="49">
        <v>1</v>
      </c>
      <c r="K34" s="7">
        <v>17697</v>
      </c>
      <c r="L34" s="47">
        <v>9</v>
      </c>
      <c r="M34" s="7">
        <f t="shared" si="6"/>
        <v>0.5</v>
      </c>
      <c r="N34" s="55" t="s">
        <v>152</v>
      </c>
      <c r="O34" s="50">
        <v>4.75</v>
      </c>
      <c r="P34" s="50">
        <v>4.32</v>
      </c>
      <c r="Q34" s="18">
        <f t="shared" si="7"/>
        <v>42030.375</v>
      </c>
      <c r="R34" s="8"/>
      <c r="S34" s="7"/>
      <c r="T34" s="7">
        <v>0.1</v>
      </c>
      <c r="U34" s="18">
        <f t="shared" si="8"/>
        <v>4203.0375000000004</v>
      </c>
      <c r="V34" s="9"/>
      <c r="W34" s="7"/>
      <c r="X34" s="10">
        <f t="shared" si="9"/>
        <v>46233.412499999999</v>
      </c>
      <c r="Y34" s="406">
        <f t="shared" si="9"/>
        <v>0</v>
      </c>
      <c r="Z34" s="406">
        <f t="shared" si="9"/>
        <v>0</v>
      </c>
    </row>
    <row r="35" spans="1:26" s="377" customFormat="1" ht="17.25" customHeight="1">
      <c r="A35" s="5">
        <v>8</v>
      </c>
      <c r="B35" s="26" t="s">
        <v>116</v>
      </c>
      <c r="C35" s="6" t="s">
        <v>99</v>
      </c>
      <c r="D35" s="5" t="s">
        <v>64</v>
      </c>
      <c r="E35" s="33" t="s">
        <v>470</v>
      </c>
      <c r="F35" s="33" t="s">
        <v>114</v>
      </c>
      <c r="G35" s="5">
        <v>1</v>
      </c>
      <c r="H35" s="20" t="s">
        <v>102</v>
      </c>
      <c r="I35" s="20" t="s">
        <v>118</v>
      </c>
      <c r="J35" s="46">
        <v>1</v>
      </c>
      <c r="K35" s="7">
        <v>17697</v>
      </c>
      <c r="L35" s="47">
        <v>19</v>
      </c>
      <c r="M35" s="7">
        <f t="shared" si="6"/>
        <v>1.0555555555555556</v>
      </c>
      <c r="N35" s="55" t="s">
        <v>152</v>
      </c>
      <c r="O35" s="45">
        <v>4.5199999999999996</v>
      </c>
      <c r="P35" s="45">
        <v>3.89</v>
      </c>
      <c r="Q35" s="18">
        <f t="shared" si="7"/>
        <v>84434.353333333333</v>
      </c>
      <c r="R35" s="8"/>
      <c r="S35" s="7"/>
      <c r="T35" s="7">
        <v>0.1</v>
      </c>
      <c r="U35" s="18">
        <f t="shared" si="8"/>
        <v>8443.4353333333329</v>
      </c>
      <c r="V35" s="9"/>
      <c r="W35" s="7"/>
      <c r="X35" s="10">
        <f t="shared" si="9"/>
        <v>92877.78866666666</v>
      </c>
      <c r="Y35" s="406">
        <f t="shared" si="9"/>
        <v>0</v>
      </c>
      <c r="Z35" s="406">
        <f t="shared" si="9"/>
        <v>0</v>
      </c>
    </row>
    <row r="36" spans="1:26" s="377" customFormat="1" ht="17.25" customHeight="1">
      <c r="A36" s="42">
        <v>9</v>
      </c>
      <c r="B36" s="26" t="s">
        <v>124</v>
      </c>
      <c r="C36" s="6" t="s">
        <v>125</v>
      </c>
      <c r="D36" s="5" t="s">
        <v>75</v>
      </c>
      <c r="E36" s="244" t="s">
        <v>126</v>
      </c>
      <c r="F36" s="33" t="s">
        <v>108</v>
      </c>
      <c r="G36" s="5">
        <v>1</v>
      </c>
      <c r="H36" s="20" t="s">
        <v>102</v>
      </c>
      <c r="I36" s="20" t="s">
        <v>118</v>
      </c>
      <c r="J36" s="49">
        <v>3</v>
      </c>
      <c r="K36" s="7">
        <v>17697</v>
      </c>
      <c r="L36" s="47">
        <v>22.5</v>
      </c>
      <c r="M36" s="7">
        <f t="shared" si="6"/>
        <v>1.25</v>
      </c>
      <c r="N36" s="45" t="s">
        <v>109</v>
      </c>
      <c r="O36" s="45">
        <v>3.85</v>
      </c>
      <c r="P36" s="45">
        <v>2.85</v>
      </c>
      <c r="Q36" s="18">
        <f>O36*K36/18*L36</f>
        <v>85166.8125</v>
      </c>
      <c r="R36" s="8"/>
      <c r="S36" s="7"/>
      <c r="T36" s="7">
        <v>0.1</v>
      </c>
      <c r="U36" s="18">
        <f>T36*Q36</f>
        <v>8516.6812499999996</v>
      </c>
      <c r="V36" s="9"/>
      <c r="W36" s="7"/>
      <c r="X36" s="10">
        <f>U36+Q36</f>
        <v>93683.493749999994</v>
      </c>
      <c r="Y36" s="406">
        <f>V36+R36</f>
        <v>0</v>
      </c>
      <c r="Z36" s="406">
        <f>W36+S36</f>
        <v>0</v>
      </c>
    </row>
    <row r="37" spans="1:26" s="377" customFormat="1" ht="17.25" customHeight="1">
      <c r="A37" s="5">
        <v>10</v>
      </c>
      <c r="B37" s="26" t="s">
        <v>127</v>
      </c>
      <c r="C37" s="6" t="s">
        <v>99</v>
      </c>
      <c r="D37" s="5" t="s">
        <v>25</v>
      </c>
      <c r="E37" s="33" t="s">
        <v>471</v>
      </c>
      <c r="F37" s="33" t="s">
        <v>34</v>
      </c>
      <c r="G37" s="5">
        <v>1</v>
      </c>
      <c r="H37" s="20" t="s">
        <v>102</v>
      </c>
      <c r="I37" s="20" t="s">
        <v>103</v>
      </c>
      <c r="J37" s="46">
        <v>1</v>
      </c>
      <c r="K37" s="7">
        <v>17697</v>
      </c>
      <c r="L37" s="47">
        <v>26</v>
      </c>
      <c r="M37" s="7">
        <f t="shared" si="6"/>
        <v>1.4444444444444444</v>
      </c>
      <c r="N37" s="55" t="s">
        <v>152</v>
      </c>
      <c r="O37" s="45">
        <v>4.75</v>
      </c>
      <c r="P37" s="45">
        <v>4.32</v>
      </c>
      <c r="Q37" s="18">
        <f t="shared" si="7"/>
        <v>121421.08333333334</v>
      </c>
      <c r="R37" s="8"/>
      <c r="S37" s="7"/>
      <c r="T37" s="7">
        <v>0.1</v>
      </c>
      <c r="U37" s="18">
        <f t="shared" si="8"/>
        <v>12142.108333333335</v>
      </c>
      <c r="V37" s="9"/>
      <c r="W37" s="7"/>
      <c r="X37" s="10">
        <f t="shared" si="9"/>
        <v>133563.19166666668</v>
      </c>
      <c r="Y37" s="406">
        <f t="shared" si="9"/>
        <v>0</v>
      </c>
      <c r="Z37" s="406">
        <f t="shared" si="9"/>
        <v>0</v>
      </c>
    </row>
    <row r="38" spans="1:26" s="377" customFormat="1" ht="17.25" customHeight="1">
      <c r="A38" s="42">
        <v>11</v>
      </c>
      <c r="B38" s="26" t="s">
        <v>130</v>
      </c>
      <c r="C38" s="6" t="s">
        <v>99</v>
      </c>
      <c r="D38" s="5" t="s">
        <v>25</v>
      </c>
      <c r="E38" s="51" t="s">
        <v>473</v>
      </c>
      <c r="F38" s="51" t="s">
        <v>34</v>
      </c>
      <c r="G38" s="5">
        <v>1</v>
      </c>
      <c r="H38" s="20" t="s">
        <v>102</v>
      </c>
      <c r="I38" s="20" t="s">
        <v>103</v>
      </c>
      <c r="J38" s="49">
        <v>1</v>
      </c>
      <c r="K38" s="7">
        <v>17697</v>
      </c>
      <c r="L38" s="47">
        <v>9</v>
      </c>
      <c r="M38" s="7">
        <f t="shared" si="6"/>
        <v>0.5</v>
      </c>
      <c r="N38" s="55" t="s">
        <v>152</v>
      </c>
      <c r="O38" s="45">
        <v>4.75</v>
      </c>
      <c r="P38" s="45">
        <v>4.32</v>
      </c>
      <c r="Q38" s="18">
        <f t="shared" si="7"/>
        <v>42030.375</v>
      </c>
      <c r="R38" s="8"/>
      <c r="S38" s="7"/>
      <c r="T38" s="7">
        <v>0.1</v>
      </c>
      <c r="U38" s="18">
        <f t="shared" si="8"/>
        <v>4203.0375000000004</v>
      </c>
      <c r="V38" s="9"/>
      <c r="W38" s="7"/>
      <c r="X38" s="10">
        <f t="shared" si="9"/>
        <v>46233.412499999999</v>
      </c>
      <c r="Y38" s="406">
        <f t="shared" si="9"/>
        <v>0</v>
      </c>
      <c r="Z38" s="406">
        <f t="shared" si="9"/>
        <v>0</v>
      </c>
    </row>
    <row r="39" spans="1:26" s="377" customFormat="1" ht="17.25" customHeight="1">
      <c r="A39" s="5">
        <v>12</v>
      </c>
      <c r="B39" s="26" t="s">
        <v>458</v>
      </c>
      <c r="C39" s="6" t="s">
        <v>99</v>
      </c>
      <c r="D39" s="5" t="s">
        <v>25</v>
      </c>
      <c r="E39" s="51" t="s">
        <v>501</v>
      </c>
      <c r="F39" s="51" t="s">
        <v>34</v>
      </c>
      <c r="G39" s="5">
        <v>1</v>
      </c>
      <c r="H39" s="20" t="s">
        <v>102</v>
      </c>
      <c r="I39" s="20" t="s">
        <v>103</v>
      </c>
      <c r="J39" s="49">
        <v>1</v>
      </c>
      <c r="K39" s="7">
        <v>17697</v>
      </c>
      <c r="L39" s="47">
        <v>23</v>
      </c>
      <c r="M39" s="7">
        <f t="shared" si="6"/>
        <v>1.2777777777777777</v>
      </c>
      <c r="N39" s="55" t="s">
        <v>152</v>
      </c>
      <c r="O39" s="45">
        <v>4.75</v>
      </c>
      <c r="P39" s="45"/>
      <c r="Q39" s="18">
        <f t="shared" si="7"/>
        <v>107410.95833333334</v>
      </c>
      <c r="R39" s="8"/>
      <c r="S39" s="7"/>
      <c r="T39" s="7">
        <v>0.1</v>
      </c>
      <c r="U39" s="18">
        <f t="shared" si="8"/>
        <v>10741.095833333335</v>
      </c>
      <c r="V39" s="9"/>
      <c r="W39" s="7"/>
      <c r="X39" s="10">
        <f t="shared" si="9"/>
        <v>118152.05416666668</v>
      </c>
      <c r="Y39" s="406"/>
      <c r="Z39" s="406"/>
    </row>
    <row r="40" spans="1:26" s="377" customFormat="1" ht="17.25" customHeight="1">
      <c r="A40" s="42">
        <v>13</v>
      </c>
      <c r="B40" s="26" t="s">
        <v>133</v>
      </c>
      <c r="C40" s="6" t="s">
        <v>99</v>
      </c>
      <c r="D40" s="20" t="s">
        <v>25</v>
      </c>
      <c r="E40" s="33" t="s">
        <v>474</v>
      </c>
      <c r="F40" s="33" t="s">
        <v>34</v>
      </c>
      <c r="G40" s="5">
        <v>1</v>
      </c>
      <c r="H40" s="20" t="s">
        <v>102</v>
      </c>
      <c r="I40" s="20" t="s">
        <v>103</v>
      </c>
      <c r="J40" s="49">
        <v>1</v>
      </c>
      <c r="K40" s="7">
        <v>17697</v>
      </c>
      <c r="L40" s="47">
        <v>11</v>
      </c>
      <c r="M40" s="7">
        <f t="shared" si="6"/>
        <v>0.61111111111111116</v>
      </c>
      <c r="N40" s="55" t="s">
        <v>152</v>
      </c>
      <c r="O40" s="45">
        <v>4.75</v>
      </c>
      <c r="P40" s="45"/>
      <c r="Q40" s="18">
        <f t="shared" si="7"/>
        <v>51370.458333333336</v>
      </c>
      <c r="R40" s="8"/>
      <c r="S40" s="7"/>
      <c r="T40" s="7">
        <v>0.1</v>
      </c>
      <c r="U40" s="18">
        <f t="shared" si="8"/>
        <v>5137.0458333333336</v>
      </c>
      <c r="V40" s="9"/>
      <c r="W40" s="7"/>
      <c r="X40" s="10">
        <f t="shared" si="9"/>
        <v>56507.504166666666</v>
      </c>
      <c r="Y40" s="406">
        <f t="shared" si="9"/>
        <v>0</v>
      </c>
      <c r="Z40" s="406">
        <f t="shared" si="9"/>
        <v>0</v>
      </c>
    </row>
    <row r="41" spans="1:26" s="377" customFormat="1" ht="17.25" customHeight="1">
      <c r="A41" s="5">
        <v>14</v>
      </c>
      <c r="B41" s="26" t="s">
        <v>138</v>
      </c>
      <c r="C41" s="6" t="s">
        <v>99</v>
      </c>
      <c r="D41" s="20" t="s">
        <v>25</v>
      </c>
      <c r="E41" s="33" t="s">
        <v>475</v>
      </c>
      <c r="F41" s="33" t="s">
        <v>476</v>
      </c>
      <c r="G41" s="5">
        <v>1</v>
      </c>
      <c r="H41" s="20" t="s">
        <v>102</v>
      </c>
      <c r="I41" s="20" t="s">
        <v>103</v>
      </c>
      <c r="J41" s="27">
        <v>4</v>
      </c>
      <c r="K41" s="7">
        <v>17697</v>
      </c>
      <c r="L41" s="47">
        <v>23</v>
      </c>
      <c r="M41" s="7">
        <f t="shared" si="6"/>
        <v>1.2777777777777777</v>
      </c>
      <c r="N41" s="55" t="s">
        <v>112</v>
      </c>
      <c r="O41" s="45">
        <v>3.78</v>
      </c>
      <c r="P41" s="45"/>
      <c r="Q41" s="18">
        <f t="shared" si="7"/>
        <v>85476.510000000009</v>
      </c>
      <c r="R41" s="8"/>
      <c r="S41" s="7"/>
      <c r="T41" s="7">
        <v>0.1</v>
      </c>
      <c r="U41" s="18">
        <f t="shared" si="8"/>
        <v>8547.6510000000017</v>
      </c>
      <c r="V41" s="9"/>
      <c r="W41" s="7"/>
      <c r="X41" s="10">
        <f t="shared" si="9"/>
        <v>94024.161000000007</v>
      </c>
      <c r="Y41" s="406">
        <f t="shared" si="9"/>
        <v>0</v>
      </c>
      <c r="Z41" s="406">
        <f t="shared" si="9"/>
        <v>0</v>
      </c>
    </row>
    <row r="42" spans="1:26" s="377" customFormat="1" ht="17.25" customHeight="1">
      <c r="A42" s="42">
        <v>15</v>
      </c>
      <c r="B42" s="26" t="s">
        <v>58</v>
      </c>
      <c r="C42" s="6" t="s">
        <v>99</v>
      </c>
      <c r="D42" s="20" t="s">
        <v>25</v>
      </c>
      <c r="E42" s="33" t="s">
        <v>477</v>
      </c>
      <c r="F42" s="33" t="s">
        <v>366</v>
      </c>
      <c r="G42" s="5">
        <v>1</v>
      </c>
      <c r="H42" s="20" t="s">
        <v>102</v>
      </c>
      <c r="I42" s="20" t="s">
        <v>103</v>
      </c>
      <c r="J42" s="49">
        <v>3</v>
      </c>
      <c r="K42" s="7">
        <v>17697</v>
      </c>
      <c r="L42" s="47">
        <v>18</v>
      </c>
      <c r="M42" s="7">
        <f t="shared" si="6"/>
        <v>1</v>
      </c>
      <c r="N42" s="45" t="s">
        <v>109</v>
      </c>
      <c r="O42" s="45">
        <v>4.43</v>
      </c>
      <c r="P42" s="45"/>
      <c r="Q42" s="18">
        <f t="shared" si="7"/>
        <v>78397.709999999992</v>
      </c>
      <c r="R42" s="8"/>
      <c r="S42" s="7"/>
      <c r="T42" s="7">
        <v>0.1</v>
      </c>
      <c r="U42" s="18">
        <f t="shared" si="8"/>
        <v>7839.7709999999997</v>
      </c>
      <c r="V42" s="9"/>
      <c r="W42" s="7"/>
      <c r="X42" s="10">
        <f t="shared" si="9"/>
        <v>86237.480999999985</v>
      </c>
      <c r="Y42" s="406">
        <f t="shared" si="9"/>
        <v>0</v>
      </c>
      <c r="Z42" s="406">
        <f t="shared" si="9"/>
        <v>0</v>
      </c>
    </row>
    <row r="43" spans="1:26" s="377" customFormat="1" ht="17.25" customHeight="1">
      <c r="A43" s="5">
        <v>16</v>
      </c>
      <c r="B43" s="26" t="s">
        <v>143</v>
      </c>
      <c r="C43" s="6" t="s">
        <v>99</v>
      </c>
      <c r="D43" s="20" t="s">
        <v>25</v>
      </c>
      <c r="E43" s="33" t="s">
        <v>479</v>
      </c>
      <c r="F43" s="33" t="s">
        <v>73</v>
      </c>
      <c r="G43" s="5">
        <v>1</v>
      </c>
      <c r="H43" s="20" t="s">
        <v>102</v>
      </c>
      <c r="I43" s="20" t="s">
        <v>103</v>
      </c>
      <c r="J43" s="49">
        <v>1</v>
      </c>
      <c r="K43" s="7">
        <v>17697</v>
      </c>
      <c r="L43" s="47">
        <v>34</v>
      </c>
      <c r="M43" s="7">
        <f t="shared" si="6"/>
        <v>1.8888888888888888</v>
      </c>
      <c r="N43" s="55" t="s">
        <v>152</v>
      </c>
      <c r="O43" s="45">
        <v>4.42</v>
      </c>
      <c r="P43" s="45"/>
      <c r="Q43" s="18">
        <f t="shared" si="7"/>
        <v>147750.28666666668</v>
      </c>
      <c r="R43" s="8"/>
      <c r="S43" s="7"/>
      <c r="T43" s="7">
        <v>0.1</v>
      </c>
      <c r="U43" s="18">
        <f t="shared" si="8"/>
        <v>14775.028666666669</v>
      </c>
      <c r="V43" s="9"/>
      <c r="W43" s="7"/>
      <c r="X43" s="10">
        <f>U43+Q43</f>
        <v>162525.31533333336</v>
      </c>
      <c r="Y43" s="406">
        <f t="shared" si="9"/>
        <v>0</v>
      </c>
      <c r="Z43" s="406">
        <f t="shared" si="9"/>
        <v>0</v>
      </c>
    </row>
    <row r="44" spans="1:26" s="377" customFormat="1" ht="17.25" customHeight="1">
      <c r="A44" s="42">
        <v>17</v>
      </c>
      <c r="B44" s="26" t="s">
        <v>145</v>
      </c>
      <c r="C44" s="6" t="s">
        <v>99</v>
      </c>
      <c r="D44" s="20" t="s">
        <v>25</v>
      </c>
      <c r="E44" s="33" t="s">
        <v>478</v>
      </c>
      <c r="F44" s="33" t="s">
        <v>140</v>
      </c>
      <c r="G44" s="5">
        <v>1</v>
      </c>
      <c r="H44" s="20" t="s">
        <v>102</v>
      </c>
      <c r="I44" s="20" t="s">
        <v>103</v>
      </c>
      <c r="J44" s="49">
        <v>4</v>
      </c>
      <c r="K44" s="7">
        <v>17697</v>
      </c>
      <c r="L44" s="47">
        <v>18</v>
      </c>
      <c r="M44" s="7">
        <f t="shared" si="6"/>
        <v>1</v>
      </c>
      <c r="N44" s="55" t="s">
        <v>112</v>
      </c>
      <c r="O44" s="45">
        <v>3.78</v>
      </c>
      <c r="P44" s="45"/>
      <c r="Q44" s="18">
        <f t="shared" si="7"/>
        <v>66894.66</v>
      </c>
      <c r="R44" s="8"/>
      <c r="S44" s="7"/>
      <c r="T44" s="7">
        <v>0.1</v>
      </c>
      <c r="U44" s="18">
        <f t="shared" si="8"/>
        <v>6689.4660000000003</v>
      </c>
      <c r="V44" s="9"/>
      <c r="W44" s="7"/>
      <c r="X44" s="10">
        <f t="shared" si="9"/>
        <v>73584.126000000004</v>
      </c>
      <c r="Y44" s="406">
        <f t="shared" si="9"/>
        <v>0</v>
      </c>
      <c r="Z44" s="406">
        <f t="shared" si="9"/>
        <v>0</v>
      </c>
    </row>
    <row r="45" spans="1:26" s="377" customFormat="1" ht="17.25" customHeight="1">
      <c r="A45" s="5">
        <v>18</v>
      </c>
      <c r="B45" s="26" t="s">
        <v>447</v>
      </c>
      <c r="C45" s="6" t="s">
        <v>99</v>
      </c>
      <c r="D45" s="20" t="s">
        <v>75</v>
      </c>
      <c r="E45" s="33" t="s">
        <v>440</v>
      </c>
      <c r="F45" s="33" t="s">
        <v>159</v>
      </c>
      <c r="G45" s="5">
        <v>1</v>
      </c>
      <c r="H45" s="20" t="s">
        <v>102</v>
      </c>
      <c r="I45" s="20" t="s">
        <v>118</v>
      </c>
      <c r="J45" s="49">
        <v>4</v>
      </c>
      <c r="K45" s="7">
        <v>17697</v>
      </c>
      <c r="L45" s="47">
        <v>4</v>
      </c>
      <c r="M45" s="7">
        <f t="shared" si="6"/>
        <v>0.22222222222222221</v>
      </c>
      <c r="N45" s="55" t="s">
        <v>112</v>
      </c>
      <c r="O45" s="45">
        <v>3.32</v>
      </c>
      <c r="P45" s="45"/>
      <c r="Q45" s="18">
        <f t="shared" si="7"/>
        <v>13056.453333333331</v>
      </c>
      <c r="R45" s="8"/>
      <c r="S45" s="7"/>
      <c r="T45" s="7">
        <v>0.1</v>
      </c>
      <c r="U45" s="18">
        <f t="shared" si="8"/>
        <v>1305.6453333333332</v>
      </c>
      <c r="V45" s="9"/>
      <c r="W45" s="7"/>
      <c r="X45" s="10">
        <f t="shared" si="9"/>
        <v>14362.098666666665</v>
      </c>
      <c r="Y45" s="406"/>
      <c r="Z45" s="406"/>
    </row>
    <row r="46" spans="1:26" s="377" customFormat="1" ht="17.25" customHeight="1">
      <c r="A46" s="42">
        <v>19</v>
      </c>
      <c r="B46" s="26" t="s">
        <v>147</v>
      </c>
      <c r="C46" s="6" t="s">
        <v>148</v>
      </c>
      <c r="D46" s="20" t="s">
        <v>25</v>
      </c>
      <c r="E46" s="33" t="s">
        <v>480</v>
      </c>
      <c r="F46" s="33" t="s">
        <v>51</v>
      </c>
      <c r="G46" s="5">
        <v>1</v>
      </c>
      <c r="H46" s="20" t="s">
        <v>102</v>
      </c>
      <c r="I46" s="20" t="s">
        <v>103</v>
      </c>
      <c r="J46" s="46">
        <v>3</v>
      </c>
      <c r="K46" s="7">
        <v>17697</v>
      </c>
      <c r="L46" s="47">
        <v>36</v>
      </c>
      <c r="M46" s="7">
        <f t="shared" si="6"/>
        <v>2</v>
      </c>
      <c r="N46" s="45" t="s">
        <v>109</v>
      </c>
      <c r="O46" s="45">
        <v>4.43</v>
      </c>
      <c r="P46" s="45"/>
      <c r="Q46" s="18">
        <f t="shared" si="7"/>
        <v>156795.41999999998</v>
      </c>
      <c r="R46" s="8"/>
      <c r="S46" s="7"/>
      <c r="T46" s="7">
        <v>0.1</v>
      </c>
      <c r="U46" s="18">
        <f t="shared" si="8"/>
        <v>15679.541999999999</v>
      </c>
      <c r="V46" s="9"/>
      <c r="W46" s="7"/>
      <c r="X46" s="10">
        <f t="shared" si="9"/>
        <v>172474.96199999997</v>
      </c>
      <c r="Y46" s="406">
        <f t="shared" si="9"/>
        <v>0</v>
      </c>
      <c r="Z46" s="406">
        <f t="shared" si="9"/>
        <v>0</v>
      </c>
    </row>
    <row r="47" spans="1:26" s="377" customFormat="1" ht="17.25" customHeight="1">
      <c r="A47" s="5">
        <v>20</v>
      </c>
      <c r="B47" s="26" t="s">
        <v>91</v>
      </c>
      <c r="C47" s="6" t="s">
        <v>99</v>
      </c>
      <c r="D47" s="20" t="s">
        <v>25</v>
      </c>
      <c r="E47" s="33" t="s">
        <v>481</v>
      </c>
      <c r="F47" s="33" t="s">
        <v>93</v>
      </c>
      <c r="G47" s="5">
        <v>1</v>
      </c>
      <c r="H47" s="20" t="s">
        <v>102</v>
      </c>
      <c r="I47" s="20" t="s">
        <v>103</v>
      </c>
      <c r="J47" s="49">
        <v>1</v>
      </c>
      <c r="K47" s="7">
        <v>17697</v>
      </c>
      <c r="L47" s="47">
        <v>36</v>
      </c>
      <c r="M47" s="7">
        <f t="shared" si="6"/>
        <v>2</v>
      </c>
      <c r="N47" s="55" t="s">
        <v>152</v>
      </c>
      <c r="O47" s="45">
        <v>4.62</v>
      </c>
      <c r="P47" s="45"/>
      <c r="Q47" s="18">
        <f t="shared" si="7"/>
        <v>163520.27999999997</v>
      </c>
      <c r="R47" s="8"/>
      <c r="S47" s="7"/>
      <c r="T47" s="7">
        <v>0.1</v>
      </c>
      <c r="U47" s="18">
        <f t="shared" si="8"/>
        <v>16352.027999999998</v>
      </c>
      <c r="V47" s="9"/>
      <c r="W47" s="7"/>
      <c r="X47" s="10">
        <f t="shared" si="9"/>
        <v>179872.30799999996</v>
      </c>
      <c r="Y47" s="406">
        <f t="shared" si="9"/>
        <v>0</v>
      </c>
      <c r="Z47" s="406">
        <f t="shared" si="9"/>
        <v>0</v>
      </c>
    </row>
    <row r="48" spans="1:26" s="377" customFormat="1" ht="17.25" customHeight="1">
      <c r="A48" s="42">
        <v>21</v>
      </c>
      <c r="B48" s="26" t="s">
        <v>150</v>
      </c>
      <c r="C48" s="6" t="s">
        <v>99</v>
      </c>
      <c r="D48" s="20" t="s">
        <v>25</v>
      </c>
      <c r="E48" s="33" t="s">
        <v>482</v>
      </c>
      <c r="F48" s="33" t="s">
        <v>34</v>
      </c>
      <c r="G48" s="5">
        <v>1</v>
      </c>
      <c r="H48" s="20" t="s">
        <v>102</v>
      </c>
      <c r="I48" s="20" t="s">
        <v>103</v>
      </c>
      <c r="J48" s="49">
        <v>1</v>
      </c>
      <c r="K48" s="7">
        <v>17697</v>
      </c>
      <c r="L48" s="47">
        <v>35</v>
      </c>
      <c r="M48" s="7">
        <f t="shared" si="6"/>
        <v>1.9444444444444444</v>
      </c>
      <c r="N48" s="55" t="s">
        <v>152</v>
      </c>
      <c r="O48" s="45">
        <v>4.75</v>
      </c>
      <c r="P48" s="45"/>
      <c r="Q48" s="18">
        <f t="shared" si="7"/>
        <v>163451.45833333334</v>
      </c>
      <c r="R48" s="8"/>
      <c r="S48" s="7"/>
      <c r="T48" s="7">
        <v>0.1</v>
      </c>
      <c r="U48" s="18">
        <f t="shared" si="8"/>
        <v>16345.145833333336</v>
      </c>
      <c r="V48" s="9"/>
      <c r="W48" s="7"/>
      <c r="X48" s="10">
        <f t="shared" si="9"/>
        <v>179796.60416666669</v>
      </c>
      <c r="Y48" s="406">
        <f t="shared" si="9"/>
        <v>0</v>
      </c>
      <c r="Z48" s="406">
        <f t="shared" si="9"/>
        <v>0</v>
      </c>
    </row>
    <row r="49" spans="1:26" s="377" customFormat="1" ht="17.25" customHeight="1">
      <c r="A49" s="5">
        <v>22</v>
      </c>
      <c r="B49" s="52" t="s">
        <v>386</v>
      </c>
      <c r="C49" s="52" t="s">
        <v>99</v>
      </c>
      <c r="D49" s="210" t="s">
        <v>25</v>
      </c>
      <c r="E49" s="248" t="s">
        <v>472</v>
      </c>
      <c r="F49" s="248" t="s">
        <v>34</v>
      </c>
      <c r="G49" s="54" t="s">
        <v>156</v>
      </c>
      <c r="H49" s="20" t="s">
        <v>102</v>
      </c>
      <c r="I49" s="20" t="s">
        <v>103</v>
      </c>
      <c r="J49" s="49">
        <v>1</v>
      </c>
      <c r="K49" s="7">
        <v>17697</v>
      </c>
      <c r="L49" s="47">
        <v>18</v>
      </c>
      <c r="M49" s="7">
        <f t="shared" si="6"/>
        <v>1</v>
      </c>
      <c r="N49" s="55" t="s">
        <v>152</v>
      </c>
      <c r="O49" s="45">
        <v>4.75</v>
      </c>
      <c r="P49" s="45"/>
      <c r="Q49" s="18">
        <f t="shared" si="7"/>
        <v>84060.75</v>
      </c>
      <c r="R49" s="8"/>
      <c r="S49" s="7"/>
      <c r="T49" s="7">
        <v>0.1</v>
      </c>
      <c r="U49" s="18">
        <f t="shared" si="8"/>
        <v>8406.0750000000007</v>
      </c>
      <c r="V49" s="9"/>
      <c r="W49" s="7"/>
      <c r="X49" s="10">
        <f t="shared" si="9"/>
        <v>92466.824999999997</v>
      </c>
      <c r="Y49" s="406">
        <f t="shared" si="9"/>
        <v>0</v>
      </c>
      <c r="Z49" s="406">
        <f t="shared" si="9"/>
        <v>0</v>
      </c>
    </row>
    <row r="50" spans="1:26" s="377" customFormat="1" ht="17.25" customHeight="1">
      <c r="A50" s="42">
        <v>23</v>
      </c>
      <c r="B50" s="26" t="s">
        <v>157</v>
      </c>
      <c r="C50" s="6" t="s">
        <v>99</v>
      </c>
      <c r="D50" s="20" t="s">
        <v>25</v>
      </c>
      <c r="E50" s="33" t="s">
        <v>483</v>
      </c>
      <c r="F50" s="33" t="s">
        <v>159</v>
      </c>
      <c r="G50" s="5">
        <v>1</v>
      </c>
      <c r="H50" s="20" t="s">
        <v>102</v>
      </c>
      <c r="I50" s="20" t="s">
        <v>118</v>
      </c>
      <c r="J50" s="49">
        <v>4</v>
      </c>
      <c r="K50" s="7">
        <v>17697</v>
      </c>
      <c r="L50" s="47">
        <v>18</v>
      </c>
      <c r="M50" s="7">
        <f t="shared" si="6"/>
        <v>1</v>
      </c>
      <c r="N50" s="55" t="s">
        <v>112</v>
      </c>
      <c r="O50" s="45">
        <v>3.36</v>
      </c>
      <c r="P50" s="45"/>
      <c r="Q50" s="18">
        <f t="shared" si="7"/>
        <v>59461.919999999998</v>
      </c>
      <c r="R50" s="8"/>
      <c r="S50" s="7"/>
      <c r="T50" s="7">
        <v>0.1</v>
      </c>
      <c r="U50" s="18">
        <f t="shared" si="8"/>
        <v>5946.192</v>
      </c>
      <c r="V50" s="9"/>
      <c r="W50" s="7"/>
      <c r="X50" s="10">
        <f t="shared" si="9"/>
        <v>65408.112000000001</v>
      </c>
      <c r="Y50" s="406">
        <f t="shared" si="9"/>
        <v>0</v>
      </c>
      <c r="Z50" s="406">
        <f t="shared" si="9"/>
        <v>0</v>
      </c>
    </row>
    <row r="51" spans="1:26" s="377" customFormat="1" ht="17.25" customHeight="1">
      <c r="A51" s="5">
        <v>24</v>
      </c>
      <c r="B51" s="26" t="s">
        <v>160</v>
      </c>
      <c r="C51" s="6" t="s">
        <v>148</v>
      </c>
      <c r="D51" s="20" t="s">
        <v>25</v>
      </c>
      <c r="E51" s="33" t="s">
        <v>484</v>
      </c>
      <c r="F51" s="33" t="s">
        <v>34</v>
      </c>
      <c r="G51" s="5">
        <v>1</v>
      </c>
      <c r="H51" s="20" t="s">
        <v>102</v>
      </c>
      <c r="I51" s="20" t="s">
        <v>103</v>
      </c>
      <c r="J51" s="46">
        <v>2</v>
      </c>
      <c r="K51" s="7">
        <v>17697</v>
      </c>
      <c r="L51" s="47">
        <v>23</v>
      </c>
      <c r="M51" s="7">
        <f t="shared" si="6"/>
        <v>1.2777777777777777</v>
      </c>
      <c r="N51" s="45" t="s">
        <v>104</v>
      </c>
      <c r="O51" s="45">
        <v>4.51</v>
      </c>
      <c r="P51" s="45"/>
      <c r="Q51" s="18">
        <f t="shared" si="7"/>
        <v>101983.87833333334</v>
      </c>
      <c r="R51" s="8"/>
      <c r="S51" s="7"/>
      <c r="T51" s="7">
        <v>0.1</v>
      </c>
      <c r="U51" s="18">
        <f t="shared" si="8"/>
        <v>10198.387833333334</v>
      </c>
      <c r="V51" s="9"/>
      <c r="W51" s="7"/>
      <c r="X51" s="10">
        <f t="shared" si="9"/>
        <v>112182.26616666667</v>
      </c>
      <c r="Y51" s="406">
        <f t="shared" si="9"/>
        <v>0</v>
      </c>
      <c r="Z51" s="406">
        <f t="shared" si="9"/>
        <v>0</v>
      </c>
    </row>
    <row r="52" spans="1:26" s="377" customFormat="1" ht="17.25" customHeight="1">
      <c r="A52" s="42">
        <v>25</v>
      </c>
      <c r="B52" s="26" t="s">
        <v>162</v>
      </c>
      <c r="C52" s="6" t="s">
        <v>99</v>
      </c>
      <c r="D52" s="20" t="s">
        <v>64</v>
      </c>
      <c r="E52" s="33" t="s">
        <v>485</v>
      </c>
      <c r="F52" s="33" t="s">
        <v>77</v>
      </c>
      <c r="G52" s="5">
        <v>1</v>
      </c>
      <c r="H52" s="20" t="s">
        <v>102</v>
      </c>
      <c r="I52" s="20" t="s">
        <v>103</v>
      </c>
      <c r="J52" s="49">
        <v>4</v>
      </c>
      <c r="K52" s="7">
        <v>17697</v>
      </c>
      <c r="L52" s="47">
        <v>10</v>
      </c>
      <c r="M52" s="7">
        <f t="shared" si="6"/>
        <v>0.55555555555555558</v>
      </c>
      <c r="N52" s="55" t="s">
        <v>112</v>
      </c>
      <c r="O52" s="45">
        <v>3.71</v>
      </c>
      <c r="P52" s="45"/>
      <c r="Q52" s="18">
        <f t="shared" si="7"/>
        <v>36475.48333333333</v>
      </c>
      <c r="R52" s="8"/>
      <c r="S52" s="7"/>
      <c r="T52" s="7">
        <v>0.1</v>
      </c>
      <c r="U52" s="18">
        <f t="shared" si="8"/>
        <v>3647.5483333333332</v>
      </c>
      <c r="V52" s="9"/>
      <c r="W52" s="7"/>
      <c r="X52" s="10">
        <f t="shared" si="9"/>
        <v>40123.031666666662</v>
      </c>
      <c r="Y52" s="406">
        <f t="shared" si="9"/>
        <v>0</v>
      </c>
      <c r="Z52" s="406">
        <f t="shared" si="9"/>
        <v>0</v>
      </c>
    </row>
    <row r="53" spans="1:26" s="377" customFormat="1" ht="17.25" customHeight="1">
      <c r="A53" s="5">
        <v>26</v>
      </c>
      <c r="B53" s="26" t="s">
        <v>166</v>
      </c>
      <c r="C53" s="6" t="s">
        <v>99</v>
      </c>
      <c r="D53" s="20" t="s">
        <v>25</v>
      </c>
      <c r="E53" s="33" t="s">
        <v>486</v>
      </c>
      <c r="F53" s="33" t="s">
        <v>73</v>
      </c>
      <c r="G53" s="5">
        <v>1</v>
      </c>
      <c r="H53" s="20" t="s">
        <v>102</v>
      </c>
      <c r="I53" s="20" t="s">
        <v>103</v>
      </c>
      <c r="J53" s="49">
        <v>1</v>
      </c>
      <c r="K53" s="7">
        <v>17697</v>
      </c>
      <c r="L53" s="47">
        <v>33</v>
      </c>
      <c r="M53" s="7">
        <f t="shared" si="6"/>
        <v>1.8333333333333333</v>
      </c>
      <c r="N53" s="55" t="s">
        <v>152</v>
      </c>
      <c r="O53" s="45">
        <v>4.42</v>
      </c>
      <c r="P53" s="45"/>
      <c r="Q53" s="18">
        <f t="shared" si="7"/>
        <v>143404.69000000003</v>
      </c>
      <c r="R53" s="8"/>
      <c r="S53" s="7"/>
      <c r="T53" s="7">
        <v>0.1</v>
      </c>
      <c r="U53" s="18">
        <f t="shared" si="8"/>
        <v>14340.469000000005</v>
      </c>
      <c r="V53" s="9"/>
      <c r="W53" s="7"/>
      <c r="X53" s="10">
        <f t="shared" si="9"/>
        <v>157745.15900000004</v>
      </c>
      <c r="Y53" s="406">
        <f t="shared" si="9"/>
        <v>0</v>
      </c>
      <c r="Z53" s="406">
        <f t="shared" si="9"/>
        <v>0</v>
      </c>
    </row>
    <row r="54" spans="1:26" s="377" customFormat="1" ht="17.25" customHeight="1">
      <c r="A54" s="42">
        <v>27</v>
      </c>
      <c r="B54" s="26" t="s">
        <v>168</v>
      </c>
      <c r="C54" s="6" t="s">
        <v>99</v>
      </c>
      <c r="D54" s="20" t="s">
        <v>25</v>
      </c>
      <c r="E54" s="33" t="s">
        <v>487</v>
      </c>
      <c r="F54" s="33" t="s">
        <v>73</v>
      </c>
      <c r="G54" s="5">
        <v>1</v>
      </c>
      <c r="H54" s="20" t="s">
        <v>102</v>
      </c>
      <c r="I54" s="20" t="s">
        <v>103</v>
      </c>
      <c r="J54" s="49">
        <v>3</v>
      </c>
      <c r="K54" s="7">
        <v>17697</v>
      </c>
      <c r="L54" s="47">
        <v>29</v>
      </c>
      <c r="M54" s="7">
        <f t="shared" si="6"/>
        <v>1.6111111111111112</v>
      </c>
      <c r="N54" s="45" t="s">
        <v>109</v>
      </c>
      <c r="O54" s="45">
        <v>4.1399999999999997</v>
      </c>
      <c r="P54" s="45"/>
      <c r="Q54" s="18">
        <f t="shared" si="7"/>
        <v>118038.98999999999</v>
      </c>
      <c r="R54" s="8"/>
      <c r="S54" s="7"/>
      <c r="T54" s="7">
        <v>0.1</v>
      </c>
      <c r="U54" s="18">
        <f>T54*Q54</f>
        <v>11803.898999999999</v>
      </c>
      <c r="V54" s="9"/>
      <c r="W54" s="7"/>
      <c r="X54" s="10">
        <f t="shared" si="9"/>
        <v>129842.889</v>
      </c>
      <c r="Y54" s="406">
        <f t="shared" si="9"/>
        <v>0</v>
      </c>
      <c r="Z54" s="406">
        <f t="shared" si="9"/>
        <v>0</v>
      </c>
    </row>
    <row r="55" spans="1:26" s="377" customFormat="1" ht="17.25" customHeight="1">
      <c r="A55" s="5">
        <v>28</v>
      </c>
      <c r="B55" s="26" t="s">
        <v>89</v>
      </c>
      <c r="C55" s="6" t="s">
        <v>170</v>
      </c>
      <c r="D55" s="20" t="s">
        <v>25</v>
      </c>
      <c r="E55" s="33" t="s">
        <v>488</v>
      </c>
      <c r="F55" s="33" t="s">
        <v>73</v>
      </c>
      <c r="G55" s="5">
        <v>1</v>
      </c>
      <c r="H55" s="20" t="s">
        <v>102</v>
      </c>
      <c r="I55" s="20" t="s">
        <v>103</v>
      </c>
      <c r="J55" s="49">
        <v>3</v>
      </c>
      <c r="K55" s="7">
        <v>17697</v>
      </c>
      <c r="L55" s="47">
        <v>22</v>
      </c>
      <c r="M55" s="7">
        <f t="shared" si="6"/>
        <v>1.2222222222222223</v>
      </c>
      <c r="N55" s="45" t="s">
        <v>109</v>
      </c>
      <c r="O55" s="45">
        <v>4.1399999999999997</v>
      </c>
      <c r="P55" s="45"/>
      <c r="Q55" s="18">
        <f t="shared" si="7"/>
        <v>89546.819999999992</v>
      </c>
      <c r="R55" s="8"/>
      <c r="S55" s="7"/>
      <c r="T55" s="7">
        <v>0.1</v>
      </c>
      <c r="U55" s="18">
        <f t="shared" si="8"/>
        <v>8954.6819999999989</v>
      </c>
      <c r="V55" s="9"/>
      <c r="W55" s="7"/>
      <c r="X55" s="10">
        <f>U55+Q55</f>
        <v>98501.501999999993</v>
      </c>
      <c r="Y55" s="406">
        <f>V55+R55</f>
        <v>0</v>
      </c>
      <c r="Z55" s="406">
        <f>W55+S55</f>
        <v>0</v>
      </c>
    </row>
    <row r="56" spans="1:26" s="377" customFormat="1" ht="17.25" customHeight="1">
      <c r="A56" s="42">
        <v>29</v>
      </c>
      <c r="B56" s="26" t="s">
        <v>171</v>
      </c>
      <c r="C56" s="6" t="s">
        <v>99</v>
      </c>
      <c r="D56" s="20" t="s">
        <v>25</v>
      </c>
      <c r="E56" s="33" t="s">
        <v>489</v>
      </c>
      <c r="F56" s="33" t="s">
        <v>34</v>
      </c>
      <c r="G56" s="5">
        <v>1</v>
      </c>
      <c r="H56" s="20" t="s">
        <v>102</v>
      </c>
      <c r="I56" s="20" t="s">
        <v>103</v>
      </c>
      <c r="J56" s="49">
        <v>1</v>
      </c>
      <c r="K56" s="7">
        <v>17697</v>
      </c>
      <c r="L56" s="47">
        <v>36</v>
      </c>
      <c r="M56" s="7">
        <f t="shared" si="6"/>
        <v>2</v>
      </c>
      <c r="N56" s="55" t="s">
        <v>152</v>
      </c>
      <c r="O56" s="45">
        <v>4.75</v>
      </c>
      <c r="P56" s="45"/>
      <c r="Q56" s="18">
        <f t="shared" si="7"/>
        <v>168121.5</v>
      </c>
      <c r="R56" s="8"/>
      <c r="S56" s="7"/>
      <c r="T56" s="7">
        <v>0.1</v>
      </c>
      <c r="U56" s="18">
        <f t="shared" si="8"/>
        <v>16812.150000000001</v>
      </c>
      <c r="V56" s="9"/>
      <c r="W56" s="7"/>
      <c r="X56" s="10">
        <f t="shared" si="9"/>
        <v>184933.65</v>
      </c>
      <c r="Y56" s="406">
        <f t="shared" si="9"/>
        <v>0</v>
      </c>
      <c r="Z56" s="406">
        <f t="shared" si="9"/>
        <v>0</v>
      </c>
    </row>
    <row r="57" spans="1:26" s="377" customFormat="1" ht="17.25" customHeight="1">
      <c r="A57" s="5">
        <v>30</v>
      </c>
      <c r="B57" s="26" t="s">
        <v>173</v>
      </c>
      <c r="C57" s="6" t="s">
        <v>99</v>
      </c>
      <c r="D57" s="20" t="s">
        <v>25</v>
      </c>
      <c r="E57" s="33" t="s">
        <v>490</v>
      </c>
      <c r="F57" s="33" t="s">
        <v>101</v>
      </c>
      <c r="G57" s="5">
        <v>1</v>
      </c>
      <c r="H57" s="20" t="s">
        <v>102</v>
      </c>
      <c r="I57" s="20" t="s">
        <v>103</v>
      </c>
      <c r="J57" s="49">
        <v>1</v>
      </c>
      <c r="K57" s="7">
        <v>17697</v>
      </c>
      <c r="L57" s="47">
        <v>34.5</v>
      </c>
      <c r="M57" s="7">
        <f t="shared" si="6"/>
        <v>1.9166666666666667</v>
      </c>
      <c r="N57" s="55" t="s">
        <v>152</v>
      </c>
      <c r="O57" s="142">
        <v>4.55</v>
      </c>
      <c r="P57" s="142"/>
      <c r="Q57" s="18">
        <f t="shared" si="7"/>
        <v>154332.58749999999</v>
      </c>
      <c r="R57" s="8"/>
      <c r="S57" s="7"/>
      <c r="T57" s="7">
        <v>0.1</v>
      </c>
      <c r="U57" s="18">
        <f t="shared" si="8"/>
        <v>15433.258750000001</v>
      </c>
      <c r="V57" s="9"/>
      <c r="W57" s="7"/>
      <c r="X57" s="10">
        <f t="shared" si="9"/>
        <v>169765.84625</v>
      </c>
      <c r="Y57" s="406">
        <f t="shared" si="9"/>
        <v>0</v>
      </c>
      <c r="Z57" s="406">
        <f t="shared" si="9"/>
        <v>0</v>
      </c>
    </row>
    <row r="58" spans="1:26" s="377" customFormat="1" ht="17.25" customHeight="1">
      <c r="A58" s="42">
        <v>31</v>
      </c>
      <c r="B58" s="26" t="s">
        <v>175</v>
      </c>
      <c r="C58" s="6" t="s">
        <v>99</v>
      </c>
      <c r="D58" s="20" t="s">
        <v>25</v>
      </c>
      <c r="E58" s="33" t="s">
        <v>491</v>
      </c>
      <c r="F58" s="33" t="s">
        <v>114</v>
      </c>
      <c r="G58" s="5">
        <v>1</v>
      </c>
      <c r="H58" s="20" t="s">
        <v>102</v>
      </c>
      <c r="I58" s="20" t="s">
        <v>103</v>
      </c>
      <c r="J58" s="49">
        <v>1</v>
      </c>
      <c r="K58" s="7">
        <v>17697</v>
      </c>
      <c r="L58" s="47">
        <v>9</v>
      </c>
      <c r="M58" s="7">
        <f t="shared" si="6"/>
        <v>0.5</v>
      </c>
      <c r="N58" s="55" t="s">
        <v>152</v>
      </c>
      <c r="O58" s="45">
        <v>4.75</v>
      </c>
      <c r="P58" s="45"/>
      <c r="Q58" s="18">
        <f t="shared" si="7"/>
        <v>42030.375</v>
      </c>
      <c r="R58" s="8"/>
      <c r="S58" s="7"/>
      <c r="T58" s="7">
        <v>0.1</v>
      </c>
      <c r="U58" s="18">
        <f t="shared" si="8"/>
        <v>4203.0375000000004</v>
      </c>
      <c r="V58" s="9"/>
      <c r="W58" s="7"/>
      <c r="X58" s="10">
        <f t="shared" si="9"/>
        <v>46233.412499999999</v>
      </c>
      <c r="Y58" s="406">
        <f t="shared" si="9"/>
        <v>0</v>
      </c>
      <c r="Z58" s="406">
        <f t="shared" si="9"/>
        <v>0</v>
      </c>
    </row>
    <row r="59" spans="1:26" s="377" customFormat="1" ht="17.25" customHeight="1">
      <c r="A59" s="5">
        <v>32</v>
      </c>
      <c r="B59" s="26" t="s">
        <v>177</v>
      </c>
      <c r="C59" s="6" t="s">
        <v>99</v>
      </c>
      <c r="D59" s="20" t="s">
        <v>178</v>
      </c>
      <c r="E59" s="33" t="s">
        <v>492</v>
      </c>
      <c r="F59" s="33" t="s">
        <v>93</v>
      </c>
      <c r="G59" s="5">
        <v>1</v>
      </c>
      <c r="H59" s="20" t="s">
        <v>102</v>
      </c>
      <c r="I59" s="20" t="s">
        <v>103</v>
      </c>
      <c r="J59" s="49">
        <v>2</v>
      </c>
      <c r="K59" s="7">
        <v>17697</v>
      </c>
      <c r="L59" s="47">
        <v>26</v>
      </c>
      <c r="M59" s="7">
        <f t="shared" si="6"/>
        <v>1.4444444444444444</v>
      </c>
      <c r="N59" s="45" t="s">
        <v>104</v>
      </c>
      <c r="O59" s="45">
        <v>4.4400000000000004</v>
      </c>
      <c r="P59" s="45"/>
      <c r="Q59" s="18">
        <f t="shared" si="7"/>
        <v>113496.76000000001</v>
      </c>
      <c r="R59" s="8"/>
      <c r="S59" s="7"/>
      <c r="T59" s="7">
        <v>0.1</v>
      </c>
      <c r="U59" s="18">
        <f t="shared" si="8"/>
        <v>11349.676000000001</v>
      </c>
      <c r="V59" s="9"/>
      <c r="W59" s="7"/>
      <c r="X59" s="10">
        <f t="shared" si="9"/>
        <v>124846.43600000002</v>
      </c>
      <c r="Y59" s="406">
        <f t="shared" si="9"/>
        <v>0</v>
      </c>
      <c r="Z59" s="406">
        <f t="shared" si="9"/>
        <v>0</v>
      </c>
    </row>
    <row r="60" spans="1:26" s="377" customFormat="1" ht="17.25" customHeight="1">
      <c r="A60" s="42">
        <v>33</v>
      </c>
      <c r="B60" s="491" t="s">
        <v>448</v>
      </c>
      <c r="C60" s="6" t="s">
        <v>99</v>
      </c>
      <c r="D60" s="20" t="s">
        <v>75</v>
      </c>
      <c r="E60" s="33" t="s">
        <v>449</v>
      </c>
      <c r="F60" s="33" t="s">
        <v>159</v>
      </c>
      <c r="G60" s="5">
        <v>1</v>
      </c>
      <c r="H60" s="20" t="s">
        <v>102</v>
      </c>
      <c r="I60" s="20" t="s">
        <v>118</v>
      </c>
      <c r="J60" s="49">
        <v>4</v>
      </c>
      <c r="K60" s="7">
        <v>17697</v>
      </c>
      <c r="L60" s="47">
        <v>14</v>
      </c>
      <c r="M60" s="7">
        <f t="shared" si="6"/>
        <v>0.77777777777777779</v>
      </c>
      <c r="N60" s="55" t="s">
        <v>112</v>
      </c>
      <c r="O60" s="45">
        <v>3.32</v>
      </c>
      <c r="P60" s="45"/>
      <c r="Q60" s="18">
        <f t="shared" si="7"/>
        <v>45697.586666666655</v>
      </c>
      <c r="R60" s="8"/>
      <c r="S60" s="7"/>
      <c r="T60" s="7">
        <v>0.1</v>
      </c>
      <c r="U60" s="18">
        <f t="shared" si="8"/>
        <v>4569.7586666666657</v>
      </c>
      <c r="V60" s="9"/>
      <c r="W60" s="7"/>
      <c r="X60" s="10">
        <f t="shared" si="9"/>
        <v>50267.345333333324</v>
      </c>
      <c r="Y60" s="406"/>
      <c r="Z60" s="406"/>
    </row>
    <row r="61" spans="1:26" s="377" customFormat="1" ht="16.5" customHeight="1">
      <c r="A61" s="5">
        <v>34</v>
      </c>
      <c r="B61" s="26" t="s">
        <v>182</v>
      </c>
      <c r="C61" s="6" t="s">
        <v>99</v>
      </c>
      <c r="D61" s="20" t="s">
        <v>25</v>
      </c>
      <c r="E61" s="33" t="s">
        <v>494</v>
      </c>
      <c r="F61" s="33" t="s">
        <v>93</v>
      </c>
      <c r="G61" s="5">
        <v>1</v>
      </c>
      <c r="H61" s="20" t="s">
        <v>102</v>
      </c>
      <c r="I61" s="20" t="s">
        <v>103</v>
      </c>
      <c r="J61" s="49">
        <v>1</v>
      </c>
      <c r="K61" s="7">
        <v>17697</v>
      </c>
      <c r="L61" s="47">
        <v>35</v>
      </c>
      <c r="M61" s="7">
        <f t="shared" si="6"/>
        <v>1.9444444444444444</v>
      </c>
      <c r="N61" s="55" t="s">
        <v>152</v>
      </c>
      <c r="O61" s="45">
        <v>4.6900000000000004</v>
      </c>
      <c r="P61" s="45"/>
      <c r="Q61" s="18">
        <f t="shared" si="7"/>
        <v>161386.80833333335</v>
      </c>
      <c r="R61" s="8"/>
      <c r="S61" s="7"/>
      <c r="T61" s="7">
        <v>0.1</v>
      </c>
      <c r="U61" s="18">
        <f t="shared" si="8"/>
        <v>16138.680833333336</v>
      </c>
      <c r="V61" s="9"/>
      <c r="W61" s="7"/>
      <c r="X61" s="10">
        <f t="shared" si="9"/>
        <v>177525.4891666667</v>
      </c>
      <c r="Y61" s="406">
        <f t="shared" si="9"/>
        <v>0</v>
      </c>
      <c r="Z61" s="406">
        <f t="shared" si="9"/>
        <v>0</v>
      </c>
    </row>
    <row r="62" spans="1:26" s="377" customFormat="1" ht="17.25" customHeight="1">
      <c r="A62" s="42">
        <v>35</v>
      </c>
      <c r="B62" s="26" t="s">
        <v>184</v>
      </c>
      <c r="C62" s="6" t="s">
        <v>99</v>
      </c>
      <c r="D62" s="20" t="s">
        <v>25</v>
      </c>
      <c r="E62" s="536" t="s">
        <v>495</v>
      </c>
      <c r="F62" s="33" t="s">
        <v>27</v>
      </c>
      <c r="G62" s="5">
        <v>1</v>
      </c>
      <c r="H62" s="20" t="s">
        <v>102</v>
      </c>
      <c r="I62" s="20" t="s">
        <v>103</v>
      </c>
      <c r="J62" s="49">
        <v>1</v>
      </c>
      <c r="K62" s="7">
        <v>17697</v>
      </c>
      <c r="L62" s="47">
        <v>31</v>
      </c>
      <c r="M62" s="7">
        <f t="shared" si="6"/>
        <v>1.7222222222222223</v>
      </c>
      <c r="N62" s="55" t="s">
        <v>152</v>
      </c>
      <c r="O62" s="45">
        <v>4.75</v>
      </c>
      <c r="P62" s="45"/>
      <c r="Q62" s="18">
        <f t="shared" si="7"/>
        <v>144771.29166666669</v>
      </c>
      <c r="R62" s="8"/>
      <c r="S62" s="7"/>
      <c r="T62" s="7">
        <v>0.1</v>
      </c>
      <c r="U62" s="18">
        <f t="shared" si="8"/>
        <v>14477.129166666669</v>
      </c>
      <c r="V62" s="9"/>
      <c r="W62" s="7"/>
      <c r="X62" s="10">
        <f t="shared" si="9"/>
        <v>159248.42083333337</v>
      </c>
      <c r="Y62" s="406">
        <f t="shared" si="9"/>
        <v>0</v>
      </c>
      <c r="Z62" s="406">
        <f t="shared" si="9"/>
        <v>0</v>
      </c>
    </row>
    <row r="63" spans="1:26" s="377" customFormat="1" ht="17.25" customHeight="1">
      <c r="A63" s="5">
        <v>36</v>
      </c>
      <c r="B63" s="26" t="s">
        <v>186</v>
      </c>
      <c r="C63" s="6" t="s">
        <v>99</v>
      </c>
      <c r="D63" s="20" t="s">
        <v>25</v>
      </c>
      <c r="E63" s="33" t="s">
        <v>496</v>
      </c>
      <c r="F63" s="33" t="s">
        <v>27</v>
      </c>
      <c r="G63" s="5">
        <v>1</v>
      </c>
      <c r="H63" s="20" t="s">
        <v>102</v>
      </c>
      <c r="I63" s="20" t="s">
        <v>103</v>
      </c>
      <c r="J63" s="49">
        <v>1</v>
      </c>
      <c r="K63" s="7">
        <v>17697</v>
      </c>
      <c r="L63" s="47">
        <v>23</v>
      </c>
      <c r="M63" s="7">
        <f t="shared" si="6"/>
        <v>1.2777777777777777</v>
      </c>
      <c r="N63" s="55" t="s">
        <v>152</v>
      </c>
      <c r="O63" s="45">
        <v>4.75</v>
      </c>
      <c r="P63" s="45"/>
      <c r="Q63" s="18">
        <f t="shared" si="7"/>
        <v>107410.95833333334</v>
      </c>
      <c r="R63" s="8"/>
      <c r="S63" s="7"/>
      <c r="T63" s="7">
        <v>0.1</v>
      </c>
      <c r="U63" s="18">
        <f t="shared" si="8"/>
        <v>10741.095833333335</v>
      </c>
      <c r="V63" s="9"/>
      <c r="W63" s="7"/>
      <c r="X63" s="10">
        <f t="shared" si="9"/>
        <v>118152.05416666668</v>
      </c>
      <c r="Y63" s="406">
        <f t="shared" si="9"/>
        <v>0</v>
      </c>
      <c r="Z63" s="406">
        <f t="shared" si="9"/>
        <v>0</v>
      </c>
    </row>
    <row r="64" spans="1:26" s="503" customFormat="1" ht="17.25" customHeight="1">
      <c r="A64" s="42">
        <v>37</v>
      </c>
      <c r="B64" s="29" t="s">
        <v>188</v>
      </c>
      <c r="C64" s="143" t="s">
        <v>99</v>
      </c>
      <c r="D64" s="31" t="s">
        <v>25</v>
      </c>
      <c r="E64" s="144" t="s">
        <v>497</v>
      </c>
      <c r="F64" s="145" t="s">
        <v>51</v>
      </c>
      <c r="G64" s="30">
        <v>1</v>
      </c>
      <c r="H64" s="31" t="s">
        <v>102</v>
      </c>
      <c r="I64" s="31" t="s">
        <v>103</v>
      </c>
      <c r="J64" s="49">
        <v>1</v>
      </c>
      <c r="K64" s="146">
        <v>17697</v>
      </c>
      <c r="L64" s="147">
        <v>36</v>
      </c>
      <c r="M64" s="7">
        <f t="shared" si="6"/>
        <v>2</v>
      </c>
      <c r="N64" s="55" t="s">
        <v>152</v>
      </c>
      <c r="O64" s="148">
        <v>4.6900000000000004</v>
      </c>
      <c r="P64" s="148"/>
      <c r="Q64" s="149">
        <f t="shared" si="7"/>
        <v>165997.86000000002</v>
      </c>
      <c r="R64" s="150"/>
      <c r="S64" s="146"/>
      <c r="T64" s="146">
        <v>0.1</v>
      </c>
      <c r="U64" s="149">
        <f t="shared" si="8"/>
        <v>16599.786000000004</v>
      </c>
      <c r="V64" s="151"/>
      <c r="W64" s="146"/>
      <c r="X64" s="152">
        <f t="shared" si="9"/>
        <v>182597.64600000001</v>
      </c>
      <c r="Y64" s="502">
        <f t="shared" si="9"/>
        <v>0</v>
      </c>
      <c r="Z64" s="502">
        <f t="shared" si="9"/>
        <v>0</v>
      </c>
    </row>
    <row r="65" spans="1:44" s="503" customFormat="1" ht="17.25" customHeight="1">
      <c r="A65" s="5">
        <v>38</v>
      </c>
      <c r="B65" s="29" t="s">
        <v>450</v>
      </c>
      <c r="C65" s="143" t="s">
        <v>99</v>
      </c>
      <c r="D65" s="31" t="s">
        <v>25</v>
      </c>
      <c r="E65" s="144" t="s">
        <v>451</v>
      </c>
      <c r="F65" s="145" t="s">
        <v>34</v>
      </c>
      <c r="G65" s="30">
        <v>1</v>
      </c>
      <c r="H65" s="31" t="s">
        <v>102</v>
      </c>
      <c r="I65" s="31" t="s">
        <v>103</v>
      </c>
      <c r="J65" s="49">
        <v>1</v>
      </c>
      <c r="K65" s="146">
        <v>17697</v>
      </c>
      <c r="L65" s="147">
        <v>21</v>
      </c>
      <c r="M65" s="7">
        <f t="shared" si="6"/>
        <v>1.1666666666666667</v>
      </c>
      <c r="N65" s="55" t="s">
        <v>152</v>
      </c>
      <c r="O65" s="148">
        <v>4.75</v>
      </c>
      <c r="P65" s="148"/>
      <c r="Q65" s="149">
        <f t="shared" si="7"/>
        <v>98070.875</v>
      </c>
      <c r="R65" s="150"/>
      <c r="S65" s="146"/>
      <c r="T65" s="146">
        <v>0.1</v>
      </c>
      <c r="U65" s="149">
        <f t="shared" si="8"/>
        <v>9807.0874999999996</v>
      </c>
      <c r="V65" s="151"/>
      <c r="W65" s="146"/>
      <c r="X65" s="152">
        <f t="shared" si="9"/>
        <v>107877.96249999999</v>
      </c>
      <c r="Y65" s="502"/>
      <c r="Z65" s="502"/>
    </row>
    <row r="66" spans="1:44" s="503" customFormat="1" ht="17.25" customHeight="1">
      <c r="A66" s="42">
        <v>39</v>
      </c>
      <c r="B66" s="29" t="s">
        <v>454</v>
      </c>
      <c r="C66" s="143" t="s">
        <v>99</v>
      </c>
      <c r="D66" s="31" t="s">
        <v>189</v>
      </c>
      <c r="E66" s="144" t="s">
        <v>460</v>
      </c>
      <c r="F66" s="145" t="s">
        <v>77</v>
      </c>
      <c r="G66" s="30">
        <v>1</v>
      </c>
      <c r="H66" s="31" t="s">
        <v>102</v>
      </c>
      <c r="I66" s="31" t="s">
        <v>103</v>
      </c>
      <c r="J66" s="49">
        <v>4</v>
      </c>
      <c r="K66" s="146">
        <v>17697</v>
      </c>
      <c r="L66" s="147">
        <v>34</v>
      </c>
      <c r="M66" s="7">
        <f t="shared" si="6"/>
        <v>1.8888888888888888</v>
      </c>
      <c r="N66" s="55" t="s">
        <v>112</v>
      </c>
      <c r="O66" s="148">
        <v>3.71</v>
      </c>
      <c r="P66" s="148"/>
      <c r="Q66" s="149">
        <f t="shared" si="7"/>
        <v>124016.64333333333</v>
      </c>
      <c r="R66" s="150"/>
      <c r="S66" s="146"/>
      <c r="T66" s="146">
        <v>0.1</v>
      </c>
      <c r="U66" s="149">
        <f t="shared" si="8"/>
        <v>12401.664333333334</v>
      </c>
      <c r="V66" s="151"/>
      <c r="W66" s="146"/>
      <c r="X66" s="152">
        <f t="shared" si="9"/>
        <v>136418.30766666666</v>
      </c>
      <c r="Y66" s="502"/>
      <c r="Z66" s="502"/>
    </row>
    <row r="67" spans="1:44" s="377" customFormat="1" ht="17.25" customHeight="1">
      <c r="A67" s="5">
        <v>40</v>
      </c>
      <c r="B67" s="26" t="s">
        <v>191</v>
      </c>
      <c r="C67" s="6" t="s">
        <v>99</v>
      </c>
      <c r="D67" s="20" t="s">
        <v>25</v>
      </c>
      <c r="E67" s="58" t="s">
        <v>498</v>
      </c>
      <c r="F67" s="33" t="s">
        <v>73</v>
      </c>
      <c r="G67" s="5">
        <v>1</v>
      </c>
      <c r="H67" s="20" t="s">
        <v>102</v>
      </c>
      <c r="I67" s="20" t="s">
        <v>103</v>
      </c>
      <c r="J67" s="49">
        <v>2</v>
      </c>
      <c r="K67" s="7">
        <v>17697</v>
      </c>
      <c r="L67" s="47">
        <v>20</v>
      </c>
      <c r="M67" s="7">
        <f t="shared" si="6"/>
        <v>1.1111111111111112</v>
      </c>
      <c r="N67" s="45" t="s">
        <v>104</v>
      </c>
      <c r="O67" s="45">
        <v>4.16</v>
      </c>
      <c r="P67" s="45"/>
      <c r="Q67" s="18">
        <f t="shared" si="7"/>
        <v>81799.466666666674</v>
      </c>
      <c r="R67" s="8"/>
      <c r="S67" s="7"/>
      <c r="T67" s="7">
        <v>0.1</v>
      </c>
      <c r="U67" s="18">
        <f t="shared" si="8"/>
        <v>8179.9466666666676</v>
      </c>
      <c r="V67" s="9"/>
      <c r="W67" s="7"/>
      <c r="X67" s="152">
        <f t="shared" si="9"/>
        <v>89979.413333333345</v>
      </c>
      <c r="Y67" s="406">
        <f t="shared" si="9"/>
        <v>0</v>
      </c>
      <c r="Z67" s="406">
        <f t="shared" si="9"/>
        <v>0</v>
      </c>
    </row>
    <row r="68" spans="1:44" s="377" customFormat="1" ht="17.25" customHeight="1">
      <c r="A68" s="42">
        <v>41</v>
      </c>
      <c r="B68" s="26" t="s">
        <v>193</v>
      </c>
      <c r="C68" s="6" t="s">
        <v>99</v>
      </c>
      <c r="D68" s="20" t="s">
        <v>64</v>
      </c>
      <c r="E68" s="58" t="s">
        <v>459</v>
      </c>
      <c r="F68" s="33" t="s">
        <v>252</v>
      </c>
      <c r="G68" s="5">
        <v>1</v>
      </c>
      <c r="H68" s="20" t="s">
        <v>102</v>
      </c>
      <c r="I68" s="20" t="s">
        <v>118</v>
      </c>
      <c r="J68" s="49">
        <v>3</v>
      </c>
      <c r="K68" s="7">
        <v>17697</v>
      </c>
      <c r="L68" s="47">
        <v>31</v>
      </c>
      <c r="M68" s="7">
        <f t="shared" si="6"/>
        <v>1.7222222222222223</v>
      </c>
      <c r="N68" s="45" t="s">
        <v>109</v>
      </c>
      <c r="O68" s="45">
        <v>3.97</v>
      </c>
      <c r="P68" s="45"/>
      <c r="Q68" s="18">
        <f t="shared" si="7"/>
        <v>120998.32166666667</v>
      </c>
      <c r="R68" s="8"/>
      <c r="S68" s="7"/>
      <c r="T68" s="7">
        <v>0.1</v>
      </c>
      <c r="U68" s="18">
        <f t="shared" si="8"/>
        <v>12099.832166666667</v>
      </c>
      <c r="V68" s="9"/>
      <c r="W68" s="7"/>
      <c r="X68" s="10">
        <f t="shared" si="9"/>
        <v>133098.15383333334</v>
      </c>
      <c r="Y68" s="406">
        <f t="shared" si="9"/>
        <v>0</v>
      </c>
      <c r="Z68" s="406">
        <f t="shared" si="9"/>
        <v>0</v>
      </c>
    </row>
    <row r="69" spans="1:44" s="377" customFormat="1" ht="17.25" customHeight="1">
      <c r="A69" s="5">
        <v>42</v>
      </c>
      <c r="B69" s="26" t="s">
        <v>197</v>
      </c>
      <c r="C69" s="6" t="s">
        <v>99</v>
      </c>
      <c r="D69" s="20" t="s">
        <v>25</v>
      </c>
      <c r="E69" s="58" t="s">
        <v>499</v>
      </c>
      <c r="F69" s="33" t="s">
        <v>34</v>
      </c>
      <c r="G69" s="5">
        <v>1</v>
      </c>
      <c r="H69" s="20" t="s">
        <v>102</v>
      </c>
      <c r="I69" s="20" t="s">
        <v>103</v>
      </c>
      <c r="J69" s="49">
        <v>1</v>
      </c>
      <c r="K69" s="7">
        <v>17697</v>
      </c>
      <c r="L69" s="47">
        <v>28</v>
      </c>
      <c r="M69" s="7">
        <f t="shared" si="6"/>
        <v>1.5555555555555556</v>
      </c>
      <c r="N69" s="55" t="s">
        <v>152</v>
      </c>
      <c r="O69" s="45">
        <v>4.75</v>
      </c>
      <c r="P69" s="45"/>
      <c r="Q69" s="18">
        <f t="shared" si="7"/>
        <v>130761.16666666667</v>
      </c>
      <c r="R69" s="8"/>
      <c r="S69" s="7"/>
      <c r="T69" s="7">
        <v>0.1</v>
      </c>
      <c r="U69" s="18">
        <f t="shared" si="8"/>
        <v>13076.116666666669</v>
      </c>
      <c r="V69" s="9"/>
      <c r="W69" s="7"/>
      <c r="X69" s="10">
        <f t="shared" si="9"/>
        <v>143837.28333333333</v>
      </c>
      <c r="Y69" s="406">
        <f t="shared" si="9"/>
        <v>0</v>
      </c>
      <c r="Z69" s="406">
        <f t="shared" si="9"/>
        <v>0</v>
      </c>
    </row>
    <row r="70" spans="1:44" s="377" customFormat="1" ht="17.25" customHeight="1">
      <c r="A70" s="42">
        <v>43</v>
      </c>
      <c r="B70" s="26" t="s">
        <v>199</v>
      </c>
      <c r="C70" s="6" t="s">
        <v>99</v>
      </c>
      <c r="D70" s="20" t="s">
        <v>25</v>
      </c>
      <c r="E70" s="58" t="s">
        <v>457</v>
      </c>
      <c r="F70" s="33" t="s">
        <v>122</v>
      </c>
      <c r="G70" s="5">
        <v>1</v>
      </c>
      <c r="H70" s="20" t="s">
        <v>102</v>
      </c>
      <c r="I70" s="20" t="s">
        <v>118</v>
      </c>
      <c r="J70" s="49">
        <v>4</v>
      </c>
      <c r="K70" s="7">
        <v>17697</v>
      </c>
      <c r="L70" s="47">
        <v>14</v>
      </c>
      <c r="M70" s="7">
        <f t="shared" si="6"/>
        <v>0.77777777777777779</v>
      </c>
      <c r="N70" s="55" t="s">
        <v>112</v>
      </c>
      <c r="O70" s="45">
        <v>3.36</v>
      </c>
      <c r="P70" s="45"/>
      <c r="Q70" s="18">
        <f t="shared" si="7"/>
        <v>46248.160000000003</v>
      </c>
      <c r="R70" s="8"/>
      <c r="S70" s="7"/>
      <c r="T70" s="7">
        <v>0.1</v>
      </c>
      <c r="U70" s="18">
        <f t="shared" si="8"/>
        <v>4624.8160000000007</v>
      </c>
      <c r="V70" s="9"/>
      <c r="W70" s="7"/>
      <c r="X70" s="10">
        <f t="shared" si="9"/>
        <v>50872.976000000002</v>
      </c>
      <c r="Y70" s="406">
        <f t="shared" si="9"/>
        <v>0</v>
      </c>
      <c r="Z70" s="406">
        <f t="shared" si="9"/>
        <v>0</v>
      </c>
    </row>
    <row r="71" spans="1:44" s="377" customFormat="1" ht="17.25" customHeight="1">
      <c r="A71" s="5">
        <v>44</v>
      </c>
      <c r="B71" s="26" t="s">
        <v>200</v>
      </c>
      <c r="C71" s="6" t="s">
        <v>99</v>
      </c>
      <c r="D71" s="20" t="s">
        <v>25</v>
      </c>
      <c r="E71" s="58" t="s">
        <v>500</v>
      </c>
      <c r="F71" s="33" t="s">
        <v>34</v>
      </c>
      <c r="G71" s="5">
        <v>1</v>
      </c>
      <c r="H71" s="20" t="s">
        <v>102</v>
      </c>
      <c r="I71" s="20" t="s">
        <v>103</v>
      </c>
      <c r="J71" s="49">
        <v>2</v>
      </c>
      <c r="K71" s="7">
        <v>17697</v>
      </c>
      <c r="L71" s="47">
        <v>18</v>
      </c>
      <c r="M71" s="7">
        <f t="shared" si="6"/>
        <v>1</v>
      </c>
      <c r="N71" s="45" t="s">
        <v>104</v>
      </c>
      <c r="O71" s="45">
        <v>4.51</v>
      </c>
      <c r="P71" s="45"/>
      <c r="Q71" s="18">
        <f t="shared" si="7"/>
        <v>79813.47</v>
      </c>
      <c r="R71" s="8"/>
      <c r="S71" s="7"/>
      <c r="T71" s="7">
        <v>0.1</v>
      </c>
      <c r="U71" s="18">
        <f t="shared" si="8"/>
        <v>7981.3470000000007</v>
      </c>
      <c r="V71" s="9"/>
      <c r="W71" s="7"/>
      <c r="X71" s="10">
        <f t="shared" si="9"/>
        <v>87794.816999999995</v>
      </c>
      <c r="Y71" s="406">
        <f t="shared" si="9"/>
        <v>0</v>
      </c>
      <c r="Z71" s="406">
        <f t="shared" si="9"/>
        <v>0</v>
      </c>
    </row>
    <row r="72" spans="1:44" s="377" customFormat="1" ht="17.25" customHeight="1">
      <c r="A72" s="42">
        <v>45</v>
      </c>
      <c r="B72" s="32" t="s">
        <v>202</v>
      </c>
      <c r="C72" s="39" t="s">
        <v>99</v>
      </c>
      <c r="D72" s="60" t="s">
        <v>75</v>
      </c>
      <c r="E72" s="61" t="s">
        <v>203</v>
      </c>
      <c r="F72" s="62" t="s">
        <v>66</v>
      </c>
      <c r="G72" s="40">
        <v>1</v>
      </c>
      <c r="H72" s="60" t="s">
        <v>102</v>
      </c>
      <c r="I72" s="60" t="s">
        <v>103</v>
      </c>
      <c r="J72" s="63">
        <v>3</v>
      </c>
      <c r="K72" s="34">
        <v>17697</v>
      </c>
      <c r="L72" s="64">
        <v>32</v>
      </c>
      <c r="M72" s="7">
        <f t="shared" si="6"/>
        <v>1.7777777777777777</v>
      </c>
      <c r="N72" s="45" t="s">
        <v>109</v>
      </c>
      <c r="O72" s="48">
        <v>4.28</v>
      </c>
      <c r="P72" s="48"/>
      <c r="Q72" s="36">
        <f t="shared" si="7"/>
        <v>134654.50666666668</v>
      </c>
      <c r="R72" s="37"/>
      <c r="S72" s="34"/>
      <c r="T72" s="34">
        <v>0.1</v>
      </c>
      <c r="U72" s="36">
        <f t="shared" si="8"/>
        <v>13465.450666666669</v>
      </c>
      <c r="V72" s="38"/>
      <c r="W72" s="34"/>
      <c r="X72" s="35">
        <f t="shared" si="9"/>
        <v>148119.95733333335</v>
      </c>
      <c r="Y72" s="437">
        <f t="shared" si="9"/>
        <v>0</v>
      </c>
      <c r="Z72" s="437">
        <f t="shared" si="9"/>
        <v>0</v>
      </c>
    </row>
    <row r="73" spans="1:44" s="377" customFormat="1" ht="17.25" customHeight="1">
      <c r="A73" s="5">
        <v>46</v>
      </c>
      <c r="B73" s="32" t="s">
        <v>455</v>
      </c>
      <c r="C73" s="39" t="s">
        <v>99</v>
      </c>
      <c r="D73" s="60" t="s">
        <v>25</v>
      </c>
      <c r="E73" s="61" t="s">
        <v>502</v>
      </c>
      <c r="F73" s="33" t="s">
        <v>34</v>
      </c>
      <c r="G73" s="40">
        <v>1</v>
      </c>
      <c r="H73" s="20" t="s">
        <v>102</v>
      </c>
      <c r="I73" s="20" t="s">
        <v>103</v>
      </c>
      <c r="J73" s="49">
        <v>1</v>
      </c>
      <c r="K73" s="7">
        <v>17697</v>
      </c>
      <c r="L73" s="64">
        <v>8</v>
      </c>
      <c r="M73" s="7">
        <f t="shared" si="6"/>
        <v>0.44444444444444442</v>
      </c>
      <c r="N73" s="55" t="s">
        <v>152</v>
      </c>
      <c r="O73" s="48">
        <v>4.75</v>
      </c>
      <c r="P73" s="48"/>
      <c r="Q73" s="36">
        <f t="shared" si="7"/>
        <v>37360.333333333336</v>
      </c>
      <c r="R73" s="37"/>
      <c r="S73" s="34"/>
      <c r="T73" s="34">
        <v>0.1</v>
      </c>
      <c r="U73" s="36">
        <f t="shared" si="8"/>
        <v>3736.0333333333338</v>
      </c>
      <c r="V73" s="38"/>
      <c r="W73" s="34"/>
      <c r="X73" s="35">
        <f t="shared" si="9"/>
        <v>41096.366666666669</v>
      </c>
      <c r="Y73" s="437"/>
      <c r="Z73" s="437"/>
    </row>
    <row r="74" spans="1:44" s="377" customFormat="1" ht="17.25" customHeight="1">
      <c r="A74" s="42">
        <v>47</v>
      </c>
      <c r="B74" s="32" t="s">
        <v>204</v>
      </c>
      <c r="C74" s="39" t="s">
        <v>99</v>
      </c>
      <c r="D74" s="20" t="s">
        <v>25</v>
      </c>
      <c r="E74" s="33" t="s">
        <v>503</v>
      </c>
      <c r="F74" s="33" t="s">
        <v>206</v>
      </c>
      <c r="G74" s="40">
        <v>1</v>
      </c>
      <c r="H74" s="60" t="s">
        <v>102</v>
      </c>
      <c r="I74" s="60" t="s">
        <v>103</v>
      </c>
      <c r="J74" s="63">
        <v>3</v>
      </c>
      <c r="K74" s="34">
        <v>17697</v>
      </c>
      <c r="L74" s="64">
        <v>6</v>
      </c>
      <c r="M74" s="7">
        <f t="shared" si="6"/>
        <v>0.33333333333333331</v>
      </c>
      <c r="N74" s="45" t="s">
        <v>109</v>
      </c>
      <c r="O74" s="48">
        <v>4</v>
      </c>
      <c r="P74" s="48"/>
      <c r="Q74" s="36">
        <f t="shared" si="7"/>
        <v>23596</v>
      </c>
      <c r="R74" s="37"/>
      <c r="S74" s="34"/>
      <c r="T74" s="34">
        <v>0.1</v>
      </c>
      <c r="U74" s="36">
        <f t="shared" si="8"/>
        <v>2359.6</v>
      </c>
      <c r="V74" s="38"/>
      <c r="W74" s="34"/>
      <c r="X74" s="35">
        <f t="shared" ref="X74:Z75" si="11">U74+Q74</f>
        <v>25955.599999999999</v>
      </c>
      <c r="Y74" s="437">
        <f t="shared" si="11"/>
        <v>0</v>
      </c>
      <c r="Z74" s="437">
        <f t="shared" si="11"/>
        <v>0</v>
      </c>
    </row>
    <row r="75" spans="1:44" s="377" customFormat="1" ht="17.25" customHeight="1">
      <c r="A75" s="5">
        <v>48</v>
      </c>
      <c r="B75" s="32" t="s">
        <v>207</v>
      </c>
      <c r="C75" s="39" t="s">
        <v>99</v>
      </c>
      <c r="D75" s="20" t="s">
        <v>25</v>
      </c>
      <c r="E75" s="33" t="s">
        <v>208</v>
      </c>
      <c r="F75" s="33" t="s">
        <v>209</v>
      </c>
      <c r="G75" s="40">
        <v>1</v>
      </c>
      <c r="H75" s="20" t="s">
        <v>102</v>
      </c>
      <c r="I75" s="20" t="s">
        <v>103</v>
      </c>
      <c r="J75" s="49">
        <v>2</v>
      </c>
      <c r="K75" s="34">
        <v>17697</v>
      </c>
      <c r="L75" s="64">
        <v>4</v>
      </c>
      <c r="M75" s="7">
        <f t="shared" si="6"/>
        <v>0.22222222222222221</v>
      </c>
      <c r="N75" s="45" t="s">
        <v>104</v>
      </c>
      <c r="O75" s="48">
        <v>4.2300000000000004</v>
      </c>
      <c r="P75" s="48"/>
      <c r="Q75" s="36">
        <f t="shared" si="7"/>
        <v>16635.180000000004</v>
      </c>
      <c r="R75" s="37"/>
      <c r="S75" s="34"/>
      <c r="T75" s="34">
        <v>0.1</v>
      </c>
      <c r="U75" s="36">
        <f t="shared" si="8"/>
        <v>1663.5180000000005</v>
      </c>
      <c r="V75" s="38"/>
      <c r="W75" s="34"/>
      <c r="X75" s="35">
        <f t="shared" si="11"/>
        <v>18298.698000000004</v>
      </c>
      <c r="Y75" s="437">
        <f t="shared" si="11"/>
        <v>0</v>
      </c>
      <c r="Z75" s="437">
        <f t="shared" si="11"/>
        <v>0</v>
      </c>
    </row>
    <row r="76" spans="1:44" s="377" customFormat="1" ht="17.25" customHeight="1">
      <c r="A76" s="42">
        <v>49</v>
      </c>
      <c r="B76" s="32" t="s">
        <v>135</v>
      </c>
      <c r="C76" s="39" t="s">
        <v>99</v>
      </c>
      <c r="D76" s="20" t="s">
        <v>25</v>
      </c>
      <c r="E76" s="33" t="s">
        <v>465</v>
      </c>
      <c r="F76" s="33" t="s">
        <v>34</v>
      </c>
      <c r="G76" s="40">
        <v>1</v>
      </c>
      <c r="H76" s="20" t="s">
        <v>102</v>
      </c>
      <c r="I76" s="20" t="s">
        <v>103</v>
      </c>
      <c r="J76" s="49">
        <v>1</v>
      </c>
      <c r="K76" s="7">
        <v>17697</v>
      </c>
      <c r="L76" s="64">
        <v>21</v>
      </c>
      <c r="M76" s="7">
        <f t="shared" si="6"/>
        <v>1.1666666666666667</v>
      </c>
      <c r="N76" s="55" t="s">
        <v>152</v>
      </c>
      <c r="O76" s="48">
        <v>4.75</v>
      </c>
      <c r="P76" s="48"/>
      <c r="Q76" s="36">
        <f t="shared" si="7"/>
        <v>98070.875</v>
      </c>
      <c r="R76" s="37"/>
      <c r="S76" s="34"/>
      <c r="T76" s="34">
        <v>0.1</v>
      </c>
      <c r="U76" s="36">
        <f t="shared" si="8"/>
        <v>9807.0874999999996</v>
      </c>
      <c r="V76" s="38"/>
      <c r="W76" s="34"/>
      <c r="X76" s="35">
        <f>U76+Q76</f>
        <v>107877.96249999999</v>
      </c>
      <c r="Y76" s="437"/>
      <c r="Z76" s="437"/>
    </row>
    <row r="77" spans="1:44" s="377" customFormat="1" ht="17.25" customHeight="1">
      <c r="A77" s="5">
        <v>50</v>
      </c>
      <c r="B77" s="32" t="s">
        <v>456</v>
      </c>
      <c r="C77" s="39" t="s">
        <v>99</v>
      </c>
      <c r="D77" s="20" t="s">
        <v>25</v>
      </c>
      <c r="E77" s="33" t="s">
        <v>461</v>
      </c>
      <c r="F77" s="33" t="s">
        <v>34</v>
      </c>
      <c r="G77" s="40">
        <v>1</v>
      </c>
      <c r="H77" s="20" t="s">
        <v>102</v>
      </c>
      <c r="I77" s="20" t="s">
        <v>103</v>
      </c>
      <c r="J77" s="49">
        <v>2</v>
      </c>
      <c r="K77" s="7">
        <v>17697</v>
      </c>
      <c r="L77" s="47">
        <v>10</v>
      </c>
      <c r="M77" s="7">
        <f>L77/18</f>
        <v>0.55555555555555558</v>
      </c>
      <c r="N77" s="45" t="s">
        <v>104</v>
      </c>
      <c r="O77" s="45">
        <v>4.51</v>
      </c>
      <c r="P77" s="48"/>
      <c r="Q77" s="36">
        <f t="shared" si="7"/>
        <v>44340.816666666666</v>
      </c>
      <c r="R77" s="37"/>
      <c r="S77" s="34"/>
      <c r="T77" s="34">
        <v>0.1</v>
      </c>
      <c r="U77" s="36">
        <f t="shared" si="8"/>
        <v>4434.0816666666669</v>
      </c>
      <c r="V77" s="38"/>
      <c r="W77" s="34"/>
      <c r="X77" s="35">
        <f>U77+Q77</f>
        <v>48774.898333333331</v>
      </c>
      <c r="Y77" s="437"/>
      <c r="Z77" s="437"/>
    </row>
    <row r="78" spans="1:44" s="377" customFormat="1" ht="17.25" customHeight="1">
      <c r="A78" s="42">
        <v>51</v>
      </c>
      <c r="B78" s="153" t="s">
        <v>439</v>
      </c>
      <c r="C78" s="6" t="s">
        <v>99</v>
      </c>
      <c r="D78" s="20" t="s">
        <v>75</v>
      </c>
      <c r="E78" s="54" t="s">
        <v>504</v>
      </c>
      <c r="F78" s="54" t="s">
        <v>159</v>
      </c>
      <c r="G78" s="155">
        <v>1</v>
      </c>
      <c r="H78" s="156" t="s">
        <v>102</v>
      </c>
      <c r="I78" s="156" t="s">
        <v>118</v>
      </c>
      <c r="J78" s="55">
        <v>4</v>
      </c>
      <c r="K78" s="7">
        <v>17697</v>
      </c>
      <c r="L78" s="64">
        <v>25</v>
      </c>
      <c r="M78" s="7">
        <f>L78/18</f>
        <v>1.3888888888888888</v>
      </c>
      <c r="N78" s="55" t="s">
        <v>112</v>
      </c>
      <c r="O78" s="48">
        <v>3.32</v>
      </c>
      <c r="P78" s="48"/>
      <c r="Q78" s="36">
        <f t="shared" si="7"/>
        <v>81602.833333333314</v>
      </c>
      <c r="R78" s="37"/>
      <c r="S78" s="34"/>
      <c r="T78" s="34">
        <v>0.1</v>
      </c>
      <c r="U78" s="36">
        <f t="shared" si="8"/>
        <v>8160.2833333333319</v>
      </c>
      <c r="V78" s="38"/>
      <c r="W78" s="34"/>
      <c r="X78" s="35">
        <f>U78+Q78</f>
        <v>89763.11666666664</v>
      </c>
      <c r="Y78" s="437"/>
      <c r="Z78" s="437"/>
    </row>
    <row r="79" spans="1:44" s="112" customFormat="1" ht="17.25" customHeight="1">
      <c r="A79" s="91"/>
      <c r="B79" s="105"/>
      <c r="C79" s="106"/>
      <c r="D79" s="93"/>
      <c r="E79" s="107"/>
      <c r="F79" s="107"/>
      <c r="G79" s="95"/>
      <c r="H79" s="93"/>
      <c r="I79" s="93"/>
      <c r="J79" s="108"/>
      <c r="K79" s="97"/>
      <c r="L79" s="109">
        <f>SUM(L28:L78)</f>
        <v>1099</v>
      </c>
      <c r="M79" s="97"/>
      <c r="N79" s="110"/>
      <c r="O79" s="264"/>
      <c r="P79" s="110"/>
      <c r="Q79" s="101"/>
      <c r="R79" s="102"/>
      <c r="S79" s="97"/>
      <c r="T79" s="97"/>
      <c r="U79" s="101"/>
      <c r="V79" s="103"/>
      <c r="W79" s="97"/>
      <c r="X79" s="203">
        <f>SUM(X28:X78)</f>
        <v>5171631.6703333333</v>
      </c>
      <c r="Y79" s="104"/>
      <c r="Z79" s="10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</row>
    <row r="80" spans="1:44" s="377" customFormat="1" ht="15">
      <c r="A80" s="5">
        <v>1</v>
      </c>
      <c r="B80" s="153" t="s">
        <v>215</v>
      </c>
      <c r="C80" s="6" t="s">
        <v>99</v>
      </c>
      <c r="D80" s="20" t="s">
        <v>25</v>
      </c>
      <c r="E80" s="54" t="s">
        <v>441</v>
      </c>
      <c r="F80" s="54" t="s">
        <v>217</v>
      </c>
      <c r="G80" s="155">
        <v>1</v>
      </c>
      <c r="H80" s="156" t="s">
        <v>102</v>
      </c>
      <c r="I80" s="156" t="s">
        <v>103</v>
      </c>
      <c r="J80" s="55">
        <v>4</v>
      </c>
      <c r="K80" s="7">
        <v>17697</v>
      </c>
      <c r="L80" s="157">
        <v>20</v>
      </c>
      <c r="M80" s="7">
        <f>L80/18</f>
        <v>1.1111111111111112</v>
      </c>
      <c r="N80" s="55" t="s">
        <v>112</v>
      </c>
      <c r="O80" s="11">
        <v>4.6900000000000004</v>
      </c>
      <c r="P80" s="11"/>
      <c r="Q80" s="18">
        <f t="shared" si="7"/>
        <v>92221.03333333334</v>
      </c>
      <c r="R80" s="8"/>
      <c r="S80" s="7"/>
      <c r="T80" s="7">
        <v>0.1</v>
      </c>
      <c r="U80" s="18">
        <f t="shared" ref="U80:U121" si="12">Q80*T80</f>
        <v>9222.1033333333344</v>
      </c>
      <c r="V80" s="9"/>
      <c r="W80" s="7"/>
      <c r="X80" s="10">
        <f>U80+Q80</f>
        <v>101443.13666666667</v>
      </c>
      <c r="Y80" s="406">
        <f>V80+R80</f>
        <v>0</v>
      </c>
      <c r="Z80" s="406">
        <f>W80+S80</f>
        <v>0</v>
      </c>
    </row>
    <row r="81" spans="1:26" s="377" customFormat="1" ht="17.25" customHeight="1">
      <c r="A81" s="5">
        <v>2</v>
      </c>
      <c r="B81" s="153" t="s">
        <v>222</v>
      </c>
      <c r="C81" s="6" t="s">
        <v>148</v>
      </c>
      <c r="D81" s="20" t="s">
        <v>25</v>
      </c>
      <c r="E81" s="54" t="s">
        <v>223</v>
      </c>
      <c r="F81" s="33" t="s">
        <v>224</v>
      </c>
      <c r="G81" s="155">
        <v>1</v>
      </c>
      <c r="H81" s="156" t="s">
        <v>102</v>
      </c>
      <c r="I81" s="156" t="s">
        <v>103</v>
      </c>
      <c r="J81" s="55">
        <v>3</v>
      </c>
      <c r="K81" s="7">
        <v>17697</v>
      </c>
      <c r="L81" s="157">
        <v>34</v>
      </c>
      <c r="M81" s="7">
        <f t="shared" ref="M81:M102" si="13">L81/18</f>
        <v>1.8888888888888888</v>
      </c>
      <c r="N81" s="45" t="s">
        <v>109</v>
      </c>
      <c r="O81" s="11">
        <v>4.1399999999999997</v>
      </c>
      <c r="P81" s="11"/>
      <c r="Q81" s="18">
        <f t="shared" si="7"/>
        <v>138390.53999999998</v>
      </c>
      <c r="R81" s="8"/>
      <c r="S81" s="7"/>
      <c r="T81" s="7">
        <v>0.1</v>
      </c>
      <c r="U81" s="18">
        <f t="shared" si="12"/>
        <v>13839.053999999998</v>
      </c>
      <c r="V81" s="9"/>
      <c r="W81" s="7"/>
      <c r="X81" s="10">
        <f t="shared" ref="X81:Z118" si="14">U81+Q81</f>
        <v>152229.59399999998</v>
      </c>
      <c r="Y81" s="406">
        <f t="shared" si="14"/>
        <v>0</v>
      </c>
      <c r="Z81" s="406">
        <f t="shared" si="14"/>
        <v>0</v>
      </c>
    </row>
    <row r="82" spans="1:26" s="377" customFormat="1" ht="17.25" customHeight="1">
      <c r="A82" s="5">
        <v>3</v>
      </c>
      <c r="B82" s="26" t="s">
        <v>116</v>
      </c>
      <c r="C82" s="6" t="s">
        <v>99</v>
      </c>
      <c r="D82" s="5" t="s">
        <v>64</v>
      </c>
      <c r="E82" s="33" t="s">
        <v>117</v>
      </c>
      <c r="F82" s="33" t="s">
        <v>114</v>
      </c>
      <c r="G82" s="5">
        <v>1</v>
      </c>
      <c r="H82" s="20" t="s">
        <v>102</v>
      </c>
      <c r="I82" s="20" t="s">
        <v>118</v>
      </c>
      <c r="J82" s="46">
        <v>1</v>
      </c>
      <c r="K82" s="7">
        <v>17697</v>
      </c>
      <c r="L82" s="47">
        <v>5</v>
      </c>
      <c r="M82" s="7">
        <f t="shared" si="13"/>
        <v>0.27777777777777779</v>
      </c>
      <c r="N82" s="55" t="s">
        <v>152</v>
      </c>
      <c r="O82" s="45">
        <v>4.5199999999999996</v>
      </c>
      <c r="P82" s="45">
        <v>3.89</v>
      </c>
      <c r="Q82" s="18">
        <f>O82*K82/18*L82</f>
        <v>22219.566666666666</v>
      </c>
      <c r="R82" s="8"/>
      <c r="S82" s="7"/>
      <c r="T82" s="7">
        <v>0.1</v>
      </c>
      <c r="U82" s="18">
        <f>T82*Q82</f>
        <v>2221.9566666666665</v>
      </c>
      <c r="V82" s="9"/>
      <c r="W82" s="7"/>
      <c r="X82" s="10">
        <f t="shared" si="14"/>
        <v>24441.523333333331</v>
      </c>
      <c r="Y82" s="406">
        <f t="shared" si="14"/>
        <v>0</v>
      </c>
      <c r="Z82" s="406">
        <f t="shared" si="14"/>
        <v>0</v>
      </c>
    </row>
    <row r="83" spans="1:26" s="377" customFormat="1" ht="17.25" customHeight="1">
      <c r="A83" s="5">
        <v>4</v>
      </c>
      <c r="B83" s="26" t="s">
        <v>124</v>
      </c>
      <c r="C83" s="6" t="s">
        <v>125</v>
      </c>
      <c r="D83" s="5" t="s">
        <v>75</v>
      </c>
      <c r="E83" s="244" t="s">
        <v>126</v>
      </c>
      <c r="F83" s="33" t="s">
        <v>108</v>
      </c>
      <c r="G83" s="5">
        <v>1</v>
      </c>
      <c r="H83" s="20" t="s">
        <v>102</v>
      </c>
      <c r="I83" s="20" t="s">
        <v>118</v>
      </c>
      <c r="J83" s="49">
        <v>4</v>
      </c>
      <c r="K83" s="7">
        <v>17697</v>
      </c>
      <c r="L83" s="47">
        <v>13</v>
      </c>
      <c r="M83" s="7">
        <f t="shared" si="13"/>
        <v>0.72222222222222221</v>
      </c>
      <c r="N83" s="55" t="s">
        <v>112</v>
      </c>
      <c r="O83" s="45">
        <v>3.41</v>
      </c>
      <c r="P83" s="45">
        <v>2.85</v>
      </c>
      <c r="Q83" s="18">
        <f>O83*K83/18*L83</f>
        <v>43583.778333333335</v>
      </c>
      <c r="R83" s="8"/>
      <c r="S83" s="7"/>
      <c r="T83" s="7">
        <v>0.1</v>
      </c>
      <c r="U83" s="18">
        <f>T83*Q83</f>
        <v>4358.3778333333339</v>
      </c>
      <c r="V83" s="9"/>
      <c r="W83" s="7"/>
      <c r="X83" s="10">
        <f t="shared" si="14"/>
        <v>47942.156166666668</v>
      </c>
      <c r="Y83" s="406">
        <f t="shared" si="14"/>
        <v>0</v>
      </c>
      <c r="Z83" s="406">
        <f t="shared" si="14"/>
        <v>0</v>
      </c>
    </row>
    <row r="84" spans="1:26" s="377" customFormat="1" ht="17.25" customHeight="1">
      <c r="A84" s="5">
        <v>5</v>
      </c>
      <c r="B84" s="26" t="s">
        <v>199</v>
      </c>
      <c r="C84" s="6" t="s">
        <v>99</v>
      </c>
      <c r="D84" s="20" t="s">
        <v>25</v>
      </c>
      <c r="E84" s="58" t="s">
        <v>158</v>
      </c>
      <c r="F84" s="33" t="s">
        <v>159</v>
      </c>
      <c r="G84" s="5">
        <v>1</v>
      </c>
      <c r="H84" s="20" t="s">
        <v>102</v>
      </c>
      <c r="I84" s="20" t="s">
        <v>118</v>
      </c>
      <c r="J84" s="49">
        <v>4</v>
      </c>
      <c r="K84" s="7">
        <v>17697</v>
      </c>
      <c r="L84" s="47">
        <v>12</v>
      </c>
      <c r="M84" s="7">
        <f t="shared" si="13"/>
        <v>0.66666666666666663</v>
      </c>
      <c r="N84" s="55" t="s">
        <v>112</v>
      </c>
      <c r="O84" s="45">
        <v>3.32</v>
      </c>
      <c r="P84" s="45"/>
      <c r="Q84" s="18">
        <f>O84*K84/18*L84</f>
        <v>39169.359999999993</v>
      </c>
      <c r="R84" s="8"/>
      <c r="S84" s="7"/>
      <c r="T84" s="7">
        <v>0.1</v>
      </c>
      <c r="U84" s="18">
        <f>T84*Q84</f>
        <v>3916.9359999999997</v>
      </c>
      <c r="V84" s="9"/>
      <c r="W84" s="7"/>
      <c r="X84" s="10">
        <f t="shared" si="14"/>
        <v>43086.295999999995</v>
      </c>
      <c r="Y84" s="406">
        <f t="shared" si="14"/>
        <v>0</v>
      </c>
      <c r="Z84" s="406">
        <f t="shared" si="14"/>
        <v>0</v>
      </c>
    </row>
    <row r="85" spans="1:26" s="377" customFormat="1" ht="17.25" customHeight="1">
      <c r="A85" s="5">
        <v>6</v>
      </c>
      <c r="B85" s="26" t="s">
        <v>127</v>
      </c>
      <c r="C85" s="6" t="s">
        <v>99</v>
      </c>
      <c r="D85" s="5" t="s">
        <v>25</v>
      </c>
      <c r="E85" s="33" t="s">
        <v>128</v>
      </c>
      <c r="F85" s="33" t="s">
        <v>34</v>
      </c>
      <c r="G85" s="5">
        <v>1</v>
      </c>
      <c r="H85" s="20" t="s">
        <v>102</v>
      </c>
      <c r="I85" s="20" t="s">
        <v>103</v>
      </c>
      <c r="J85" s="46">
        <v>1</v>
      </c>
      <c r="K85" s="7">
        <v>17697</v>
      </c>
      <c r="L85" s="47">
        <v>6</v>
      </c>
      <c r="M85" s="7">
        <f t="shared" si="13"/>
        <v>0.33333333333333331</v>
      </c>
      <c r="N85" s="55" t="s">
        <v>152</v>
      </c>
      <c r="O85" s="45">
        <v>4.75</v>
      </c>
      <c r="P85" s="45"/>
      <c r="Q85" s="18">
        <f t="shared" si="7"/>
        <v>28020.25</v>
      </c>
      <c r="R85" s="8"/>
      <c r="S85" s="7"/>
      <c r="T85" s="7">
        <v>0.1</v>
      </c>
      <c r="U85" s="18">
        <f>T85*Q85</f>
        <v>2802.0250000000001</v>
      </c>
      <c r="V85" s="9"/>
      <c r="W85" s="7"/>
      <c r="X85" s="10">
        <f t="shared" si="14"/>
        <v>30822.275000000001</v>
      </c>
      <c r="Y85" s="406">
        <f t="shared" si="14"/>
        <v>0</v>
      </c>
      <c r="Z85" s="406">
        <f t="shared" si="14"/>
        <v>0</v>
      </c>
    </row>
    <row r="86" spans="1:26" s="377" customFormat="1" ht="17.25" customHeight="1">
      <c r="A86" s="5">
        <v>7</v>
      </c>
      <c r="B86" s="153" t="s">
        <v>227</v>
      </c>
      <c r="C86" s="6" t="s">
        <v>99</v>
      </c>
      <c r="D86" s="5" t="s">
        <v>25</v>
      </c>
      <c r="E86" s="54" t="s">
        <v>228</v>
      </c>
      <c r="F86" s="54" t="s">
        <v>229</v>
      </c>
      <c r="G86" s="155">
        <v>1</v>
      </c>
      <c r="H86" s="156" t="s">
        <v>102</v>
      </c>
      <c r="I86" s="156" t="s">
        <v>103</v>
      </c>
      <c r="J86" s="55">
        <v>3</v>
      </c>
      <c r="K86" s="7">
        <v>17697</v>
      </c>
      <c r="L86" s="157">
        <v>28</v>
      </c>
      <c r="M86" s="7">
        <f t="shared" si="13"/>
        <v>1.5555555555555556</v>
      </c>
      <c r="N86" s="45" t="s">
        <v>109</v>
      </c>
      <c r="O86" s="11">
        <v>4</v>
      </c>
      <c r="P86" s="11"/>
      <c r="Q86" s="18">
        <f t="shared" si="7"/>
        <v>110114.66666666666</v>
      </c>
      <c r="R86" s="8"/>
      <c r="S86" s="7"/>
      <c r="T86" s="7">
        <v>0.1</v>
      </c>
      <c r="U86" s="18">
        <f t="shared" si="12"/>
        <v>11011.466666666667</v>
      </c>
      <c r="V86" s="9"/>
      <c r="W86" s="7"/>
      <c r="X86" s="10">
        <f t="shared" si="14"/>
        <v>121126.13333333333</v>
      </c>
      <c r="Y86" s="406">
        <f t="shared" si="14"/>
        <v>0</v>
      </c>
      <c r="Z86" s="406">
        <f t="shared" si="14"/>
        <v>0</v>
      </c>
    </row>
    <row r="87" spans="1:26" s="377" customFormat="1" ht="17.25" customHeight="1">
      <c r="A87" s="5">
        <v>8</v>
      </c>
      <c r="B87" s="153" t="s">
        <v>230</v>
      </c>
      <c r="C87" s="6" t="s">
        <v>99</v>
      </c>
      <c r="D87" s="5" t="s">
        <v>25</v>
      </c>
      <c r="E87" s="57" t="s">
        <v>231</v>
      </c>
      <c r="F87" s="57" t="s">
        <v>40</v>
      </c>
      <c r="G87" s="12">
        <v>1</v>
      </c>
      <c r="H87" s="156" t="s">
        <v>232</v>
      </c>
      <c r="I87" s="156" t="s">
        <v>233</v>
      </c>
      <c r="J87" s="55">
        <v>1</v>
      </c>
      <c r="K87" s="7">
        <v>17697</v>
      </c>
      <c r="L87" s="157">
        <v>36</v>
      </c>
      <c r="M87" s="7">
        <f t="shared" si="13"/>
        <v>2</v>
      </c>
      <c r="N87" s="55" t="s">
        <v>152</v>
      </c>
      <c r="O87" s="45">
        <v>4.75</v>
      </c>
      <c r="P87" s="45"/>
      <c r="Q87" s="18">
        <f t="shared" si="7"/>
        <v>168121.5</v>
      </c>
      <c r="R87" s="8"/>
      <c r="S87" s="7"/>
      <c r="T87" s="7">
        <v>0.1</v>
      </c>
      <c r="U87" s="18">
        <f t="shared" si="12"/>
        <v>16812.150000000001</v>
      </c>
      <c r="V87" s="9"/>
      <c r="W87" s="7"/>
      <c r="X87" s="10">
        <f t="shared" si="14"/>
        <v>184933.65</v>
      </c>
      <c r="Y87" s="406">
        <f t="shared" si="14"/>
        <v>0</v>
      </c>
      <c r="Z87" s="406">
        <f t="shared" si="14"/>
        <v>0</v>
      </c>
    </row>
    <row r="88" spans="1:26" s="377" customFormat="1" ht="17.25" customHeight="1">
      <c r="A88" s="5">
        <v>9</v>
      </c>
      <c r="B88" s="26" t="s">
        <v>133</v>
      </c>
      <c r="C88" s="6" t="s">
        <v>99</v>
      </c>
      <c r="D88" s="20" t="s">
        <v>25</v>
      </c>
      <c r="E88" s="33" t="s">
        <v>474</v>
      </c>
      <c r="F88" s="33" t="s">
        <v>34</v>
      </c>
      <c r="G88" s="5">
        <v>1</v>
      </c>
      <c r="H88" s="20" t="s">
        <v>102</v>
      </c>
      <c r="I88" s="20" t="s">
        <v>103</v>
      </c>
      <c r="J88" s="49">
        <v>1</v>
      </c>
      <c r="K88" s="7">
        <v>17697</v>
      </c>
      <c r="L88" s="47">
        <v>17</v>
      </c>
      <c r="M88" s="7">
        <f t="shared" si="13"/>
        <v>0.94444444444444442</v>
      </c>
      <c r="N88" s="55" t="s">
        <v>152</v>
      </c>
      <c r="O88" s="45">
        <v>4.75</v>
      </c>
      <c r="P88" s="45"/>
      <c r="Q88" s="18">
        <f>O88*K88/18*L88</f>
        <v>79390.708333333343</v>
      </c>
      <c r="R88" s="8"/>
      <c r="S88" s="7"/>
      <c r="T88" s="7">
        <v>0.1</v>
      </c>
      <c r="U88" s="18">
        <f>T88*Q88</f>
        <v>7939.070833333335</v>
      </c>
      <c r="V88" s="9"/>
      <c r="W88" s="7"/>
      <c r="X88" s="10">
        <f t="shared" si="14"/>
        <v>87329.779166666674</v>
      </c>
      <c r="Y88" s="406">
        <f t="shared" si="14"/>
        <v>0</v>
      </c>
      <c r="Z88" s="406">
        <f t="shared" si="14"/>
        <v>0</v>
      </c>
    </row>
    <row r="89" spans="1:26" s="377" customFormat="1" ht="17.25" customHeight="1">
      <c r="A89" s="5">
        <v>10</v>
      </c>
      <c r="B89" s="477" t="s">
        <v>436</v>
      </c>
      <c r="C89" s="6" t="s">
        <v>99</v>
      </c>
      <c r="D89" s="20" t="s">
        <v>75</v>
      </c>
      <c r="E89" s="33" t="s">
        <v>437</v>
      </c>
      <c r="F89" s="33" t="s">
        <v>438</v>
      </c>
      <c r="G89" s="5"/>
      <c r="H89" s="20" t="s">
        <v>102</v>
      </c>
      <c r="I89" s="20" t="s">
        <v>118</v>
      </c>
      <c r="J89" s="49">
        <v>4</v>
      </c>
      <c r="K89" s="7">
        <v>17697</v>
      </c>
      <c r="L89" s="47">
        <v>6</v>
      </c>
      <c r="M89" s="7">
        <f t="shared" si="13"/>
        <v>0.33333333333333331</v>
      </c>
      <c r="N89" s="55" t="s">
        <v>112</v>
      </c>
      <c r="O89" s="45">
        <v>3.32</v>
      </c>
      <c r="P89" s="45"/>
      <c r="Q89" s="18">
        <f>O89*K89/18*L89</f>
        <v>19584.679999999997</v>
      </c>
      <c r="R89" s="8"/>
      <c r="S89" s="7"/>
      <c r="T89" s="7">
        <v>0.1</v>
      </c>
      <c r="U89" s="18">
        <f>T89*Q89</f>
        <v>1958.4679999999998</v>
      </c>
      <c r="V89" s="9"/>
      <c r="W89" s="7"/>
      <c r="X89" s="10">
        <f t="shared" si="14"/>
        <v>21543.147999999997</v>
      </c>
      <c r="Y89" s="406"/>
      <c r="Z89" s="406"/>
    </row>
    <row r="90" spans="1:26" s="377" customFormat="1" ht="17.25" customHeight="1">
      <c r="A90" s="5">
        <v>11</v>
      </c>
      <c r="B90" s="153" t="s">
        <v>360</v>
      </c>
      <c r="C90" s="6" t="s">
        <v>99</v>
      </c>
      <c r="D90" s="20" t="s">
        <v>25</v>
      </c>
      <c r="E90" s="54" t="s">
        <v>361</v>
      </c>
      <c r="F90" s="54" t="s">
        <v>362</v>
      </c>
      <c r="G90" s="155">
        <v>1</v>
      </c>
      <c r="H90" s="156" t="s">
        <v>102</v>
      </c>
      <c r="I90" s="156" t="s">
        <v>103</v>
      </c>
      <c r="J90" s="55">
        <v>3</v>
      </c>
      <c r="K90" s="7">
        <v>17697</v>
      </c>
      <c r="L90" s="157">
        <v>24</v>
      </c>
      <c r="M90" s="7">
        <f t="shared" si="13"/>
        <v>1.3333333333333333</v>
      </c>
      <c r="N90" s="45" t="s">
        <v>109</v>
      </c>
      <c r="O90" s="11">
        <v>4.28</v>
      </c>
      <c r="P90" s="11"/>
      <c r="Q90" s="18">
        <f t="shared" si="7"/>
        <v>100990.88</v>
      </c>
      <c r="R90" s="8"/>
      <c r="S90" s="7"/>
      <c r="T90" s="7">
        <v>0.1</v>
      </c>
      <c r="U90" s="18">
        <f t="shared" si="12"/>
        <v>10099.088000000002</v>
      </c>
      <c r="V90" s="9"/>
      <c r="W90" s="7"/>
      <c r="X90" s="10">
        <f t="shared" si="14"/>
        <v>111089.96800000001</v>
      </c>
      <c r="Y90" s="406">
        <f t="shared" si="14"/>
        <v>0</v>
      </c>
      <c r="Z90" s="406">
        <f t="shared" si="14"/>
        <v>0</v>
      </c>
    </row>
    <row r="91" spans="1:26" s="377" customFormat="1" ht="17.25" customHeight="1">
      <c r="A91" s="5">
        <v>12</v>
      </c>
      <c r="B91" s="26" t="s">
        <v>160</v>
      </c>
      <c r="C91" s="6" t="s">
        <v>148</v>
      </c>
      <c r="D91" s="20" t="s">
        <v>25</v>
      </c>
      <c r="E91" s="33" t="s">
        <v>484</v>
      </c>
      <c r="F91" s="33" t="s">
        <v>34</v>
      </c>
      <c r="G91" s="5">
        <v>1</v>
      </c>
      <c r="H91" s="20" t="s">
        <v>102</v>
      </c>
      <c r="I91" s="20" t="s">
        <v>103</v>
      </c>
      <c r="J91" s="46">
        <v>3</v>
      </c>
      <c r="K91" s="7">
        <v>17697</v>
      </c>
      <c r="L91" s="47">
        <v>11</v>
      </c>
      <c r="M91" s="7">
        <f t="shared" si="13"/>
        <v>0.61111111111111116</v>
      </c>
      <c r="N91" s="45" t="s">
        <v>109</v>
      </c>
      <c r="O91" s="45">
        <v>4.3</v>
      </c>
      <c r="P91" s="45"/>
      <c r="Q91" s="18">
        <f t="shared" si="7"/>
        <v>46503.783333333326</v>
      </c>
      <c r="R91" s="8"/>
      <c r="S91" s="7"/>
      <c r="T91" s="7">
        <v>0.1</v>
      </c>
      <c r="U91" s="18">
        <f>T91*Q91</f>
        <v>4650.3783333333331</v>
      </c>
      <c r="V91" s="9"/>
      <c r="W91" s="7"/>
      <c r="X91" s="10">
        <f t="shared" si="14"/>
        <v>51154.16166666666</v>
      </c>
      <c r="Y91" s="406">
        <f t="shared" si="14"/>
        <v>0</v>
      </c>
      <c r="Z91" s="406">
        <f t="shared" si="14"/>
        <v>0</v>
      </c>
    </row>
    <row r="92" spans="1:26" s="377" customFormat="1" ht="17.25" customHeight="1">
      <c r="A92" s="5">
        <v>13</v>
      </c>
      <c r="B92" s="26" t="s">
        <v>162</v>
      </c>
      <c r="C92" s="6" t="s">
        <v>99</v>
      </c>
      <c r="D92" s="20" t="s">
        <v>64</v>
      </c>
      <c r="E92" s="33" t="s">
        <v>485</v>
      </c>
      <c r="F92" s="33" t="s">
        <v>77</v>
      </c>
      <c r="G92" s="5">
        <v>1</v>
      </c>
      <c r="H92" s="20" t="s">
        <v>102</v>
      </c>
      <c r="I92" s="20" t="s">
        <v>118</v>
      </c>
      <c r="J92" s="49">
        <v>4</v>
      </c>
      <c r="K92" s="7">
        <v>17697</v>
      </c>
      <c r="L92" s="47">
        <v>22</v>
      </c>
      <c r="M92" s="7">
        <f t="shared" si="13"/>
        <v>1.2222222222222223</v>
      </c>
      <c r="N92" s="55" t="s">
        <v>112</v>
      </c>
      <c r="O92" s="45">
        <v>3.41</v>
      </c>
      <c r="P92" s="45"/>
      <c r="Q92" s="18">
        <f>O92*K92/18*L92</f>
        <v>73757.16333333333</v>
      </c>
      <c r="R92" s="8"/>
      <c r="S92" s="7"/>
      <c r="T92" s="7">
        <v>0.1</v>
      </c>
      <c r="U92" s="18">
        <f>T92*Q92</f>
        <v>7375.7163333333338</v>
      </c>
      <c r="V92" s="9"/>
      <c r="W92" s="7"/>
      <c r="X92" s="10">
        <f t="shared" si="14"/>
        <v>81132.87966666666</v>
      </c>
      <c r="Y92" s="406">
        <f t="shared" si="14"/>
        <v>0</v>
      </c>
      <c r="Z92" s="406">
        <f t="shared" si="14"/>
        <v>0</v>
      </c>
    </row>
    <row r="93" spans="1:26" s="377" customFormat="1" ht="17.25" customHeight="1">
      <c r="A93" s="5">
        <v>14</v>
      </c>
      <c r="B93" s="153" t="s">
        <v>237</v>
      </c>
      <c r="C93" s="6" t="s">
        <v>99</v>
      </c>
      <c r="D93" s="20" t="s">
        <v>25</v>
      </c>
      <c r="E93" s="54" t="s">
        <v>238</v>
      </c>
      <c r="F93" s="54" t="s">
        <v>239</v>
      </c>
      <c r="G93" s="155">
        <v>1</v>
      </c>
      <c r="H93" s="156" t="s">
        <v>102</v>
      </c>
      <c r="I93" s="156" t="s">
        <v>103</v>
      </c>
      <c r="J93" s="55">
        <v>2</v>
      </c>
      <c r="K93" s="7">
        <v>17697</v>
      </c>
      <c r="L93" s="157">
        <v>25</v>
      </c>
      <c r="M93" s="7">
        <f t="shared" si="13"/>
        <v>1.3888888888888888</v>
      </c>
      <c r="N93" s="45" t="s">
        <v>104</v>
      </c>
      <c r="O93" s="11">
        <v>4.2300000000000004</v>
      </c>
      <c r="P93" s="11"/>
      <c r="Q93" s="18">
        <f t="shared" si="7"/>
        <v>103969.87500000003</v>
      </c>
      <c r="R93" s="8"/>
      <c r="S93" s="7"/>
      <c r="T93" s="7">
        <v>0.1</v>
      </c>
      <c r="U93" s="18">
        <f t="shared" si="12"/>
        <v>10396.987500000003</v>
      </c>
      <c r="V93" s="9"/>
      <c r="W93" s="7"/>
      <c r="X93" s="10">
        <f>U93+Q93</f>
        <v>114366.86250000003</v>
      </c>
      <c r="Y93" s="406">
        <f>V93+R93</f>
        <v>0</v>
      </c>
      <c r="Z93" s="406">
        <f>W93+S93</f>
        <v>0</v>
      </c>
    </row>
    <row r="94" spans="1:26" s="377" customFormat="1" ht="17.25" customHeight="1">
      <c r="A94" s="5">
        <v>15</v>
      </c>
      <c r="B94" s="153" t="s">
        <v>281</v>
      </c>
      <c r="C94" s="6" t="s">
        <v>99</v>
      </c>
      <c r="D94" s="14" t="s">
        <v>25</v>
      </c>
      <c r="E94" s="536" t="s">
        <v>430</v>
      </c>
      <c r="F94" s="54" t="s">
        <v>40</v>
      </c>
      <c r="G94" s="5">
        <v>1</v>
      </c>
      <c r="H94" s="20" t="s">
        <v>102</v>
      </c>
      <c r="I94" s="20" t="s">
        <v>103</v>
      </c>
      <c r="J94" s="171">
        <v>1</v>
      </c>
      <c r="K94" s="7">
        <v>17697</v>
      </c>
      <c r="L94" s="157">
        <v>12</v>
      </c>
      <c r="M94" s="7">
        <f t="shared" si="13"/>
        <v>0.66666666666666663</v>
      </c>
      <c r="N94" s="55" t="s">
        <v>152</v>
      </c>
      <c r="O94" s="11">
        <v>4.75</v>
      </c>
      <c r="P94" s="11"/>
      <c r="Q94" s="18">
        <f t="shared" si="7"/>
        <v>56040.5</v>
      </c>
      <c r="R94" s="8"/>
      <c r="S94" s="7"/>
      <c r="T94" s="7">
        <v>0.1</v>
      </c>
      <c r="U94" s="18">
        <f t="shared" si="12"/>
        <v>5604.05</v>
      </c>
      <c r="V94" s="9"/>
      <c r="W94" s="7"/>
      <c r="X94" s="10">
        <f>U94+Q94</f>
        <v>61644.55</v>
      </c>
      <c r="Y94" s="406"/>
      <c r="Z94" s="406"/>
    </row>
    <row r="95" spans="1:26" s="377" customFormat="1" ht="17.25" customHeight="1">
      <c r="A95" s="5">
        <v>16</v>
      </c>
      <c r="B95" s="153" t="s">
        <v>243</v>
      </c>
      <c r="C95" s="6" t="s">
        <v>99</v>
      </c>
      <c r="D95" s="20" t="s">
        <v>25</v>
      </c>
      <c r="E95" s="54" t="s">
        <v>244</v>
      </c>
      <c r="F95" s="54" t="s">
        <v>239</v>
      </c>
      <c r="G95" s="155">
        <v>1</v>
      </c>
      <c r="H95" s="156" t="s">
        <v>102</v>
      </c>
      <c r="I95" s="156" t="s">
        <v>103</v>
      </c>
      <c r="J95" s="55">
        <v>3</v>
      </c>
      <c r="K95" s="7">
        <v>17697</v>
      </c>
      <c r="L95" s="157">
        <v>36</v>
      </c>
      <c r="M95" s="7">
        <f t="shared" si="13"/>
        <v>2</v>
      </c>
      <c r="N95" s="45" t="s">
        <v>109</v>
      </c>
      <c r="O95" s="11">
        <v>4.1399999999999997</v>
      </c>
      <c r="P95" s="11"/>
      <c r="Q95" s="18">
        <f t="shared" si="7"/>
        <v>146531.15999999997</v>
      </c>
      <c r="R95" s="8"/>
      <c r="S95" s="7"/>
      <c r="T95" s="7">
        <v>0.1</v>
      </c>
      <c r="U95" s="18">
        <f t="shared" si="12"/>
        <v>14653.115999999998</v>
      </c>
      <c r="V95" s="9"/>
      <c r="W95" s="7"/>
      <c r="X95" s="10">
        <f t="shared" si="14"/>
        <v>161184.27599999998</v>
      </c>
      <c r="Y95" s="406">
        <f t="shared" si="14"/>
        <v>0</v>
      </c>
      <c r="Z95" s="406">
        <f t="shared" si="14"/>
        <v>0</v>
      </c>
    </row>
    <row r="96" spans="1:26" s="377" customFormat="1" ht="17.25" customHeight="1">
      <c r="A96" s="5">
        <v>17</v>
      </c>
      <c r="B96" s="153" t="s">
        <v>245</v>
      </c>
      <c r="C96" s="6" t="s">
        <v>99</v>
      </c>
      <c r="D96" s="20" t="s">
        <v>25</v>
      </c>
      <c r="E96" s="54" t="s">
        <v>246</v>
      </c>
      <c r="F96" s="54" t="s">
        <v>40</v>
      </c>
      <c r="G96" s="155">
        <v>1</v>
      </c>
      <c r="H96" s="156" t="s">
        <v>102</v>
      </c>
      <c r="I96" s="156" t="s">
        <v>103</v>
      </c>
      <c r="J96" s="55">
        <v>1</v>
      </c>
      <c r="K96" s="7">
        <v>17697</v>
      </c>
      <c r="L96" s="157">
        <v>33</v>
      </c>
      <c r="M96" s="7">
        <f t="shared" si="13"/>
        <v>1.8333333333333333</v>
      </c>
      <c r="N96" s="55" t="s">
        <v>152</v>
      </c>
      <c r="O96" s="11">
        <v>4.75</v>
      </c>
      <c r="P96" s="11"/>
      <c r="Q96" s="18">
        <f t="shared" si="7"/>
        <v>154111.375</v>
      </c>
      <c r="R96" s="8"/>
      <c r="S96" s="7"/>
      <c r="T96" s="7">
        <v>0.1</v>
      </c>
      <c r="U96" s="18">
        <f t="shared" si="12"/>
        <v>15411.137500000001</v>
      </c>
      <c r="V96" s="9"/>
      <c r="W96" s="7"/>
      <c r="X96" s="10">
        <f t="shared" si="14"/>
        <v>169522.51250000001</v>
      </c>
      <c r="Y96" s="406">
        <f t="shared" si="14"/>
        <v>0</v>
      </c>
      <c r="Z96" s="406">
        <f t="shared" si="14"/>
        <v>0</v>
      </c>
    </row>
    <row r="97" spans="1:44" s="377" customFormat="1" ht="17.25" customHeight="1">
      <c r="A97" s="5">
        <v>18</v>
      </c>
      <c r="B97" s="153" t="s">
        <v>250</v>
      </c>
      <c r="C97" s="6" t="s">
        <v>99</v>
      </c>
      <c r="D97" s="20" t="s">
        <v>64</v>
      </c>
      <c r="E97" s="54" t="s">
        <v>251</v>
      </c>
      <c r="F97" s="54" t="s">
        <v>252</v>
      </c>
      <c r="G97" s="155">
        <v>1</v>
      </c>
      <c r="H97" s="156" t="s">
        <v>102</v>
      </c>
      <c r="I97" s="156" t="s">
        <v>118</v>
      </c>
      <c r="J97" s="55">
        <v>3</v>
      </c>
      <c r="K97" s="7">
        <v>17697</v>
      </c>
      <c r="L97" s="157">
        <v>22</v>
      </c>
      <c r="M97" s="7">
        <f t="shared" si="13"/>
        <v>1.2222222222222223</v>
      </c>
      <c r="N97" s="45" t="s">
        <v>109</v>
      </c>
      <c r="O97" s="11">
        <v>3.97</v>
      </c>
      <c r="P97" s="11"/>
      <c r="Q97" s="18">
        <f t="shared" si="7"/>
        <v>85869.776666666672</v>
      </c>
      <c r="R97" s="8"/>
      <c r="S97" s="7"/>
      <c r="T97" s="7">
        <v>0.1</v>
      </c>
      <c r="U97" s="18">
        <f t="shared" si="12"/>
        <v>8586.9776666666676</v>
      </c>
      <c r="V97" s="9"/>
      <c r="W97" s="7"/>
      <c r="X97" s="10">
        <f t="shared" si="14"/>
        <v>94456.754333333345</v>
      </c>
      <c r="Y97" s="406">
        <f t="shared" si="14"/>
        <v>0</v>
      </c>
      <c r="Z97" s="406">
        <f t="shared" si="14"/>
        <v>0</v>
      </c>
    </row>
    <row r="98" spans="1:44" s="377" customFormat="1" ht="17.25" customHeight="1">
      <c r="A98" s="5">
        <v>19</v>
      </c>
      <c r="B98" s="153" t="s">
        <v>253</v>
      </c>
      <c r="C98" s="6" t="s">
        <v>148</v>
      </c>
      <c r="D98" s="20" t="s">
        <v>25</v>
      </c>
      <c r="E98" s="54" t="s">
        <v>254</v>
      </c>
      <c r="F98" s="54" t="s">
        <v>242</v>
      </c>
      <c r="G98" s="155">
        <v>1</v>
      </c>
      <c r="H98" s="156" t="s">
        <v>102</v>
      </c>
      <c r="I98" s="156" t="s">
        <v>103</v>
      </c>
      <c r="J98" s="55">
        <v>1</v>
      </c>
      <c r="K98" s="7">
        <v>17697</v>
      </c>
      <c r="L98" s="157">
        <v>35</v>
      </c>
      <c r="M98" s="7">
        <f t="shared" si="13"/>
        <v>1.9444444444444444</v>
      </c>
      <c r="N98" s="45" t="s">
        <v>104</v>
      </c>
      <c r="O98" s="11">
        <v>4.75</v>
      </c>
      <c r="P98" s="11"/>
      <c r="Q98" s="18">
        <f t="shared" si="7"/>
        <v>163451.45833333334</v>
      </c>
      <c r="R98" s="8"/>
      <c r="S98" s="7"/>
      <c r="T98" s="7">
        <v>0.1</v>
      </c>
      <c r="U98" s="18">
        <f t="shared" si="12"/>
        <v>16345.145833333336</v>
      </c>
      <c r="V98" s="9"/>
      <c r="W98" s="7"/>
      <c r="X98" s="10">
        <f t="shared" si="14"/>
        <v>179796.60416666669</v>
      </c>
      <c r="Y98" s="406">
        <f t="shared" si="14"/>
        <v>0</v>
      </c>
      <c r="Z98" s="406">
        <f t="shared" si="14"/>
        <v>0</v>
      </c>
    </row>
    <row r="99" spans="1:44" s="377" customFormat="1" ht="17.25" customHeight="1">
      <c r="A99" s="5">
        <v>20</v>
      </c>
      <c r="B99" s="159" t="s">
        <v>255</v>
      </c>
      <c r="C99" s="39" t="s">
        <v>99</v>
      </c>
      <c r="D99" s="60" t="s">
        <v>25</v>
      </c>
      <c r="E99" s="537" t="s">
        <v>256</v>
      </c>
      <c r="F99" s="537" t="s">
        <v>40</v>
      </c>
      <c r="G99" s="161">
        <v>1</v>
      </c>
      <c r="H99" s="162" t="s">
        <v>102</v>
      </c>
      <c r="I99" s="162" t="s">
        <v>103</v>
      </c>
      <c r="J99" s="163">
        <v>1</v>
      </c>
      <c r="K99" s="34">
        <v>17697</v>
      </c>
      <c r="L99" s="164">
        <v>35</v>
      </c>
      <c r="M99" s="7">
        <f t="shared" si="13"/>
        <v>1.9444444444444444</v>
      </c>
      <c r="N99" s="55" t="s">
        <v>152</v>
      </c>
      <c r="O99" s="48">
        <v>4.75</v>
      </c>
      <c r="P99" s="48"/>
      <c r="Q99" s="36">
        <f t="shared" ref="Q99:Q118" si="15">O99*K99/18*L99</f>
        <v>163451.45833333334</v>
      </c>
      <c r="R99" s="37"/>
      <c r="S99" s="34"/>
      <c r="T99" s="34">
        <v>0.1</v>
      </c>
      <c r="U99" s="36">
        <f t="shared" si="12"/>
        <v>16345.145833333336</v>
      </c>
      <c r="V99" s="38"/>
      <c r="W99" s="34"/>
      <c r="X99" s="35">
        <f t="shared" si="14"/>
        <v>179796.60416666669</v>
      </c>
      <c r="Y99" s="437">
        <f t="shared" si="14"/>
        <v>0</v>
      </c>
      <c r="Z99" s="437">
        <f t="shared" si="14"/>
        <v>0</v>
      </c>
    </row>
    <row r="100" spans="1:44" s="486" customFormat="1" ht="17.25" customHeight="1">
      <c r="A100" s="5">
        <v>21</v>
      </c>
      <c r="B100" s="153" t="s">
        <v>257</v>
      </c>
      <c r="C100" s="6" t="s">
        <v>99</v>
      </c>
      <c r="D100" s="20" t="s">
        <v>25</v>
      </c>
      <c r="E100" s="54" t="s">
        <v>258</v>
      </c>
      <c r="F100" s="54" t="s">
        <v>259</v>
      </c>
      <c r="G100" s="155">
        <v>1</v>
      </c>
      <c r="H100" s="156" t="s">
        <v>102</v>
      </c>
      <c r="I100" s="156" t="s">
        <v>103</v>
      </c>
      <c r="J100" s="55">
        <v>2</v>
      </c>
      <c r="K100" s="7">
        <v>17697</v>
      </c>
      <c r="L100" s="157">
        <v>30</v>
      </c>
      <c r="M100" s="7">
        <f t="shared" si="13"/>
        <v>1.6666666666666667</v>
      </c>
      <c r="N100" s="45" t="s">
        <v>104</v>
      </c>
      <c r="O100" s="11">
        <v>4.16</v>
      </c>
      <c r="P100" s="11"/>
      <c r="Q100" s="18">
        <f t="shared" si="15"/>
        <v>122699.2</v>
      </c>
      <c r="R100" s="8"/>
      <c r="S100" s="7"/>
      <c r="T100" s="7">
        <v>0.1</v>
      </c>
      <c r="U100" s="18">
        <f t="shared" si="12"/>
        <v>12269.92</v>
      </c>
      <c r="V100" s="9"/>
      <c r="W100" s="7"/>
      <c r="X100" s="10">
        <f t="shared" si="14"/>
        <v>134969.12</v>
      </c>
      <c r="Y100" s="406">
        <f t="shared" si="14"/>
        <v>0</v>
      </c>
      <c r="Z100" s="406">
        <f t="shared" si="14"/>
        <v>0</v>
      </c>
    </row>
    <row r="101" spans="1:44" s="375" customFormat="1" ht="17.25" customHeight="1">
      <c r="A101" s="5">
        <v>22</v>
      </c>
      <c r="B101" s="153" t="s">
        <v>439</v>
      </c>
      <c r="C101" s="6" t="s">
        <v>99</v>
      </c>
      <c r="D101" s="20"/>
      <c r="E101" s="54" t="s">
        <v>440</v>
      </c>
      <c r="F101" s="54" t="s">
        <v>159</v>
      </c>
      <c r="G101" s="155">
        <v>1</v>
      </c>
      <c r="H101" s="156" t="s">
        <v>102</v>
      </c>
      <c r="I101" s="156" t="s">
        <v>118</v>
      </c>
      <c r="J101" s="55">
        <v>4</v>
      </c>
      <c r="K101" s="7">
        <v>17697</v>
      </c>
      <c r="L101" s="157">
        <v>6</v>
      </c>
      <c r="M101" s="7">
        <f t="shared" si="13"/>
        <v>0.33333333333333331</v>
      </c>
      <c r="N101" s="55" t="s">
        <v>112</v>
      </c>
      <c r="O101" s="11">
        <v>3.32</v>
      </c>
      <c r="P101" s="11"/>
      <c r="Q101" s="18">
        <f t="shared" si="15"/>
        <v>19584.679999999997</v>
      </c>
      <c r="R101" s="8"/>
      <c r="S101" s="7"/>
      <c r="T101" s="7">
        <v>0.1</v>
      </c>
      <c r="U101" s="18">
        <f t="shared" si="12"/>
        <v>1958.4679999999998</v>
      </c>
      <c r="V101" s="9"/>
      <c r="W101" s="7"/>
      <c r="X101" s="10">
        <f>U101+Q101</f>
        <v>21543.147999999997</v>
      </c>
      <c r="Y101" s="406"/>
      <c r="Z101" s="406"/>
    </row>
    <row r="102" spans="1:44" s="375" customFormat="1" ht="17.25" customHeight="1">
      <c r="A102" s="5">
        <v>23</v>
      </c>
      <c r="B102" s="153" t="s">
        <v>388</v>
      </c>
      <c r="C102" s="6" t="s">
        <v>99</v>
      </c>
      <c r="D102" s="20" t="s">
        <v>189</v>
      </c>
      <c r="E102" s="54" t="s">
        <v>390</v>
      </c>
      <c r="F102" s="54" t="s">
        <v>34</v>
      </c>
      <c r="G102" s="155">
        <v>1</v>
      </c>
      <c r="H102" s="156" t="s">
        <v>102</v>
      </c>
      <c r="I102" s="156" t="s">
        <v>103</v>
      </c>
      <c r="J102" s="55">
        <v>1</v>
      </c>
      <c r="K102" s="7">
        <v>17697</v>
      </c>
      <c r="L102" s="157">
        <v>9</v>
      </c>
      <c r="M102" s="7">
        <f t="shared" si="13"/>
        <v>0.5</v>
      </c>
      <c r="N102" s="55" t="s">
        <v>152</v>
      </c>
      <c r="O102" s="11">
        <v>4.75</v>
      </c>
      <c r="P102" s="11"/>
      <c r="Q102" s="18">
        <f t="shared" si="15"/>
        <v>42030.375</v>
      </c>
      <c r="R102" s="8"/>
      <c r="S102" s="7"/>
      <c r="T102" s="7">
        <v>0.1</v>
      </c>
      <c r="U102" s="18">
        <f t="shared" si="12"/>
        <v>4203.0375000000004</v>
      </c>
      <c r="V102" s="9"/>
      <c r="W102" s="7"/>
      <c r="X102" s="10">
        <f>U102+Q102</f>
        <v>46233.412499999999</v>
      </c>
      <c r="Y102" s="406">
        <f>V102+R102</f>
        <v>0</v>
      </c>
      <c r="Z102" s="406">
        <f>W102+S102</f>
        <v>0</v>
      </c>
    </row>
    <row r="103" spans="1:44" s="205" customFormat="1" ht="17.25" customHeight="1">
      <c r="A103" s="95"/>
      <c r="B103" s="250"/>
      <c r="C103" s="106"/>
      <c r="D103" s="93"/>
      <c r="E103" s="538"/>
      <c r="F103" s="538"/>
      <c r="G103" s="251"/>
      <c r="H103" s="252"/>
      <c r="I103" s="252"/>
      <c r="J103" s="253"/>
      <c r="K103" s="97"/>
      <c r="L103" s="254">
        <f>SUM(L80:L102)</f>
        <v>477</v>
      </c>
      <c r="M103" s="97"/>
      <c r="N103" s="253"/>
      <c r="O103" s="199"/>
      <c r="P103" s="255"/>
      <c r="Q103" s="101"/>
      <c r="R103" s="102"/>
      <c r="S103" s="97"/>
      <c r="T103" s="97"/>
      <c r="U103" s="101"/>
      <c r="V103" s="103"/>
      <c r="W103" s="97"/>
      <c r="X103" s="203">
        <f>SUM(X80:X102)</f>
        <v>2221788.5451666671</v>
      </c>
      <c r="Y103" s="104"/>
      <c r="Z103" s="10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</row>
    <row r="104" spans="1:44" s="377" customFormat="1" ht="17.25" customHeight="1">
      <c r="A104" s="42">
        <v>1</v>
      </c>
      <c r="B104" s="165" t="s">
        <v>36</v>
      </c>
      <c r="C104" s="166" t="s">
        <v>99</v>
      </c>
      <c r="D104" s="167" t="s">
        <v>25</v>
      </c>
      <c r="E104" s="539" t="s">
        <v>424</v>
      </c>
      <c r="F104" s="540" t="s">
        <v>40</v>
      </c>
      <c r="G104" s="42">
        <v>1</v>
      </c>
      <c r="H104" s="66" t="s">
        <v>102</v>
      </c>
      <c r="I104" s="66" t="s">
        <v>103</v>
      </c>
      <c r="J104" s="168">
        <v>1</v>
      </c>
      <c r="K104" s="44">
        <v>17697</v>
      </c>
      <c r="L104" s="169">
        <v>9</v>
      </c>
      <c r="M104" s="44">
        <f>L104/18</f>
        <v>0.5</v>
      </c>
      <c r="N104" s="55" t="s">
        <v>152</v>
      </c>
      <c r="O104" s="167">
        <v>4.75</v>
      </c>
      <c r="P104" s="167"/>
      <c r="Q104" s="67">
        <f t="shared" si="15"/>
        <v>42030.375</v>
      </c>
      <c r="R104" s="68"/>
      <c r="S104" s="44"/>
      <c r="T104" s="44">
        <v>0.1</v>
      </c>
      <c r="U104" s="67">
        <f t="shared" si="12"/>
        <v>4203.0375000000004</v>
      </c>
      <c r="V104" s="69"/>
      <c r="W104" s="44"/>
      <c r="X104" s="70">
        <f t="shared" si="14"/>
        <v>46233.412499999999</v>
      </c>
      <c r="Y104" s="363">
        <f t="shared" si="14"/>
        <v>0</v>
      </c>
      <c r="Z104" s="363">
        <f t="shared" si="14"/>
        <v>0</v>
      </c>
    </row>
    <row r="105" spans="1:44" s="377" customFormat="1" ht="17.25" customHeight="1">
      <c r="A105" s="42">
        <v>2</v>
      </c>
      <c r="B105" s="71" t="s">
        <v>261</v>
      </c>
      <c r="C105" s="13" t="s">
        <v>99</v>
      </c>
      <c r="D105" s="14" t="s">
        <v>25</v>
      </c>
      <c r="E105" s="536" t="s">
        <v>435</v>
      </c>
      <c r="F105" s="54" t="s">
        <v>425</v>
      </c>
      <c r="G105" s="5">
        <v>1</v>
      </c>
      <c r="H105" s="20" t="s">
        <v>102</v>
      </c>
      <c r="I105" s="20" t="s">
        <v>103</v>
      </c>
      <c r="J105" s="171">
        <v>2</v>
      </c>
      <c r="K105" s="7">
        <v>17697</v>
      </c>
      <c r="L105" s="172">
        <v>35</v>
      </c>
      <c r="M105" s="7">
        <f t="shared" ref="M105:M121" si="16">L105/18</f>
        <v>1.9444444444444444</v>
      </c>
      <c r="N105" s="45" t="s">
        <v>104</v>
      </c>
      <c r="O105" s="14">
        <v>4.49</v>
      </c>
      <c r="P105" s="14"/>
      <c r="Q105" s="18">
        <f t="shared" si="15"/>
        <v>154504.64166666666</v>
      </c>
      <c r="R105" s="8"/>
      <c r="S105" s="7"/>
      <c r="T105" s="7">
        <v>0.1</v>
      </c>
      <c r="U105" s="18">
        <f t="shared" si="12"/>
        <v>15450.464166666667</v>
      </c>
      <c r="V105" s="9"/>
      <c r="W105" s="7"/>
      <c r="X105" s="10">
        <f t="shared" si="14"/>
        <v>169955.10583333333</v>
      </c>
      <c r="Y105" s="406">
        <f t="shared" si="14"/>
        <v>0</v>
      </c>
      <c r="Z105" s="406">
        <f t="shared" si="14"/>
        <v>0</v>
      </c>
    </row>
    <row r="106" spans="1:44" s="377" customFormat="1" ht="16.5" customHeight="1">
      <c r="A106" s="42">
        <v>3</v>
      </c>
      <c r="B106" s="13" t="s">
        <v>264</v>
      </c>
      <c r="C106" s="13" t="s">
        <v>99</v>
      </c>
      <c r="D106" s="14" t="s">
        <v>25</v>
      </c>
      <c r="E106" s="536" t="s">
        <v>426</v>
      </c>
      <c r="F106" s="54" t="s">
        <v>40</v>
      </c>
      <c r="G106" s="5">
        <v>1</v>
      </c>
      <c r="H106" s="20" t="s">
        <v>102</v>
      </c>
      <c r="I106" s="20" t="s">
        <v>103</v>
      </c>
      <c r="J106" s="171">
        <v>1</v>
      </c>
      <c r="K106" s="7">
        <v>17697</v>
      </c>
      <c r="L106" s="172">
        <v>36</v>
      </c>
      <c r="M106" s="7">
        <f t="shared" si="16"/>
        <v>2</v>
      </c>
      <c r="N106" s="55" t="s">
        <v>152</v>
      </c>
      <c r="O106" s="14">
        <v>4.75</v>
      </c>
      <c r="P106" s="14"/>
      <c r="Q106" s="18">
        <f t="shared" si="15"/>
        <v>168121.5</v>
      </c>
      <c r="R106" s="8"/>
      <c r="S106" s="7"/>
      <c r="T106" s="7">
        <v>0.1</v>
      </c>
      <c r="U106" s="18">
        <f t="shared" si="12"/>
        <v>16812.150000000001</v>
      </c>
      <c r="V106" s="9"/>
      <c r="W106" s="7"/>
      <c r="X106" s="10">
        <f t="shared" si="14"/>
        <v>184933.65</v>
      </c>
      <c r="Y106" s="406">
        <f t="shared" si="14"/>
        <v>0</v>
      </c>
      <c r="Z106" s="406">
        <f t="shared" si="14"/>
        <v>0</v>
      </c>
    </row>
    <row r="107" spans="1:44" s="377" customFormat="1" ht="17.25" customHeight="1">
      <c r="A107" s="42">
        <v>4</v>
      </c>
      <c r="B107" s="13" t="s">
        <v>268</v>
      </c>
      <c r="C107" s="13" t="s">
        <v>99</v>
      </c>
      <c r="D107" s="14" t="s">
        <v>25</v>
      </c>
      <c r="E107" s="536" t="s">
        <v>427</v>
      </c>
      <c r="F107" s="54" t="s">
        <v>40</v>
      </c>
      <c r="G107" s="5">
        <v>1</v>
      </c>
      <c r="H107" s="20" t="s">
        <v>102</v>
      </c>
      <c r="I107" s="20" t="s">
        <v>103</v>
      </c>
      <c r="J107" s="171">
        <v>1</v>
      </c>
      <c r="K107" s="7">
        <v>17697</v>
      </c>
      <c r="L107" s="172">
        <v>36</v>
      </c>
      <c r="M107" s="7">
        <f t="shared" si="16"/>
        <v>2</v>
      </c>
      <c r="N107" s="55" t="s">
        <v>152</v>
      </c>
      <c r="O107" s="14">
        <v>4.75</v>
      </c>
      <c r="P107" s="14"/>
      <c r="Q107" s="18">
        <f t="shared" si="15"/>
        <v>168121.5</v>
      </c>
      <c r="R107" s="8"/>
      <c r="S107" s="7"/>
      <c r="T107" s="7">
        <v>0.1</v>
      </c>
      <c r="U107" s="18">
        <f t="shared" si="12"/>
        <v>16812.150000000001</v>
      </c>
      <c r="V107" s="9"/>
      <c r="W107" s="7"/>
      <c r="X107" s="10">
        <f t="shared" si="14"/>
        <v>184933.65</v>
      </c>
      <c r="Y107" s="406">
        <f t="shared" si="14"/>
        <v>0</v>
      </c>
      <c r="Z107" s="406">
        <f t="shared" si="14"/>
        <v>0</v>
      </c>
    </row>
    <row r="108" spans="1:44" s="377" customFormat="1" ht="17.25" customHeight="1">
      <c r="A108" s="42">
        <v>5</v>
      </c>
      <c r="B108" s="13" t="s">
        <v>269</v>
      </c>
      <c r="C108" s="13" t="s">
        <v>99</v>
      </c>
      <c r="D108" s="14" t="s">
        <v>25</v>
      </c>
      <c r="E108" s="536" t="s">
        <v>428</v>
      </c>
      <c r="F108" s="57" t="s">
        <v>271</v>
      </c>
      <c r="G108" s="5">
        <v>1</v>
      </c>
      <c r="H108" s="20" t="s">
        <v>102</v>
      </c>
      <c r="I108" s="20" t="s">
        <v>103</v>
      </c>
      <c r="J108" s="171">
        <v>1</v>
      </c>
      <c r="K108" s="7">
        <v>17697</v>
      </c>
      <c r="L108" s="172">
        <v>36</v>
      </c>
      <c r="M108" s="7">
        <f t="shared" si="16"/>
        <v>2</v>
      </c>
      <c r="N108" s="45" t="s">
        <v>104</v>
      </c>
      <c r="O108" s="14">
        <v>4.62</v>
      </c>
      <c r="P108" s="14"/>
      <c r="Q108" s="18">
        <f t="shared" si="15"/>
        <v>163520.27999999997</v>
      </c>
      <c r="R108" s="8"/>
      <c r="S108" s="7"/>
      <c r="T108" s="7">
        <v>0.1</v>
      </c>
      <c r="U108" s="18">
        <f t="shared" si="12"/>
        <v>16352.027999999998</v>
      </c>
      <c r="V108" s="9"/>
      <c r="W108" s="7"/>
      <c r="X108" s="10">
        <f t="shared" si="14"/>
        <v>179872.30799999996</v>
      </c>
      <c r="Y108" s="406">
        <f t="shared" si="14"/>
        <v>0</v>
      </c>
      <c r="Z108" s="406">
        <f t="shared" si="14"/>
        <v>0</v>
      </c>
    </row>
    <row r="109" spans="1:44" s="377" customFormat="1" ht="17.25" customHeight="1">
      <c r="A109" s="42">
        <v>6</v>
      </c>
      <c r="B109" s="13" t="s">
        <v>272</v>
      </c>
      <c r="C109" s="13" t="s">
        <v>99</v>
      </c>
      <c r="D109" s="14" t="s">
        <v>25</v>
      </c>
      <c r="E109" s="536" t="s">
        <v>429</v>
      </c>
      <c r="F109" s="57" t="s">
        <v>434</v>
      </c>
      <c r="G109" s="5">
        <v>1</v>
      </c>
      <c r="H109" s="20" t="s">
        <v>102</v>
      </c>
      <c r="I109" s="20" t="s">
        <v>103</v>
      </c>
      <c r="J109" s="171">
        <v>1</v>
      </c>
      <c r="K109" s="7">
        <v>17697</v>
      </c>
      <c r="L109" s="172">
        <v>36</v>
      </c>
      <c r="M109" s="7">
        <f t="shared" si="16"/>
        <v>2</v>
      </c>
      <c r="N109" s="55" t="s">
        <v>152</v>
      </c>
      <c r="O109" s="14">
        <v>4.6900000000000004</v>
      </c>
      <c r="P109" s="14"/>
      <c r="Q109" s="18">
        <f t="shared" si="15"/>
        <v>165997.86000000002</v>
      </c>
      <c r="R109" s="8"/>
      <c r="S109" s="7"/>
      <c r="T109" s="7">
        <v>0.1</v>
      </c>
      <c r="U109" s="18">
        <f t="shared" si="12"/>
        <v>16599.786000000004</v>
      </c>
      <c r="V109" s="9"/>
      <c r="W109" s="7"/>
      <c r="X109" s="10">
        <f t="shared" si="14"/>
        <v>182597.64600000001</v>
      </c>
      <c r="Y109" s="406">
        <f t="shared" si="14"/>
        <v>0</v>
      </c>
      <c r="Z109" s="406">
        <f t="shared" si="14"/>
        <v>0</v>
      </c>
    </row>
    <row r="110" spans="1:44" s="377" customFormat="1" ht="17.25" customHeight="1">
      <c r="A110" s="42">
        <v>7</v>
      </c>
      <c r="B110" s="71" t="s">
        <v>274</v>
      </c>
      <c r="C110" s="13" t="s">
        <v>99</v>
      </c>
      <c r="D110" s="14" t="s">
        <v>25</v>
      </c>
      <c r="E110" s="536" t="s">
        <v>442</v>
      </c>
      <c r="F110" s="57" t="s">
        <v>403</v>
      </c>
      <c r="G110" s="5">
        <v>1</v>
      </c>
      <c r="H110" s="20" t="s">
        <v>102</v>
      </c>
      <c r="I110" s="20" t="s">
        <v>103</v>
      </c>
      <c r="J110" s="171">
        <v>2</v>
      </c>
      <c r="K110" s="7">
        <v>17697</v>
      </c>
      <c r="L110" s="172">
        <v>27</v>
      </c>
      <c r="M110" s="7">
        <f t="shared" si="16"/>
        <v>1.5</v>
      </c>
      <c r="N110" s="45" t="s">
        <v>104</v>
      </c>
      <c r="O110" s="14">
        <v>4.16</v>
      </c>
      <c r="P110" s="14"/>
      <c r="Q110" s="18">
        <f t="shared" si="15"/>
        <v>110429.28</v>
      </c>
      <c r="R110" s="8"/>
      <c r="S110" s="7"/>
      <c r="T110" s="7">
        <v>0.1</v>
      </c>
      <c r="U110" s="18">
        <f t="shared" si="12"/>
        <v>11042.928</v>
      </c>
      <c r="V110" s="9"/>
      <c r="W110" s="7"/>
      <c r="X110" s="10">
        <f>U110+Q110</f>
        <v>121472.208</v>
      </c>
      <c r="Y110" s="406">
        <f>V110+R110</f>
        <v>0</v>
      </c>
      <c r="Z110" s="406">
        <f>W110+S110</f>
        <v>0</v>
      </c>
    </row>
    <row r="111" spans="1:44" s="377" customFormat="1" ht="17.25" customHeight="1">
      <c r="A111" s="42">
        <v>8</v>
      </c>
      <c r="B111" s="71" t="s">
        <v>420</v>
      </c>
      <c r="C111" s="13" t="s">
        <v>99</v>
      </c>
      <c r="D111" s="14" t="s">
        <v>25</v>
      </c>
      <c r="E111" s="536" t="s">
        <v>443</v>
      </c>
      <c r="F111" s="57" t="s">
        <v>403</v>
      </c>
      <c r="G111" s="5"/>
      <c r="H111" s="20" t="s">
        <v>102</v>
      </c>
      <c r="I111" s="20" t="s">
        <v>103</v>
      </c>
      <c r="J111" s="171">
        <v>4</v>
      </c>
      <c r="K111" s="7">
        <v>17697</v>
      </c>
      <c r="L111" s="172">
        <v>18</v>
      </c>
      <c r="M111" s="7">
        <f t="shared" si="16"/>
        <v>1</v>
      </c>
      <c r="N111" s="55" t="s">
        <v>112</v>
      </c>
      <c r="O111" s="14">
        <v>3.85</v>
      </c>
      <c r="P111" s="14"/>
      <c r="Q111" s="18">
        <f t="shared" si="15"/>
        <v>68133.45</v>
      </c>
      <c r="R111" s="8"/>
      <c r="S111" s="7"/>
      <c r="T111" s="7">
        <v>0.1</v>
      </c>
      <c r="U111" s="18">
        <f t="shared" si="12"/>
        <v>6813.3450000000003</v>
      </c>
      <c r="V111" s="9"/>
      <c r="W111" s="7"/>
      <c r="X111" s="10">
        <f>U111+Q111</f>
        <v>74946.794999999998</v>
      </c>
      <c r="Y111" s="406"/>
      <c r="Z111" s="406"/>
    </row>
    <row r="112" spans="1:44" s="377" customFormat="1" ht="17.25" customHeight="1">
      <c r="A112" s="42">
        <v>9</v>
      </c>
      <c r="B112" s="71" t="s">
        <v>277</v>
      </c>
      <c r="C112" s="13" t="s">
        <v>99</v>
      </c>
      <c r="D112" s="14" t="s">
        <v>25</v>
      </c>
      <c r="E112" s="536" t="s">
        <v>430</v>
      </c>
      <c r="F112" s="54" t="s">
        <v>40</v>
      </c>
      <c r="G112" s="5">
        <v>1</v>
      </c>
      <c r="H112" s="20" t="s">
        <v>102</v>
      </c>
      <c r="I112" s="20" t="s">
        <v>103</v>
      </c>
      <c r="J112" s="171">
        <v>1</v>
      </c>
      <c r="K112" s="7">
        <v>17697</v>
      </c>
      <c r="L112" s="172">
        <v>15</v>
      </c>
      <c r="M112" s="7">
        <f t="shared" si="16"/>
        <v>0.83333333333333337</v>
      </c>
      <c r="N112" s="55" t="s">
        <v>152</v>
      </c>
      <c r="O112" s="14">
        <v>4.75</v>
      </c>
      <c r="P112" s="14"/>
      <c r="Q112" s="18">
        <f t="shared" si="15"/>
        <v>70050.625</v>
      </c>
      <c r="R112" s="8"/>
      <c r="S112" s="7"/>
      <c r="T112" s="7">
        <v>0.1</v>
      </c>
      <c r="U112" s="18">
        <f t="shared" si="12"/>
        <v>7005.0625</v>
      </c>
      <c r="V112" s="9"/>
      <c r="W112" s="7"/>
      <c r="X112" s="10">
        <f t="shared" si="14"/>
        <v>77055.6875</v>
      </c>
      <c r="Y112" s="406">
        <f t="shared" si="14"/>
        <v>0</v>
      </c>
      <c r="Z112" s="406">
        <f t="shared" si="14"/>
        <v>0</v>
      </c>
    </row>
    <row r="113" spans="1:44" s="377" customFormat="1" ht="17.25" customHeight="1">
      <c r="A113" s="42">
        <v>10</v>
      </c>
      <c r="B113" s="13" t="s">
        <v>281</v>
      </c>
      <c r="C113" s="13" t="s">
        <v>99</v>
      </c>
      <c r="D113" s="14" t="s">
        <v>25</v>
      </c>
      <c r="E113" s="536" t="s">
        <v>430</v>
      </c>
      <c r="F113" s="54" t="s">
        <v>40</v>
      </c>
      <c r="G113" s="5">
        <v>1</v>
      </c>
      <c r="H113" s="20" t="s">
        <v>102</v>
      </c>
      <c r="I113" s="20" t="s">
        <v>103</v>
      </c>
      <c r="J113" s="171">
        <v>1</v>
      </c>
      <c r="K113" s="7">
        <v>17697</v>
      </c>
      <c r="L113" s="172">
        <v>24</v>
      </c>
      <c r="M113" s="7">
        <f t="shared" si="16"/>
        <v>1.3333333333333333</v>
      </c>
      <c r="N113" s="55" t="s">
        <v>152</v>
      </c>
      <c r="O113" s="14">
        <v>4.75</v>
      </c>
      <c r="P113" s="14"/>
      <c r="Q113" s="18">
        <f t="shared" si="15"/>
        <v>112081</v>
      </c>
      <c r="R113" s="8"/>
      <c r="S113" s="7"/>
      <c r="T113" s="7">
        <v>0.1</v>
      </c>
      <c r="U113" s="18">
        <f t="shared" si="12"/>
        <v>11208.1</v>
      </c>
      <c r="V113" s="9"/>
      <c r="W113" s="7"/>
      <c r="X113" s="10">
        <f t="shared" si="14"/>
        <v>123289.1</v>
      </c>
      <c r="Y113" s="406">
        <f t="shared" si="14"/>
        <v>0</v>
      </c>
      <c r="Z113" s="406">
        <f t="shared" si="14"/>
        <v>0</v>
      </c>
    </row>
    <row r="114" spans="1:44" s="377" customFormat="1" ht="17.25" customHeight="1">
      <c r="A114" s="42">
        <v>11</v>
      </c>
      <c r="B114" s="13" t="s">
        <v>282</v>
      </c>
      <c r="C114" s="13" t="s">
        <v>99</v>
      </c>
      <c r="D114" s="14" t="s">
        <v>25</v>
      </c>
      <c r="E114" s="536" t="s">
        <v>431</v>
      </c>
      <c r="F114" s="54" t="s">
        <v>40</v>
      </c>
      <c r="G114" s="5">
        <v>1</v>
      </c>
      <c r="H114" s="20" t="s">
        <v>102</v>
      </c>
      <c r="I114" s="20" t="s">
        <v>103</v>
      </c>
      <c r="J114" s="171">
        <v>1</v>
      </c>
      <c r="K114" s="7">
        <v>17697</v>
      </c>
      <c r="L114" s="172">
        <v>36</v>
      </c>
      <c r="M114" s="7">
        <f t="shared" si="16"/>
        <v>2</v>
      </c>
      <c r="N114" s="55" t="s">
        <v>152</v>
      </c>
      <c r="O114" s="14">
        <v>4.75</v>
      </c>
      <c r="P114" s="14"/>
      <c r="Q114" s="18">
        <f t="shared" si="15"/>
        <v>168121.5</v>
      </c>
      <c r="R114" s="8"/>
      <c r="S114" s="7"/>
      <c r="T114" s="7">
        <v>0.1</v>
      </c>
      <c r="U114" s="18">
        <f t="shared" si="12"/>
        <v>16812.150000000001</v>
      </c>
      <c r="V114" s="9"/>
      <c r="W114" s="7"/>
      <c r="X114" s="10">
        <f t="shared" si="14"/>
        <v>184933.65</v>
      </c>
      <c r="Y114" s="406">
        <f t="shared" si="14"/>
        <v>0</v>
      </c>
      <c r="Z114" s="406">
        <f t="shared" si="14"/>
        <v>0</v>
      </c>
    </row>
    <row r="115" spans="1:44" s="377" customFormat="1" ht="17.25" customHeight="1">
      <c r="A115" s="42">
        <v>12</v>
      </c>
      <c r="B115" s="13" t="s">
        <v>421</v>
      </c>
      <c r="C115" s="13"/>
      <c r="D115" s="14" t="s">
        <v>75</v>
      </c>
      <c r="E115" s="536" t="s">
        <v>422</v>
      </c>
      <c r="F115" s="54" t="s">
        <v>159</v>
      </c>
      <c r="G115" s="5">
        <v>1</v>
      </c>
      <c r="H115" s="20" t="s">
        <v>102</v>
      </c>
      <c r="I115" s="20" t="s">
        <v>118</v>
      </c>
      <c r="J115" s="171">
        <v>4</v>
      </c>
      <c r="K115" s="7">
        <v>17697</v>
      </c>
      <c r="L115" s="535">
        <v>10</v>
      </c>
      <c r="M115" s="7">
        <f t="shared" si="16"/>
        <v>0.55555555555555558</v>
      </c>
      <c r="N115" s="55" t="s">
        <v>112</v>
      </c>
      <c r="O115" s="14">
        <v>3.32</v>
      </c>
      <c r="P115" s="14"/>
      <c r="Q115" s="18">
        <f t="shared" si="15"/>
        <v>32641.133333333328</v>
      </c>
      <c r="R115" s="8"/>
      <c r="S115" s="7"/>
      <c r="T115" s="7">
        <v>0.1</v>
      </c>
      <c r="U115" s="18">
        <f t="shared" si="12"/>
        <v>3264.1133333333328</v>
      </c>
      <c r="V115" s="9"/>
      <c r="W115" s="7"/>
      <c r="X115" s="10">
        <f t="shared" si="14"/>
        <v>35905.246666666659</v>
      </c>
      <c r="Y115" s="406"/>
      <c r="Z115" s="406"/>
    </row>
    <row r="116" spans="1:44" s="80" customFormat="1" ht="17.25" customHeight="1">
      <c r="A116" s="42">
        <v>13</v>
      </c>
      <c r="B116" s="13" t="s">
        <v>180</v>
      </c>
      <c r="C116" s="13" t="s">
        <v>284</v>
      </c>
      <c r="D116" s="14" t="s">
        <v>25</v>
      </c>
      <c r="E116" s="536" t="s">
        <v>493</v>
      </c>
      <c r="F116" s="54" t="s">
        <v>40</v>
      </c>
      <c r="G116" s="5"/>
      <c r="H116" s="20" t="s">
        <v>102</v>
      </c>
      <c r="I116" s="20" t="s">
        <v>103</v>
      </c>
      <c r="J116" s="171">
        <v>3</v>
      </c>
      <c r="K116" s="7">
        <v>17697</v>
      </c>
      <c r="L116" s="535">
        <v>20</v>
      </c>
      <c r="M116" s="7">
        <f t="shared" si="16"/>
        <v>1.1111111111111112</v>
      </c>
      <c r="N116" s="45" t="s">
        <v>109</v>
      </c>
      <c r="O116" s="14">
        <v>4.5</v>
      </c>
      <c r="P116" s="14"/>
      <c r="Q116" s="18">
        <f t="shared" si="15"/>
        <v>88485</v>
      </c>
      <c r="R116" s="8"/>
      <c r="S116" s="7"/>
      <c r="T116" s="7">
        <v>0.1</v>
      </c>
      <c r="U116" s="18">
        <f t="shared" si="12"/>
        <v>8848.5</v>
      </c>
      <c r="V116" s="9"/>
      <c r="W116" s="7"/>
      <c r="X116" s="10">
        <f t="shared" si="14"/>
        <v>97333.5</v>
      </c>
      <c r="Y116" s="274"/>
      <c r="Z116" s="274"/>
    </row>
    <row r="117" spans="1:44" s="80" customFormat="1" ht="17.25" customHeight="1">
      <c r="A117" s="42">
        <v>14</v>
      </c>
      <c r="B117" s="13" t="s">
        <v>184</v>
      </c>
      <c r="C117" s="13" t="s">
        <v>99</v>
      </c>
      <c r="D117" s="14" t="s">
        <v>25</v>
      </c>
      <c r="E117" s="536" t="s">
        <v>427</v>
      </c>
      <c r="F117" s="54" t="s">
        <v>40</v>
      </c>
      <c r="G117" s="5">
        <v>1</v>
      </c>
      <c r="H117" s="20" t="s">
        <v>102</v>
      </c>
      <c r="I117" s="20" t="s">
        <v>103</v>
      </c>
      <c r="J117" s="171">
        <v>1</v>
      </c>
      <c r="K117" s="7">
        <v>17697</v>
      </c>
      <c r="L117" s="172">
        <v>4</v>
      </c>
      <c r="M117" s="7">
        <f t="shared" si="16"/>
        <v>0.22222222222222221</v>
      </c>
      <c r="N117" s="55" t="s">
        <v>152</v>
      </c>
      <c r="O117" s="14">
        <v>4.75</v>
      </c>
      <c r="P117" s="14"/>
      <c r="Q117" s="18">
        <f t="shared" si="15"/>
        <v>18680.166666666668</v>
      </c>
      <c r="R117" s="8"/>
      <c r="S117" s="7"/>
      <c r="T117" s="7">
        <v>0.1</v>
      </c>
      <c r="U117" s="18">
        <f t="shared" si="12"/>
        <v>1868.0166666666669</v>
      </c>
      <c r="V117" s="9"/>
      <c r="W117" s="7"/>
      <c r="X117" s="10">
        <f t="shared" si="14"/>
        <v>20548.183333333334</v>
      </c>
      <c r="Y117" s="274">
        <f t="shared" si="14"/>
        <v>0</v>
      </c>
      <c r="Z117" s="274">
        <f t="shared" si="14"/>
        <v>0</v>
      </c>
    </row>
    <row r="118" spans="1:44" s="377" customFormat="1" ht="17.25" customHeight="1">
      <c r="A118" s="42">
        <v>15</v>
      </c>
      <c r="B118" s="13" t="s">
        <v>287</v>
      </c>
      <c r="C118" s="13" t="s">
        <v>99</v>
      </c>
      <c r="D118" s="14" t="s">
        <v>25</v>
      </c>
      <c r="E118" s="536" t="s">
        <v>432</v>
      </c>
      <c r="F118" s="54" t="s">
        <v>40</v>
      </c>
      <c r="G118" s="5">
        <v>1</v>
      </c>
      <c r="H118" s="20" t="s">
        <v>102</v>
      </c>
      <c r="I118" s="20" t="s">
        <v>103</v>
      </c>
      <c r="J118" s="171">
        <v>1</v>
      </c>
      <c r="K118" s="7">
        <v>17697</v>
      </c>
      <c r="L118" s="172">
        <v>29</v>
      </c>
      <c r="M118" s="7">
        <f t="shared" si="16"/>
        <v>1.6111111111111112</v>
      </c>
      <c r="N118" s="55" t="s">
        <v>152</v>
      </c>
      <c r="O118" s="14">
        <v>4.75</v>
      </c>
      <c r="P118" s="14"/>
      <c r="Q118" s="18">
        <f t="shared" si="15"/>
        <v>135431.20833333334</v>
      </c>
      <c r="R118" s="8"/>
      <c r="S118" s="7"/>
      <c r="T118" s="7">
        <v>0.1</v>
      </c>
      <c r="U118" s="18">
        <f t="shared" si="12"/>
        <v>13543.120833333334</v>
      </c>
      <c r="V118" s="9"/>
      <c r="W118" s="7"/>
      <c r="X118" s="10">
        <f t="shared" si="14"/>
        <v>148974.32916666666</v>
      </c>
      <c r="Y118" s="406">
        <f t="shared" si="14"/>
        <v>0</v>
      </c>
      <c r="Z118" s="406">
        <f t="shared" si="14"/>
        <v>0</v>
      </c>
    </row>
    <row r="119" spans="1:44" s="377" customFormat="1" ht="17.25" customHeight="1">
      <c r="A119" s="42">
        <v>16</v>
      </c>
      <c r="B119" s="13" t="s">
        <v>289</v>
      </c>
      <c r="C119" s="13" t="s">
        <v>99</v>
      </c>
      <c r="D119" s="20" t="s">
        <v>64</v>
      </c>
      <c r="E119" s="536" t="s">
        <v>423</v>
      </c>
      <c r="F119" s="57" t="s">
        <v>108</v>
      </c>
      <c r="G119" s="5">
        <v>1</v>
      </c>
      <c r="H119" s="20" t="s">
        <v>102</v>
      </c>
      <c r="I119" s="20" t="s">
        <v>118</v>
      </c>
      <c r="J119" s="171">
        <v>4</v>
      </c>
      <c r="K119" s="7">
        <v>17697</v>
      </c>
      <c r="L119" s="172">
        <v>36</v>
      </c>
      <c r="M119" s="7">
        <f t="shared" si="16"/>
        <v>2</v>
      </c>
      <c r="N119" s="55" t="s">
        <v>112</v>
      </c>
      <c r="O119" s="174">
        <v>3.41</v>
      </c>
      <c r="P119" s="174"/>
      <c r="Q119" s="18">
        <f>O119*K119/18*L119</f>
        <v>120693.54000000001</v>
      </c>
      <c r="R119" s="8"/>
      <c r="S119" s="7"/>
      <c r="T119" s="7">
        <v>0.1</v>
      </c>
      <c r="U119" s="18">
        <f t="shared" si="12"/>
        <v>12069.354000000001</v>
      </c>
      <c r="V119" s="9"/>
      <c r="W119" s="7"/>
      <c r="X119" s="10">
        <f>U119+Q119</f>
        <v>132762.894</v>
      </c>
      <c r="Y119" s="406">
        <f>V119+R119</f>
        <v>0</v>
      </c>
      <c r="Z119" s="406">
        <f>W119+S119</f>
        <v>0</v>
      </c>
    </row>
    <row r="120" spans="1:44" s="377" customFormat="1" ht="17.25" customHeight="1">
      <c r="A120" s="42">
        <v>17</v>
      </c>
      <c r="B120" s="13" t="s">
        <v>391</v>
      </c>
      <c r="C120" s="13" t="s">
        <v>99</v>
      </c>
      <c r="D120" s="20" t="s">
        <v>75</v>
      </c>
      <c r="E120" s="536" t="s">
        <v>433</v>
      </c>
      <c r="F120" s="57" t="s">
        <v>77</v>
      </c>
      <c r="G120" s="5">
        <v>1</v>
      </c>
      <c r="H120" s="20" t="s">
        <v>102</v>
      </c>
      <c r="I120" s="20" t="s">
        <v>118</v>
      </c>
      <c r="J120" s="171">
        <v>4</v>
      </c>
      <c r="K120" s="7">
        <v>17697</v>
      </c>
      <c r="L120" s="172">
        <v>33</v>
      </c>
      <c r="M120" s="7">
        <f t="shared" si="16"/>
        <v>1.8333333333333333</v>
      </c>
      <c r="N120" s="55" t="s">
        <v>112</v>
      </c>
      <c r="O120" s="174">
        <v>3.41</v>
      </c>
      <c r="P120" s="174"/>
      <c r="Q120" s="18">
        <f>O120*K120/18*L120</f>
        <v>110635.745</v>
      </c>
      <c r="R120" s="8"/>
      <c r="S120" s="7"/>
      <c r="T120" s="7">
        <v>0.1</v>
      </c>
      <c r="U120" s="18">
        <f t="shared" si="12"/>
        <v>11063.574500000001</v>
      </c>
      <c r="V120" s="9"/>
      <c r="W120" s="7"/>
      <c r="X120" s="10">
        <f t="shared" ref="X120:Z121" si="17">U120+Q120</f>
        <v>121699.3195</v>
      </c>
      <c r="Y120" s="406">
        <f t="shared" si="17"/>
        <v>0</v>
      </c>
      <c r="Z120" s="406">
        <f t="shared" si="17"/>
        <v>0</v>
      </c>
    </row>
    <row r="121" spans="1:44" s="377" customFormat="1" ht="17.25" customHeight="1">
      <c r="A121" s="42">
        <v>18</v>
      </c>
      <c r="B121" s="13" t="s">
        <v>392</v>
      </c>
      <c r="C121" s="13" t="s">
        <v>99</v>
      </c>
      <c r="D121" s="20" t="s">
        <v>189</v>
      </c>
      <c r="E121" s="536" t="s">
        <v>444</v>
      </c>
      <c r="F121" s="57" t="s">
        <v>434</v>
      </c>
      <c r="G121" s="5">
        <v>1</v>
      </c>
      <c r="H121" s="20" t="s">
        <v>102</v>
      </c>
      <c r="I121" s="20" t="s">
        <v>103</v>
      </c>
      <c r="J121" s="27">
        <v>2</v>
      </c>
      <c r="K121" s="7">
        <v>17697</v>
      </c>
      <c r="L121" s="172">
        <v>14</v>
      </c>
      <c r="M121" s="7">
        <f t="shared" si="16"/>
        <v>0.77777777777777779</v>
      </c>
      <c r="N121" s="45" t="s">
        <v>104</v>
      </c>
      <c r="O121" s="174">
        <v>4.4400000000000004</v>
      </c>
      <c r="P121" s="174"/>
      <c r="Q121" s="18">
        <f>O121*K121/18*L121</f>
        <v>61113.64</v>
      </c>
      <c r="R121" s="8"/>
      <c r="S121" s="7"/>
      <c r="T121" s="7">
        <v>0.1</v>
      </c>
      <c r="U121" s="18">
        <f t="shared" si="12"/>
        <v>6111.3640000000005</v>
      </c>
      <c r="V121" s="9"/>
      <c r="W121" s="7"/>
      <c r="X121" s="10">
        <f t="shared" si="17"/>
        <v>67225.004000000001</v>
      </c>
      <c r="Y121" s="406">
        <f t="shared" si="17"/>
        <v>0</v>
      </c>
      <c r="Z121" s="406">
        <f t="shared" si="17"/>
        <v>0</v>
      </c>
    </row>
    <row r="122" spans="1:44" s="24" customFormat="1" ht="17.25" customHeight="1">
      <c r="A122" s="256"/>
      <c r="B122" s="257"/>
      <c r="C122" s="257"/>
      <c r="D122" s="258"/>
      <c r="E122" s="541"/>
      <c r="F122" s="542"/>
      <c r="G122" s="259"/>
      <c r="H122" s="258"/>
      <c r="I122" s="258"/>
      <c r="J122" s="260"/>
      <c r="K122" s="261"/>
      <c r="L122" s="98">
        <f>SUM(L104:L121)</f>
        <v>454</v>
      </c>
      <c r="M122" s="98"/>
      <c r="N122" s="98"/>
      <c r="O122" s="265"/>
      <c r="P122" s="98"/>
      <c r="Q122" s="98"/>
      <c r="R122" s="98"/>
      <c r="S122" s="98"/>
      <c r="T122" s="98"/>
      <c r="U122" s="98"/>
      <c r="V122" s="98"/>
      <c r="W122" s="98"/>
      <c r="X122" s="265">
        <f>SUM(X104:X121)</f>
        <v>2154671.6894999999</v>
      </c>
      <c r="Y122" s="98"/>
      <c r="Z122" s="98"/>
    </row>
    <row r="123" spans="1:44" s="80" customFormat="1" ht="17.25" customHeight="1">
      <c r="A123" s="5">
        <v>126</v>
      </c>
      <c r="B123" s="175" t="s">
        <v>291</v>
      </c>
      <c r="C123" s="176" t="s">
        <v>292</v>
      </c>
      <c r="D123" s="16" t="s">
        <v>25</v>
      </c>
      <c r="E123" s="543" t="s">
        <v>293</v>
      </c>
      <c r="F123" s="543" t="s">
        <v>40</v>
      </c>
      <c r="G123" s="177">
        <v>1</v>
      </c>
      <c r="H123" s="177" t="s">
        <v>102</v>
      </c>
      <c r="I123" s="177" t="s">
        <v>103</v>
      </c>
      <c r="J123" s="178">
        <v>1</v>
      </c>
      <c r="K123" s="7">
        <v>17697</v>
      </c>
      <c r="L123" s="188">
        <f>1.5*18</f>
        <v>27</v>
      </c>
      <c r="M123" s="18">
        <v>1.5</v>
      </c>
      <c r="N123" s="55" t="s">
        <v>152</v>
      </c>
      <c r="O123" s="200">
        <v>4.75</v>
      </c>
      <c r="P123" s="18"/>
      <c r="Q123" s="18">
        <f>K123*O123/18*L123</f>
        <v>126091.12500000001</v>
      </c>
      <c r="R123" s="19">
        <v>0.25</v>
      </c>
      <c r="S123" s="7">
        <f>R123*Q123</f>
        <v>31522.781250000004</v>
      </c>
      <c r="T123" s="7">
        <v>0.1</v>
      </c>
      <c r="U123" s="18">
        <f t="shared" ref="U123:U130" si="18">(Q123+S123)*10%</f>
        <v>15761.390625000004</v>
      </c>
      <c r="V123" s="9"/>
      <c r="W123" s="7"/>
      <c r="X123" s="203">
        <f>U123+S123+Q123</f>
        <v>173375.29687500003</v>
      </c>
      <c r="Y123" s="10">
        <f>V123+T123+R123</f>
        <v>0.35</v>
      </c>
      <c r="Z123" s="10">
        <f>W123+U123+S123</f>
        <v>47284.171875000007</v>
      </c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</row>
    <row r="124" spans="1:44" s="80" customFormat="1" ht="16.5" customHeight="1">
      <c r="A124" s="5">
        <v>127</v>
      </c>
      <c r="B124" s="176" t="s">
        <v>298</v>
      </c>
      <c r="C124" s="176" t="s">
        <v>299</v>
      </c>
      <c r="D124" s="16" t="s">
        <v>300</v>
      </c>
      <c r="E124" s="543" t="s">
        <v>301</v>
      </c>
      <c r="F124" s="544" t="s">
        <v>40</v>
      </c>
      <c r="G124" s="177">
        <v>1</v>
      </c>
      <c r="H124" s="177" t="s">
        <v>102</v>
      </c>
      <c r="I124" s="177" t="s">
        <v>118</v>
      </c>
      <c r="J124" s="178">
        <v>2</v>
      </c>
      <c r="K124" s="7">
        <v>17697</v>
      </c>
      <c r="L124" s="188">
        <v>13</v>
      </c>
      <c r="M124" s="18">
        <v>0.72</v>
      </c>
      <c r="N124" s="45" t="s">
        <v>104</v>
      </c>
      <c r="O124" s="263">
        <v>4.3899999999999997</v>
      </c>
      <c r="P124" s="16"/>
      <c r="Q124" s="18">
        <f t="shared" ref="Q124:Q130" si="19">K124*O124/18*L124</f>
        <v>56109.321666666656</v>
      </c>
      <c r="R124" s="19">
        <v>0.25</v>
      </c>
      <c r="S124" s="7">
        <f t="shared" ref="S124:S130" si="20">R124*Q124</f>
        <v>14027.330416666664</v>
      </c>
      <c r="T124" s="7">
        <v>0.1</v>
      </c>
      <c r="U124" s="18">
        <f t="shared" si="18"/>
        <v>7013.665208333332</v>
      </c>
      <c r="V124" s="9"/>
      <c r="W124" s="7"/>
      <c r="X124" s="203">
        <f t="shared" ref="X124:Z130" si="21">U124+S124+Q124</f>
        <v>77150.317291666652</v>
      </c>
      <c r="Y124" s="10">
        <f t="shared" si="21"/>
        <v>0.35</v>
      </c>
      <c r="Z124" s="10">
        <f t="shared" si="21"/>
        <v>21040.995624999996</v>
      </c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</row>
    <row r="125" spans="1:44" s="80" customFormat="1" ht="17.25" customHeight="1">
      <c r="A125" s="5">
        <v>128</v>
      </c>
      <c r="B125" s="175" t="s">
        <v>38</v>
      </c>
      <c r="C125" s="176" t="s">
        <v>303</v>
      </c>
      <c r="D125" s="16" t="s">
        <v>25</v>
      </c>
      <c r="E125" s="543" t="s">
        <v>305</v>
      </c>
      <c r="F125" s="544" t="s">
        <v>40</v>
      </c>
      <c r="G125" s="177">
        <v>1</v>
      </c>
      <c r="H125" s="177" t="s">
        <v>102</v>
      </c>
      <c r="I125" s="177" t="s">
        <v>103</v>
      </c>
      <c r="J125" s="178">
        <v>1</v>
      </c>
      <c r="K125" s="7">
        <v>17697</v>
      </c>
      <c r="L125" s="188">
        <v>9</v>
      </c>
      <c r="M125" s="18">
        <v>0.5</v>
      </c>
      <c r="N125" s="55" t="s">
        <v>152</v>
      </c>
      <c r="O125" s="200">
        <v>4.75</v>
      </c>
      <c r="P125" s="18"/>
      <c r="Q125" s="18">
        <f t="shared" si="19"/>
        <v>42030.375</v>
      </c>
      <c r="R125" s="19">
        <v>0.25</v>
      </c>
      <c r="S125" s="7">
        <f t="shared" si="20"/>
        <v>10507.59375</v>
      </c>
      <c r="T125" s="7">
        <v>0.1</v>
      </c>
      <c r="U125" s="18">
        <f t="shared" si="18"/>
        <v>5253.796875</v>
      </c>
      <c r="V125" s="9"/>
      <c r="W125" s="7"/>
      <c r="X125" s="203">
        <f t="shared" si="21"/>
        <v>57791.765625</v>
      </c>
      <c r="Y125" s="10">
        <f t="shared" si="21"/>
        <v>0.35</v>
      </c>
      <c r="Z125" s="10">
        <f t="shared" si="21"/>
        <v>15761.390625</v>
      </c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</row>
    <row r="126" spans="1:44" s="80" customFormat="1" ht="17.25" customHeight="1">
      <c r="A126" s="5">
        <v>129</v>
      </c>
      <c r="B126" s="180" t="s">
        <v>306</v>
      </c>
      <c r="C126" s="176" t="s">
        <v>303</v>
      </c>
      <c r="D126" s="16" t="s">
        <v>25</v>
      </c>
      <c r="E126" s="545" t="s">
        <v>307</v>
      </c>
      <c r="F126" s="546" t="s">
        <v>308</v>
      </c>
      <c r="G126" s="182">
        <v>1</v>
      </c>
      <c r="H126" s="177" t="s">
        <v>102</v>
      </c>
      <c r="I126" s="177" t="s">
        <v>103</v>
      </c>
      <c r="J126" s="182">
        <v>4</v>
      </c>
      <c r="K126" s="7">
        <v>17697</v>
      </c>
      <c r="L126" s="188">
        <v>20</v>
      </c>
      <c r="M126" s="18">
        <v>1.22</v>
      </c>
      <c r="N126" s="55" t="s">
        <v>112</v>
      </c>
      <c r="O126" s="263">
        <v>3.52</v>
      </c>
      <c r="P126" s="16"/>
      <c r="Q126" s="18">
        <f t="shared" si="19"/>
        <v>69214.933333333334</v>
      </c>
      <c r="R126" s="19">
        <v>0.25</v>
      </c>
      <c r="S126" s="7">
        <f t="shared" si="20"/>
        <v>17303.733333333334</v>
      </c>
      <c r="T126" s="7">
        <v>0.1</v>
      </c>
      <c r="U126" s="18">
        <f t="shared" si="18"/>
        <v>8651.8666666666668</v>
      </c>
      <c r="V126" s="9"/>
      <c r="W126" s="7"/>
      <c r="X126" s="203">
        <f t="shared" si="21"/>
        <v>95170.533333333326</v>
      </c>
      <c r="Y126" s="10">
        <f t="shared" si="21"/>
        <v>0.35</v>
      </c>
      <c r="Z126" s="10">
        <f t="shared" si="21"/>
        <v>25955.599999999999</v>
      </c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</row>
    <row r="127" spans="1:44" s="80" customFormat="1" ht="17.25" customHeight="1">
      <c r="A127" s="5">
        <v>130</v>
      </c>
      <c r="B127" s="175" t="s">
        <v>309</v>
      </c>
      <c r="C127" s="176" t="s">
        <v>310</v>
      </c>
      <c r="D127" s="16" t="s">
        <v>25</v>
      </c>
      <c r="E127" s="543" t="s">
        <v>311</v>
      </c>
      <c r="F127" s="544" t="s">
        <v>40</v>
      </c>
      <c r="G127" s="177">
        <v>1</v>
      </c>
      <c r="H127" s="177" t="s">
        <v>102</v>
      </c>
      <c r="I127" s="177" t="s">
        <v>103</v>
      </c>
      <c r="J127" s="178">
        <v>1</v>
      </c>
      <c r="K127" s="7">
        <v>17697</v>
      </c>
      <c r="L127" s="188">
        <v>18</v>
      </c>
      <c r="M127" s="18">
        <v>1</v>
      </c>
      <c r="N127" s="55" t="s">
        <v>152</v>
      </c>
      <c r="O127" s="200">
        <v>4.75</v>
      </c>
      <c r="P127" s="18"/>
      <c r="Q127" s="18">
        <f t="shared" si="19"/>
        <v>84060.75</v>
      </c>
      <c r="R127" s="19">
        <v>0.25</v>
      </c>
      <c r="S127" s="7">
        <f t="shared" si="20"/>
        <v>21015.1875</v>
      </c>
      <c r="T127" s="7">
        <v>0.1</v>
      </c>
      <c r="U127" s="18">
        <f t="shared" si="18"/>
        <v>10507.59375</v>
      </c>
      <c r="V127" s="9"/>
      <c r="W127" s="7"/>
      <c r="X127" s="203">
        <f t="shared" si="21"/>
        <v>115583.53125</v>
      </c>
      <c r="Y127" s="10">
        <f t="shared" si="21"/>
        <v>0.35</v>
      </c>
      <c r="Z127" s="10">
        <f t="shared" si="21"/>
        <v>31522.78125</v>
      </c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</row>
    <row r="128" spans="1:44" s="80" customFormat="1" ht="17.25" customHeight="1">
      <c r="A128" s="5">
        <v>131</v>
      </c>
      <c r="B128" s="176" t="s">
        <v>316</v>
      </c>
      <c r="C128" s="176" t="s">
        <v>295</v>
      </c>
      <c r="D128" s="16" t="s">
        <v>300</v>
      </c>
      <c r="E128" s="543" t="s">
        <v>317</v>
      </c>
      <c r="F128" s="544" t="s">
        <v>315</v>
      </c>
      <c r="G128" s="177">
        <v>1</v>
      </c>
      <c r="H128" s="177" t="s">
        <v>232</v>
      </c>
      <c r="I128" s="177" t="s">
        <v>318</v>
      </c>
      <c r="J128" s="178">
        <v>4</v>
      </c>
      <c r="K128" s="7">
        <v>17697</v>
      </c>
      <c r="L128" s="188">
        <v>25</v>
      </c>
      <c r="M128" s="18">
        <v>1.38</v>
      </c>
      <c r="N128" s="55" t="s">
        <v>112</v>
      </c>
      <c r="O128" s="263">
        <v>3.36</v>
      </c>
      <c r="P128" s="16"/>
      <c r="Q128" s="18">
        <f t="shared" si="19"/>
        <v>82586</v>
      </c>
      <c r="R128" s="19">
        <v>0.25</v>
      </c>
      <c r="S128" s="7">
        <f t="shared" si="20"/>
        <v>20646.5</v>
      </c>
      <c r="T128" s="7">
        <v>0.1</v>
      </c>
      <c r="U128" s="18">
        <f t="shared" si="18"/>
        <v>10323.25</v>
      </c>
      <c r="V128" s="9"/>
      <c r="W128" s="7"/>
      <c r="X128" s="203">
        <f t="shared" si="21"/>
        <v>113555.75</v>
      </c>
      <c r="Y128" s="10">
        <f t="shared" si="21"/>
        <v>0.35</v>
      </c>
      <c r="Z128" s="10">
        <f t="shared" si="21"/>
        <v>30969.75</v>
      </c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</row>
    <row r="129" spans="1:44" s="80" customFormat="1" ht="17.25" customHeight="1">
      <c r="A129" s="5">
        <v>132</v>
      </c>
      <c r="B129" s="176" t="s">
        <v>319</v>
      </c>
      <c r="C129" s="176" t="s">
        <v>295</v>
      </c>
      <c r="D129" s="16" t="s">
        <v>25</v>
      </c>
      <c r="E129" s="543" t="s">
        <v>320</v>
      </c>
      <c r="F129" s="544" t="s">
        <v>249</v>
      </c>
      <c r="G129" s="177">
        <v>1</v>
      </c>
      <c r="H129" s="177" t="s">
        <v>232</v>
      </c>
      <c r="I129" s="177" t="s">
        <v>233</v>
      </c>
      <c r="J129" s="178">
        <v>3</v>
      </c>
      <c r="K129" s="7">
        <v>17697</v>
      </c>
      <c r="L129" s="188">
        <v>29</v>
      </c>
      <c r="M129" s="18">
        <v>1</v>
      </c>
      <c r="N129" s="45" t="s">
        <v>109</v>
      </c>
      <c r="O129" s="263">
        <v>4.1399999999999997</v>
      </c>
      <c r="P129" s="16"/>
      <c r="Q129" s="18">
        <f t="shared" si="19"/>
        <v>118038.98999999999</v>
      </c>
      <c r="R129" s="19">
        <v>0.25</v>
      </c>
      <c r="S129" s="7">
        <f t="shared" si="20"/>
        <v>29509.747499999998</v>
      </c>
      <c r="T129" s="7">
        <v>0.1</v>
      </c>
      <c r="U129" s="18">
        <f t="shared" si="18"/>
        <v>14754.873749999999</v>
      </c>
      <c r="V129" s="9"/>
      <c r="W129" s="7"/>
      <c r="X129" s="203">
        <f t="shared" si="21"/>
        <v>162303.61124999999</v>
      </c>
      <c r="Y129" s="10">
        <f t="shared" si="21"/>
        <v>0.35</v>
      </c>
      <c r="Z129" s="10">
        <f t="shared" si="21"/>
        <v>44264.621249999997</v>
      </c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</row>
    <row r="130" spans="1:44" s="80" customFormat="1" ht="17.25" customHeight="1">
      <c r="A130" s="5">
        <v>133</v>
      </c>
      <c r="B130" s="175" t="s">
        <v>324</v>
      </c>
      <c r="C130" s="176" t="s">
        <v>303</v>
      </c>
      <c r="D130" s="16" t="s">
        <v>25</v>
      </c>
      <c r="E130" s="543" t="s">
        <v>325</v>
      </c>
      <c r="F130" s="544" t="s">
        <v>40</v>
      </c>
      <c r="G130" s="177">
        <v>1</v>
      </c>
      <c r="H130" s="177" t="s">
        <v>102</v>
      </c>
      <c r="I130" s="177" t="s">
        <v>103</v>
      </c>
      <c r="J130" s="178">
        <v>1</v>
      </c>
      <c r="K130" s="7">
        <v>17697</v>
      </c>
      <c r="L130" s="188">
        <v>18</v>
      </c>
      <c r="M130" s="18">
        <v>0.67</v>
      </c>
      <c r="N130" s="55" t="s">
        <v>152</v>
      </c>
      <c r="O130" s="200">
        <v>4.75</v>
      </c>
      <c r="P130" s="18"/>
      <c r="Q130" s="18">
        <f t="shared" si="19"/>
        <v>84060.75</v>
      </c>
      <c r="R130" s="19">
        <v>0.25</v>
      </c>
      <c r="S130" s="7">
        <f t="shared" si="20"/>
        <v>21015.1875</v>
      </c>
      <c r="T130" s="7">
        <v>0.1</v>
      </c>
      <c r="U130" s="18">
        <f t="shared" si="18"/>
        <v>10507.59375</v>
      </c>
      <c r="V130" s="9"/>
      <c r="W130" s="7"/>
      <c r="X130" s="203">
        <f t="shared" si="21"/>
        <v>115583.53125</v>
      </c>
      <c r="Y130" s="10">
        <f t="shared" si="21"/>
        <v>0.35</v>
      </c>
      <c r="Z130" s="10">
        <f t="shared" si="21"/>
        <v>31522.78125</v>
      </c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</row>
    <row r="131" spans="1:44" s="24" customFormat="1" ht="17.25" customHeight="1">
      <c r="A131" s="95"/>
      <c r="B131" s="117"/>
      <c r="C131" s="117"/>
      <c r="D131" s="118"/>
      <c r="E131" s="118"/>
      <c r="F131" s="117"/>
      <c r="G131" s="119"/>
      <c r="H131" s="119"/>
      <c r="I131" s="119"/>
      <c r="J131" s="120"/>
      <c r="K131" s="97"/>
      <c r="L131" s="209">
        <f>SUM(L123:L130)</f>
        <v>159</v>
      </c>
      <c r="M131" s="101"/>
      <c r="N131" s="99"/>
      <c r="O131" s="263"/>
      <c r="P131" s="118"/>
      <c r="Q131" s="101"/>
      <c r="R131" s="121"/>
      <c r="S131" s="97"/>
      <c r="T131" s="97"/>
      <c r="U131" s="101"/>
      <c r="V131" s="103"/>
      <c r="W131" s="97"/>
      <c r="X131" s="203"/>
      <c r="Y131" s="104"/>
      <c r="Z131" s="104"/>
    </row>
    <row r="132" spans="1:44" s="390" customFormat="1" ht="18" customHeight="1">
      <c r="A132" s="352">
        <v>141</v>
      </c>
      <c r="B132" s="394" t="s">
        <v>368</v>
      </c>
      <c r="C132" s="354" t="s">
        <v>338</v>
      </c>
      <c r="D132" s="395" t="s">
        <v>64</v>
      </c>
      <c r="E132" s="396"/>
      <c r="F132" s="397"/>
      <c r="G132" s="398" t="s">
        <v>409</v>
      </c>
      <c r="H132" s="399"/>
      <c r="I132" s="400"/>
      <c r="J132" s="399">
        <v>2</v>
      </c>
      <c r="K132" s="361">
        <v>17697</v>
      </c>
      <c r="L132" s="361"/>
      <c r="M132" s="401">
        <v>1.5</v>
      </c>
      <c r="N132" s="361"/>
      <c r="O132" s="361">
        <v>2.81</v>
      </c>
      <c r="P132" s="361"/>
      <c r="Q132" s="360">
        <f>K132*O132*M132</f>
        <v>74592.854999999996</v>
      </c>
      <c r="R132" s="361">
        <f t="shared" ref="R132:R158" si="22">K132*Q133*N132</f>
        <v>0</v>
      </c>
      <c r="S132" s="402"/>
      <c r="T132" s="362">
        <v>0.1</v>
      </c>
      <c r="U132" s="361">
        <f t="shared" ref="U132:U158" si="23">T132*Q132</f>
        <v>7459.2855</v>
      </c>
      <c r="V132" s="361"/>
      <c r="W132" s="403"/>
      <c r="X132" s="363">
        <f t="shared" ref="X132:Z133" si="24">Q132+U132+W132</f>
        <v>82052.140499999994</v>
      </c>
      <c r="Y132" s="363">
        <f t="shared" si="24"/>
        <v>82052.140499999994</v>
      </c>
      <c r="Z132" s="363">
        <f t="shared" si="24"/>
        <v>82052.140499999994</v>
      </c>
      <c r="AA132" s="389"/>
      <c r="AB132" s="389"/>
      <c r="AC132" s="389"/>
      <c r="AD132" s="389"/>
      <c r="AE132" s="389"/>
      <c r="AF132" s="389"/>
      <c r="AG132" s="389"/>
      <c r="AH132" s="389"/>
      <c r="AI132" s="389"/>
      <c r="AJ132" s="389"/>
      <c r="AK132" s="389"/>
      <c r="AL132" s="389"/>
      <c r="AM132" s="389"/>
      <c r="AN132" s="389"/>
    </row>
    <row r="133" spans="1:44" s="390" customFormat="1" ht="15.75" customHeight="1">
      <c r="A133" s="378">
        <v>142</v>
      </c>
      <c r="B133" s="384" t="s">
        <v>332</v>
      </c>
      <c r="C133" s="354" t="s">
        <v>338</v>
      </c>
      <c r="D133" s="379" t="s">
        <v>64</v>
      </c>
      <c r="E133" s="393"/>
      <c r="F133" s="385"/>
      <c r="G133" s="381" t="s">
        <v>404</v>
      </c>
      <c r="H133" s="382"/>
      <c r="I133" s="386"/>
      <c r="J133" s="382">
        <v>2</v>
      </c>
      <c r="K133" s="359">
        <v>17697</v>
      </c>
      <c r="L133" s="359"/>
      <c r="M133" s="361">
        <v>0.5</v>
      </c>
      <c r="N133" s="359"/>
      <c r="O133" s="361">
        <v>2.81</v>
      </c>
      <c r="P133" s="361"/>
      <c r="Q133" s="360">
        <f t="shared" ref="Q133:Q158" si="25">K133*O133*M133</f>
        <v>24864.285</v>
      </c>
      <c r="R133" s="361">
        <f t="shared" si="22"/>
        <v>0</v>
      </c>
      <c r="S133" s="388"/>
      <c r="T133" s="362">
        <v>0.1</v>
      </c>
      <c r="U133" s="361">
        <f t="shared" si="23"/>
        <v>2486.4285</v>
      </c>
      <c r="V133" s="359"/>
      <c r="W133" s="359"/>
      <c r="X133" s="363">
        <f t="shared" si="24"/>
        <v>27350.713499999998</v>
      </c>
      <c r="Y133" s="363">
        <f t="shared" si="24"/>
        <v>27350.713499999998</v>
      </c>
      <c r="Z133" s="363">
        <f t="shared" si="24"/>
        <v>27350.713499999998</v>
      </c>
      <c r="AA133" s="389"/>
      <c r="AB133" s="389"/>
      <c r="AC133" s="389"/>
      <c r="AD133" s="389"/>
      <c r="AE133" s="389"/>
      <c r="AF133" s="389"/>
      <c r="AG133" s="389"/>
      <c r="AH133" s="389"/>
      <c r="AI133" s="389"/>
      <c r="AJ133" s="389"/>
      <c r="AK133" s="389"/>
      <c r="AL133" s="389"/>
      <c r="AM133" s="389"/>
      <c r="AN133" s="389"/>
    </row>
    <row r="134" spans="1:44" s="377" customFormat="1" ht="15">
      <c r="A134" s="352">
        <v>143</v>
      </c>
      <c r="B134" s="384" t="s">
        <v>350</v>
      </c>
      <c r="C134" s="354" t="s">
        <v>338</v>
      </c>
      <c r="D134" s="379" t="s">
        <v>64</v>
      </c>
      <c r="E134" s="393"/>
      <c r="F134" s="379"/>
      <c r="G134" s="381" t="s">
        <v>404</v>
      </c>
      <c r="H134" s="382"/>
      <c r="I134" s="386"/>
      <c r="J134" s="382">
        <v>2</v>
      </c>
      <c r="K134" s="359">
        <v>17697</v>
      </c>
      <c r="L134" s="359"/>
      <c r="M134" s="359">
        <v>0.5</v>
      </c>
      <c r="N134" s="359"/>
      <c r="O134" s="359">
        <v>2.81</v>
      </c>
      <c r="P134" s="359"/>
      <c r="Q134" s="360">
        <f t="shared" si="25"/>
        <v>24864.285</v>
      </c>
      <c r="R134" s="361">
        <f t="shared" si="22"/>
        <v>0</v>
      </c>
      <c r="S134" s="359"/>
      <c r="T134" s="362">
        <v>0.1</v>
      </c>
      <c r="U134" s="361">
        <f t="shared" si="23"/>
        <v>2486.4285</v>
      </c>
      <c r="V134" s="359"/>
      <c r="W134" s="359"/>
      <c r="X134" s="363">
        <f t="shared" ref="X134:Z158" si="26">Q134+U134+W134</f>
        <v>27350.713499999998</v>
      </c>
      <c r="Y134" s="363">
        <f t="shared" si="26"/>
        <v>27350.713499999998</v>
      </c>
      <c r="Z134" s="363">
        <f t="shared" si="26"/>
        <v>27350.713499999998</v>
      </c>
    </row>
    <row r="135" spans="1:44" s="377" customFormat="1" ht="15">
      <c r="A135" s="378">
        <v>144</v>
      </c>
      <c r="B135" s="384" t="s">
        <v>335</v>
      </c>
      <c r="C135" s="392" t="s">
        <v>336</v>
      </c>
      <c r="D135" s="379" t="s">
        <v>64</v>
      </c>
      <c r="E135" s="393"/>
      <c r="F135" s="379"/>
      <c r="G135" s="381" t="s">
        <v>409</v>
      </c>
      <c r="H135" s="382"/>
      <c r="I135" s="386"/>
      <c r="J135" s="382">
        <v>4</v>
      </c>
      <c r="K135" s="359">
        <v>17697</v>
      </c>
      <c r="L135" s="359"/>
      <c r="M135" s="359">
        <v>1.5</v>
      </c>
      <c r="N135" s="359"/>
      <c r="O135" s="359">
        <v>2.89</v>
      </c>
      <c r="P135" s="359"/>
      <c r="Q135" s="360">
        <f t="shared" si="25"/>
        <v>76716.494999999995</v>
      </c>
      <c r="R135" s="361">
        <f t="shared" si="22"/>
        <v>0</v>
      </c>
      <c r="S135" s="359"/>
      <c r="T135" s="362">
        <v>0.1</v>
      </c>
      <c r="U135" s="361">
        <f t="shared" si="23"/>
        <v>7671.6494999999995</v>
      </c>
      <c r="V135" s="359"/>
      <c r="W135" s="359"/>
      <c r="X135" s="363">
        <f t="shared" si="26"/>
        <v>84388.144499999995</v>
      </c>
      <c r="Y135" s="363">
        <f t="shared" si="26"/>
        <v>84388.144499999995</v>
      </c>
      <c r="Z135" s="363">
        <f t="shared" si="26"/>
        <v>84388.144499999995</v>
      </c>
    </row>
    <row r="136" spans="1:44" s="364" customFormat="1" ht="15.75">
      <c r="A136" s="352">
        <v>145</v>
      </c>
      <c r="B136" s="353" t="s">
        <v>337</v>
      </c>
      <c r="C136" s="354" t="s">
        <v>338</v>
      </c>
      <c r="D136" s="356" t="s">
        <v>64</v>
      </c>
      <c r="E136" s="380"/>
      <c r="F136" s="356"/>
      <c r="G136" s="356">
        <v>0.5</v>
      </c>
      <c r="H136" s="357"/>
      <c r="I136" s="358"/>
      <c r="J136" s="356">
        <v>2</v>
      </c>
      <c r="K136" s="358">
        <v>17697</v>
      </c>
      <c r="L136" s="358"/>
      <c r="M136" s="359">
        <v>0.5</v>
      </c>
      <c r="N136" s="359"/>
      <c r="O136" s="361">
        <v>2.81</v>
      </c>
      <c r="P136" s="361"/>
      <c r="Q136" s="360">
        <f t="shared" si="25"/>
        <v>24864.285</v>
      </c>
      <c r="R136" s="361">
        <f t="shared" si="22"/>
        <v>0</v>
      </c>
      <c r="S136" s="359"/>
      <c r="T136" s="362">
        <v>0.1</v>
      </c>
      <c r="U136" s="361">
        <f t="shared" si="23"/>
        <v>2486.4285</v>
      </c>
      <c r="V136" s="359"/>
      <c r="W136" s="359"/>
      <c r="X136" s="363">
        <f t="shared" si="26"/>
        <v>27350.713499999998</v>
      </c>
      <c r="Y136" s="363">
        <f t="shared" si="26"/>
        <v>27350.713499999998</v>
      </c>
      <c r="Z136" s="363">
        <f t="shared" si="26"/>
        <v>27350.713499999998</v>
      </c>
    </row>
    <row r="137" spans="1:44" s="364" customFormat="1" ht="15.75">
      <c r="A137" s="378">
        <v>146</v>
      </c>
      <c r="B137" s="353" t="s">
        <v>382</v>
      </c>
      <c r="C137" s="354" t="s">
        <v>338</v>
      </c>
      <c r="D137" s="379" t="s">
        <v>64</v>
      </c>
      <c r="E137" s="380"/>
      <c r="F137" s="353"/>
      <c r="G137" s="356">
        <v>0.5</v>
      </c>
      <c r="H137" s="357"/>
      <c r="I137" s="358"/>
      <c r="J137" s="356">
        <v>2</v>
      </c>
      <c r="K137" s="358">
        <v>17697</v>
      </c>
      <c r="L137" s="358"/>
      <c r="M137" s="359">
        <v>0.5</v>
      </c>
      <c r="N137" s="359"/>
      <c r="O137" s="361">
        <v>2.81</v>
      </c>
      <c r="P137" s="361"/>
      <c r="Q137" s="360">
        <f t="shared" si="25"/>
        <v>24864.285</v>
      </c>
      <c r="R137" s="361">
        <f>K137*Q139*N137</f>
        <v>0</v>
      </c>
      <c r="S137" s="359"/>
      <c r="T137" s="362">
        <v>0.1</v>
      </c>
      <c r="U137" s="361">
        <f t="shared" si="23"/>
        <v>2486.4285</v>
      </c>
      <c r="V137" s="359"/>
      <c r="W137" s="359"/>
      <c r="X137" s="363">
        <f t="shared" si="26"/>
        <v>27350.713499999998</v>
      </c>
      <c r="Y137" s="363">
        <f t="shared" si="26"/>
        <v>27350.713499999998</v>
      </c>
      <c r="Z137" s="363">
        <f t="shared" si="26"/>
        <v>27350.713499999998</v>
      </c>
    </row>
    <row r="138" spans="1:44" s="364" customFormat="1" ht="15.75">
      <c r="A138" s="352">
        <v>147</v>
      </c>
      <c r="B138" s="353" t="s">
        <v>383</v>
      </c>
      <c r="C138" s="354" t="s">
        <v>338</v>
      </c>
      <c r="D138" s="379" t="s">
        <v>75</v>
      </c>
      <c r="E138" s="380"/>
      <c r="F138" s="391"/>
      <c r="G138" s="356">
        <v>1</v>
      </c>
      <c r="H138" s="357"/>
      <c r="I138" s="358"/>
      <c r="J138" s="356">
        <v>2</v>
      </c>
      <c r="K138" s="358">
        <v>17697</v>
      </c>
      <c r="L138" s="358"/>
      <c r="M138" s="359">
        <v>1</v>
      </c>
      <c r="N138" s="359"/>
      <c r="O138" s="361">
        <v>2.81</v>
      </c>
      <c r="P138" s="361"/>
      <c r="Q138" s="360">
        <f t="shared" si="25"/>
        <v>49728.57</v>
      </c>
      <c r="R138" s="361">
        <f>K138*Q140*N138</f>
        <v>0</v>
      </c>
      <c r="S138" s="359"/>
      <c r="T138" s="362">
        <v>0.1</v>
      </c>
      <c r="U138" s="361">
        <f t="shared" si="23"/>
        <v>4972.857</v>
      </c>
      <c r="V138" s="359"/>
      <c r="W138" s="359"/>
      <c r="X138" s="363">
        <f>Q138+U138+W138</f>
        <v>54701.426999999996</v>
      </c>
      <c r="Y138" s="363">
        <f>R138+V138+X138</f>
        <v>54701.426999999996</v>
      </c>
      <c r="Z138" s="363">
        <f>S138+W138+Y138</f>
        <v>54701.426999999996</v>
      </c>
    </row>
    <row r="139" spans="1:44" s="390" customFormat="1" ht="15">
      <c r="A139" s="352">
        <v>148</v>
      </c>
      <c r="B139" s="384" t="s">
        <v>339</v>
      </c>
      <c r="C139" s="354" t="s">
        <v>340</v>
      </c>
      <c r="D139" s="379" t="s">
        <v>64</v>
      </c>
      <c r="E139" s="382"/>
      <c r="F139" s="385"/>
      <c r="G139" s="381">
        <v>1</v>
      </c>
      <c r="H139" s="382"/>
      <c r="I139" s="386"/>
      <c r="J139" s="382">
        <v>2</v>
      </c>
      <c r="K139" s="359">
        <v>17697</v>
      </c>
      <c r="L139" s="359"/>
      <c r="M139" s="359">
        <v>1</v>
      </c>
      <c r="N139" s="359"/>
      <c r="O139" s="361">
        <v>2.81</v>
      </c>
      <c r="P139" s="361"/>
      <c r="Q139" s="360">
        <f t="shared" si="25"/>
        <v>49728.57</v>
      </c>
      <c r="R139" s="361">
        <f t="shared" si="22"/>
        <v>0</v>
      </c>
      <c r="S139" s="388"/>
      <c r="T139" s="362">
        <v>0.1</v>
      </c>
      <c r="U139" s="361">
        <f t="shared" si="23"/>
        <v>4972.857</v>
      </c>
      <c r="V139" s="383">
        <v>0.3</v>
      </c>
      <c r="W139" s="359">
        <f t="shared" ref="W139:W145" si="27">V139*K139</f>
        <v>5309.0999999999995</v>
      </c>
      <c r="X139" s="363">
        <f t="shared" si="26"/>
        <v>60010.526999999995</v>
      </c>
      <c r="Y139" s="363">
        <f t="shared" si="26"/>
        <v>60010.826999999997</v>
      </c>
      <c r="Z139" s="363">
        <f t="shared" si="26"/>
        <v>65319.926999999996</v>
      </c>
      <c r="AA139" s="389"/>
      <c r="AB139" s="389"/>
      <c r="AC139" s="389"/>
      <c r="AD139" s="389"/>
      <c r="AE139" s="389"/>
      <c r="AF139" s="389"/>
      <c r="AG139" s="389"/>
      <c r="AH139" s="389"/>
      <c r="AI139" s="389"/>
      <c r="AJ139" s="389"/>
      <c r="AK139" s="389"/>
      <c r="AL139" s="389"/>
      <c r="AM139" s="389"/>
      <c r="AN139" s="389"/>
    </row>
    <row r="140" spans="1:44" s="390" customFormat="1" ht="15">
      <c r="A140" s="378">
        <v>149</v>
      </c>
      <c r="B140" s="384" t="s">
        <v>341</v>
      </c>
      <c r="C140" s="354" t="s">
        <v>340</v>
      </c>
      <c r="D140" s="379" t="s">
        <v>64</v>
      </c>
      <c r="E140" s="382"/>
      <c r="F140" s="385"/>
      <c r="G140" s="381">
        <v>1</v>
      </c>
      <c r="H140" s="382"/>
      <c r="I140" s="386"/>
      <c r="J140" s="382">
        <v>2</v>
      </c>
      <c r="K140" s="359">
        <v>17697</v>
      </c>
      <c r="L140" s="359"/>
      <c r="M140" s="359">
        <v>1</v>
      </c>
      <c r="N140" s="359"/>
      <c r="O140" s="361">
        <v>2.81</v>
      </c>
      <c r="P140" s="361"/>
      <c r="Q140" s="360">
        <f t="shared" si="25"/>
        <v>49728.57</v>
      </c>
      <c r="R140" s="361">
        <f t="shared" si="22"/>
        <v>0</v>
      </c>
      <c r="S140" s="388"/>
      <c r="T140" s="362">
        <v>0.1</v>
      </c>
      <c r="U140" s="361">
        <f t="shared" si="23"/>
        <v>4972.857</v>
      </c>
      <c r="V140" s="383">
        <v>0.3</v>
      </c>
      <c r="W140" s="359">
        <f t="shared" si="27"/>
        <v>5309.0999999999995</v>
      </c>
      <c r="X140" s="363">
        <f t="shared" si="26"/>
        <v>60010.526999999995</v>
      </c>
      <c r="Y140" s="363">
        <f t="shared" si="26"/>
        <v>60010.826999999997</v>
      </c>
      <c r="Z140" s="363">
        <f t="shared" si="26"/>
        <v>65319.926999999996</v>
      </c>
      <c r="AA140" s="389"/>
      <c r="AB140" s="389"/>
      <c r="AC140" s="389"/>
      <c r="AD140" s="389"/>
      <c r="AE140" s="389"/>
      <c r="AF140" s="389"/>
      <c r="AG140" s="389"/>
      <c r="AH140" s="389"/>
      <c r="AI140" s="389"/>
      <c r="AJ140" s="389"/>
      <c r="AK140" s="389"/>
      <c r="AL140" s="389"/>
      <c r="AM140" s="389"/>
      <c r="AN140" s="389"/>
    </row>
    <row r="141" spans="1:44" s="390" customFormat="1" ht="15">
      <c r="A141" s="352">
        <v>150</v>
      </c>
      <c r="B141" s="384" t="s">
        <v>342</v>
      </c>
      <c r="C141" s="354" t="s">
        <v>340</v>
      </c>
      <c r="D141" s="379" t="s">
        <v>64</v>
      </c>
      <c r="E141" s="382"/>
      <c r="F141" s="385"/>
      <c r="G141" s="381">
        <v>1</v>
      </c>
      <c r="H141" s="382"/>
      <c r="I141" s="386"/>
      <c r="J141" s="382">
        <v>2</v>
      </c>
      <c r="K141" s="359">
        <v>17697</v>
      </c>
      <c r="L141" s="359"/>
      <c r="M141" s="359">
        <v>1</v>
      </c>
      <c r="N141" s="359"/>
      <c r="O141" s="361">
        <v>2.81</v>
      </c>
      <c r="P141" s="361"/>
      <c r="Q141" s="360">
        <f t="shared" si="25"/>
        <v>49728.57</v>
      </c>
      <c r="R141" s="361">
        <f t="shared" si="22"/>
        <v>0</v>
      </c>
      <c r="S141" s="388"/>
      <c r="T141" s="362">
        <v>0.1</v>
      </c>
      <c r="U141" s="361">
        <f t="shared" si="23"/>
        <v>4972.857</v>
      </c>
      <c r="V141" s="383">
        <v>0.3</v>
      </c>
      <c r="W141" s="359">
        <f t="shared" si="27"/>
        <v>5309.0999999999995</v>
      </c>
      <c r="X141" s="363">
        <f t="shared" si="26"/>
        <v>60010.526999999995</v>
      </c>
      <c r="Y141" s="363">
        <f t="shared" si="26"/>
        <v>60010.826999999997</v>
      </c>
      <c r="Z141" s="363">
        <f t="shared" si="26"/>
        <v>65319.926999999996</v>
      </c>
      <c r="AA141" s="389"/>
      <c r="AB141" s="389"/>
      <c r="AC141" s="389"/>
      <c r="AD141" s="389"/>
      <c r="AE141" s="389"/>
      <c r="AF141" s="389"/>
      <c r="AG141" s="389"/>
      <c r="AH141" s="389"/>
      <c r="AI141" s="389"/>
      <c r="AJ141" s="389"/>
      <c r="AK141" s="389"/>
      <c r="AL141" s="389"/>
      <c r="AM141" s="389"/>
      <c r="AN141" s="389"/>
    </row>
    <row r="142" spans="1:44" s="390" customFormat="1" ht="15">
      <c r="A142" s="378">
        <v>151</v>
      </c>
      <c r="B142" s="384" t="s">
        <v>343</v>
      </c>
      <c r="C142" s="354" t="s">
        <v>340</v>
      </c>
      <c r="D142" s="379" t="s">
        <v>64</v>
      </c>
      <c r="E142" s="382"/>
      <c r="F142" s="385"/>
      <c r="G142" s="381">
        <v>1</v>
      </c>
      <c r="H142" s="382"/>
      <c r="I142" s="386"/>
      <c r="J142" s="382">
        <v>2</v>
      </c>
      <c r="K142" s="359">
        <v>17697</v>
      </c>
      <c r="L142" s="359"/>
      <c r="M142" s="359">
        <v>1</v>
      </c>
      <c r="N142" s="359"/>
      <c r="O142" s="361">
        <v>2.81</v>
      </c>
      <c r="P142" s="361"/>
      <c r="Q142" s="360">
        <f t="shared" si="25"/>
        <v>49728.57</v>
      </c>
      <c r="R142" s="361">
        <f t="shared" si="22"/>
        <v>0</v>
      </c>
      <c r="S142" s="388"/>
      <c r="T142" s="362">
        <v>0.1</v>
      </c>
      <c r="U142" s="361">
        <f t="shared" si="23"/>
        <v>4972.857</v>
      </c>
      <c r="V142" s="383">
        <v>0.3</v>
      </c>
      <c r="W142" s="359">
        <f t="shared" si="27"/>
        <v>5309.0999999999995</v>
      </c>
      <c r="X142" s="363">
        <f t="shared" si="26"/>
        <v>60010.526999999995</v>
      </c>
      <c r="Y142" s="363">
        <f t="shared" si="26"/>
        <v>60010.826999999997</v>
      </c>
      <c r="Z142" s="363">
        <f t="shared" si="26"/>
        <v>65319.926999999996</v>
      </c>
      <c r="AA142" s="389"/>
      <c r="AB142" s="389"/>
      <c r="AC142" s="389"/>
      <c r="AD142" s="389"/>
      <c r="AE142" s="389"/>
      <c r="AF142" s="389"/>
      <c r="AG142" s="389"/>
      <c r="AH142" s="389"/>
      <c r="AI142" s="389"/>
      <c r="AJ142" s="389"/>
      <c r="AK142" s="389"/>
      <c r="AL142" s="389"/>
      <c r="AM142" s="389"/>
      <c r="AN142" s="389"/>
    </row>
    <row r="143" spans="1:44" s="377" customFormat="1" ht="15">
      <c r="A143" s="352">
        <v>152</v>
      </c>
      <c r="B143" s="384" t="s">
        <v>405</v>
      </c>
      <c r="C143" s="354" t="s">
        <v>340</v>
      </c>
      <c r="D143" s="379" t="s">
        <v>64</v>
      </c>
      <c r="E143" s="382"/>
      <c r="F143" s="387"/>
      <c r="G143" s="381">
        <v>1</v>
      </c>
      <c r="H143" s="382"/>
      <c r="I143" s="386"/>
      <c r="J143" s="382">
        <v>2</v>
      </c>
      <c r="K143" s="359">
        <v>17697</v>
      </c>
      <c r="L143" s="359"/>
      <c r="M143" s="359">
        <v>1</v>
      </c>
      <c r="N143" s="359"/>
      <c r="O143" s="361">
        <v>2.81</v>
      </c>
      <c r="P143" s="361"/>
      <c r="Q143" s="360">
        <f t="shared" si="25"/>
        <v>49728.57</v>
      </c>
      <c r="R143" s="361">
        <f t="shared" si="22"/>
        <v>0</v>
      </c>
      <c r="S143" s="359"/>
      <c r="T143" s="362">
        <v>0.1</v>
      </c>
      <c r="U143" s="361">
        <f t="shared" si="23"/>
        <v>4972.857</v>
      </c>
      <c r="V143" s="383">
        <v>0.3</v>
      </c>
      <c r="W143" s="359">
        <f t="shared" si="27"/>
        <v>5309.0999999999995</v>
      </c>
      <c r="X143" s="363">
        <f t="shared" si="26"/>
        <v>60010.526999999995</v>
      </c>
      <c r="Y143" s="363">
        <f t="shared" si="26"/>
        <v>60010.826999999997</v>
      </c>
      <c r="Z143" s="363">
        <f t="shared" si="26"/>
        <v>65319.926999999996</v>
      </c>
    </row>
    <row r="144" spans="1:44" s="377" customFormat="1" ht="15">
      <c r="A144" s="378">
        <v>153</v>
      </c>
      <c r="B144" s="384" t="s">
        <v>378</v>
      </c>
      <c r="C144" s="354" t="s">
        <v>340</v>
      </c>
      <c r="D144" s="379" t="s">
        <v>64</v>
      </c>
      <c r="E144" s="382"/>
      <c r="F144" s="385"/>
      <c r="G144" s="381">
        <v>1</v>
      </c>
      <c r="H144" s="382"/>
      <c r="I144" s="386"/>
      <c r="J144" s="382">
        <v>2</v>
      </c>
      <c r="K144" s="359">
        <v>17697</v>
      </c>
      <c r="L144" s="359"/>
      <c r="M144" s="359">
        <v>1</v>
      </c>
      <c r="N144" s="359"/>
      <c r="O144" s="361">
        <v>2.81</v>
      </c>
      <c r="P144" s="361"/>
      <c r="Q144" s="360">
        <f t="shared" si="25"/>
        <v>49728.57</v>
      </c>
      <c r="R144" s="361">
        <f t="shared" si="22"/>
        <v>0</v>
      </c>
      <c r="S144" s="359"/>
      <c r="T144" s="362">
        <v>0.1</v>
      </c>
      <c r="U144" s="361">
        <f t="shared" si="23"/>
        <v>4972.857</v>
      </c>
      <c r="V144" s="383">
        <v>0.3</v>
      </c>
      <c r="W144" s="359">
        <f t="shared" si="27"/>
        <v>5309.0999999999995</v>
      </c>
      <c r="X144" s="363">
        <f t="shared" si="26"/>
        <v>60010.526999999995</v>
      </c>
      <c r="Y144" s="363">
        <f t="shared" si="26"/>
        <v>60010.826999999997</v>
      </c>
      <c r="Z144" s="363">
        <f t="shared" si="26"/>
        <v>65319.926999999996</v>
      </c>
    </row>
    <row r="145" spans="1:44" s="377" customFormat="1" ht="15">
      <c r="A145" s="352">
        <v>154</v>
      </c>
      <c r="B145" s="384" t="s">
        <v>406</v>
      </c>
      <c r="C145" s="354" t="s">
        <v>340</v>
      </c>
      <c r="D145" s="379" t="s">
        <v>64</v>
      </c>
      <c r="E145" s="382"/>
      <c r="F145" s="385"/>
      <c r="G145" s="381">
        <v>1</v>
      </c>
      <c r="H145" s="382"/>
      <c r="I145" s="386"/>
      <c r="J145" s="382">
        <v>2</v>
      </c>
      <c r="K145" s="359">
        <v>17697</v>
      </c>
      <c r="L145" s="359"/>
      <c r="M145" s="359">
        <v>1</v>
      </c>
      <c r="N145" s="359"/>
      <c r="O145" s="361">
        <v>2.81</v>
      </c>
      <c r="P145" s="361"/>
      <c r="Q145" s="360">
        <f t="shared" si="25"/>
        <v>49728.57</v>
      </c>
      <c r="R145" s="361">
        <f t="shared" si="22"/>
        <v>0</v>
      </c>
      <c r="S145" s="359"/>
      <c r="T145" s="362">
        <v>0.1</v>
      </c>
      <c r="U145" s="361">
        <f t="shared" si="23"/>
        <v>4972.857</v>
      </c>
      <c r="V145" s="383">
        <v>0.3</v>
      </c>
      <c r="W145" s="359">
        <f t="shared" si="27"/>
        <v>5309.0999999999995</v>
      </c>
      <c r="X145" s="363">
        <f t="shared" si="26"/>
        <v>60010.526999999995</v>
      </c>
      <c r="Y145" s="363">
        <f t="shared" si="26"/>
        <v>60010.826999999997</v>
      </c>
      <c r="Z145" s="363">
        <f t="shared" si="26"/>
        <v>65319.926999999996</v>
      </c>
    </row>
    <row r="146" spans="1:44" s="364" customFormat="1" ht="15.75">
      <c r="A146" s="378">
        <v>155</v>
      </c>
      <c r="B146" s="353" t="s">
        <v>407</v>
      </c>
      <c r="C146" s="354" t="s">
        <v>340</v>
      </c>
      <c r="D146" s="379" t="s">
        <v>64</v>
      </c>
      <c r="E146" s="380"/>
      <c r="F146" s="356"/>
      <c r="G146" s="381">
        <v>1</v>
      </c>
      <c r="H146" s="357"/>
      <c r="I146" s="358"/>
      <c r="J146" s="382">
        <v>2</v>
      </c>
      <c r="K146" s="358">
        <v>17697</v>
      </c>
      <c r="L146" s="358"/>
      <c r="M146" s="359">
        <v>1.3</v>
      </c>
      <c r="N146" s="359"/>
      <c r="O146" s="361">
        <v>2.81</v>
      </c>
      <c r="P146" s="361"/>
      <c r="Q146" s="360">
        <f t="shared" si="25"/>
        <v>64647.141000000003</v>
      </c>
      <c r="R146" s="361">
        <f t="shared" si="22"/>
        <v>0</v>
      </c>
      <c r="S146" s="359"/>
      <c r="T146" s="362">
        <v>0.1</v>
      </c>
      <c r="U146" s="361">
        <f t="shared" si="23"/>
        <v>6464.7141000000011</v>
      </c>
      <c r="V146" s="383">
        <v>0.3</v>
      </c>
      <c r="W146" s="359">
        <f>V146*K146/1*1.3</f>
        <v>6901.83</v>
      </c>
      <c r="X146" s="363">
        <f t="shared" si="26"/>
        <v>78013.685100000002</v>
      </c>
      <c r="Y146" s="363">
        <f t="shared" si="26"/>
        <v>78013.985100000005</v>
      </c>
      <c r="Z146" s="363">
        <f t="shared" si="26"/>
        <v>84915.815100000007</v>
      </c>
    </row>
    <row r="147" spans="1:44" s="377" customFormat="1" ht="15">
      <c r="A147" s="352">
        <v>156</v>
      </c>
      <c r="B147" s="365" t="s">
        <v>408</v>
      </c>
      <c r="C147" s="366" t="s">
        <v>340</v>
      </c>
      <c r="D147" s="367" t="s">
        <v>75</v>
      </c>
      <c r="E147" s="367"/>
      <c r="F147" s="368"/>
      <c r="G147" s="367">
        <v>1</v>
      </c>
      <c r="H147" s="369"/>
      <c r="I147" s="369"/>
      <c r="J147" s="370">
        <v>2</v>
      </c>
      <c r="K147" s="371">
        <v>17697</v>
      </c>
      <c r="L147" s="371"/>
      <c r="M147" s="359">
        <v>1</v>
      </c>
      <c r="N147" s="371"/>
      <c r="O147" s="361">
        <v>2.81</v>
      </c>
      <c r="P147" s="361"/>
      <c r="Q147" s="360">
        <f t="shared" si="25"/>
        <v>49728.57</v>
      </c>
      <c r="R147" s="361">
        <f t="shared" si="22"/>
        <v>0</v>
      </c>
      <c r="S147" s="371"/>
      <c r="T147" s="362">
        <v>0.1</v>
      </c>
      <c r="U147" s="361">
        <f>T147*Q147</f>
        <v>4972.857</v>
      </c>
      <c r="V147" s="372">
        <v>0.3</v>
      </c>
      <c r="W147" s="373">
        <f>V147*K147</f>
        <v>5309.0999999999995</v>
      </c>
      <c r="X147" s="363">
        <f t="shared" ref="X147:Z148" si="28">Q147+U147+W147</f>
        <v>60010.526999999995</v>
      </c>
      <c r="Y147" s="363">
        <f t="shared" si="28"/>
        <v>60010.826999999997</v>
      </c>
      <c r="Z147" s="363">
        <f t="shared" si="28"/>
        <v>65319.926999999996</v>
      </c>
      <c r="AA147" s="374"/>
      <c r="AB147" s="374"/>
      <c r="AC147" s="375"/>
      <c r="AD147" s="375"/>
      <c r="AE147" s="376"/>
      <c r="AF147" s="374"/>
      <c r="AG147" s="375"/>
    </row>
    <row r="148" spans="1:44" s="390" customFormat="1" ht="15">
      <c r="A148" s="378">
        <v>156</v>
      </c>
      <c r="B148" s="384" t="s">
        <v>345</v>
      </c>
      <c r="C148" s="392" t="s">
        <v>346</v>
      </c>
      <c r="D148" s="379" t="s">
        <v>64</v>
      </c>
      <c r="E148" s="382"/>
      <c r="F148" s="385"/>
      <c r="G148" s="381">
        <v>1</v>
      </c>
      <c r="H148" s="382"/>
      <c r="I148" s="386"/>
      <c r="J148" s="382">
        <v>1</v>
      </c>
      <c r="K148" s="359">
        <v>17697</v>
      </c>
      <c r="L148" s="359"/>
      <c r="M148" s="371">
        <v>1</v>
      </c>
      <c r="N148" s="359"/>
      <c r="O148" s="359">
        <v>2.77</v>
      </c>
      <c r="P148" s="359"/>
      <c r="Q148" s="360">
        <f t="shared" si="25"/>
        <v>49020.69</v>
      </c>
      <c r="R148" s="361">
        <f t="shared" si="22"/>
        <v>0</v>
      </c>
      <c r="S148" s="388"/>
      <c r="T148" s="362">
        <v>0.1</v>
      </c>
      <c r="U148" s="361">
        <f t="shared" si="23"/>
        <v>4902.0690000000004</v>
      </c>
      <c r="V148" s="449">
        <v>0.5</v>
      </c>
      <c r="W148" s="446">
        <v>12439.34</v>
      </c>
      <c r="X148" s="363">
        <f>Q148+U148+W148</f>
        <v>66362.099000000002</v>
      </c>
      <c r="Y148" s="363">
        <f t="shared" si="28"/>
        <v>66362.599000000002</v>
      </c>
      <c r="Z148" s="363">
        <f t="shared" si="28"/>
        <v>78801.938999999998</v>
      </c>
      <c r="AA148" s="389"/>
      <c r="AB148" s="389"/>
      <c r="AC148" s="389"/>
      <c r="AD148" s="389"/>
      <c r="AE148" s="389"/>
      <c r="AF148" s="389"/>
      <c r="AG148" s="389"/>
      <c r="AH148" s="389"/>
      <c r="AI148" s="389"/>
      <c r="AJ148" s="389"/>
      <c r="AK148" s="389"/>
      <c r="AL148" s="389"/>
      <c r="AM148" s="389"/>
      <c r="AN148" s="389"/>
    </row>
    <row r="149" spans="1:44" s="390" customFormat="1" ht="15">
      <c r="A149" s="352">
        <v>157</v>
      </c>
      <c r="B149" s="384" t="s">
        <v>347</v>
      </c>
      <c r="C149" s="392" t="s">
        <v>346</v>
      </c>
      <c r="D149" s="379" t="s">
        <v>25</v>
      </c>
      <c r="E149" s="382"/>
      <c r="F149" s="379"/>
      <c r="G149" s="381">
        <v>1</v>
      </c>
      <c r="H149" s="382"/>
      <c r="I149" s="386"/>
      <c r="J149" s="382">
        <v>1</v>
      </c>
      <c r="K149" s="359">
        <v>17697</v>
      </c>
      <c r="L149" s="359"/>
      <c r="M149" s="359">
        <v>1</v>
      </c>
      <c r="N149" s="359"/>
      <c r="O149" s="359">
        <v>2.77</v>
      </c>
      <c r="P149" s="359"/>
      <c r="Q149" s="360">
        <f t="shared" si="25"/>
        <v>49020.69</v>
      </c>
      <c r="R149" s="361">
        <f t="shared" si="22"/>
        <v>0</v>
      </c>
      <c r="S149" s="388"/>
      <c r="T149" s="362">
        <v>0.1</v>
      </c>
      <c r="U149" s="361">
        <f t="shared" si="23"/>
        <v>4902.0690000000004</v>
      </c>
      <c r="V149" s="449">
        <v>0.5</v>
      </c>
      <c r="W149" s="446">
        <v>12439.34</v>
      </c>
      <c r="X149" s="363">
        <f t="shared" si="26"/>
        <v>66362.099000000002</v>
      </c>
      <c r="Y149" s="363">
        <f t="shared" si="26"/>
        <v>66362.599000000002</v>
      </c>
      <c r="Z149" s="363">
        <f t="shared" si="26"/>
        <v>78801.938999999998</v>
      </c>
      <c r="AA149" s="389"/>
      <c r="AB149" s="389"/>
      <c r="AC149" s="389"/>
      <c r="AD149" s="389"/>
      <c r="AE149" s="389"/>
      <c r="AF149" s="389"/>
      <c r="AG149" s="389"/>
      <c r="AH149" s="389"/>
      <c r="AI149" s="389"/>
      <c r="AJ149" s="389"/>
      <c r="AK149" s="389"/>
      <c r="AL149" s="389"/>
      <c r="AM149" s="389"/>
      <c r="AN149" s="389"/>
    </row>
    <row r="150" spans="1:44" s="390" customFormat="1" ht="15">
      <c r="A150" s="378">
        <v>158</v>
      </c>
      <c r="B150" s="384" t="s">
        <v>348</v>
      </c>
      <c r="C150" s="392" t="s">
        <v>346</v>
      </c>
      <c r="D150" s="379" t="s">
        <v>64</v>
      </c>
      <c r="E150" s="382"/>
      <c r="F150" s="379"/>
      <c r="G150" s="381">
        <v>1</v>
      </c>
      <c r="H150" s="382"/>
      <c r="I150" s="386"/>
      <c r="J150" s="382">
        <v>1</v>
      </c>
      <c r="K150" s="359">
        <v>17697</v>
      </c>
      <c r="L150" s="359"/>
      <c r="M150" s="359">
        <v>1</v>
      </c>
      <c r="N150" s="359"/>
      <c r="O150" s="359">
        <v>2.77</v>
      </c>
      <c r="P150" s="359"/>
      <c r="Q150" s="360">
        <f t="shared" si="25"/>
        <v>49020.69</v>
      </c>
      <c r="R150" s="361">
        <f t="shared" si="22"/>
        <v>0</v>
      </c>
      <c r="S150" s="388"/>
      <c r="T150" s="362">
        <v>0.1</v>
      </c>
      <c r="U150" s="361">
        <f t="shared" si="23"/>
        <v>4902.0690000000004</v>
      </c>
      <c r="V150" s="449">
        <v>0.5</v>
      </c>
      <c r="W150" s="446">
        <v>12439.34</v>
      </c>
      <c r="X150" s="363">
        <f t="shared" si="26"/>
        <v>66362.099000000002</v>
      </c>
      <c r="Y150" s="363">
        <f t="shared" si="26"/>
        <v>66362.599000000002</v>
      </c>
      <c r="Z150" s="363">
        <f t="shared" si="26"/>
        <v>78801.938999999998</v>
      </c>
      <c r="AA150" s="389"/>
      <c r="AB150" s="389"/>
      <c r="AC150" s="389"/>
      <c r="AD150" s="389"/>
      <c r="AE150" s="389"/>
      <c r="AF150" s="389"/>
      <c r="AG150" s="389"/>
      <c r="AH150" s="389"/>
      <c r="AI150" s="389"/>
      <c r="AJ150" s="389"/>
      <c r="AK150" s="389"/>
      <c r="AL150" s="389"/>
      <c r="AM150" s="389"/>
      <c r="AN150" s="389"/>
    </row>
    <row r="151" spans="1:44" s="377" customFormat="1" ht="15">
      <c r="A151" s="352">
        <v>159</v>
      </c>
      <c r="B151" s="384" t="s">
        <v>416</v>
      </c>
      <c r="C151" s="448" t="s">
        <v>346</v>
      </c>
      <c r="D151" s="379" t="s">
        <v>64</v>
      </c>
      <c r="E151" s="382"/>
      <c r="F151" s="379"/>
      <c r="G151" s="381">
        <v>1</v>
      </c>
      <c r="H151" s="382"/>
      <c r="I151" s="386"/>
      <c r="J151" s="382">
        <v>1</v>
      </c>
      <c r="K151" s="359">
        <v>17697</v>
      </c>
      <c r="L151" s="359"/>
      <c r="M151" s="359">
        <v>1</v>
      </c>
      <c r="N151" s="359"/>
      <c r="O151" s="359">
        <v>2.77</v>
      </c>
      <c r="P151" s="359"/>
      <c r="Q151" s="360">
        <f t="shared" si="25"/>
        <v>49020.69</v>
      </c>
      <c r="R151" s="361">
        <f t="shared" si="22"/>
        <v>0</v>
      </c>
      <c r="S151" s="359"/>
      <c r="T151" s="362">
        <v>0.1</v>
      </c>
      <c r="U151" s="361">
        <f t="shared" si="23"/>
        <v>4902.0690000000004</v>
      </c>
      <c r="V151" s="449">
        <v>0.5</v>
      </c>
      <c r="W151" s="446">
        <v>12439.34</v>
      </c>
      <c r="X151" s="363">
        <f t="shared" si="26"/>
        <v>66362.099000000002</v>
      </c>
      <c r="Y151" s="363">
        <f t="shared" si="26"/>
        <v>66362.599000000002</v>
      </c>
      <c r="Z151" s="363">
        <f t="shared" si="26"/>
        <v>78801.938999999998</v>
      </c>
    </row>
    <row r="152" spans="1:44" s="377" customFormat="1" ht="15">
      <c r="A152" s="378">
        <v>160</v>
      </c>
      <c r="B152" s="384" t="s">
        <v>333</v>
      </c>
      <c r="C152" s="448" t="s">
        <v>346</v>
      </c>
      <c r="D152" s="379" t="s">
        <v>64</v>
      </c>
      <c r="E152" s="382"/>
      <c r="F152" s="379"/>
      <c r="G152" s="381">
        <v>1</v>
      </c>
      <c r="H152" s="382"/>
      <c r="I152" s="386"/>
      <c r="J152" s="382">
        <v>1</v>
      </c>
      <c r="K152" s="359">
        <v>17697</v>
      </c>
      <c r="L152" s="359"/>
      <c r="M152" s="359">
        <v>1</v>
      </c>
      <c r="N152" s="359"/>
      <c r="O152" s="359">
        <v>2.77</v>
      </c>
      <c r="P152" s="359"/>
      <c r="Q152" s="360">
        <f t="shared" si="25"/>
        <v>49020.69</v>
      </c>
      <c r="R152" s="361">
        <f t="shared" si="22"/>
        <v>0</v>
      </c>
      <c r="S152" s="359"/>
      <c r="T152" s="362">
        <v>0.1</v>
      </c>
      <c r="U152" s="361">
        <f t="shared" si="23"/>
        <v>4902.0690000000004</v>
      </c>
      <c r="V152" s="449">
        <v>0.5</v>
      </c>
      <c r="W152" s="446">
        <v>12439.34</v>
      </c>
      <c r="X152" s="363">
        <f t="shared" si="26"/>
        <v>66362.099000000002</v>
      </c>
      <c r="Y152" s="363">
        <f t="shared" si="26"/>
        <v>66362.599000000002</v>
      </c>
      <c r="Z152" s="363">
        <f t="shared" si="26"/>
        <v>78801.938999999998</v>
      </c>
    </row>
    <row r="153" spans="1:44" s="377" customFormat="1" ht="15">
      <c r="A153" s="352">
        <v>161</v>
      </c>
      <c r="B153" s="384" t="s">
        <v>350</v>
      </c>
      <c r="C153" s="448" t="s">
        <v>346</v>
      </c>
      <c r="D153" s="379" t="s">
        <v>64</v>
      </c>
      <c r="E153" s="382"/>
      <c r="F153" s="379"/>
      <c r="G153" s="381">
        <v>1</v>
      </c>
      <c r="H153" s="382"/>
      <c r="I153" s="386"/>
      <c r="J153" s="382">
        <v>1</v>
      </c>
      <c r="K153" s="359">
        <v>17697</v>
      </c>
      <c r="L153" s="359"/>
      <c r="M153" s="359">
        <v>1</v>
      </c>
      <c r="N153" s="359"/>
      <c r="O153" s="359">
        <v>2.77</v>
      </c>
      <c r="P153" s="359"/>
      <c r="Q153" s="360">
        <f t="shared" si="25"/>
        <v>49020.69</v>
      </c>
      <c r="R153" s="361">
        <f t="shared" si="22"/>
        <v>0</v>
      </c>
      <c r="S153" s="359"/>
      <c r="T153" s="362">
        <v>0.1</v>
      </c>
      <c r="U153" s="361">
        <f t="shared" si="23"/>
        <v>4902.0690000000004</v>
      </c>
      <c r="V153" s="449">
        <v>0.5</v>
      </c>
      <c r="W153" s="446">
        <v>12439.34</v>
      </c>
      <c r="X153" s="363">
        <f t="shared" si="26"/>
        <v>66362.099000000002</v>
      </c>
      <c r="Y153" s="363">
        <f t="shared" si="26"/>
        <v>66362.599000000002</v>
      </c>
      <c r="Z153" s="363">
        <f t="shared" si="26"/>
        <v>78801.938999999998</v>
      </c>
    </row>
    <row r="154" spans="1:44" s="377" customFormat="1" ht="15">
      <c r="A154" s="378">
        <v>162</v>
      </c>
      <c r="B154" s="413" t="s">
        <v>351</v>
      </c>
      <c r="C154" s="443" t="s">
        <v>352</v>
      </c>
      <c r="D154" s="355" t="s">
        <v>75</v>
      </c>
      <c r="E154" s="355"/>
      <c r="F154" s="444"/>
      <c r="G154" s="355">
        <v>1</v>
      </c>
      <c r="H154" s="445"/>
      <c r="I154" s="445"/>
      <c r="J154" s="355">
        <v>1</v>
      </c>
      <c r="K154" s="360">
        <v>17697</v>
      </c>
      <c r="L154" s="360"/>
      <c r="M154" s="359">
        <v>1</v>
      </c>
      <c r="N154" s="360"/>
      <c r="O154" s="359">
        <v>2.77</v>
      </c>
      <c r="P154" s="359"/>
      <c r="Q154" s="360">
        <f t="shared" si="25"/>
        <v>49020.69</v>
      </c>
      <c r="R154" s="361">
        <f t="shared" si="22"/>
        <v>0</v>
      </c>
      <c r="S154" s="360"/>
      <c r="T154" s="362">
        <v>0.1</v>
      </c>
      <c r="U154" s="361">
        <f t="shared" si="23"/>
        <v>4902.0690000000004</v>
      </c>
      <c r="V154" s="360">
        <v>0</v>
      </c>
      <c r="W154" s="446">
        <v>12439.34</v>
      </c>
      <c r="X154" s="363">
        <f t="shared" si="26"/>
        <v>66362.099000000002</v>
      </c>
      <c r="Y154" s="363">
        <f t="shared" si="26"/>
        <v>66362.099000000002</v>
      </c>
      <c r="Z154" s="363">
        <f t="shared" si="26"/>
        <v>78801.438999999998</v>
      </c>
      <c r="AA154" s="374"/>
      <c r="AB154" s="374"/>
      <c r="AC154" s="375"/>
      <c r="AD154" s="375"/>
      <c r="AE154" s="376"/>
      <c r="AF154" s="374"/>
      <c r="AG154" s="375"/>
    </row>
    <row r="155" spans="1:44" s="377" customFormat="1" ht="15">
      <c r="A155" s="352">
        <v>163</v>
      </c>
      <c r="B155" s="413" t="s">
        <v>353</v>
      </c>
      <c r="C155" s="443" t="s">
        <v>352</v>
      </c>
      <c r="D155" s="355" t="s">
        <v>75</v>
      </c>
      <c r="E155" s="355"/>
      <c r="F155" s="444"/>
      <c r="G155" s="355">
        <v>1</v>
      </c>
      <c r="H155" s="445"/>
      <c r="I155" s="445"/>
      <c r="J155" s="355">
        <v>1</v>
      </c>
      <c r="K155" s="360">
        <v>17697</v>
      </c>
      <c r="L155" s="360"/>
      <c r="M155" s="359">
        <v>1</v>
      </c>
      <c r="N155" s="360"/>
      <c r="O155" s="359">
        <v>2.77</v>
      </c>
      <c r="P155" s="359"/>
      <c r="Q155" s="360">
        <f t="shared" si="25"/>
        <v>49020.69</v>
      </c>
      <c r="R155" s="361">
        <f t="shared" si="22"/>
        <v>0</v>
      </c>
      <c r="S155" s="360"/>
      <c r="T155" s="362">
        <v>0.1</v>
      </c>
      <c r="U155" s="361">
        <f t="shared" si="23"/>
        <v>4902.0690000000004</v>
      </c>
      <c r="V155" s="360">
        <v>0</v>
      </c>
      <c r="W155" s="446">
        <v>12439.34</v>
      </c>
      <c r="X155" s="363">
        <f t="shared" si="26"/>
        <v>66362.099000000002</v>
      </c>
      <c r="Y155" s="363">
        <f t="shared" si="26"/>
        <v>66362.099000000002</v>
      </c>
      <c r="Z155" s="363">
        <f t="shared" si="26"/>
        <v>78801.438999999998</v>
      </c>
      <c r="AA155" s="374"/>
      <c r="AB155" s="374"/>
      <c r="AC155" s="375"/>
      <c r="AD155" s="375"/>
      <c r="AE155" s="376"/>
      <c r="AF155" s="374"/>
      <c r="AG155" s="375"/>
    </row>
    <row r="156" spans="1:44" s="377" customFormat="1" ht="15">
      <c r="A156" s="378">
        <v>164</v>
      </c>
      <c r="B156" s="447" t="s">
        <v>354</v>
      </c>
      <c r="C156" s="443" t="s">
        <v>352</v>
      </c>
      <c r="D156" s="355" t="s">
        <v>75</v>
      </c>
      <c r="E156" s="355"/>
      <c r="F156" s="444"/>
      <c r="G156" s="355">
        <v>1</v>
      </c>
      <c r="H156" s="445"/>
      <c r="I156" s="445"/>
      <c r="J156" s="355">
        <v>1</v>
      </c>
      <c r="K156" s="360">
        <v>17697</v>
      </c>
      <c r="L156" s="360"/>
      <c r="M156" s="359">
        <v>1</v>
      </c>
      <c r="N156" s="360"/>
      <c r="O156" s="359">
        <v>2.77</v>
      </c>
      <c r="P156" s="359"/>
      <c r="Q156" s="360">
        <f t="shared" si="25"/>
        <v>49020.69</v>
      </c>
      <c r="R156" s="361">
        <f t="shared" si="22"/>
        <v>0</v>
      </c>
      <c r="S156" s="360"/>
      <c r="T156" s="362">
        <v>0.1</v>
      </c>
      <c r="U156" s="361">
        <f t="shared" si="23"/>
        <v>4902.0690000000004</v>
      </c>
      <c r="V156" s="360">
        <v>0</v>
      </c>
      <c r="W156" s="446">
        <v>12439.34</v>
      </c>
      <c r="X156" s="363">
        <f>Q156+U156+W156</f>
        <v>66362.099000000002</v>
      </c>
      <c r="Y156" s="363">
        <f>R156+V156+X156</f>
        <v>66362.099000000002</v>
      </c>
      <c r="Z156" s="363">
        <f>S156+W156+Y156</f>
        <v>78801.438999999998</v>
      </c>
      <c r="AA156" s="374"/>
      <c r="AB156" s="374"/>
      <c r="AC156" s="375"/>
      <c r="AD156" s="375"/>
      <c r="AE156" s="376"/>
      <c r="AF156" s="374"/>
      <c r="AG156" s="375"/>
    </row>
    <row r="157" spans="1:44" s="364" customFormat="1" ht="15.75">
      <c r="A157" s="352">
        <v>165</v>
      </c>
      <c r="B157" s="353" t="s">
        <v>355</v>
      </c>
      <c r="C157" s="354" t="s">
        <v>356</v>
      </c>
      <c r="D157" s="355" t="s">
        <v>75</v>
      </c>
      <c r="E157" s="353"/>
      <c r="F157" s="353"/>
      <c r="G157" s="356">
        <v>1</v>
      </c>
      <c r="H157" s="357"/>
      <c r="I157" s="358"/>
      <c r="J157" s="356">
        <v>1</v>
      </c>
      <c r="K157" s="358">
        <v>17697</v>
      </c>
      <c r="L157" s="358"/>
      <c r="M157" s="359">
        <v>1</v>
      </c>
      <c r="N157" s="359"/>
      <c r="O157" s="359">
        <v>2.77</v>
      </c>
      <c r="P157" s="359"/>
      <c r="Q157" s="360">
        <f t="shared" si="25"/>
        <v>49020.69</v>
      </c>
      <c r="R157" s="361">
        <f t="shared" si="22"/>
        <v>0</v>
      </c>
      <c r="S157" s="359"/>
      <c r="T157" s="362">
        <v>0.1</v>
      </c>
      <c r="U157" s="361">
        <f t="shared" si="23"/>
        <v>4902.0690000000004</v>
      </c>
      <c r="V157" s="360">
        <v>0</v>
      </c>
      <c r="W157" s="360">
        <v>0</v>
      </c>
      <c r="X157" s="363">
        <f t="shared" si="26"/>
        <v>53922.759000000005</v>
      </c>
      <c r="Y157" s="363">
        <f t="shared" si="26"/>
        <v>53922.759000000005</v>
      </c>
      <c r="Z157" s="363">
        <f t="shared" si="26"/>
        <v>53922.759000000005</v>
      </c>
    </row>
    <row r="158" spans="1:44" s="364" customFormat="1" ht="15.75">
      <c r="A158" s="378">
        <v>166</v>
      </c>
      <c r="B158" s="353" t="s">
        <v>357</v>
      </c>
      <c r="C158" s="392" t="s">
        <v>358</v>
      </c>
      <c r="D158" s="379" t="s">
        <v>64</v>
      </c>
      <c r="E158" s="353"/>
      <c r="F158" s="353"/>
      <c r="G158" s="356">
        <v>1</v>
      </c>
      <c r="H158" s="357"/>
      <c r="I158" s="358"/>
      <c r="J158" s="356">
        <v>1</v>
      </c>
      <c r="K158" s="358">
        <v>17697</v>
      </c>
      <c r="L158" s="358"/>
      <c r="M158" s="359">
        <v>1</v>
      </c>
      <c r="N158" s="359"/>
      <c r="O158" s="359">
        <v>2.77</v>
      </c>
      <c r="P158" s="359"/>
      <c r="Q158" s="360">
        <f t="shared" si="25"/>
        <v>49020.69</v>
      </c>
      <c r="R158" s="361">
        <f t="shared" si="22"/>
        <v>0</v>
      </c>
      <c r="S158" s="359"/>
      <c r="T158" s="362">
        <v>0.1</v>
      </c>
      <c r="U158" s="361">
        <f t="shared" si="23"/>
        <v>4902.0690000000004</v>
      </c>
      <c r="V158" s="360">
        <v>0</v>
      </c>
      <c r="W158" s="360">
        <v>0</v>
      </c>
      <c r="X158" s="363">
        <f t="shared" si="26"/>
        <v>53922.759000000005</v>
      </c>
      <c r="Y158" s="363">
        <f t="shared" si="26"/>
        <v>53922.759000000005</v>
      </c>
      <c r="Z158" s="363">
        <f t="shared" si="26"/>
        <v>53922.759000000005</v>
      </c>
    </row>
    <row r="159" spans="1:44" s="84" customFormat="1" ht="22.5" customHeight="1">
      <c r="A159" s="2257" t="s">
        <v>359</v>
      </c>
      <c r="B159" s="2257"/>
      <c r="C159" s="2257"/>
      <c r="D159" s="2257"/>
      <c r="E159" s="207"/>
      <c r="F159" s="207"/>
      <c r="G159" s="140"/>
      <c r="H159" s="207"/>
      <c r="I159" s="207"/>
      <c r="J159" s="207"/>
      <c r="K159" s="207"/>
      <c r="L159" s="249"/>
      <c r="M159" s="141">
        <v>170.63</v>
      </c>
      <c r="N159" s="141"/>
      <c r="O159" s="141"/>
      <c r="P159" s="141"/>
      <c r="Q159" s="141">
        <f>SUM(Q6:Q158)</f>
        <v>12104388.160999993</v>
      </c>
      <c r="R159" s="141"/>
      <c r="S159" s="141">
        <f>SUM(S6:S158)</f>
        <v>191075.98375000001</v>
      </c>
      <c r="T159" s="141"/>
      <c r="U159" s="141">
        <f>SUM(U6:U158)</f>
        <v>1226993.6447249991</v>
      </c>
      <c r="V159" s="141"/>
      <c r="W159" s="141">
        <f>SUM(W6:W158)</f>
        <v>164868.08999999997</v>
      </c>
      <c r="X159" s="203">
        <f>SUM(X6:X158)</f>
        <v>23235417.784474991</v>
      </c>
      <c r="Y159" s="141">
        <f>SUM(Y6:Y158)</f>
        <v>1672633.6561</v>
      </c>
      <c r="Z159" s="141">
        <f>SUM(Z6:Z158)</f>
        <v>2257338.2344749994</v>
      </c>
      <c r="AA159" s="262"/>
      <c r="AB159" s="262"/>
      <c r="AC159" s="262"/>
      <c r="AD159" s="262"/>
      <c r="AE159" s="262"/>
      <c r="AF159" s="262"/>
      <c r="AG159" s="262"/>
      <c r="AH159" s="262"/>
      <c r="AI159" s="262"/>
      <c r="AJ159" s="262"/>
      <c r="AK159" s="262"/>
      <c r="AL159" s="262"/>
      <c r="AM159" s="262"/>
      <c r="AN159" s="262"/>
      <c r="AO159" s="262"/>
      <c r="AP159" s="262"/>
      <c r="AQ159" s="262"/>
      <c r="AR159" s="262"/>
    </row>
    <row r="160" spans="1:44">
      <c r="M160" s="85"/>
      <c r="N160" s="86"/>
      <c r="O160" s="23"/>
      <c r="P160" s="23"/>
      <c r="Q160" s="87"/>
      <c r="R160" s="88"/>
    </row>
    <row r="161" spans="9:26">
      <c r="M161" s="24"/>
      <c r="N161" s="89"/>
      <c r="O161" s="24"/>
      <c r="P161" s="24"/>
      <c r="Q161" s="24"/>
      <c r="X161" s="3"/>
      <c r="Y161" s="3"/>
      <c r="Z161" s="3"/>
    </row>
    <row r="162" spans="9:26">
      <c r="M162" s="3">
        <v>2283</v>
      </c>
      <c r="V162" s="3"/>
      <c r="W162" s="3"/>
      <c r="X162" s="3"/>
      <c r="Y162" s="3"/>
      <c r="Z162" s="3"/>
    </row>
    <row r="163" spans="9:26">
      <c r="K163" s="3"/>
      <c r="M163" s="3">
        <f>SUM(M132:M158)</f>
        <v>26.3</v>
      </c>
      <c r="R163" s="90"/>
      <c r="S163" s="90"/>
    </row>
    <row r="164" spans="9:26">
      <c r="K164" s="3"/>
      <c r="M164" s="3">
        <f>SUM(M6:M26)</f>
        <v>18</v>
      </c>
    </row>
    <row r="165" spans="9:26">
      <c r="I165" s="3"/>
      <c r="K165" s="3"/>
      <c r="M165" s="3">
        <f>SUM(M162:M164)</f>
        <v>2327.3000000000002</v>
      </c>
    </row>
    <row r="170" spans="9:26">
      <c r="M170" s="3"/>
    </row>
  </sheetData>
  <mergeCells count="26">
    <mergeCell ref="Z4:Z5"/>
    <mergeCell ref="P4:P5"/>
    <mergeCell ref="A2:X2"/>
    <mergeCell ref="A3:X3"/>
    <mergeCell ref="A4:A5"/>
    <mergeCell ref="B4:B5"/>
    <mergeCell ref="C4:C5"/>
    <mergeCell ref="D4:D5"/>
    <mergeCell ref="E4:E5"/>
    <mergeCell ref="F4:F5"/>
    <mergeCell ref="G4:G5"/>
    <mergeCell ref="H4:H5"/>
    <mergeCell ref="V4:W4"/>
    <mergeCell ref="X4:X5"/>
    <mergeCell ref="I4:I5"/>
    <mergeCell ref="R4:S4"/>
    <mergeCell ref="T4:U4"/>
    <mergeCell ref="M4:M5"/>
    <mergeCell ref="N4:N5"/>
    <mergeCell ref="Y4:Y5"/>
    <mergeCell ref="A159:D159"/>
    <mergeCell ref="O4:O5"/>
    <mergeCell ref="Q4:Q5"/>
    <mergeCell ref="J4:J5"/>
    <mergeCell ref="K4:K5"/>
    <mergeCell ref="L4:L5"/>
  </mergeCells>
  <pageMargins left="0" right="0" top="0.64" bottom="0" header="0.43" footer="0.31496062992125984"/>
  <pageSetup paperSize="9" scale="53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tabColor rgb="FF92D050"/>
  </sheetPr>
  <dimension ref="A1:AR193"/>
  <sheetViews>
    <sheetView topLeftCell="A11" zoomScale="90" zoomScaleNormal="90" zoomScaleSheetLayoutView="40" workbookViewId="0">
      <pane xSplit="3" topLeftCell="D1" activePane="topRight" state="frozen"/>
      <selection pane="topRight" activeCell="A139" sqref="A139:XFD139"/>
    </sheetView>
  </sheetViews>
  <sheetFormatPr defaultRowHeight="12.75"/>
  <cols>
    <col min="1" max="1" width="6.42578125" style="1" customWidth="1"/>
    <col min="2" max="2" width="28.42578125" style="1" customWidth="1"/>
    <col min="3" max="3" width="20.140625" style="351" customWidth="1"/>
    <col min="4" max="4" width="11.140625" style="1" customWidth="1"/>
    <col min="5" max="5" width="16.7109375" style="1" customWidth="1"/>
    <col min="6" max="6" width="13.5703125" style="1" customWidth="1"/>
    <col min="7" max="7" width="7.42578125" style="1" customWidth="1"/>
    <col min="8" max="8" width="4.7109375" style="1" customWidth="1"/>
    <col min="9" max="9" width="8.5703125" style="1" customWidth="1"/>
    <col min="10" max="10" width="5.5703125" style="1" customWidth="1"/>
    <col min="11" max="11" width="11.5703125" style="1" customWidth="1"/>
    <col min="12" max="12" width="10.42578125" style="1" customWidth="1"/>
    <col min="13" max="13" width="10.85546875" style="1" customWidth="1"/>
    <col min="14" max="14" width="9.7109375" style="351" bestFit="1" customWidth="1"/>
    <col min="15" max="15" width="8" style="1" customWidth="1"/>
    <col min="16" max="17" width="16.28515625" style="1" customWidth="1"/>
    <col min="18" max="18" width="12" style="1" customWidth="1"/>
    <col min="19" max="19" width="11.85546875" style="1" customWidth="1"/>
    <col min="20" max="20" width="10.140625" style="1" customWidth="1"/>
    <col min="21" max="21" width="15.140625" style="1" customWidth="1"/>
    <col min="22" max="22" width="8.5703125" style="1" customWidth="1"/>
    <col min="23" max="23" width="11.85546875" style="1" customWidth="1"/>
    <col min="24" max="24" width="15.28515625" style="1" customWidth="1"/>
    <col min="25" max="26" width="18.28515625" style="1" hidden="1" customWidth="1"/>
    <col min="27" max="27" width="13" style="24" hidden="1" customWidth="1"/>
    <col min="28" max="28" width="16" style="24" hidden="1" customWidth="1"/>
    <col min="29" max="29" width="13" style="24" hidden="1" customWidth="1"/>
    <col min="30" max="30" width="12" style="24" hidden="1" customWidth="1"/>
    <col min="31" max="33" width="0" style="24" hidden="1" customWidth="1"/>
    <col min="34" max="34" width="11.28515625" style="24" hidden="1" customWidth="1"/>
    <col min="35" max="35" width="10.7109375" style="24" hidden="1" customWidth="1"/>
    <col min="36" max="36" width="0" style="24" hidden="1" customWidth="1"/>
    <col min="37" max="37" width="11" style="24" bestFit="1" customWidth="1"/>
    <col min="38" max="44" width="9.140625" style="24"/>
    <col min="45" max="257" width="9.140625" style="1"/>
    <col min="258" max="258" width="6.42578125" style="1" customWidth="1"/>
    <col min="259" max="259" width="20.7109375" style="1" customWidth="1"/>
    <col min="260" max="260" width="24.7109375" style="1" customWidth="1"/>
    <col min="261" max="261" width="11.140625" style="1" customWidth="1"/>
    <col min="262" max="262" width="12.28515625" style="1" customWidth="1"/>
    <col min="263" max="263" width="11.140625" style="1" customWidth="1"/>
    <col min="264" max="264" width="10.42578125" style="1" customWidth="1"/>
    <col min="265" max="265" width="4.7109375" style="1" customWidth="1"/>
    <col min="266" max="266" width="8.5703125" style="1" customWidth="1"/>
    <col min="267" max="267" width="5.5703125" style="1" customWidth="1"/>
    <col min="268" max="269" width="11.5703125" style="1" customWidth="1"/>
    <col min="270" max="270" width="10.85546875" style="1" customWidth="1"/>
    <col min="271" max="271" width="7.7109375" style="1" customWidth="1"/>
    <col min="272" max="272" width="8" style="1" customWidth="1"/>
    <col min="273" max="273" width="16.28515625" style="1" customWidth="1"/>
    <col min="274" max="274" width="10.5703125" style="1" customWidth="1"/>
    <col min="275" max="275" width="14.140625" style="1" customWidth="1"/>
    <col min="276" max="276" width="10.140625" style="1" customWidth="1"/>
    <col min="277" max="277" width="15.140625" style="1" customWidth="1"/>
    <col min="278" max="278" width="8.5703125" style="1" customWidth="1"/>
    <col min="279" max="279" width="14.28515625" style="1" customWidth="1"/>
    <col min="280" max="280" width="18.28515625" style="1" customWidth="1"/>
    <col min="281" max="281" width="13" style="1" bestFit="1" customWidth="1"/>
    <col min="282" max="282" width="11.7109375" style="1" bestFit="1" customWidth="1"/>
    <col min="283" max="289" width="9.140625" style="1"/>
    <col min="290" max="290" width="11.28515625" style="1" bestFit="1" customWidth="1"/>
    <col min="291" max="291" width="10.7109375" style="1" bestFit="1" customWidth="1"/>
    <col min="292" max="513" width="9.140625" style="1"/>
    <col min="514" max="514" width="6.42578125" style="1" customWidth="1"/>
    <col min="515" max="515" width="20.7109375" style="1" customWidth="1"/>
    <col min="516" max="516" width="24.7109375" style="1" customWidth="1"/>
    <col min="517" max="517" width="11.140625" style="1" customWidth="1"/>
    <col min="518" max="518" width="12.28515625" style="1" customWidth="1"/>
    <col min="519" max="519" width="11.140625" style="1" customWidth="1"/>
    <col min="520" max="520" width="10.42578125" style="1" customWidth="1"/>
    <col min="521" max="521" width="4.7109375" style="1" customWidth="1"/>
    <col min="522" max="522" width="8.5703125" style="1" customWidth="1"/>
    <col min="523" max="523" width="5.5703125" style="1" customWidth="1"/>
    <col min="524" max="525" width="11.5703125" style="1" customWidth="1"/>
    <col min="526" max="526" width="10.85546875" style="1" customWidth="1"/>
    <col min="527" max="527" width="7.7109375" style="1" customWidth="1"/>
    <col min="528" max="528" width="8" style="1" customWidth="1"/>
    <col min="529" max="529" width="16.28515625" style="1" customWidth="1"/>
    <col min="530" max="530" width="10.5703125" style="1" customWidth="1"/>
    <col min="531" max="531" width="14.140625" style="1" customWidth="1"/>
    <col min="532" max="532" width="10.140625" style="1" customWidth="1"/>
    <col min="533" max="533" width="15.140625" style="1" customWidth="1"/>
    <col min="534" max="534" width="8.5703125" style="1" customWidth="1"/>
    <col min="535" max="535" width="14.28515625" style="1" customWidth="1"/>
    <col min="536" max="536" width="18.28515625" style="1" customWidth="1"/>
    <col min="537" max="537" width="13" style="1" bestFit="1" customWidth="1"/>
    <col min="538" max="538" width="11.7109375" style="1" bestFit="1" customWidth="1"/>
    <col min="539" max="545" width="9.140625" style="1"/>
    <col min="546" max="546" width="11.28515625" style="1" bestFit="1" customWidth="1"/>
    <col min="547" max="547" width="10.7109375" style="1" bestFit="1" customWidth="1"/>
    <col min="548" max="769" width="9.140625" style="1"/>
    <col min="770" max="770" width="6.42578125" style="1" customWidth="1"/>
    <col min="771" max="771" width="20.7109375" style="1" customWidth="1"/>
    <col min="772" max="772" width="24.7109375" style="1" customWidth="1"/>
    <col min="773" max="773" width="11.140625" style="1" customWidth="1"/>
    <col min="774" max="774" width="12.28515625" style="1" customWidth="1"/>
    <col min="775" max="775" width="11.140625" style="1" customWidth="1"/>
    <col min="776" max="776" width="10.42578125" style="1" customWidth="1"/>
    <col min="777" max="777" width="4.7109375" style="1" customWidth="1"/>
    <col min="778" max="778" width="8.5703125" style="1" customWidth="1"/>
    <col min="779" max="779" width="5.5703125" style="1" customWidth="1"/>
    <col min="780" max="781" width="11.5703125" style="1" customWidth="1"/>
    <col min="782" max="782" width="10.85546875" style="1" customWidth="1"/>
    <col min="783" max="783" width="7.7109375" style="1" customWidth="1"/>
    <col min="784" max="784" width="8" style="1" customWidth="1"/>
    <col min="785" max="785" width="16.28515625" style="1" customWidth="1"/>
    <col min="786" max="786" width="10.5703125" style="1" customWidth="1"/>
    <col min="787" max="787" width="14.140625" style="1" customWidth="1"/>
    <col min="788" max="788" width="10.140625" style="1" customWidth="1"/>
    <col min="789" max="789" width="15.140625" style="1" customWidth="1"/>
    <col min="790" max="790" width="8.5703125" style="1" customWidth="1"/>
    <col min="791" max="791" width="14.28515625" style="1" customWidth="1"/>
    <col min="792" max="792" width="18.28515625" style="1" customWidth="1"/>
    <col min="793" max="793" width="13" style="1" bestFit="1" customWidth="1"/>
    <col min="794" max="794" width="11.7109375" style="1" bestFit="1" customWidth="1"/>
    <col min="795" max="801" width="9.140625" style="1"/>
    <col min="802" max="802" width="11.28515625" style="1" bestFit="1" customWidth="1"/>
    <col min="803" max="803" width="10.7109375" style="1" bestFit="1" customWidth="1"/>
    <col min="804" max="1025" width="9.140625" style="1"/>
    <col min="1026" max="1026" width="6.42578125" style="1" customWidth="1"/>
    <col min="1027" max="1027" width="20.7109375" style="1" customWidth="1"/>
    <col min="1028" max="1028" width="24.7109375" style="1" customWidth="1"/>
    <col min="1029" max="1029" width="11.140625" style="1" customWidth="1"/>
    <col min="1030" max="1030" width="12.28515625" style="1" customWidth="1"/>
    <col min="1031" max="1031" width="11.140625" style="1" customWidth="1"/>
    <col min="1032" max="1032" width="10.42578125" style="1" customWidth="1"/>
    <col min="1033" max="1033" width="4.7109375" style="1" customWidth="1"/>
    <col min="1034" max="1034" width="8.5703125" style="1" customWidth="1"/>
    <col min="1035" max="1035" width="5.5703125" style="1" customWidth="1"/>
    <col min="1036" max="1037" width="11.5703125" style="1" customWidth="1"/>
    <col min="1038" max="1038" width="10.85546875" style="1" customWidth="1"/>
    <col min="1039" max="1039" width="7.7109375" style="1" customWidth="1"/>
    <col min="1040" max="1040" width="8" style="1" customWidth="1"/>
    <col min="1041" max="1041" width="16.28515625" style="1" customWidth="1"/>
    <col min="1042" max="1042" width="10.5703125" style="1" customWidth="1"/>
    <col min="1043" max="1043" width="14.140625" style="1" customWidth="1"/>
    <col min="1044" max="1044" width="10.140625" style="1" customWidth="1"/>
    <col min="1045" max="1045" width="15.140625" style="1" customWidth="1"/>
    <col min="1046" max="1046" width="8.5703125" style="1" customWidth="1"/>
    <col min="1047" max="1047" width="14.28515625" style="1" customWidth="1"/>
    <col min="1048" max="1048" width="18.28515625" style="1" customWidth="1"/>
    <col min="1049" max="1049" width="13" style="1" bestFit="1" customWidth="1"/>
    <col min="1050" max="1050" width="11.7109375" style="1" bestFit="1" customWidth="1"/>
    <col min="1051" max="1057" width="9.140625" style="1"/>
    <col min="1058" max="1058" width="11.28515625" style="1" bestFit="1" customWidth="1"/>
    <col min="1059" max="1059" width="10.7109375" style="1" bestFit="1" customWidth="1"/>
    <col min="1060" max="1281" width="9.140625" style="1"/>
    <col min="1282" max="1282" width="6.42578125" style="1" customWidth="1"/>
    <col min="1283" max="1283" width="20.7109375" style="1" customWidth="1"/>
    <col min="1284" max="1284" width="24.7109375" style="1" customWidth="1"/>
    <col min="1285" max="1285" width="11.140625" style="1" customWidth="1"/>
    <col min="1286" max="1286" width="12.28515625" style="1" customWidth="1"/>
    <col min="1287" max="1287" width="11.140625" style="1" customWidth="1"/>
    <col min="1288" max="1288" width="10.42578125" style="1" customWidth="1"/>
    <col min="1289" max="1289" width="4.7109375" style="1" customWidth="1"/>
    <col min="1290" max="1290" width="8.5703125" style="1" customWidth="1"/>
    <col min="1291" max="1291" width="5.5703125" style="1" customWidth="1"/>
    <col min="1292" max="1293" width="11.5703125" style="1" customWidth="1"/>
    <col min="1294" max="1294" width="10.85546875" style="1" customWidth="1"/>
    <col min="1295" max="1295" width="7.7109375" style="1" customWidth="1"/>
    <col min="1296" max="1296" width="8" style="1" customWidth="1"/>
    <col min="1297" max="1297" width="16.28515625" style="1" customWidth="1"/>
    <col min="1298" max="1298" width="10.5703125" style="1" customWidth="1"/>
    <col min="1299" max="1299" width="14.140625" style="1" customWidth="1"/>
    <col min="1300" max="1300" width="10.140625" style="1" customWidth="1"/>
    <col min="1301" max="1301" width="15.140625" style="1" customWidth="1"/>
    <col min="1302" max="1302" width="8.5703125" style="1" customWidth="1"/>
    <col min="1303" max="1303" width="14.28515625" style="1" customWidth="1"/>
    <col min="1304" max="1304" width="18.28515625" style="1" customWidth="1"/>
    <col min="1305" max="1305" width="13" style="1" bestFit="1" customWidth="1"/>
    <col min="1306" max="1306" width="11.7109375" style="1" bestFit="1" customWidth="1"/>
    <col min="1307" max="1313" width="9.140625" style="1"/>
    <col min="1314" max="1314" width="11.28515625" style="1" bestFit="1" customWidth="1"/>
    <col min="1315" max="1315" width="10.7109375" style="1" bestFit="1" customWidth="1"/>
    <col min="1316" max="1537" width="9.140625" style="1"/>
    <col min="1538" max="1538" width="6.42578125" style="1" customWidth="1"/>
    <col min="1539" max="1539" width="20.7109375" style="1" customWidth="1"/>
    <col min="1540" max="1540" width="24.7109375" style="1" customWidth="1"/>
    <col min="1541" max="1541" width="11.140625" style="1" customWidth="1"/>
    <col min="1542" max="1542" width="12.28515625" style="1" customWidth="1"/>
    <col min="1543" max="1543" width="11.140625" style="1" customWidth="1"/>
    <col min="1544" max="1544" width="10.42578125" style="1" customWidth="1"/>
    <col min="1545" max="1545" width="4.7109375" style="1" customWidth="1"/>
    <col min="1546" max="1546" width="8.5703125" style="1" customWidth="1"/>
    <col min="1547" max="1547" width="5.5703125" style="1" customWidth="1"/>
    <col min="1548" max="1549" width="11.5703125" style="1" customWidth="1"/>
    <col min="1550" max="1550" width="10.85546875" style="1" customWidth="1"/>
    <col min="1551" max="1551" width="7.7109375" style="1" customWidth="1"/>
    <col min="1552" max="1552" width="8" style="1" customWidth="1"/>
    <col min="1553" max="1553" width="16.28515625" style="1" customWidth="1"/>
    <col min="1554" max="1554" width="10.5703125" style="1" customWidth="1"/>
    <col min="1555" max="1555" width="14.140625" style="1" customWidth="1"/>
    <col min="1556" max="1556" width="10.140625" style="1" customWidth="1"/>
    <col min="1557" max="1557" width="15.140625" style="1" customWidth="1"/>
    <col min="1558" max="1558" width="8.5703125" style="1" customWidth="1"/>
    <col min="1559" max="1559" width="14.28515625" style="1" customWidth="1"/>
    <col min="1560" max="1560" width="18.28515625" style="1" customWidth="1"/>
    <col min="1561" max="1561" width="13" style="1" bestFit="1" customWidth="1"/>
    <col min="1562" max="1562" width="11.7109375" style="1" bestFit="1" customWidth="1"/>
    <col min="1563" max="1569" width="9.140625" style="1"/>
    <col min="1570" max="1570" width="11.28515625" style="1" bestFit="1" customWidth="1"/>
    <col min="1571" max="1571" width="10.7109375" style="1" bestFit="1" customWidth="1"/>
    <col min="1572" max="1793" width="9.140625" style="1"/>
    <col min="1794" max="1794" width="6.42578125" style="1" customWidth="1"/>
    <col min="1795" max="1795" width="20.7109375" style="1" customWidth="1"/>
    <col min="1796" max="1796" width="24.7109375" style="1" customWidth="1"/>
    <col min="1797" max="1797" width="11.140625" style="1" customWidth="1"/>
    <col min="1798" max="1798" width="12.28515625" style="1" customWidth="1"/>
    <col min="1799" max="1799" width="11.140625" style="1" customWidth="1"/>
    <col min="1800" max="1800" width="10.42578125" style="1" customWidth="1"/>
    <col min="1801" max="1801" width="4.7109375" style="1" customWidth="1"/>
    <col min="1802" max="1802" width="8.5703125" style="1" customWidth="1"/>
    <col min="1803" max="1803" width="5.5703125" style="1" customWidth="1"/>
    <col min="1804" max="1805" width="11.5703125" style="1" customWidth="1"/>
    <col min="1806" max="1806" width="10.85546875" style="1" customWidth="1"/>
    <col min="1807" max="1807" width="7.7109375" style="1" customWidth="1"/>
    <col min="1808" max="1808" width="8" style="1" customWidth="1"/>
    <col min="1809" max="1809" width="16.28515625" style="1" customWidth="1"/>
    <col min="1810" max="1810" width="10.5703125" style="1" customWidth="1"/>
    <col min="1811" max="1811" width="14.140625" style="1" customWidth="1"/>
    <col min="1812" max="1812" width="10.140625" style="1" customWidth="1"/>
    <col min="1813" max="1813" width="15.140625" style="1" customWidth="1"/>
    <col min="1814" max="1814" width="8.5703125" style="1" customWidth="1"/>
    <col min="1815" max="1815" width="14.28515625" style="1" customWidth="1"/>
    <col min="1816" max="1816" width="18.28515625" style="1" customWidth="1"/>
    <col min="1817" max="1817" width="13" style="1" bestFit="1" customWidth="1"/>
    <col min="1818" max="1818" width="11.7109375" style="1" bestFit="1" customWidth="1"/>
    <col min="1819" max="1825" width="9.140625" style="1"/>
    <col min="1826" max="1826" width="11.28515625" style="1" bestFit="1" customWidth="1"/>
    <col min="1827" max="1827" width="10.7109375" style="1" bestFit="1" customWidth="1"/>
    <col min="1828" max="2049" width="9.140625" style="1"/>
    <col min="2050" max="2050" width="6.42578125" style="1" customWidth="1"/>
    <col min="2051" max="2051" width="20.7109375" style="1" customWidth="1"/>
    <col min="2052" max="2052" width="24.7109375" style="1" customWidth="1"/>
    <col min="2053" max="2053" width="11.140625" style="1" customWidth="1"/>
    <col min="2054" max="2054" width="12.28515625" style="1" customWidth="1"/>
    <col min="2055" max="2055" width="11.140625" style="1" customWidth="1"/>
    <col min="2056" max="2056" width="10.42578125" style="1" customWidth="1"/>
    <col min="2057" max="2057" width="4.7109375" style="1" customWidth="1"/>
    <col min="2058" max="2058" width="8.5703125" style="1" customWidth="1"/>
    <col min="2059" max="2059" width="5.5703125" style="1" customWidth="1"/>
    <col min="2060" max="2061" width="11.5703125" style="1" customWidth="1"/>
    <col min="2062" max="2062" width="10.85546875" style="1" customWidth="1"/>
    <col min="2063" max="2063" width="7.7109375" style="1" customWidth="1"/>
    <col min="2064" max="2064" width="8" style="1" customWidth="1"/>
    <col min="2065" max="2065" width="16.28515625" style="1" customWidth="1"/>
    <col min="2066" max="2066" width="10.5703125" style="1" customWidth="1"/>
    <col min="2067" max="2067" width="14.140625" style="1" customWidth="1"/>
    <col min="2068" max="2068" width="10.140625" style="1" customWidth="1"/>
    <col min="2069" max="2069" width="15.140625" style="1" customWidth="1"/>
    <col min="2070" max="2070" width="8.5703125" style="1" customWidth="1"/>
    <col min="2071" max="2071" width="14.28515625" style="1" customWidth="1"/>
    <col min="2072" max="2072" width="18.28515625" style="1" customWidth="1"/>
    <col min="2073" max="2073" width="13" style="1" bestFit="1" customWidth="1"/>
    <col min="2074" max="2074" width="11.7109375" style="1" bestFit="1" customWidth="1"/>
    <col min="2075" max="2081" width="9.140625" style="1"/>
    <col min="2082" max="2082" width="11.28515625" style="1" bestFit="1" customWidth="1"/>
    <col min="2083" max="2083" width="10.7109375" style="1" bestFit="1" customWidth="1"/>
    <col min="2084" max="2305" width="9.140625" style="1"/>
    <col min="2306" max="2306" width="6.42578125" style="1" customWidth="1"/>
    <col min="2307" max="2307" width="20.7109375" style="1" customWidth="1"/>
    <col min="2308" max="2308" width="24.7109375" style="1" customWidth="1"/>
    <col min="2309" max="2309" width="11.140625" style="1" customWidth="1"/>
    <col min="2310" max="2310" width="12.28515625" style="1" customWidth="1"/>
    <col min="2311" max="2311" width="11.140625" style="1" customWidth="1"/>
    <col min="2312" max="2312" width="10.42578125" style="1" customWidth="1"/>
    <col min="2313" max="2313" width="4.7109375" style="1" customWidth="1"/>
    <col min="2314" max="2314" width="8.5703125" style="1" customWidth="1"/>
    <col min="2315" max="2315" width="5.5703125" style="1" customWidth="1"/>
    <col min="2316" max="2317" width="11.5703125" style="1" customWidth="1"/>
    <col min="2318" max="2318" width="10.85546875" style="1" customWidth="1"/>
    <col min="2319" max="2319" width="7.7109375" style="1" customWidth="1"/>
    <col min="2320" max="2320" width="8" style="1" customWidth="1"/>
    <col min="2321" max="2321" width="16.28515625" style="1" customWidth="1"/>
    <col min="2322" max="2322" width="10.5703125" style="1" customWidth="1"/>
    <col min="2323" max="2323" width="14.140625" style="1" customWidth="1"/>
    <col min="2324" max="2324" width="10.140625" style="1" customWidth="1"/>
    <col min="2325" max="2325" width="15.140625" style="1" customWidth="1"/>
    <col min="2326" max="2326" width="8.5703125" style="1" customWidth="1"/>
    <col min="2327" max="2327" width="14.28515625" style="1" customWidth="1"/>
    <col min="2328" max="2328" width="18.28515625" style="1" customWidth="1"/>
    <col min="2329" max="2329" width="13" style="1" bestFit="1" customWidth="1"/>
    <col min="2330" max="2330" width="11.7109375" style="1" bestFit="1" customWidth="1"/>
    <col min="2331" max="2337" width="9.140625" style="1"/>
    <col min="2338" max="2338" width="11.28515625" style="1" bestFit="1" customWidth="1"/>
    <col min="2339" max="2339" width="10.7109375" style="1" bestFit="1" customWidth="1"/>
    <col min="2340" max="2561" width="9.140625" style="1"/>
    <col min="2562" max="2562" width="6.42578125" style="1" customWidth="1"/>
    <col min="2563" max="2563" width="20.7109375" style="1" customWidth="1"/>
    <col min="2564" max="2564" width="24.7109375" style="1" customWidth="1"/>
    <col min="2565" max="2565" width="11.140625" style="1" customWidth="1"/>
    <col min="2566" max="2566" width="12.28515625" style="1" customWidth="1"/>
    <col min="2567" max="2567" width="11.140625" style="1" customWidth="1"/>
    <col min="2568" max="2568" width="10.42578125" style="1" customWidth="1"/>
    <col min="2569" max="2569" width="4.7109375" style="1" customWidth="1"/>
    <col min="2570" max="2570" width="8.5703125" style="1" customWidth="1"/>
    <col min="2571" max="2571" width="5.5703125" style="1" customWidth="1"/>
    <col min="2572" max="2573" width="11.5703125" style="1" customWidth="1"/>
    <col min="2574" max="2574" width="10.85546875" style="1" customWidth="1"/>
    <col min="2575" max="2575" width="7.7109375" style="1" customWidth="1"/>
    <col min="2576" max="2576" width="8" style="1" customWidth="1"/>
    <col min="2577" max="2577" width="16.28515625" style="1" customWidth="1"/>
    <col min="2578" max="2578" width="10.5703125" style="1" customWidth="1"/>
    <col min="2579" max="2579" width="14.140625" style="1" customWidth="1"/>
    <col min="2580" max="2580" width="10.140625" style="1" customWidth="1"/>
    <col min="2581" max="2581" width="15.140625" style="1" customWidth="1"/>
    <col min="2582" max="2582" width="8.5703125" style="1" customWidth="1"/>
    <col min="2583" max="2583" width="14.28515625" style="1" customWidth="1"/>
    <col min="2584" max="2584" width="18.28515625" style="1" customWidth="1"/>
    <col min="2585" max="2585" width="13" style="1" bestFit="1" customWidth="1"/>
    <col min="2586" max="2586" width="11.7109375" style="1" bestFit="1" customWidth="1"/>
    <col min="2587" max="2593" width="9.140625" style="1"/>
    <col min="2594" max="2594" width="11.28515625" style="1" bestFit="1" customWidth="1"/>
    <col min="2595" max="2595" width="10.7109375" style="1" bestFit="1" customWidth="1"/>
    <col min="2596" max="2817" width="9.140625" style="1"/>
    <col min="2818" max="2818" width="6.42578125" style="1" customWidth="1"/>
    <col min="2819" max="2819" width="20.7109375" style="1" customWidth="1"/>
    <col min="2820" max="2820" width="24.7109375" style="1" customWidth="1"/>
    <col min="2821" max="2821" width="11.140625" style="1" customWidth="1"/>
    <col min="2822" max="2822" width="12.28515625" style="1" customWidth="1"/>
    <col min="2823" max="2823" width="11.140625" style="1" customWidth="1"/>
    <col min="2824" max="2824" width="10.42578125" style="1" customWidth="1"/>
    <col min="2825" max="2825" width="4.7109375" style="1" customWidth="1"/>
    <col min="2826" max="2826" width="8.5703125" style="1" customWidth="1"/>
    <col min="2827" max="2827" width="5.5703125" style="1" customWidth="1"/>
    <col min="2828" max="2829" width="11.5703125" style="1" customWidth="1"/>
    <col min="2830" max="2830" width="10.85546875" style="1" customWidth="1"/>
    <col min="2831" max="2831" width="7.7109375" style="1" customWidth="1"/>
    <col min="2832" max="2832" width="8" style="1" customWidth="1"/>
    <col min="2833" max="2833" width="16.28515625" style="1" customWidth="1"/>
    <col min="2834" max="2834" width="10.5703125" style="1" customWidth="1"/>
    <col min="2835" max="2835" width="14.140625" style="1" customWidth="1"/>
    <col min="2836" max="2836" width="10.140625" style="1" customWidth="1"/>
    <col min="2837" max="2837" width="15.140625" style="1" customWidth="1"/>
    <col min="2838" max="2838" width="8.5703125" style="1" customWidth="1"/>
    <col min="2839" max="2839" width="14.28515625" style="1" customWidth="1"/>
    <col min="2840" max="2840" width="18.28515625" style="1" customWidth="1"/>
    <col min="2841" max="2841" width="13" style="1" bestFit="1" customWidth="1"/>
    <col min="2842" max="2842" width="11.7109375" style="1" bestFit="1" customWidth="1"/>
    <col min="2843" max="2849" width="9.140625" style="1"/>
    <col min="2850" max="2850" width="11.28515625" style="1" bestFit="1" customWidth="1"/>
    <col min="2851" max="2851" width="10.7109375" style="1" bestFit="1" customWidth="1"/>
    <col min="2852" max="3073" width="9.140625" style="1"/>
    <col min="3074" max="3074" width="6.42578125" style="1" customWidth="1"/>
    <col min="3075" max="3075" width="20.7109375" style="1" customWidth="1"/>
    <col min="3076" max="3076" width="24.7109375" style="1" customWidth="1"/>
    <col min="3077" max="3077" width="11.140625" style="1" customWidth="1"/>
    <col min="3078" max="3078" width="12.28515625" style="1" customWidth="1"/>
    <col min="3079" max="3079" width="11.140625" style="1" customWidth="1"/>
    <col min="3080" max="3080" width="10.42578125" style="1" customWidth="1"/>
    <col min="3081" max="3081" width="4.7109375" style="1" customWidth="1"/>
    <col min="3082" max="3082" width="8.5703125" style="1" customWidth="1"/>
    <col min="3083" max="3083" width="5.5703125" style="1" customWidth="1"/>
    <col min="3084" max="3085" width="11.5703125" style="1" customWidth="1"/>
    <col min="3086" max="3086" width="10.85546875" style="1" customWidth="1"/>
    <col min="3087" max="3087" width="7.7109375" style="1" customWidth="1"/>
    <col min="3088" max="3088" width="8" style="1" customWidth="1"/>
    <col min="3089" max="3089" width="16.28515625" style="1" customWidth="1"/>
    <col min="3090" max="3090" width="10.5703125" style="1" customWidth="1"/>
    <col min="3091" max="3091" width="14.140625" style="1" customWidth="1"/>
    <col min="3092" max="3092" width="10.140625" style="1" customWidth="1"/>
    <col min="3093" max="3093" width="15.140625" style="1" customWidth="1"/>
    <col min="3094" max="3094" width="8.5703125" style="1" customWidth="1"/>
    <col min="3095" max="3095" width="14.28515625" style="1" customWidth="1"/>
    <col min="3096" max="3096" width="18.28515625" style="1" customWidth="1"/>
    <col min="3097" max="3097" width="13" style="1" bestFit="1" customWidth="1"/>
    <col min="3098" max="3098" width="11.7109375" style="1" bestFit="1" customWidth="1"/>
    <col min="3099" max="3105" width="9.140625" style="1"/>
    <col min="3106" max="3106" width="11.28515625" style="1" bestFit="1" customWidth="1"/>
    <col min="3107" max="3107" width="10.7109375" style="1" bestFit="1" customWidth="1"/>
    <col min="3108" max="3329" width="9.140625" style="1"/>
    <col min="3330" max="3330" width="6.42578125" style="1" customWidth="1"/>
    <col min="3331" max="3331" width="20.7109375" style="1" customWidth="1"/>
    <col min="3332" max="3332" width="24.7109375" style="1" customWidth="1"/>
    <col min="3333" max="3333" width="11.140625" style="1" customWidth="1"/>
    <col min="3334" max="3334" width="12.28515625" style="1" customWidth="1"/>
    <col min="3335" max="3335" width="11.140625" style="1" customWidth="1"/>
    <col min="3336" max="3336" width="10.42578125" style="1" customWidth="1"/>
    <col min="3337" max="3337" width="4.7109375" style="1" customWidth="1"/>
    <col min="3338" max="3338" width="8.5703125" style="1" customWidth="1"/>
    <col min="3339" max="3339" width="5.5703125" style="1" customWidth="1"/>
    <col min="3340" max="3341" width="11.5703125" style="1" customWidth="1"/>
    <col min="3342" max="3342" width="10.85546875" style="1" customWidth="1"/>
    <col min="3343" max="3343" width="7.7109375" style="1" customWidth="1"/>
    <col min="3344" max="3344" width="8" style="1" customWidth="1"/>
    <col min="3345" max="3345" width="16.28515625" style="1" customWidth="1"/>
    <col min="3346" max="3346" width="10.5703125" style="1" customWidth="1"/>
    <col min="3347" max="3347" width="14.140625" style="1" customWidth="1"/>
    <col min="3348" max="3348" width="10.140625" style="1" customWidth="1"/>
    <col min="3349" max="3349" width="15.140625" style="1" customWidth="1"/>
    <col min="3350" max="3350" width="8.5703125" style="1" customWidth="1"/>
    <col min="3351" max="3351" width="14.28515625" style="1" customWidth="1"/>
    <col min="3352" max="3352" width="18.28515625" style="1" customWidth="1"/>
    <col min="3353" max="3353" width="13" style="1" bestFit="1" customWidth="1"/>
    <col min="3354" max="3354" width="11.7109375" style="1" bestFit="1" customWidth="1"/>
    <col min="3355" max="3361" width="9.140625" style="1"/>
    <col min="3362" max="3362" width="11.28515625" style="1" bestFit="1" customWidth="1"/>
    <col min="3363" max="3363" width="10.7109375" style="1" bestFit="1" customWidth="1"/>
    <col min="3364" max="3585" width="9.140625" style="1"/>
    <col min="3586" max="3586" width="6.42578125" style="1" customWidth="1"/>
    <col min="3587" max="3587" width="20.7109375" style="1" customWidth="1"/>
    <col min="3588" max="3588" width="24.7109375" style="1" customWidth="1"/>
    <col min="3589" max="3589" width="11.140625" style="1" customWidth="1"/>
    <col min="3590" max="3590" width="12.28515625" style="1" customWidth="1"/>
    <col min="3591" max="3591" width="11.140625" style="1" customWidth="1"/>
    <col min="3592" max="3592" width="10.42578125" style="1" customWidth="1"/>
    <col min="3593" max="3593" width="4.7109375" style="1" customWidth="1"/>
    <col min="3594" max="3594" width="8.5703125" style="1" customWidth="1"/>
    <col min="3595" max="3595" width="5.5703125" style="1" customWidth="1"/>
    <col min="3596" max="3597" width="11.5703125" style="1" customWidth="1"/>
    <col min="3598" max="3598" width="10.85546875" style="1" customWidth="1"/>
    <col min="3599" max="3599" width="7.7109375" style="1" customWidth="1"/>
    <col min="3600" max="3600" width="8" style="1" customWidth="1"/>
    <col min="3601" max="3601" width="16.28515625" style="1" customWidth="1"/>
    <col min="3602" max="3602" width="10.5703125" style="1" customWidth="1"/>
    <col min="3603" max="3603" width="14.140625" style="1" customWidth="1"/>
    <col min="3604" max="3604" width="10.140625" style="1" customWidth="1"/>
    <col min="3605" max="3605" width="15.140625" style="1" customWidth="1"/>
    <col min="3606" max="3606" width="8.5703125" style="1" customWidth="1"/>
    <col min="3607" max="3607" width="14.28515625" style="1" customWidth="1"/>
    <col min="3608" max="3608" width="18.28515625" style="1" customWidth="1"/>
    <col min="3609" max="3609" width="13" style="1" bestFit="1" customWidth="1"/>
    <col min="3610" max="3610" width="11.7109375" style="1" bestFit="1" customWidth="1"/>
    <col min="3611" max="3617" width="9.140625" style="1"/>
    <col min="3618" max="3618" width="11.28515625" style="1" bestFit="1" customWidth="1"/>
    <col min="3619" max="3619" width="10.7109375" style="1" bestFit="1" customWidth="1"/>
    <col min="3620" max="3841" width="9.140625" style="1"/>
    <col min="3842" max="3842" width="6.42578125" style="1" customWidth="1"/>
    <col min="3843" max="3843" width="20.7109375" style="1" customWidth="1"/>
    <col min="3844" max="3844" width="24.7109375" style="1" customWidth="1"/>
    <col min="3845" max="3845" width="11.140625" style="1" customWidth="1"/>
    <col min="3846" max="3846" width="12.28515625" style="1" customWidth="1"/>
    <col min="3847" max="3847" width="11.140625" style="1" customWidth="1"/>
    <col min="3848" max="3848" width="10.42578125" style="1" customWidth="1"/>
    <col min="3849" max="3849" width="4.7109375" style="1" customWidth="1"/>
    <col min="3850" max="3850" width="8.5703125" style="1" customWidth="1"/>
    <col min="3851" max="3851" width="5.5703125" style="1" customWidth="1"/>
    <col min="3852" max="3853" width="11.5703125" style="1" customWidth="1"/>
    <col min="3854" max="3854" width="10.85546875" style="1" customWidth="1"/>
    <col min="3855" max="3855" width="7.7109375" style="1" customWidth="1"/>
    <col min="3856" max="3856" width="8" style="1" customWidth="1"/>
    <col min="3857" max="3857" width="16.28515625" style="1" customWidth="1"/>
    <col min="3858" max="3858" width="10.5703125" style="1" customWidth="1"/>
    <col min="3859" max="3859" width="14.140625" style="1" customWidth="1"/>
    <col min="3860" max="3860" width="10.140625" style="1" customWidth="1"/>
    <col min="3861" max="3861" width="15.140625" style="1" customWidth="1"/>
    <col min="3862" max="3862" width="8.5703125" style="1" customWidth="1"/>
    <col min="3863" max="3863" width="14.28515625" style="1" customWidth="1"/>
    <col min="3864" max="3864" width="18.28515625" style="1" customWidth="1"/>
    <col min="3865" max="3865" width="13" style="1" bestFit="1" customWidth="1"/>
    <col min="3866" max="3866" width="11.7109375" style="1" bestFit="1" customWidth="1"/>
    <col min="3867" max="3873" width="9.140625" style="1"/>
    <col min="3874" max="3874" width="11.28515625" style="1" bestFit="1" customWidth="1"/>
    <col min="3875" max="3875" width="10.7109375" style="1" bestFit="1" customWidth="1"/>
    <col min="3876" max="4097" width="9.140625" style="1"/>
    <col min="4098" max="4098" width="6.42578125" style="1" customWidth="1"/>
    <col min="4099" max="4099" width="20.7109375" style="1" customWidth="1"/>
    <col min="4100" max="4100" width="24.7109375" style="1" customWidth="1"/>
    <col min="4101" max="4101" width="11.140625" style="1" customWidth="1"/>
    <col min="4102" max="4102" width="12.28515625" style="1" customWidth="1"/>
    <col min="4103" max="4103" width="11.140625" style="1" customWidth="1"/>
    <col min="4104" max="4104" width="10.42578125" style="1" customWidth="1"/>
    <col min="4105" max="4105" width="4.7109375" style="1" customWidth="1"/>
    <col min="4106" max="4106" width="8.5703125" style="1" customWidth="1"/>
    <col min="4107" max="4107" width="5.5703125" style="1" customWidth="1"/>
    <col min="4108" max="4109" width="11.5703125" style="1" customWidth="1"/>
    <col min="4110" max="4110" width="10.85546875" style="1" customWidth="1"/>
    <col min="4111" max="4111" width="7.7109375" style="1" customWidth="1"/>
    <col min="4112" max="4112" width="8" style="1" customWidth="1"/>
    <col min="4113" max="4113" width="16.28515625" style="1" customWidth="1"/>
    <col min="4114" max="4114" width="10.5703125" style="1" customWidth="1"/>
    <col min="4115" max="4115" width="14.140625" style="1" customWidth="1"/>
    <col min="4116" max="4116" width="10.140625" style="1" customWidth="1"/>
    <col min="4117" max="4117" width="15.140625" style="1" customWidth="1"/>
    <col min="4118" max="4118" width="8.5703125" style="1" customWidth="1"/>
    <col min="4119" max="4119" width="14.28515625" style="1" customWidth="1"/>
    <col min="4120" max="4120" width="18.28515625" style="1" customWidth="1"/>
    <col min="4121" max="4121" width="13" style="1" bestFit="1" customWidth="1"/>
    <col min="4122" max="4122" width="11.7109375" style="1" bestFit="1" customWidth="1"/>
    <col min="4123" max="4129" width="9.140625" style="1"/>
    <col min="4130" max="4130" width="11.28515625" style="1" bestFit="1" customWidth="1"/>
    <col min="4131" max="4131" width="10.7109375" style="1" bestFit="1" customWidth="1"/>
    <col min="4132" max="4353" width="9.140625" style="1"/>
    <col min="4354" max="4354" width="6.42578125" style="1" customWidth="1"/>
    <col min="4355" max="4355" width="20.7109375" style="1" customWidth="1"/>
    <col min="4356" max="4356" width="24.7109375" style="1" customWidth="1"/>
    <col min="4357" max="4357" width="11.140625" style="1" customWidth="1"/>
    <col min="4358" max="4358" width="12.28515625" style="1" customWidth="1"/>
    <col min="4359" max="4359" width="11.140625" style="1" customWidth="1"/>
    <col min="4360" max="4360" width="10.42578125" style="1" customWidth="1"/>
    <col min="4361" max="4361" width="4.7109375" style="1" customWidth="1"/>
    <col min="4362" max="4362" width="8.5703125" style="1" customWidth="1"/>
    <col min="4363" max="4363" width="5.5703125" style="1" customWidth="1"/>
    <col min="4364" max="4365" width="11.5703125" style="1" customWidth="1"/>
    <col min="4366" max="4366" width="10.85546875" style="1" customWidth="1"/>
    <col min="4367" max="4367" width="7.7109375" style="1" customWidth="1"/>
    <col min="4368" max="4368" width="8" style="1" customWidth="1"/>
    <col min="4369" max="4369" width="16.28515625" style="1" customWidth="1"/>
    <col min="4370" max="4370" width="10.5703125" style="1" customWidth="1"/>
    <col min="4371" max="4371" width="14.140625" style="1" customWidth="1"/>
    <col min="4372" max="4372" width="10.140625" style="1" customWidth="1"/>
    <col min="4373" max="4373" width="15.140625" style="1" customWidth="1"/>
    <col min="4374" max="4374" width="8.5703125" style="1" customWidth="1"/>
    <col min="4375" max="4375" width="14.28515625" style="1" customWidth="1"/>
    <col min="4376" max="4376" width="18.28515625" style="1" customWidth="1"/>
    <col min="4377" max="4377" width="13" style="1" bestFit="1" customWidth="1"/>
    <col min="4378" max="4378" width="11.7109375" style="1" bestFit="1" customWidth="1"/>
    <col min="4379" max="4385" width="9.140625" style="1"/>
    <col min="4386" max="4386" width="11.28515625" style="1" bestFit="1" customWidth="1"/>
    <col min="4387" max="4387" width="10.7109375" style="1" bestFit="1" customWidth="1"/>
    <col min="4388" max="4609" width="9.140625" style="1"/>
    <col min="4610" max="4610" width="6.42578125" style="1" customWidth="1"/>
    <col min="4611" max="4611" width="20.7109375" style="1" customWidth="1"/>
    <col min="4612" max="4612" width="24.7109375" style="1" customWidth="1"/>
    <col min="4613" max="4613" width="11.140625" style="1" customWidth="1"/>
    <col min="4614" max="4614" width="12.28515625" style="1" customWidth="1"/>
    <col min="4615" max="4615" width="11.140625" style="1" customWidth="1"/>
    <col min="4616" max="4616" width="10.42578125" style="1" customWidth="1"/>
    <col min="4617" max="4617" width="4.7109375" style="1" customWidth="1"/>
    <col min="4618" max="4618" width="8.5703125" style="1" customWidth="1"/>
    <col min="4619" max="4619" width="5.5703125" style="1" customWidth="1"/>
    <col min="4620" max="4621" width="11.5703125" style="1" customWidth="1"/>
    <col min="4622" max="4622" width="10.85546875" style="1" customWidth="1"/>
    <col min="4623" max="4623" width="7.7109375" style="1" customWidth="1"/>
    <col min="4624" max="4624" width="8" style="1" customWidth="1"/>
    <col min="4625" max="4625" width="16.28515625" style="1" customWidth="1"/>
    <col min="4626" max="4626" width="10.5703125" style="1" customWidth="1"/>
    <col min="4627" max="4627" width="14.140625" style="1" customWidth="1"/>
    <col min="4628" max="4628" width="10.140625" style="1" customWidth="1"/>
    <col min="4629" max="4629" width="15.140625" style="1" customWidth="1"/>
    <col min="4630" max="4630" width="8.5703125" style="1" customWidth="1"/>
    <col min="4631" max="4631" width="14.28515625" style="1" customWidth="1"/>
    <col min="4632" max="4632" width="18.28515625" style="1" customWidth="1"/>
    <col min="4633" max="4633" width="13" style="1" bestFit="1" customWidth="1"/>
    <col min="4634" max="4634" width="11.7109375" style="1" bestFit="1" customWidth="1"/>
    <col min="4635" max="4641" width="9.140625" style="1"/>
    <col min="4642" max="4642" width="11.28515625" style="1" bestFit="1" customWidth="1"/>
    <col min="4643" max="4643" width="10.7109375" style="1" bestFit="1" customWidth="1"/>
    <col min="4644" max="4865" width="9.140625" style="1"/>
    <col min="4866" max="4866" width="6.42578125" style="1" customWidth="1"/>
    <col min="4867" max="4867" width="20.7109375" style="1" customWidth="1"/>
    <col min="4868" max="4868" width="24.7109375" style="1" customWidth="1"/>
    <col min="4869" max="4869" width="11.140625" style="1" customWidth="1"/>
    <col min="4870" max="4870" width="12.28515625" style="1" customWidth="1"/>
    <col min="4871" max="4871" width="11.140625" style="1" customWidth="1"/>
    <col min="4872" max="4872" width="10.42578125" style="1" customWidth="1"/>
    <col min="4873" max="4873" width="4.7109375" style="1" customWidth="1"/>
    <col min="4874" max="4874" width="8.5703125" style="1" customWidth="1"/>
    <col min="4875" max="4875" width="5.5703125" style="1" customWidth="1"/>
    <col min="4876" max="4877" width="11.5703125" style="1" customWidth="1"/>
    <col min="4878" max="4878" width="10.85546875" style="1" customWidth="1"/>
    <col min="4879" max="4879" width="7.7109375" style="1" customWidth="1"/>
    <col min="4880" max="4880" width="8" style="1" customWidth="1"/>
    <col min="4881" max="4881" width="16.28515625" style="1" customWidth="1"/>
    <col min="4882" max="4882" width="10.5703125" style="1" customWidth="1"/>
    <col min="4883" max="4883" width="14.140625" style="1" customWidth="1"/>
    <col min="4884" max="4884" width="10.140625" style="1" customWidth="1"/>
    <col min="4885" max="4885" width="15.140625" style="1" customWidth="1"/>
    <col min="4886" max="4886" width="8.5703125" style="1" customWidth="1"/>
    <col min="4887" max="4887" width="14.28515625" style="1" customWidth="1"/>
    <col min="4888" max="4888" width="18.28515625" style="1" customWidth="1"/>
    <col min="4889" max="4889" width="13" style="1" bestFit="1" customWidth="1"/>
    <col min="4890" max="4890" width="11.7109375" style="1" bestFit="1" customWidth="1"/>
    <col min="4891" max="4897" width="9.140625" style="1"/>
    <col min="4898" max="4898" width="11.28515625" style="1" bestFit="1" customWidth="1"/>
    <col min="4899" max="4899" width="10.7109375" style="1" bestFit="1" customWidth="1"/>
    <col min="4900" max="5121" width="9.140625" style="1"/>
    <col min="5122" max="5122" width="6.42578125" style="1" customWidth="1"/>
    <col min="5123" max="5123" width="20.7109375" style="1" customWidth="1"/>
    <col min="5124" max="5124" width="24.7109375" style="1" customWidth="1"/>
    <col min="5125" max="5125" width="11.140625" style="1" customWidth="1"/>
    <col min="5126" max="5126" width="12.28515625" style="1" customWidth="1"/>
    <col min="5127" max="5127" width="11.140625" style="1" customWidth="1"/>
    <col min="5128" max="5128" width="10.42578125" style="1" customWidth="1"/>
    <col min="5129" max="5129" width="4.7109375" style="1" customWidth="1"/>
    <col min="5130" max="5130" width="8.5703125" style="1" customWidth="1"/>
    <col min="5131" max="5131" width="5.5703125" style="1" customWidth="1"/>
    <col min="5132" max="5133" width="11.5703125" style="1" customWidth="1"/>
    <col min="5134" max="5134" width="10.85546875" style="1" customWidth="1"/>
    <col min="5135" max="5135" width="7.7109375" style="1" customWidth="1"/>
    <col min="5136" max="5136" width="8" style="1" customWidth="1"/>
    <col min="5137" max="5137" width="16.28515625" style="1" customWidth="1"/>
    <col min="5138" max="5138" width="10.5703125" style="1" customWidth="1"/>
    <col min="5139" max="5139" width="14.140625" style="1" customWidth="1"/>
    <col min="5140" max="5140" width="10.140625" style="1" customWidth="1"/>
    <col min="5141" max="5141" width="15.140625" style="1" customWidth="1"/>
    <col min="5142" max="5142" width="8.5703125" style="1" customWidth="1"/>
    <col min="5143" max="5143" width="14.28515625" style="1" customWidth="1"/>
    <col min="5144" max="5144" width="18.28515625" style="1" customWidth="1"/>
    <col min="5145" max="5145" width="13" style="1" bestFit="1" customWidth="1"/>
    <col min="5146" max="5146" width="11.7109375" style="1" bestFit="1" customWidth="1"/>
    <col min="5147" max="5153" width="9.140625" style="1"/>
    <col min="5154" max="5154" width="11.28515625" style="1" bestFit="1" customWidth="1"/>
    <col min="5155" max="5155" width="10.7109375" style="1" bestFit="1" customWidth="1"/>
    <col min="5156" max="5377" width="9.140625" style="1"/>
    <col min="5378" max="5378" width="6.42578125" style="1" customWidth="1"/>
    <col min="5379" max="5379" width="20.7109375" style="1" customWidth="1"/>
    <col min="5380" max="5380" width="24.7109375" style="1" customWidth="1"/>
    <col min="5381" max="5381" width="11.140625" style="1" customWidth="1"/>
    <col min="5382" max="5382" width="12.28515625" style="1" customWidth="1"/>
    <col min="5383" max="5383" width="11.140625" style="1" customWidth="1"/>
    <col min="5384" max="5384" width="10.42578125" style="1" customWidth="1"/>
    <col min="5385" max="5385" width="4.7109375" style="1" customWidth="1"/>
    <col min="5386" max="5386" width="8.5703125" style="1" customWidth="1"/>
    <col min="5387" max="5387" width="5.5703125" style="1" customWidth="1"/>
    <col min="5388" max="5389" width="11.5703125" style="1" customWidth="1"/>
    <col min="5390" max="5390" width="10.85546875" style="1" customWidth="1"/>
    <col min="5391" max="5391" width="7.7109375" style="1" customWidth="1"/>
    <col min="5392" max="5392" width="8" style="1" customWidth="1"/>
    <col min="5393" max="5393" width="16.28515625" style="1" customWidth="1"/>
    <col min="5394" max="5394" width="10.5703125" style="1" customWidth="1"/>
    <col min="5395" max="5395" width="14.140625" style="1" customWidth="1"/>
    <col min="5396" max="5396" width="10.140625" style="1" customWidth="1"/>
    <col min="5397" max="5397" width="15.140625" style="1" customWidth="1"/>
    <col min="5398" max="5398" width="8.5703125" style="1" customWidth="1"/>
    <col min="5399" max="5399" width="14.28515625" style="1" customWidth="1"/>
    <col min="5400" max="5400" width="18.28515625" style="1" customWidth="1"/>
    <col min="5401" max="5401" width="13" style="1" bestFit="1" customWidth="1"/>
    <col min="5402" max="5402" width="11.7109375" style="1" bestFit="1" customWidth="1"/>
    <col min="5403" max="5409" width="9.140625" style="1"/>
    <col min="5410" max="5410" width="11.28515625" style="1" bestFit="1" customWidth="1"/>
    <col min="5411" max="5411" width="10.7109375" style="1" bestFit="1" customWidth="1"/>
    <col min="5412" max="5633" width="9.140625" style="1"/>
    <col min="5634" max="5634" width="6.42578125" style="1" customWidth="1"/>
    <col min="5635" max="5635" width="20.7109375" style="1" customWidth="1"/>
    <col min="5636" max="5636" width="24.7109375" style="1" customWidth="1"/>
    <col min="5637" max="5637" width="11.140625" style="1" customWidth="1"/>
    <col min="5638" max="5638" width="12.28515625" style="1" customWidth="1"/>
    <col min="5639" max="5639" width="11.140625" style="1" customWidth="1"/>
    <col min="5640" max="5640" width="10.42578125" style="1" customWidth="1"/>
    <col min="5641" max="5641" width="4.7109375" style="1" customWidth="1"/>
    <col min="5642" max="5642" width="8.5703125" style="1" customWidth="1"/>
    <col min="5643" max="5643" width="5.5703125" style="1" customWidth="1"/>
    <col min="5644" max="5645" width="11.5703125" style="1" customWidth="1"/>
    <col min="5646" max="5646" width="10.85546875" style="1" customWidth="1"/>
    <col min="5647" max="5647" width="7.7109375" style="1" customWidth="1"/>
    <col min="5648" max="5648" width="8" style="1" customWidth="1"/>
    <col min="5649" max="5649" width="16.28515625" style="1" customWidth="1"/>
    <col min="5650" max="5650" width="10.5703125" style="1" customWidth="1"/>
    <col min="5651" max="5651" width="14.140625" style="1" customWidth="1"/>
    <col min="5652" max="5652" width="10.140625" style="1" customWidth="1"/>
    <col min="5653" max="5653" width="15.140625" style="1" customWidth="1"/>
    <col min="5654" max="5654" width="8.5703125" style="1" customWidth="1"/>
    <col min="5655" max="5655" width="14.28515625" style="1" customWidth="1"/>
    <col min="5656" max="5656" width="18.28515625" style="1" customWidth="1"/>
    <col min="5657" max="5657" width="13" style="1" bestFit="1" customWidth="1"/>
    <col min="5658" max="5658" width="11.7109375" style="1" bestFit="1" customWidth="1"/>
    <col min="5659" max="5665" width="9.140625" style="1"/>
    <col min="5666" max="5666" width="11.28515625" style="1" bestFit="1" customWidth="1"/>
    <col min="5667" max="5667" width="10.7109375" style="1" bestFit="1" customWidth="1"/>
    <col min="5668" max="5889" width="9.140625" style="1"/>
    <col min="5890" max="5890" width="6.42578125" style="1" customWidth="1"/>
    <col min="5891" max="5891" width="20.7109375" style="1" customWidth="1"/>
    <col min="5892" max="5892" width="24.7109375" style="1" customWidth="1"/>
    <col min="5893" max="5893" width="11.140625" style="1" customWidth="1"/>
    <col min="5894" max="5894" width="12.28515625" style="1" customWidth="1"/>
    <col min="5895" max="5895" width="11.140625" style="1" customWidth="1"/>
    <col min="5896" max="5896" width="10.42578125" style="1" customWidth="1"/>
    <col min="5897" max="5897" width="4.7109375" style="1" customWidth="1"/>
    <col min="5898" max="5898" width="8.5703125" style="1" customWidth="1"/>
    <col min="5899" max="5899" width="5.5703125" style="1" customWidth="1"/>
    <col min="5900" max="5901" width="11.5703125" style="1" customWidth="1"/>
    <col min="5902" max="5902" width="10.85546875" style="1" customWidth="1"/>
    <col min="5903" max="5903" width="7.7109375" style="1" customWidth="1"/>
    <col min="5904" max="5904" width="8" style="1" customWidth="1"/>
    <col min="5905" max="5905" width="16.28515625" style="1" customWidth="1"/>
    <col min="5906" max="5906" width="10.5703125" style="1" customWidth="1"/>
    <col min="5907" max="5907" width="14.140625" style="1" customWidth="1"/>
    <col min="5908" max="5908" width="10.140625" style="1" customWidth="1"/>
    <col min="5909" max="5909" width="15.140625" style="1" customWidth="1"/>
    <col min="5910" max="5910" width="8.5703125" style="1" customWidth="1"/>
    <col min="5911" max="5911" width="14.28515625" style="1" customWidth="1"/>
    <col min="5912" max="5912" width="18.28515625" style="1" customWidth="1"/>
    <col min="5913" max="5913" width="13" style="1" bestFit="1" customWidth="1"/>
    <col min="5914" max="5914" width="11.7109375" style="1" bestFit="1" customWidth="1"/>
    <col min="5915" max="5921" width="9.140625" style="1"/>
    <col min="5922" max="5922" width="11.28515625" style="1" bestFit="1" customWidth="1"/>
    <col min="5923" max="5923" width="10.7109375" style="1" bestFit="1" customWidth="1"/>
    <col min="5924" max="6145" width="9.140625" style="1"/>
    <col min="6146" max="6146" width="6.42578125" style="1" customWidth="1"/>
    <col min="6147" max="6147" width="20.7109375" style="1" customWidth="1"/>
    <col min="6148" max="6148" width="24.7109375" style="1" customWidth="1"/>
    <col min="6149" max="6149" width="11.140625" style="1" customWidth="1"/>
    <col min="6150" max="6150" width="12.28515625" style="1" customWidth="1"/>
    <col min="6151" max="6151" width="11.140625" style="1" customWidth="1"/>
    <col min="6152" max="6152" width="10.42578125" style="1" customWidth="1"/>
    <col min="6153" max="6153" width="4.7109375" style="1" customWidth="1"/>
    <col min="6154" max="6154" width="8.5703125" style="1" customWidth="1"/>
    <col min="6155" max="6155" width="5.5703125" style="1" customWidth="1"/>
    <col min="6156" max="6157" width="11.5703125" style="1" customWidth="1"/>
    <col min="6158" max="6158" width="10.85546875" style="1" customWidth="1"/>
    <col min="6159" max="6159" width="7.7109375" style="1" customWidth="1"/>
    <col min="6160" max="6160" width="8" style="1" customWidth="1"/>
    <col min="6161" max="6161" width="16.28515625" style="1" customWidth="1"/>
    <col min="6162" max="6162" width="10.5703125" style="1" customWidth="1"/>
    <col min="6163" max="6163" width="14.140625" style="1" customWidth="1"/>
    <col min="6164" max="6164" width="10.140625" style="1" customWidth="1"/>
    <col min="6165" max="6165" width="15.140625" style="1" customWidth="1"/>
    <col min="6166" max="6166" width="8.5703125" style="1" customWidth="1"/>
    <col min="6167" max="6167" width="14.28515625" style="1" customWidth="1"/>
    <col min="6168" max="6168" width="18.28515625" style="1" customWidth="1"/>
    <col min="6169" max="6169" width="13" style="1" bestFit="1" customWidth="1"/>
    <col min="6170" max="6170" width="11.7109375" style="1" bestFit="1" customWidth="1"/>
    <col min="6171" max="6177" width="9.140625" style="1"/>
    <col min="6178" max="6178" width="11.28515625" style="1" bestFit="1" customWidth="1"/>
    <col min="6179" max="6179" width="10.7109375" style="1" bestFit="1" customWidth="1"/>
    <col min="6180" max="6401" width="9.140625" style="1"/>
    <col min="6402" max="6402" width="6.42578125" style="1" customWidth="1"/>
    <col min="6403" max="6403" width="20.7109375" style="1" customWidth="1"/>
    <col min="6404" max="6404" width="24.7109375" style="1" customWidth="1"/>
    <col min="6405" max="6405" width="11.140625" style="1" customWidth="1"/>
    <col min="6406" max="6406" width="12.28515625" style="1" customWidth="1"/>
    <col min="6407" max="6407" width="11.140625" style="1" customWidth="1"/>
    <col min="6408" max="6408" width="10.42578125" style="1" customWidth="1"/>
    <col min="6409" max="6409" width="4.7109375" style="1" customWidth="1"/>
    <col min="6410" max="6410" width="8.5703125" style="1" customWidth="1"/>
    <col min="6411" max="6411" width="5.5703125" style="1" customWidth="1"/>
    <col min="6412" max="6413" width="11.5703125" style="1" customWidth="1"/>
    <col min="6414" max="6414" width="10.85546875" style="1" customWidth="1"/>
    <col min="6415" max="6415" width="7.7109375" style="1" customWidth="1"/>
    <col min="6416" max="6416" width="8" style="1" customWidth="1"/>
    <col min="6417" max="6417" width="16.28515625" style="1" customWidth="1"/>
    <col min="6418" max="6418" width="10.5703125" style="1" customWidth="1"/>
    <col min="6419" max="6419" width="14.140625" style="1" customWidth="1"/>
    <col min="6420" max="6420" width="10.140625" style="1" customWidth="1"/>
    <col min="6421" max="6421" width="15.140625" style="1" customWidth="1"/>
    <col min="6422" max="6422" width="8.5703125" style="1" customWidth="1"/>
    <col min="6423" max="6423" width="14.28515625" style="1" customWidth="1"/>
    <col min="6424" max="6424" width="18.28515625" style="1" customWidth="1"/>
    <col min="6425" max="6425" width="13" style="1" bestFit="1" customWidth="1"/>
    <col min="6426" max="6426" width="11.7109375" style="1" bestFit="1" customWidth="1"/>
    <col min="6427" max="6433" width="9.140625" style="1"/>
    <col min="6434" max="6434" width="11.28515625" style="1" bestFit="1" customWidth="1"/>
    <col min="6435" max="6435" width="10.7109375" style="1" bestFit="1" customWidth="1"/>
    <col min="6436" max="6657" width="9.140625" style="1"/>
    <col min="6658" max="6658" width="6.42578125" style="1" customWidth="1"/>
    <col min="6659" max="6659" width="20.7109375" style="1" customWidth="1"/>
    <col min="6660" max="6660" width="24.7109375" style="1" customWidth="1"/>
    <col min="6661" max="6661" width="11.140625" style="1" customWidth="1"/>
    <col min="6662" max="6662" width="12.28515625" style="1" customWidth="1"/>
    <col min="6663" max="6663" width="11.140625" style="1" customWidth="1"/>
    <col min="6664" max="6664" width="10.42578125" style="1" customWidth="1"/>
    <col min="6665" max="6665" width="4.7109375" style="1" customWidth="1"/>
    <col min="6666" max="6666" width="8.5703125" style="1" customWidth="1"/>
    <col min="6667" max="6667" width="5.5703125" style="1" customWidth="1"/>
    <col min="6668" max="6669" width="11.5703125" style="1" customWidth="1"/>
    <col min="6670" max="6670" width="10.85546875" style="1" customWidth="1"/>
    <col min="6671" max="6671" width="7.7109375" style="1" customWidth="1"/>
    <col min="6672" max="6672" width="8" style="1" customWidth="1"/>
    <col min="6673" max="6673" width="16.28515625" style="1" customWidth="1"/>
    <col min="6674" max="6674" width="10.5703125" style="1" customWidth="1"/>
    <col min="6675" max="6675" width="14.140625" style="1" customWidth="1"/>
    <col min="6676" max="6676" width="10.140625" style="1" customWidth="1"/>
    <col min="6677" max="6677" width="15.140625" style="1" customWidth="1"/>
    <col min="6678" max="6678" width="8.5703125" style="1" customWidth="1"/>
    <col min="6679" max="6679" width="14.28515625" style="1" customWidth="1"/>
    <col min="6680" max="6680" width="18.28515625" style="1" customWidth="1"/>
    <col min="6681" max="6681" width="13" style="1" bestFit="1" customWidth="1"/>
    <col min="6682" max="6682" width="11.7109375" style="1" bestFit="1" customWidth="1"/>
    <col min="6683" max="6689" width="9.140625" style="1"/>
    <col min="6690" max="6690" width="11.28515625" style="1" bestFit="1" customWidth="1"/>
    <col min="6691" max="6691" width="10.7109375" style="1" bestFit="1" customWidth="1"/>
    <col min="6692" max="6913" width="9.140625" style="1"/>
    <col min="6914" max="6914" width="6.42578125" style="1" customWidth="1"/>
    <col min="6915" max="6915" width="20.7109375" style="1" customWidth="1"/>
    <col min="6916" max="6916" width="24.7109375" style="1" customWidth="1"/>
    <col min="6917" max="6917" width="11.140625" style="1" customWidth="1"/>
    <col min="6918" max="6918" width="12.28515625" style="1" customWidth="1"/>
    <col min="6919" max="6919" width="11.140625" style="1" customWidth="1"/>
    <col min="6920" max="6920" width="10.42578125" style="1" customWidth="1"/>
    <col min="6921" max="6921" width="4.7109375" style="1" customWidth="1"/>
    <col min="6922" max="6922" width="8.5703125" style="1" customWidth="1"/>
    <col min="6923" max="6923" width="5.5703125" style="1" customWidth="1"/>
    <col min="6924" max="6925" width="11.5703125" style="1" customWidth="1"/>
    <col min="6926" max="6926" width="10.85546875" style="1" customWidth="1"/>
    <col min="6927" max="6927" width="7.7109375" style="1" customWidth="1"/>
    <col min="6928" max="6928" width="8" style="1" customWidth="1"/>
    <col min="6929" max="6929" width="16.28515625" style="1" customWidth="1"/>
    <col min="6930" max="6930" width="10.5703125" style="1" customWidth="1"/>
    <col min="6931" max="6931" width="14.140625" style="1" customWidth="1"/>
    <col min="6932" max="6932" width="10.140625" style="1" customWidth="1"/>
    <col min="6933" max="6933" width="15.140625" style="1" customWidth="1"/>
    <col min="6934" max="6934" width="8.5703125" style="1" customWidth="1"/>
    <col min="6935" max="6935" width="14.28515625" style="1" customWidth="1"/>
    <col min="6936" max="6936" width="18.28515625" style="1" customWidth="1"/>
    <col min="6937" max="6937" width="13" style="1" bestFit="1" customWidth="1"/>
    <col min="6938" max="6938" width="11.7109375" style="1" bestFit="1" customWidth="1"/>
    <col min="6939" max="6945" width="9.140625" style="1"/>
    <col min="6946" max="6946" width="11.28515625" style="1" bestFit="1" customWidth="1"/>
    <col min="6947" max="6947" width="10.7109375" style="1" bestFit="1" customWidth="1"/>
    <col min="6948" max="7169" width="9.140625" style="1"/>
    <col min="7170" max="7170" width="6.42578125" style="1" customWidth="1"/>
    <col min="7171" max="7171" width="20.7109375" style="1" customWidth="1"/>
    <col min="7172" max="7172" width="24.7109375" style="1" customWidth="1"/>
    <col min="7173" max="7173" width="11.140625" style="1" customWidth="1"/>
    <col min="7174" max="7174" width="12.28515625" style="1" customWidth="1"/>
    <col min="7175" max="7175" width="11.140625" style="1" customWidth="1"/>
    <col min="7176" max="7176" width="10.42578125" style="1" customWidth="1"/>
    <col min="7177" max="7177" width="4.7109375" style="1" customWidth="1"/>
    <col min="7178" max="7178" width="8.5703125" style="1" customWidth="1"/>
    <col min="7179" max="7179" width="5.5703125" style="1" customWidth="1"/>
    <col min="7180" max="7181" width="11.5703125" style="1" customWidth="1"/>
    <col min="7182" max="7182" width="10.85546875" style="1" customWidth="1"/>
    <col min="7183" max="7183" width="7.7109375" style="1" customWidth="1"/>
    <col min="7184" max="7184" width="8" style="1" customWidth="1"/>
    <col min="7185" max="7185" width="16.28515625" style="1" customWidth="1"/>
    <col min="7186" max="7186" width="10.5703125" style="1" customWidth="1"/>
    <col min="7187" max="7187" width="14.140625" style="1" customWidth="1"/>
    <col min="7188" max="7188" width="10.140625" style="1" customWidth="1"/>
    <col min="7189" max="7189" width="15.140625" style="1" customWidth="1"/>
    <col min="7190" max="7190" width="8.5703125" style="1" customWidth="1"/>
    <col min="7191" max="7191" width="14.28515625" style="1" customWidth="1"/>
    <col min="7192" max="7192" width="18.28515625" style="1" customWidth="1"/>
    <col min="7193" max="7193" width="13" style="1" bestFit="1" customWidth="1"/>
    <col min="7194" max="7194" width="11.7109375" style="1" bestFit="1" customWidth="1"/>
    <col min="7195" max="7201" width="9.140625" style="1"/>
    <col min="7202" max="7202" width="11.28515625" style="1" bestFit="1" customWidth="1"/>
    <col min="7203" max="7203" width="10.7109375" style="1" bestFit="1" customWidth="1"/>
    <col min="7204" max="7425" width="9.140625" style="1"/>
    <col min="7426" max="7426" width="6.42578125" style="1" customWidth="1"/>
    <col min="7427" max="7427" width="20.7109375" style="1" customWidth="1"/>
    <col min="7428" max="7428" width="24.7109375" style="1" customWidth="1"/>
    <col min="7429" max="7429" width="11.140625" style="1" customWidth="1"/>
    <col min="7430" max="7430" width="12.28515625" style="1" customWidth="1"/>
    <col min="7431" max="7431" width="11.140625" style="1" customWidth="1"/>
    <col min="7432" max="7432" width="10.42578125" style="1" customWidth="1"/>
    <col min="7433" max="7433" width="4.7109375" style="1" customWidth="1"/>
    <col min="7434" max="7434" width="8.5703125" style="1" customWidth="1"/>
    <col min="7435" max="7435" width="5.5703125" style="1" customWidth="1"/>
    <col min="7436" max="7437" width="11.5703125" style="1" customWidth="1"/>
    <col min="7438" max="7438" width="10.85546875" style="1" customWidth="1"/>
    <col min="7439" max="7439" width="7.7109375" style="1" customWidth="1"/>
    <col min="7440" max="7440" width="8" style="1" customWidth="1"/>
    <col min="7441" max="7441" width="16.28515625" style="1" customWidth="1"/>
    <col min="7442" max="7442" width="10.5703125" style="1" customWidth="1"/>
    <col min="7443" max="7443" width="14.140625" style="1" customWidth="1"/>
    <col min="7444" max="7444" width="10.140625" style="1" customWidth="1"/>
    <col min="7445" max="7445" width="15.140625" style="1" customWidth="1"/>
    <col min="7446" max="7446" width="8.5703125" style="1" customWidth="1"/>
    <col min="7447" max="7447" width="14.28515625" style="1" customWidth="1"/>
    <col min="7448" max="7448" width="18.28515625" style="1" customWidth="1"/>
    <col min="7449" max="7449" width="13" style="1" bestFit="1" customWidth="1"/>
    <col min="7450" max="7450" width="11.7109375" style="1" bestFit="1" customWidth="1"/>
    <col min="7451" max="7457" width="9.140625" style="1"/>
    <col min="7458" max="7458" width="11.28515625" style="1" bestFit="1" customWidth="1"/>
    <col min="7459" max="7459" width="10.7109375" style="1" bestFit="1" customWidth="1"/>
    <col min="7460" max="7681" width="9.140625" style="1"/>
    <col min="7682" max="7682" width="6.42578125" style="1" customWidth="1"/>
    <col min="7683" max="7683" width="20.7109375" style="1" customWidth="1"/>
    <col min="7684" max="7684" width="24.7109375" style="1" customWidth="1"/>
    <col min="7685" max="7685" width="11.140625" style="1" customWidth="1"/>
    <col min="7686" max="7686" width="12.28515625" style="1" customWidth="1"/>
    <col min="7687" max="7687" width="11.140625" style="1" customWidth="1"/>
    <col min="7688" max="7688" width="10.42578125" style="1" customWidth="1"/>
    <col min="7689" max="7689" width="4.7109375" style="1" customWidth="1"/>
    <col min="7690" max="7690" width="8.5703125" style="1" customWidth="1"/>
    <col min="7691" max="7691" width="5.5703125" style="1" customWidth="1"/>
    <col min="7692" max="7693" width="11.5703125" style="1" customWidth="1"/>
    <col min="7694" max="7694" width="10.85546875" style="1" customWidth="1"/>
    <col min="7695" max="7695" width="7.7109375" style="1" customWidth="1"/>
    <col min="7696" max="7696" width="8" style="1" customWidth="1"/>
    <col min="7697" max="7697" width="16.28515625" style="1" customWidth="1"/>
    <col min="7698" max="7698" width="10.5703125" style="1" customWidth="1"/>
    <col min="7699" max="7699" width="14.140625" style="1" customWidth="1"/>
    <col min="7700" max="7700" width="10.140625" style="1" customWidth="1"/>
    <col min="7701" max="7701" width="15.140625" style="1" customWidth="1"/>
    <col min="7702" max="7702" width="8.5703125" style="1" customWidth="1"/>
    <col min="7703" max="7703" width="14.28515625" style="1" customWidth="1"/>
    <col min="7704" max="7704" width="18.28515625" style="1" customWidth="1"/>
    <col min="7705" max="7705" width="13" style="1" bestFit="1" customWidth="1"/>
    <col min="7706" max="7706" width="11.7109375" style="1" bestFit="1" customWidth="1"/>
    <col min="7707" max="7713" width="9.140625" style="1"/>
    <col min="7714" max="7714" width="11.28515625" style="1" bestFit="1" customWidth="1"/>
    <col min="7715" max="7715" width="10.7109375" style="1" bestFit="1" customWidth="1"/>
    <col min="7716" max="7937" width="9.140625" style="1"/>
    <col min="7938" max="7938" width="6.42578125" style="1" customWidth="1"/>
    <col min="7939" max="7939" width="20.7109375" style="1" customWidth="1"/>
    <col min="7940" max="7940" width="24.7109375" style="1" customWidth="1"/>
    <col min="7941" max="7941" width="11.140625" style="1" customWidth="1"/>
    <col min="7942" max="7942" width="12.28515625" style="1" customWidth="1"/>
    <col min="7943" max="7943" width="11.140625" style="1" customWidth="1"/>
    <col min="7944" max="7944" width="10.42578125" style="1" customWidth="1"/>
    <col min="7945" max="7945" width="4.7109375" style="1" customWidth="1"/>
    <col min="7946" max="7946" width="8.5703125" style="1" customWidth="1"/>
    <col min="7947" max="7947" width="5.5703125" style="1" customWidth="1"/>
    <col min="7948" max="7949" width="11.5703125" style="1" customWidth="1"/>
    <col min="7950" max="7950" width="10.85546875" style="1" customWidth="1"/>
    <col min="7951" max="7951" width="7.7109375" style="1" customWidth="1"/>
    <col min="7952" max="7952" width="8" style="1" customWidth="1"/>
    <col min="7953" max="7953" width="16.28515625" style="1" customWidth="1"/>
    <col min="7954" max="7954" width="10.5703125" style="1" customWidth="1"/>
    <col min="7955" max="7955" width="14.140625" style="1" customWidth="1"/>
    <col min="7956" max="7956" width="10.140625" style="1" customWidth="1"/>
    <col min="7957" max="7957" width="15.140625" style="1" customWidth="1"/>
    <col min="7958" max="7958" width="8.5703125" style="1" customWidth="1"/>
    <col min="7959" max="7959" width="14.28515625" style="1" customWidth="1"/>
    <col min="7960" max="7960" width="18.28515625" style="1" customWidth="1"/>
    <col min="7961" max="7961" width="13" style="1" bestFit="1" customWidth="1"/>
    <col min="7962" max="7962" width="11.7109375" style="1" bestFit="1" customWidth="1"/>
    <col min="7963" max="7969" width="9.140625" style="1"/>
    <col min="7970" max="7970" width="11.28515625" style="1" bestFit="1" customWidth="1"/>
    <col min="7971" max="7971" width="10.7109375" style="1" bestFit="1" customWidth="1"/>
    <col min="7972" max="8193" width="9.140625" style="1"/>
    <col min="8194" max="8194" width="6.42578125" style="1" customWidth="1"/>
    <col min="8195" max="8195" width="20.7109375" style="1" customWidth="1"/>
    <col min="8196" max="8196" width="24.7109375" style="1" customWidth="1"/>
    <col min="8197" max="8197" width="11.140625" style="1" customWidth="1"/>
    <col min="8198" max="8198" width="12.28515625" style="1" customWidth="1"/>
    <col min="8199" max="8199" width="11.140625" style="1" customWidth="1"/>
    <col min="8200" max="8200" width="10.42578125" style="1" customWidth="1"/>
    <col min="8201" max="8201" width="4.7109375" style="1" customWidth="1"/>
    <col min="8202" max="8202" width="8.5703125" style="1" customWidth="1"/>
    <col min="8203" max="8203" width="5.5703125" style="1" customWidth="1"/>
    <col min="8204" max="8205" width="11.5703125" style="1" customWidth="1"/>
    <col min="8206" max="8206" width="10.85546875" style="1" customWidth="1"/>
    <col min="8207" max="8207" width="7.7109375" style="1" customWidth="1"/>
    <col min="8208" max="8208" width="8" style="1" customWidth="1"/>
    <col min="8209" max="8209" width="16.28515625" style="1" customWidth="1"/>
    <col min="8210" max="8210" width="10.5703125" style="1" customWidth="1"/>
    <col min="8211" max="8211" width="14.140625" style="1" customWidth="1"/>
    <col min="8212" max="8212" width="10.140625" style="1" customWidth="1"/>
    <col min="8213" max="8213" width="15.140625" style="1" customWidth="1"/>
    <col min="8214" max="8214" width="8.5703125" style="1" customWidth="1"/>
    <col min="8215" max="8215" width="14.28515625" style="1" customWidth="1"/>
    <col min="8216" max="8216" width="18.28515625" style="1" customWidth="1"/>
    <col min="8217" max="8217" width="13" style="1" bestFit="1" customWidth="1"/>
    <col min="8218" max="8218" width="11.7109375" style="1" bestFit="1" customWidth="1"/>
    <col min="8219" max="8225" width="9.140625" style="1"/>
    <col min="8226" max="8226" width="11.28515625" style="1" bestFit="1" customWidth="1"/>
    <col min="8227" max="8227" width="10.7109375" style="1" bestFit="1" customWidth="1"/>
    <col min="8228" max="8449" width="9.140625" style="1"/>
    <col min="8450" max="8450" width="6.42578125" style="1" customWidth="1"/>
    <col min="8451" max="8451" width="20.7109375" style="1" customWidth="1"/>
    <col min="8452" max="8452" width="24.7109375" style="1" customWidth="1"/>
    <col min="8453" max="8453" width="11.140625" style="1" customWidth="1"/>
    <col min="8454" max="8454" width="12.28515625" style="1" customWidth="1"/>
    <col min="8455" max="8455" width="11.140625" style="1" customWidth="1"/>
    <col min="8456" max="8456" width="10.42578125" style="1" customWidth="1"/>
    <col min="8457" max="8457" width="4.7109375" style="1" customWidth="1"/>
    <col min="8458" max="8458" width="8.5703125" style="1" customWidth="1"/>
    <col min="8459" max="8459" width="5.5703125" style="1" customWidth="1"/>
    <col min="8460" max="8461" width="11.5703125" style="1" customWidth="1"/>
    <col min="8462" max="8462" width="10.85546875" style="1" customWidth="1"/>
    <col min="8463" max="8463" width="7.7109375" style="1" customWidth="1"/>
    <col min="8464" max="8464" width="8" style="1" customWidth="1"/>
    <col min="8465" max="8465" width="16.28515625" style="1" customWidth="1"/>
    <col min="8466" max="8466" width="10.5703125" style="1" customWidth="1"/>
    <col min="8467" max="8467" width="14.140625" style="1" customWidth="1"/>
    <col min="8468" max="8468" width="10.140625" style="1" customWidth="1"/>
    <col min="8469" max="8469" width="15.140625" style="1" customWidth="1"/>
    <col min="8470" max="8470" width="8.5703125" style="1" customWidth="1"/>
    <col min="8471" max="8471" width="14.28515625" style="1" customWidth="1"/>
    <col min="8472" max="8472" width="18.28515625" style="1" customWidth="1"/>
    <col min="8473" max="8473" width="13" style="1" bestFit="1" customWidth="1"/>
    <col min="8474" max="8474" width="11.7109375" style="1" bestFit="1" customWidth="1"/>
    <col min="8475" max="8481" width="9.140625" style="1"/>
    <col min="8482" max="8482" width="11.28515625" style="1" bestFit="1" customWidth="1"/>
    <col min="8483" max="8483" width="10.7109375" style="1" bestFit="1" customWidth="1"/>
    <col min="8484" max="8705" width="9.140625" style="1"/>
    <col min="8706" max="8706" width="6.42578125" style="1" customWidth="1"/>
    <col min="8707" max="8707" width="20.7109375" style="1" customWidth="1"/>
    <col min="8708" max="8708" width="24.7109375" style="1" customWidth="1"/>
    <col min="8709" max="8709" width="11.140625" style="1" customWidth="1"/>
    <col min="8710" max="8710" width="12.28515625" style="1" customWidth="1"/>
    <col min="8711" max="8711" width="11.140625" style="1" customWidth="1"/>
    <col min="8712" max="8712" width="10.42578125" style="1" customWidth="1"/>
    <col min="8713" max="8713" width="4.7109375" style="1" customWidth="1"/>
    <col min="8714" max="8714" width="8.5703125" style="1" customWidth="1"/>
    <col min="8715" max="8715" width="5.5703125" style="1" customWidth="1"/>
    <col min="8716" max="8717" width="11.5703125" style="1" customWidth="1"/>
    <col min="8718" max="8718" width="10.85546875" style="1" customWidth="1"/>
    <col min="8719" max="8719" width="7.7109375" style="1" customWidth="1"/>
    <col min="8720" max="8720" width="8" style="1" customWidth="1"/>
    <col min="8721" max="8721" width="16.28515625" style="1" customWidth="1"/>
    <col min="8722" max="8722" width="10.5703125" style="1" customWidth="1"/>
    <col min="8723" max="8723" width="14.140625" style="1" customWidth="1"/>
    <col min="8724" max="8724" width="10.140625" style="1" customWidth="1"/>
    <col min="8725" max="8725" width="15.140625" style="1" customWidth="1"/>
    <col min="8726" max="8726" width="8.5703125" style="1" customWidth="1"/>
    <col min="8727" max="8727" width="14.28515625" style="1" customWidth="1"/>
    <col min="8728" max="8728" width="18.28515625" style="1" customWidth="1"/>
    <col min="8729" max="8729" width="13" style="1" bestFit="1" customWidth="1"/>
    <col min="8730" max="8730" width="11.7109375" style="1" bestFit="1" customWidth="1"/>
    <col min="8731" max="8737" width="9.140625" style="1"/>
    <col min="8738" max="8738" width="11.28515625" style="1" bestFit="1" customWidth="1"/>
    <col min="8739" max="8739" width="10.7109375" style="1" bestFit="1" customWidth="1"/>
    <col min="8740" max="8961" width="9.140625" style="1"/>
    <col min="8962" max="8962" width="6.42578125" style="1" customWidth="1"/>
    <col min="8963" max="8963" width="20.7109375" style="1" customWidth="1"/>
    <col min="8964" max="8964" width="24.7109375" style="1" customWidth="1"/>
    <col min="8965" max="8965" width="11.140625" style="1" customWidth="1"/>
    <col min="8966" max="8966" width="12.28515625" style="1" customWidth="1"/>
    <col min="8967" max="8967" width="11.140625" style="1" customWidth="1"/>
    <col min="8968" max="8968" width="10.42578125" style="1" customWidth="1"/>
    <col min="8969" max="8969" width="4.7109375" style="1" customWidth="1"/>
    <col min="8970" max="8970" width="8.5703125" style="1" customWidth="1"/>
    <col min="8971" max="8971" width="5.5703125" style="1" customWidth="1"/>
    <col min="8972" max="8973" width="11.5703125" style="1" customWidth="1"/>
    <col min="8974" max="8974" width="10.85546875" style="1" customWidth="1"/>
    <col min="8975" max="8975" width="7.7109375" style="1" customWidth="1"/>
    <col min="8976" max="8976" width="8" style="1" customWidth="1"/>
    <col min="8977" max="8977" width="16.28515625" style="1" customWidth="1"/>
    <col min="8978" max="8978" width="10.5703125" style="1" customWidth="1"/>
    <col min="8979" max="8979" width="14.140625" style="1" customWidth="1"/>
    <col min="8980" max="8980" width="10.140625" style="1" customWidth="1"/>
    <col min="8981" max="8981" width="15.140625" style="1" customWidth="1"/>
    <col min="8982" max="8982" width="8.5703125" style="1" customWidth="1"/>
    <col min="8983" max="8983" width="14.28515625" style="1" customWidth="1"/>
    <col min="8984" max="8984" width="18.28515625" style="1" customWidth="1"/>
    <col min="8985" max="8985" width="13" style="1" bestFit="1" customWidth="1"/>
    <col min="8986" max="8986" width="11.7109375" style="1" bestFit="1" customWidth="1"/>
    <col min="8987" max="8993" width="9.140625" style="1"/>
    <col min="8994" max="8994" width="11.28515625" style="1" bestFit="1" customWidth="1"/>
    <col min="8995" max="8995" width="10.7109375" style="1" bestFit="1" customWidth="1"/>
    <col min="8996" max="9217" width="9.140625" style="1"/>
    <col min="9218" max="9218" width="6.42578125" style="1" customWidth="1"/>
    <col min="9219" max="9219" width="20.7109375" style="1" customWidth="1"/>
    <col min="9220" max="9220" width="24.7109375" style="1" customWidth="1"/>
    <col min="9221" max="9221" width="11.140625" style="1" customWidth="1"/>
    <col min="9222" max="9222" width="12.28515625" style="1" customWidth="1"/>
    <col min="9223" max="9223" width="11.140625" style="1" customWidth="1"/>
    <col min="9224" max="9224" width="10.42578125" style="1" customWidth="1"/>
    <col min="9225" max="9225" width="4.7109375" style="1" customWidth="1"/>
    <col min="9226" max="9226" width="8.5703125" style="1" customWidth="1"/>
    <col min="9227" max="9227" width="5.5703125" style="1" customWidth="1"/>
    <col min="9228" max="9229" width="11.5703125" style="1" customWidth="1"/>
    <col min="9230" max="9230" width="10.85546875" style="1" customWidth="1"/>
    <col min="9231" max="9231" width="7.7109375" style="1" customWidth="1"/>
    <col min="9232" max="9232" width="8" style="1" customWidth="1"/>
    <col min="9233" max="9233" width="16.28515625" style="1" customWidth="1"/>
    <col min="9234" max="9234" width="10.5703125" style="1" customWidth="1"/>
    <col min="9235" max="9235" width="14.140625" style="1" customWidth="1"/>
    <col min="9236" max="9236" width="10.140625" style="1" customWidth="1"/>
    <col min="9237" max="9237" width="15.140625" style="1" customWidth="1"/>
    <col min="9238" max="9238" width="8.5703125" style="1" customWidth="1"/>
    <col min="9239" max="9239" width="14.28515625" style="1" customWidth="1"/>
    <col min="9240" max="9240" width="18.28515625" style="1" customWidth="1"/>
    <col min="9241" max="9241" width="13" style="1" bestFit="1" customWidth="1"/>
    <col min="9242" max="9242" width="11.7109375" style="1" bestFit="1" customWidth="1"/>
    <col min="9243" max="9249" width="9.140625" style="1"/>
    <col min="9250" max="9250" width="11.28515625" style="1" bestFit="1" customWidth="1"/>
    <col min="9251" max="9251" width="10.7109375" style="1" bestFit="1" customWidth="1"/>
    <col min="9252" max="9473" width="9.140625" style="1"/>
    <col min="9474" max="9474" width="6.42578125" style="1" customWidth="1"/>
    <col min="9475" max="9475" width="20.7109375" style="1" customWidth="1"/>
    <col min="9476" max="9476" width="24.7109375" style="1" customWidth="1"/>
    <col min="9477" max="9477" width="11.140625" style="1" customWidth="1"/>
    <col min="9478" max="9478" width="12.28515625" style="1" customWidth="1"/>
    <col min="9479" max="9479" width="11.140625" style="1" customWidth="1"/>
    <col min="9480" max="9480" width="10.42578125" style="1" customWidth="1"/>
    <col min="9481" max="9481" width="4.7109375" style="1" customWidth="1"/>
    <col min="9482" max="9482" width="8.5703125" style="1" customWidth="1"/>
    <col min="9483" max="9483" width="5.5703125" style="1" customWidth="1"/>
    <col min="9484" max="9485" width="11.5703125" style="1" customWidth="1"/>
    <col min="9486" max="9486" width="10.85546875" style="1" customWidth="1"/>
    <col min="9487" max="9487" width="7.7109375" style="1" customWidth="1"/>
    <col min="9488" max="9488" width="8" style="1" customWidth="1"/>
    <col min="9489" max="9489" width="16.28515625" style="1" customWidth="1"/>
    <col min="9490" max="9490" width="10.5703125" style="1" customWidth="1"/>
    <col min="9491" max="9491" width="14.140625" style="1" customWidth="1"/>
    <col min="9492" max="9492" width="10.140625" style="1" customWidth="1"/>
    <col min="9493" max="9493" width="15.140625" style="1" customWidth="1"/>
    <col min="9494" max="9494" width="8.5703125" style="1" customWidth="1"/>
    <col min="9495" max="9495" width="14.28515625" style="1" customWidth="1"/>
    <col min="9496" max="9496" width="18.28515625" style="1" customWidth="1"/>
    <col min="9497" max="9497" width="13" style="1" bestFit="1" customWidth="1"/>
    <col min="9498" max="9498" width="11.7109375" style="1" bestFit="1" customWidth="1"/>
    <col min="9499" max="9505" width="9.140625" style="1"/>
    <col min="9506" max="9506" width="11.28515625" style="1" bestFit="1" customWidth="1"/>
    <col min="9507" max="9507" width="10.7109375" style="1" bestFit="1" customWidth="1"/>
    <col min="9508" max="9729" width="9.140625" style="1"/>
    <col min="9730" max="9730" width="6.42578125" style="1" customWidth="1"/>
    <col min="9731" max="9731" width="20.7109375" style="1" customWidth="1"/>
    <col min="9732" max="9732" width="24.7109375" style="1" customWidth="1"/>
    <col min="9733" max="9733" width="11.140625" style="1" customWidth="1"/>
    <col min="9734" max="9734" width="12.28515625" style="1" customWidth="1"/>
    <col min="9735" max="9735" width="11.140625" style="1" customWidth="1"/>
    <col min="9736" max="9736" width="10.42578125" style="1" customWidth="1"/>
    <col min="9737" max="9737" width="4.7109375" style="1" customWidth="1"/>
    <col min="9738" max="9738" width="8.5703125" style="1" customWidth="1"/>
    <col min="9739" max="9739" width="5.5703125" style="1" customWidth="1"/>
    <col min="9740" max="9741" width="11.5703125" style="1" customWidth="1"/>
    <col min="9742" max="9742" width="10.85546875" style="1" customWidth="1"/>
    <col min="9743" max="9743" width="7.7109375" style="1" customWidth="1"/>
    <col min="9744" max="9744" width="8" style="1" customWidth="1"/>
    <col min="9745" max="9745" width="16.28515625" style="1" customWidth="1"/>
    <col min="9746" max="9746" width="10.5703125" style="1" customWidth="1"/>
    <col min="9747" max="9747" width="14.140625" style="1" customWidth="1"/>
    <col min="9748" max="9748" width="10.140625" style="1" customWidth="1"/>
    <col min="9749" max="9749" width="15.140625" style="1" customWidth="1"/>
    <col min="9750" max="9750" width="8.5703125" style="1" customWidth="1"/>
    <col min="9751" max="9751" width="14.28515625" style="1" customWidth="1"/>
    <col min="9752" max="9752" width="18.28515625" style="1" customWidth="1"/>
    <col min="9753" max="9753" width="13" style="1" bestFit="1" customWidth="1"/>
    <col min="9754" max="9754" width="11.7109375" style="1" bestFit="1" customWidth="1"/>
    <col min="9755" max="9761" width="9.140625" style="1"/>
    <col min="9762" max="9762" width="11.28515625" style="1" bestFit="1" customWidth="1"/>
    <col min="9763" max="9763" width="10.7109375" style="1" bestFit="1" customWidth="1"/>
    <col min="9764" max="9985" width="9.140625" style="1"/>
    <col min="9986" max="9986" width="6.42578125" style="1" customWidth="1"/>
    <col min="9987" max="9987" width="20.7109375" style="1" customWidth="1"/>
    <col min="9988" max="9988" width="24.7109375" style="1" customWidth="1"/>
    <col min="9989" max="9989" width="11.140625" style="1" customWidth="1"/>
    <col min="9990" max="9990" width="12.28515625" style="1" customWidth="1"/>
    <col min="9991" max="9991" width="11.140625" style="1" customWidth="1"/>
    <col min="9992" max="9992" width="10.42578125" style="1" customWidth="1"/>
    <col min="9993" max="9993" width="4.7109375" style="1" customWidth="1"/>
    <col min="9994" max="9994" width="8.5703125" style="1" customWidth="1"/>
    <col min="9995" max="9995" width="5.5703125" style="1" customWidth="1"/>
    <col min="9996" max="9997" width="11.5703125" style="1" customWidth="1"/>
    <col min="9998" max="9998" width="10.85546875" style="1" customWidth="1"/>
    <col min="9999" max="9999" width="7.7109375" style="1" customWidth="1"/>
    <col min="10000" max="10000" width="8" style="1" customWidth="1"/>
    <col min="10001" max="10001" width="16.28515625" style="1" customWidth="1"/>
    <col min="10002" max="10002" width="10.5703125" style="1" customWidth="1"/>
    <col min="10003" max="10003" width="14.140625" style="1" customWidth="1"/>
    <col min="10004" max="10004" width="10.140625" style="1" customWidth="1"/>
    <col min="10005" max="10005" width="15.140625" style="1" customWidth="1"/>
    <col min="10006" max="10006" width="8.5703125" style="1" customWidth="1"/>
    <col min="10007" max="10007" width="14.28515625" style="1" customWidth="1"/>
    <col min="10008" max="10008" width="18.28515625" style="1" customWidth="1"/>
    <col min="10009" max="10009" width="13" style="1" bestFit="1" customWidth="1"/>
    <col min="10010" max="10010" width="11.7109375" style="1" bestFit="1" customWidth="1"/>
    <col min="10011" max="10017" width="9.140625" style="1"/>
    <col min="10018" max="10018" width="11.28515625" style="1" bestFit="1" customWidth="1"/>
    <col min="10019" max="10019" width="10.7109375" style="1" bestFit="1" customWidth="1"/>
    <col min="10020" max="10241" width="9.140625" style="1"/>
    <col min="10242" max="10242" width="6.42578125" style="1" customWidth="1"/>
    <col min="10243" max="10243" width="20.7109375" style="1" customWidth="1"/>
    <col min="10244" max="10244" width="24.7109375" style="1" customWidth="1"/>
    <col min="10245" max="10245" width="11.140625" style="1" customWidth="1"/>
    <col min="10246" max="10246" width="12.28515625" style="1" customWidth="1"/>
    <col min="10247" max="10247" width="11.140625" style="1" customWidth="1"/>
    <col min="10248" max="10248" width="10.42578125" style="1" customWidth="1"/>
    <col min="10249" max="10249" width="4.7109375" style="1" customWidth="1"/>
    <col min="10250" max="10250" width="8.5703125" style="1" customWidth="1"/>
    <col min="10251" max="10251" width="5.5703125" style="1" customWidth="1"/>
    <col min="10252" max="10253" width="11.5703125" style="1" customWidth="1"/>
    <col min="10254" max="10254" width="10.85546875" style="1" customWidth="1"/>
    <col min="10255" max="10255" width="7.7109375" style="1" customWidth="1"/>
    <col min="10256" max="10256" width="8" style="1" customWidth="1"/>
    <col min="10257" max="10257" width="16.28515625" style="1" customWidth="1"/>
    <col min="10258" max="10258" width="10.5703125" style="1" customWidth="1"/>
    <col min="10259" max="10259" width="14.140625" style="1" customWidth="1"/>
    <col min="10260" max="10260" width="10.140625" style="1" customWidth="1"/>
    <col min="10261" max="10261" width="15.140625" style="1" customWidth="1"/>
    <col min="10262" max="10262" width="8.5703125" style="1" customWidth="1"/>
    <col min="10263" max="10263" width="14.28515625" style="1" customWidth="1"/>
    <col min="10264" max="10264" width="18.28515625" style="1" customWidth="1"/>
    <col min="10265" max="10265" width="13" style="1" bestFit="1" customWidth="1"/>
    <col min="10266" max="10266" width="11.7109375" style="1" bestFit="1" customWidth="1"/>
    <col min="10267" max="10273" width="9.140625" style="1"/>
    <col min="10274" max="10274" width="11.28515625" style="1" bestFit="1" customWidth="1"/>
    <col min="10275" max="10275" width="10.7109375" style="1" bestFit="1" customWidth="1"/>
    <col min="10276" max="10497" width="9.140625" style="1"/>
    <col min="10498" max="10498" width="6.42578125" style="1" customWidth="1"/>
    <col min="10499" max="10499" width="20.7109375" style="1" customWidth="1"/>
    <col min="10500" max="10500" width="24.7109375" style="1" customWidth="1"/>
    <col min="10501" max="10501" width="11.140625" style="1" customWidth="1"/>
    <col min="10502" max="10502" width="12.28515625" style="1" customWidth="1"/>
    <col min="10503" max="10503" width="11.140625" style="1" customWidth="1"/>
    <col min="10504" max="10504" width="10.42578125" style="1" customWidth="1"/>
    <col min="10505" max="10505" width="4.7109375" style="1" customWidth="1"/>
    <col min="10506" max="10506" width="8.5703125" style="1" customWidth="1"/>
    <col min="10507" max="10507" width="5.5703125" style="1" customWidth="1"/>
    <col min="10508" max="10509" width="11.5703125" style="1" customWidth="1"/>
    <col min="10510" max="10510" width="10.85546875" style="1" customWidth="1"/>
    <col min="10511" max="10511" width="7.7109375" style="1" customWidth="1"/>
    <col min="10512" max="10512" width="8" style="1" customWidth="1"/>
    <col min="10513" max="10513" width="16.28515625" style="1" customWidth="1"/>
    <col min="10514" max="10514" width="10.5703125" style="1" customWidth="1"/>
    <col min="10515" max="10515" width="14.140625" style="1" customWidth="1"/>
    <col min="10516" max="10516" width="10.140625" style="1" customWidth="1"/>
    <col min="10517" max="10517" width="15.140625" style="1" customWidth="1"/>
    <col min="10518" max="10518" width="8.5703125" style="1" customWidth="1"/>
    <col min="10519" max="10519" width="14.28515625" style="1" customWidth="1"/>
    <col min="10520" max="10520" width="18.28515625" style="1" customWidth="1"/>
    <col min="10521" max="10521" width="13" style="1" bestFit="1" customWidth="1"/>
    <col min="10522" max="10522" width="11.7109375" style="1" bestFit="1" customWidth="1"/>
    <col min="10523" max="10529" width="9.140625" style="1"/>
    <col min="10530" max="10530" width="11.28515625" style="1" bestFit="1" customWidth="1"/>
    <col min="10531" max="10531" width="10.7109375" style="1" bestFit="1" customWidth="1"/>
    <col min="10532" max="10753" width="9.140625" style="1"/>
    <col min="10754" max="10754" width="6.42578125" style="1" customWidth="1"/>
    <col min="10755" max="10755" width="20.7109375" style="1" customWidth="1"/>
    <col min="10756" max="10756" width="24.7109375" style="1" customWidth="1"/>
    <col min="10757" max="10757" width="11.140625" style="1" customWidth="1"/>
    <col min="10758" max="10758" width="12.28515625" style="1" customWidth="1"/>
    <col min="10759" max="10759" width="11.140625" style="1" customWidth="1"/>
    <col min="10760" max="10760" width="10.42578125" style="1" customWidth="1"/>
    <col min="10761" max="10761" width="4.7109375" style="1" customWidth="1"/>
    <col min="10762" max="10762" width="8.5703125" style="1" customWidth="1"/>
    <col min="10763" max="10763" width="5.5703125" style="1" customWidth="1"/>
    <col min="10764" max="10765" width="11.5703125" style="1" customWidth="1"/>
    <col min="10766" max="10766" width="10.85546875" style="1" customWidth="1"/>
    <col min="10767" max="10767" width="7.7109375" style="1" customWidth="1"/>
    <col min="10768" max="10768" width="8" style="1" customWidth="1"/>
    <col min="10769" max="10769" width="16.28515625" style="1" customWidth="1"/>
    <col min="10770" max="10770" width="10.5703125" style="1" customWidth="1"/>
    <col min="10771" max="10771" width="14.140625" style="1" customWidth="1"/>
    <col min="10772" max="10772" width="10.140625" style="1" customWidth="1"/>
    <col min="10773" max="10773" width="15.140625" style="1" customWidth="1"/>
    <col min="10774" max="10774" width="8.5703125" style="1" customWidth="1"/>
    <col min="10775" max="10775" width="14.28515625" style="1" customWidth="1"/>
    <col min="10776" max="10776" width="18.28515625" style="1" customWidth="1"/>
    <col min="10777" max="10777" width="13" style="1" bestFit="1" customWidth="1"/>
    <col min="10778" max="10778" width="11.7109375" style="1" bestFit="1" customWidth="1"/>
    <col min="10779" max="10785" width="9.140625" style="1"/>
    <col min="10786" max="10786" width="11.28515625" style="1" bestFit="1" customWidth="1"/>
    <col min="10787" max="10787" width="10.7109375" style="1" bestFit="1" customWidth="1"/>
    <col min="10788" max="11009" width="9.140625" style="1"/>
    <col min="11010" max="11010" width="6.42578125" style="1" customWidth="1"/>
    <col min="11011" max="11011" width="20.7109375" style="1" customWidth="1"/>
    <col min="11012" max="11012" width="24.7109375" style="1" customWidth="1"/>
    <col min="11013" max="11013" width="11.140625" style="1" customWidth="1"/>
    <col min="11014" max="11014" width="12.28515625" style="1" customWidth="1"/>
    <col min="11015" max="11015" width="11.140625" style="1" customWidth="1"/>
    <col min="11016" max="11016" width="10.42578125" style="1" customWidth="1"/>
    <col min="11017" max="11017" width="4.7109375" style="1" customWidth="1"/>
    <col min="11018" max="11018" width="8.5703125" style="1" customWidth="1"/>
    <col min="11019" max="11019" width="5.5703125" style="1" customWidth="1"/>
    <col min="11020" max="11021" width="11.5703125" style="1" customWidth="1"/>
    <col min="11022" max="11022" width="10.85546875" style="1" customWidth="1"/>
    <col min="11023" max="11023" width="7.7109375" style="1" customWidth="1"/>
    <col min="11024" max="11024" width="8" style="1" customWidth="1"/>
    <col min="11025" max="11025" width="16.28515625" style="1" customWidth="1"/>
    <col min="11026" max="11026" width="10.5703125" style="1" customWidth="1"/>
    <col min="11027" max="11027" width="14.140625" style="1" customWidth="1"/>
    <col min="11028" max="11028" width="10.140625" style="1" customWidth="1"/>
    <col min="11029" max="11029" width="15.140625" style="1" customWidth="1"/>
    <col min="11030" max="11030" width="8.5703125" style="1" customWidth="1"/>
    <col min="11031" max="11031" width="14.28515625" style="1" customWidth="1"/>
    <col min="11032" max="11032" width="18.28515625" style="1" customWidth="1"/>
    <col min="11033" max="11033" width="13" style="1" bestFit="1" customWidth="1"/>
    <col min="11034" max="11034" width="11.7109375" style="1" bestFit="1" customWidth="1"/>
    <col min="11035" max="11041" width="9.140625" style="1"/>
    <col min="11042" max="11042" width="11.28515625" style="1" bestFit="1" customWidth="1"/>
    <col min="11043" max="11043" width="10.7109375" style="1" bestFit="1" customWidth="1"/>
    <col min="11044" max="11265" width="9.140625" style="1"/>
    <col min="11266" max="11266" width="6.42578125" style="1" customWidth="1"/>
    <col min="11267" max="11267" width="20.7109375" style="1" customWidth="1"/>
    <col min="11268" max="11268" width="24.7109375" style="1" customWidth="1"/>
    <col min="11269" max="11269" width="11.140625" style="1" customWidth="1"/>
    <col min="11270" max="11270" width="12.28515625" style="1" customWidth="1"/>
    <col min="11271" max="11271" width="11.140625" style="1" customWidth="1"/>
    <col min="11272" max="11272" width="10.42578125" style="1" customWidth="1"/>
    <col min="11273" max="11273" width="4.7109375" style="1" customWidth="1"/>
    <col min="11274" max="11274" width="8.5703125" style="1" customWidth="1"/>
    <col min="11275" max="11275" width="5.5703125" style="1" customWidth="1"/>
    <col min="11276" max="11277" width="11.5703125" style="1" customWidth="1"/>
    <col min="11278" max="11278" width="10.85546875" style="1" customWidth="1"/>
    <col min="11279" max="11279" width="7.7109375" style="1" customWidth="1"/>
    <col min="11280" max="11280" width="8" style="1" customWidth="1"/>
    <col min="11281" max="11281" width="16.28515625" style="1" customWidth="1"/>
    <col min="11282" max="11282" width="10.5703125" style="1" customWidth="1"/>
    <col min="11283" max="11283" width="14.140625" style="1" customWidth="1"/>
    <col min="11284" max="11284" width="10.140625" style="1" customWidth="1"/>
    <col min="11285" max="11285" width="15.140625" style="1" customWidth="1"/>
    <col min="11286" max="11286" width="8.5703125" style="1" customWidth="1"/>
    <col min="11287" max="11287" width="14.28515625" style="1" customWidth="1"/>
    <col min="11288" max="11288" width="18.28515625" style="1" customWidth="1"/>
    <col min="11289" max="11289" width="13" style="1" bestFit="1" customWidth="1"/>
    <col min="11290" max="11290" width="11.7109375" style="1" bestFit="1" customWidth="1"/>
    <col min="11291" max="11297" width="9.140625" style="1"/>
    <col min="11298" max="11298" width="11.28515625" style="1" bestFit="1" customWidth="1"/>
    <col min="11299" max="11299" width="10.7109375" style="1" bestFit="1" customWidth="1"/>
    <col min="11300" max="11521" width="9.140625" style="1"/>
    <col min="11522" max="11522" width="6.42578125" style="1" customWidth="1"/>
    <col min="11523" max="11523" width="20.7109375" style="1" customWidth="1"/>
    <col min="11524" max="11524" width="24.7109375" style="1" customWidth="1"/>
    <col min="11525" max="11525" width="11.140625" style="1" customWidth="1"/>
    <col min="11526" max="11526" width="12.28515625" style="1" customWidth="1"/>
    <col min="11527" max="11527" width="11.140625" style="1" customWidth="1"/>
    <col min="11528" max="11528" width="10.42578125" style="1" customWidth="1"/>
    <col min="11529" max="11529" width="4.7109375" style="1" customWidth="1"/>
    <col min="11530" max="11530" width="8.5703125" style="1" customWidth="1"/>
    <col min="11531" max="11531" width="5.5703125" style="1" customWidth="1"/>
    <col min="11532" max="11533" width="11.5703125" style="1" customWidth="1"/>
    <col min="11534" max="11534" width="10.85546875" style="1" customWidth="1"/>
    <col min="11535" max="11535" width="7.7109375" style="1" customWidth="1"/>
    <col min="11536" max="11536" width="8" style="1" customWidth="1"/>
    <col min="11537" max="11537" width="16.28515625" style="1" customWidth="1"/>
    <col min="11538" max="11538" width="10.5703125" style="1" customWidth="1"/>
    <col min="11539" max="11539" width="14.140625" style="1" customWidth="1"/>
    <col min="11540" max="11540" width="10.140625" style="1" customWidth="1"/>
    <col min="11541" max="11541" width="15.140625" style="1" customWidth="1"/>
    <col min="11542" max="11542" width="8.5703125" style="1" customWidth="1"/>
    <col min="11543" max="11543" width="14.28515625" style="1" customWidth="1"/>
    <col min="11544" max="11544" width="18.28515625" style="1" customWidth="1"/>
    <col min="11545" max="11545" width="13" style="1" bestFit="1" customWidth="1"/>
    <col min="11546" max="11546" width="11.7109375" style="1" bestFit="1" customWidth="1"/>
    <col min="11547" max="11553" width="9.140625" style="1"/>
    <col min="11554" max="11554" width="11.28515625" style="1" bestFit="1" customWidth="1"/>
    <col min="11555" max="11555" width="10.7109375" style="1" bestFit="1" customWidth="1"/>
    <col min="11556" max="11777" width="9.140625" style="1"/>
    <col min="11778" max="11778" width="6.42578125" style="1" customWidth="1"/>
    <col min="11779" max="11779" width="20.7109375" style="1" customWidth="1"/>
    <col min="11780" max="11780" width="24.7109375" style="1" customWidth="1"/>
    <col min="11781" max="11781" width="11.140625" style="1" customWidth="1"/>
    <col min="11782" max="11782" width="12.28515625" style="1" customWidth="1"/>
    <col min="11783" max="11783" width="11.140625" style="1" customWidth="1"/>
    <col min="11784" max="11784" width="10.42578125" style="1" customWidth="1"/>
    <col min="11785" max="11785" width="4.7109375" style="1" customWidth="1"/>
    <col min="11786" max="11786" width="8.5703125" style="1" customWidth="1"/>
    <col min="11787" max="11787" width="5.5703125" style="1" customWidth="1"/>
    <col min="11788" max="11789" width="11.5703125" style="1" customWidth="1"/>
    <col min="11790" max="11790" width="10.85546875" style="1" customWidth="1"/>
    <col min="11791" max="11791" width="7.7109375" style="1" customWidth="1"/>
    <col min="11792" max="11792" width="8" style="1" customWidth="1"/>
    <col min="11793" max="11793" width="16.28515625" style="1" customWidth="1"/>
    <col min="11794" max="11794" width="10.5703125" style="1" customWidth="1"/>
    <col min="11795" max="11795" width="14.140625" style="1" customWidth="1"/>
    <col min="11796" max="11796" width="10.140625" style="1" customWidth="1"/>
    <col min="11797" max="11797" width="15.140625" style="1" customWidth="1"/>
    <col min="11798" max="11798" width="8.5703125" style="1" customWidth="1"/>
    <col min="11799" max="11799" width="14.28515625" style="1" customWidth="1"/>
    <col min="11800" max="11800" width="18.28515625" style="1" customWidth="1"/>
    <col min="11801" max="11801" width="13" style="1" bestFit="1" customWidth="1"/>
    <col min="11802" max="11802" width="11.7109375" style="1" bestFit="1" customWidth="1"/>
    <col min="11803" max="11809" width="9.140625" style="1"/>
    <col min="11810" max="11810" width="11.28515625" style="1" bestFit="1" customWidth="1"/>
    <col min="11811" max="11811" width="10.7109375" style="1" bestFit="1" customWidth="1"/>
    <col min="11812" max="12033" width="9.140625" style="1"/>
    <col min="12034" max="12034" width="6.42578125" style="1" customWidth="1"/>
    <col min="12035" max="12035" width="20.7109375" style="1" customWidth="1"/>
    <col min="12036" max="12036" width="24.7109375" style="1" customWidth="1"/>
    <col min="12037" max="12037" width="11.140625" style="1" customWidth="1"/>
    <col min="12038" max="12038" width="12.28515625" style="1" customWidth="1"/>
    <col min="12039" max="12039" width="11.140625" style="1" customWidth="1"/>
    <col min="12040" max="12040" width="10.42578125" style="1" customWidth="1"/>
    <col min="12041" max="12041" width="4.7109375" style="1" customWidth="1"/>
    <col min="12042" max="12042" width="8.5703125" style="1" customWidth="1"/>
    <col min="12043" max="12043" width="5.5703125" style="1" customWidth="1"/>
    <col min="12044" max="12045" width="11.5703125" style="1" customWidth="1"/>
    <col min="12046" max="12046" width="10.85546875" style="1" customWidth="1"/>
    <col min="12047" max="12047" width="7.7109375" style="1" customWidth="1"/>
    <col min="12048" max="12048" width="8" style="1" customWidth="1"/>
    <col min="12049" max="12049" width="16.28515625" style="1" customWidth="1"/>
    <col min="12050" max="12050" width="10.5703125" style="1" customWidth="1"/>
    <col min="12051" max="12051" width="14.140625" style="1" customWidth="1"/>
    <col min="12052" max="12052" width="10.140625" style="1" customWidth="1"/>
    <col min="12053" max="12053" width="15.140625" style="1" customWidth="1"/>
    <col min="12054" max="12054" width="8.5703125" style="1" customWidth="1"/>
    <col min="12055" max="12055" width="14.28515625" style="1" customWidth="1"/>
    <col min="12056" max="12056" width="18.28515625" style="1" customWidth="1"/>
    <col min="12057" max="12057" width="13" style="1" bestFit="1" customWidth="1"/>
    <col min="12058" max="12058" width="11.7109375" style="1" bestFit="1" customWidth="1"/>
    <col min="12059" max="12065" width="9.140625" style="1"/>
    <col min="12066" max="12066" width="11.28515625" style="1" bestFit="1" customWidth="1"/>
    <col min="12067" max="12067" width="10.7109375" style="1" bestFit="1" customWidth="1"/>
    <col min="12068" max="12289" width="9.140625" style="1"/>
    <col min="12290" max="12290" width="6.42578125" style="1" customWidth="1"/>
    <col min="12291" max="12291" width="20.7109375" style="1" customWidth="1"/>
    <col min="12292" max="12292" width="24.7109375" style="1" customWidth="1"/>
    <col min="12293" max="12293" width="11.140625" style="1" customWidth="1"/>
    <col min="12294" max="12294" width="12.28515625" style="1" customWidth="1"/>
    <col min="12295" max="12295" width="11.140625" style="1" customWidth="1"/>
    <col min="12296" max="12296" width="10.42578125" style="1" customWidth="1"/>
    <col min="12297" max="12297" width="4.7109375" style="1" customWidth="1"/>
    <col min="12298" max="12298" width="8.5703125" style="1" customWidth="1"/>
    <col min="12299" max="12299" width="5.5703125" style="1" customWidth="1"/>
    <col min="12300" max="12301" width="11.5703125" style="1" customWidth="1"/>
    <col min="12302" max="12302" width="10.85546875" style="1" customWidth="1"/>
    <col min="12303" max="12303" width="7.7109375" style="1" customWidth="1"/>
    <col min="12304" max="12304" width="8" style="1" customWidth="1"/>
    <col min="12305" max="12305" width="16.28515625" style="1" customWidth="1"/>
    <col min="12306" max="12306" width="10.5703125" style="1" customWidth="1"/>
    <col min="12307" max="12307" width="14.140625" style="1" customWidth="1"/>
    <col min="12308" max="12308" width="10.140625" style="1" customWidth="1"/>
    <col min="12309" max="12309" width="15.140625" style="1" customWidth="1"/>
    <col min="12310" max="12310" width="8.5703125" style="1" customWidth="1"/>
    <col min="12311" max="12311" width="14.28515625" style="1" customWidth="1"/>
    <col min="12312" max="12312" width="18.28515625" style="1" customWidth="1"/>
    <col min="12313" max="12313" width="13" style="1" bestFit="1" customWidth="1"/>
    <col min="12314" max="12314" width="11.7109375" style="1" bestFit="1" customWidth="1"/>
    <col min="12315" max="12321" width="9.140625" style="1"/>
    <col min="12322" max="12322" width="11.28515625" style="1" bestFit="1" customWidth="1"/>
    <col min="12323" max="12323" width="10.7109375" style="1" bestFit="1" customWidth="1"/>
    <col min="12324" max="12545" width="9.140625" style="1"/>
    <col min="12546" max="12546" width="6.42578125" style="1" customWidth="1"/>
    <col min="12547" max="12547" width="20.7109375" style="1" customWidth="1"/>
    <col min="12548" max="12548" width="24.7109375" style="1" customWidth="1"/>
    <col min="12549" max="12549" width="11.140625" style="1" customWidth="1"/>
    <col min="12550" max="12550" width="12.28515625" style="1" customWidth="1"/>
    <col min="12551" max="12551" width="11.140625" style="1" customWidth="1"/>
    <col min="12552" max="12552" width="10.42578125" style="1" customWidth="1"/>
    <col min="12553" max="12553" width="4.7109375" style="1" customWidth="1"/>
    <col min="12554" max="12554" width="8.5703125" style="1" customWidth="1"/>
    <col min="12555" max="12555" width="5.5703125" style="1" customWidth="1"/>
    <col min="12556" max="12557" width="11.5703125" style="1" customWidth="1"/>
    <col min="12558" max="12558" width="10.85546875" style="1" customWidth="1"/>
    <col min="12559" max="12559" width="7.7109375" style="1" customWidth="1"/>
    <col min="12560" max="12560" width="8" style="1" customWidth="1"/>
    <col min="12561" max="12561" width="16.28515625" style="1" customWidth="1"/>
    <col min="12562" max="12562" width="10.5703125" style="1" customWidth="1"/>
    <col min="12563" max="12563" width="14.140625" style="1" customWidth="1"/>
    <col min="12564" max="12564" width="10.140625" style="1" customWidth="1"/>
    <col min="12565" max="12565" width="15.140625" style="1" customWidth="1"/>
    <col min="12566" max="12566" width="8.5703125" style="1" customWidth="1"/>
    <col min="12567" max="12567" width="14.28515625" style="1" customWidth="1"/>
    <col min="12568" max="12568" width="18.28515625" style="1" customWidth="1"/>
    <col min="12569" max="12569" width="13" style="1" bestFit="1" customWidth="1"/>
    <col min="12570" max="12570" width="11.7109375" style="1" bestFit="1" customWidth="1"/>
    <col min="12571" max="12577" width="9.140625" style="1"/>
    <col min="12578" max="12578" width="11.28515625" style="1" bestFit="1" customWidth="1"/>
    <col min="12579" max="12579" width="10.7109375" style="1" bestFit="1" customWidth="1"/>
    <col min="12580" max="12801" width="9.140625" style="1"/>
    <col min="12802" max="12802" width="6.42578125" style="1" customWidth="1"/>
    <col min="12803" max="12803" width="20.7109375" style="1" customWidth="1"/>
    <col min="12804" max="12804" width="24.7109375" style="1" customWidth="1"/>
    <col min="12805" max="12805" width="11.140625" style="1" customWidth="1"/>
    <col min="12806" max="12806" width="12.28515625" style="1" customWidth="1"/>
    <col min="12807" max="12807" width="11.140625" style="1" customWidth="1"/>
    <col min="12808" max="12808" width="10.42578125" style="1" customWidth="1"/>
    <col min="12809" max="12809" width="4.7109375" style="1" customWidth="1"/>
    <col min="12810" max="12810" width="8.5703125" style="1" customWidth="1"/>
    <col min="12811" max="12811" width="5.5703125" style="1" customWidth="1"/>
    <col min="12812" max="12813" width="11.5703125" style="1" customWidth="1"/>
    <col min="12814" max="12814" width="10.85546875" style="1" customWidth="1"/>
    <col min="12815" max="12815" width="7.7109375" style="1" customWidth="1"/>
    <col min="12816" max="12816" width="8" style="1" customWidth="1"/>
    <col min="12817" max="12817" width="16.28515625" style="1" customWidth="1"/>
    <col min="12818" max="12818" width="10.5703125" style="1" customWidth="1"/>
    <col min="12819" max="12819" width="14.140625" style="1" customWidth="1"/>
    <col min="12820" max="12820" width="10.140625" style="1" customWidth="1"/>
    <col min="12821" max="12821" width="15.140625" style="1" customWidth="1"/>
    <col min="12822" max="12822" width="8.5703125" style="1" customWidth="1"/>
    <col min="12823" max="12823" width="14.28515625" style="1" customWidth="1"/>
    <col min="12824" max="12824" width="18.28515625" style="1" customWidth="1"/>
    <col min="12825" max="12825" width="13" style="1" bestFit="1" customWidth="1"/>
    <col min="12826" max="12826" width="11.7109375" style="1" bestFit="1" customWidth="1"/>
    <col min="12827" max="12833" width="9.140625" style="1"/>
    <col min="12834" max="12834" width="11.28515625" style="1" bestFit="1" customWidth="1"/>
    <col min="12835" max="12835" width="10.7109375" style="1" bestFit="1" customWidth="1"/>
    <col min="12836" max="13057" width="9.140625" style="1"/>
    <col min="13058" max="13058" width="6.42578125" style="1" customWidth="1"/>
    <col min="13059" max="13059" width="20.7109375" style="1" customWidth="1"/>
    <col min="13060" max="13060" width="24.7109375" style="1" customWidth="1"/>
    <col min="13061" max="13061" width="11.140625" style="1" customWidth="1"/>
    <col min="13062" max="13062" width="12.28515625" style="1" customWidth="1"/>
    <col min="13063" max="13063" width="11.140625" style="1" customWidth="1"/>
    <col min="13064" max="13064" width="10.42578125" style="1" customWidth="1"/>
    <col min="13065" max="13065" width="4.7109375" style="1" customWidth="1"/>
    <col min="13066" max="13066" width="8.5703125" style="1" customWidth="1"/>
    <col min="13067" max="13067" width="5.5703125" style="1" customWidth="1"/>
    <col min="13068" max="13069" width="11.5703125" style="1" customWidth="1"/>
    <col min="13070" max="13070" width="10.85546875" style="1" customWidth="1"/>
    <col min="13071" max="13071" width="7.7109375" style="1" customWidth="1"/>
    <col min="13072" max="13072" width="8" style="1" customWidth="1"/>
    <col min="13073" max="13073" width="16.28515625" style="1" customWidth="1"/>
    <col min="13074" max="13074" width="10.5703125" style="1" customWidth="1"/>
    <col min="13075" max="13075" width="14.140625" style="1" customWidth="1"/>
    <col min="13076" max="13076" width="10.140625" style="1" customWidth="1"/>
    <col min="13077" max="13077" width="15.140625" style="1" customWidth="1"/>
    <col min="13078" max="13078" width="8.5703125" style="1" customWidth="1"/>
    <col min="13079" max="13079" width="14.28515625" style="1" customWidth="1"/>
    <col min="13080" max="13080" width="18.28515625" style="1" customWidth="1"/>
    <col min="13081" max="13081" width="13" style="1" bestFit="1" customWidth="1"/>
    <col min="13082" max="13082" width="11.7109375" style="1" bestFit="1" customWidth="1"/>
    <col min="13083" max="13089" width="9.140625" style="1"/>
    <col min="13090" max="13090" width="11.28515625" style="1" bestFit="1" customWidth="1"/>
    <col min="13091" max="13091" width="10.7109375" style="1" bestFit="1" customWidth="1"/>
    <col min="13092" max="13313" width="9.140625" style="1"/>
    <col min="13314" max="13314" width="6.42578125" style="1" customWidth="1"/>
    <col min="13315" max="13315" width="20.7109375" style="1" customWidth="1"/>
    <col min="13316" max="13316" width="24.7109375" style="1" customWidth="1"/>
    <col min="13317" max="13317" width="11.140625" style="1" customWidth="1"/>
    <col min="13318" max="13318" width="12.28515625" style="1" customWidth="1"/>
    <col min="13319" max="13319" width="11.140625" style="1" customWidth="1"/>
    <col min="13320" max="13320" width="10.42578125" style="1" customWidth="1"/>
    <col min="13321" max="13321" width="4.7109375" style="1" customWidth="1"/>
    <col min="13322" max="13322" width="8.5703125" style="1" customWidth="1"/>
    <col min="13323" max="13323" width="5.5703125" style="1" customWidth="1"/>
    <col min="13324" max="13325" width="11.5703125" style="1" customWidth="1"/>
    <col min="13326" max="13326" width="10.85546875" style="1" customWidth="1"/>
    <col min="13327" max="13327" width="7.7109375" style="1" customWidth="1"/>
    <col min="13328" max="13328" width="8" style="1" customWidth="1"/>
    <col min="13329" max="13329" width="16.28515625" style="1" customWidth="1"/>
    <col min="13330" max="13330" width="10.5703125" style="1" customWidth="1"/>
    <col min="13331" max="13331" width="14.140625" style="1" customWidth="1"/>
    <col min="13332" max="13332" width="10.140625" style="1" customWidth="1"/>
    <col min="13333" max="13333" width="15.140625" style="1" customWidth="1"/>
    <col min="13334" max="13334" width="8.5703125" style="1" customWidth="1"/>
    <col min="13335" max="13335" width="14.28515625" style="1" customWidth="1"/>
    <col min="13336" max="13336" width="18.28515625" style="1" customWidth="1"/>
    <col min="13337" max="13337" width="13" style="1" bestFit="1" customWidth="1"/>
    <col min="13338" max="13338" width="11.7109375" style="1" bestFit="1" customWidth="1"/>
    <col min="13339" max="13345" width="9.140625" style="1"/>
    <col min="13346" max="13346" width="11.28515625" style="1" bestFit="1" customWidth="1"/>
    <col min="13347" max="13347" width="10.7109375" style="1" bestFit="1" customWidth="1"/>
    <col min="13348" max="13569" width="9.140625" style="1"/>
    <col min="13570" max="13570" width="6.42578125" style="1" customWidth="1"/>
    <col min="13571" max="13571" width="20.7109375" style="1" customWidth="1"/>
    <col min="13572" max="13572" width="24.7109375" style="1" customWidth="1"/>
    <col min="13573" max="13573" width="11.140625" style="1" customWidth="1"/>
    <col min="13574" max="13574" width="12.28515625" style="1" customWidth="1"/>
    <col min="13575" max="13575" width="11.140625" style="1" customWidth="1"/>
    <col min="13576" max="13576" width="10.42578125" style="1" customWidth="1"/>
    <col min="13577" max="13577" width="4.7109375" style="1" customWidth="1"/>
    <col min="13578" max="13578" width="8.5703125" style="1" customWidth="1"/>
    <col min="13579" max="13579" width="5.5703125" style="1" customWidth="1"/>
    <col min="13580" max="13581" width="11.5703125" style="1" customWidth="1"/>
    <col min="13582" max="13582" width="10.85546875" style="1" customWidth="1"/>
    <col min="13583" max="13583" width="7.7109375" style="1" customWidth="1"/>
    <col min="13584" max="13584" width="8" style="1" customWidth="1"/>
    <col min="13585" max="13585" width="16.28515625" style="1" customWidth="1"/>
    <col min="13586" max="13586" width="10.5703125" style="1" customWidth="1"/>
    <col min="13587" max="13587" width="14.140625" style="1" customWidth="1"/>
    <col min="13588" max="13588" width="10.140625" style="1" customWidth="1"/>
    <col min="13589" max="13589" width="15.140625" style="1" customWidth="1"/>
    <col min="13590" max="13590" width="8.5703125" style="1" customWidth="1"/>
    <col min="13591" max="13591" width="14.28515625" style="1" customWidth="1"/>
    <col min="13592" max="13592" width="18.28515625" style="1" customWidth="1"/>
    <col min="13593" max="13593" width="13" style="1" bestFit="1" customWidth="1"/>
    <col min="13594" max="13594" width="11.7109375" style="1" bestFit="1" customWidth="1"/>
    <col min="13595" max="13601" width="9.140625" style="1"/>
    <col min="13602" max="13602" width="11.28515625" style="1" bestFit="1" customWidth="1"/>
    <col min="13603" max="13603" width="10.7109375" style="1" bestFit="1" customWidth="1"/>
    <col min="13604" max="13825" width="9.140625" style="1"/>
    <col min="13826" max="13826" width="6.42578125" style="1" customWidth="1"/>
    <col min="13827" max="13827" width="20.7109375" style="1" customWidth="1"/>
    <col min="13828" max="13828" width="24.7109375" style="1" customWidth="1"/>
    <col min="13829" max="13829" width="11.140625" style="1" customWidth="1"/>
    <col min="13830" max="13830" width="12.28515625" style="1" customWidth="1"/>
    <col min="13831" max="13831" width="11.140625" style="1" customWidth="1"/>
    <col min="13832" max="13832" width="10.42578125" style="1" customWidth="1"/>
    <col min="13833" max="13833" width="4.7109375" style="1" customWidth="1"/>
    <col min="13834" max="13834" width="8.5703125" style="1" customWidth="1"/>
    <col min="13835" max="13835" width="5.5703125" style="1" customWidth="1"/>
    <col min="13836" max="13837" width="11.5703125" style="1" customWidth="1"/>
    <col min="13838" max="13838" width="10.85546875" style="1" customWidth="1"/>
    <col min="13839" max="13839" width="7.7109375" style="1" customWidth="1"/>
    <col min="13840" max="13840" width="8" style="1" customWidth="1"/>
    <col min="13841" max="13841" width="16.28515625" style="1" customWidth="1"/>
    <col min="13842" max="13842" width="10.5703125" style="1" customWidth="1"/>
    <col min="13843" max="13843" width="14.140625" style="1" customWidth="1"/>
    <col min="13844" max="13844" width="10.140625" style="1" customWidth="1"/>
    <col min="13845" max="13845" width="15.140625" style="1" customWidth="1"/>
    <col min="13846" max="13846" width="8.5703125" style="1" customWidth="1"/>
    <col min="13847" max="13847" width="14.28515625" style="1" customWidth="1"/>
    <col min="13848" max="13848" width="18.28515625" style="1" customWidth="1"/>
    <col min="13849" max="13849" width="13" style="1" bestFit="1" customWidth="1"/>
    <col min="13850" max="13850" width="11.7109375" style="1" bestFit="1" customWidth="1"/>
    <col min="13851" max="13857" width="9.140625" style="1"/>
    <col min="13858" max="13858" width="11.28515625" style="1" bestFit="1" customWidth="1"/>
    <col min="13859" max="13859" width="10.7109375" style="1" bestFit="1" customWidth="1"/>
    <col min="13860" max="14081" width="9.140625" style="1"/>
    <col min="14082" max="14082" width="6.42578125" style="1" customWidth="1"/>
    <col min="14083" max="14083" width="20.7109375" style="1" customWidth="1"/>
    <col min="14084" max="14084" width="24.7109375" style="1" customWidth="1"/>
    <col min="14085" max="14085" width="11.140625" style="1" customWidth="1"/>
    <col min="14086" max="14086" width="12.28515625" style="1" customWidth="1"/>
    <col min="14087" max="14087" width="11.140625" style="1" customWidth="1"/>
    <col min="14088" max="14088" width="10.42578125" style="1" customWidth="1"/>
    <col min="14089" max="14089" width="4.7109375" style="1" customWidth="1"/>
    <col min="14090" max="14090" width="8.5703125" style="1" customWidth="1"/>
    <col min="14091" max="14091" width="5.5703125" style="1" customWidth="1"/>
    <col min="14092" max="14093" width="11.5703125" style="1" customWidth="1"/>
    <col min="14094" max="14094" width="10.85546875" style="1" customWidth="1"/>
    <col min="14095" max="14095" width="7.7109375" style="1" customWidth="1"/>
    <col min="14096" max="14096" width="8" style="1" customWidth="1"/>
    <col min="14097" max="14097" width="16.28515625" style="1" customWidth="1"/>
    <col min="14098" max="14098" width="10.5703125" style="1" customWidth="1"/>
    <col min="14099" max="14099" width="14.140625" style="1" customWidth="1"/>
    <col min="14100" max="14100" width="10.140625" style="1" customWidth="1"/>
    <col min="14101" max="14101" width="15.140625" style="1" customWidth="1"/>
    <col min="14102" max="14102" width="8.5703125" style="1" customWidth="1"/>
    <col min="14103" max="14103" width="14.28515625" style="1" customWidth="1"/>
    <col min="14104" max="14104" width="18.28515625" style="1" customWidth="1"/>
    <col min="14105" max="14105" width="13" style="1" bestFit="1" customWidth="1"/>
    <col min="14106" max="14106" width="11.7109375" style="1" bestFit="1" customWidth="1"/>
    <col min="14107" max="14113" width="9.140625" style="1"/>
    <col min="14114" max="14114" width="11.28515625" style="1" bestFit="1" customWidth="1"/>
    <col min="14115" max="14115" width="10.7109375" style="1" bestFit="1" customWidth="1"/>
    <col min="14116" max="14337" width="9.140625" style="1"/>
    <col min="14338" max="14338" width="6.42578125" style="1" customWidth="1"/>
    <col min="14339" max="14339" width="20.7109375" style="1" customWidth="1"/>
    <col min="14340" max="14340" width="24.7109375" style="1" customWidth="1"/>
    <col min="14341" max="14341" width="11.140625" style="1" customWidth="1"/>
    <col min="14342" max="14342" width="12.28515625" style="1" customWidth="1"/>
    <col min="14343" max="14343" width="11.140625" style="1" customWidth="1"/>
    <col min="14344" max="14344" width="10.42578125" style="1" customWidth="1"/>
    <col min="14345" max="14345" width="4.7109375" style="1" customWidth="1"/>
    <col min="14346" max="14346" width="8.5703125" style="1" customWidth="1"/>
    <col min="14347" max="14347" width="5.5703125" style="1" customWidth="1"/>
    <col min="14348" max="14349" width="11.5703125" style="1" customWidth="1"/>
    <col min="14350" max="14350" width="10.85546875" style="1" customWidth="1"/>
    <col min="14351" max="14351" width="7.7109375" style="1" customWidth="1"/>
    <col min="14352" max="14352" width="8" style="1" customWidth="1"/>
    <col min="14353" max="14353" width="16.28515625" style="1" customWidth="1"/>
    <col min="14354" max="14354" width="10.5703125" style="1" customWidth="1"/>
    <col min="14355" max="14355" width="14.140625" style="1" customWidth="1"/>
    <col min="14356" max="14356" width="10.140625" style="1" customWidth="1"/>
    <col min="14357" max="14357" width="15.140625" style="1" customWidth="1"/>
    <col min="14358" max="14358" width="8.5703125" style="1" customWidth="1"/>
    <col min="14359" max="14359" width="14.28515625" style="1" customWidth="1"/>
    <col min="14360" max="14360" width="18.28515625" style="1" customWidth="1"/>
    <col min="14361" max="14361" width="13" style="1" bestFit="1" customWidth="1"/>
    <col min="14362" max="14362" width="11.7109375" style="1" bestFit="1" customWidth="1"/>
    <col min="14363" max="14369" width="9.140625" style="1"/>
    <col min="14370" max="14370" width="11.28515625" style="1" bestFit="1" customWidth="1"/>
    <col min="14371" max="14371" width="10.7109375" style="1" bestFit="1" customWidth="1"/>
    <col min="14372" max="14593" width="9.140625" style="1"/>
    <col min="14594" max="14594" width="6.42578125" style="1" customWidth="1"/>
    <col min="14595" max="14595" width="20.7109375" style="1" customWidth="1"/>
    <col min="14596" max="14596" width="24.7109375" style="1" customWidth="1"/>
    <col min="14597" max="14597" width="11.140625" style="1" customWidth="1"/>
    <col min="14598" max="14598" width="12.28515625" style="1" customWidth="1"/>
    <col min="14599" max="14599" width="11.140625" style="1" customWidth="1"/>
    <col min="14600" max="14600" width="10.42578125" style="1" customWidth="1"/>
    <col min="14601" max="14601" width="4.7109375" style="1" customWidth="1"/>
    <col min="14602" max="14602" width="8.5703125" style="1" customWidth="1"/>
    <col min="14603" max="14603" width="5.5703125" style="1" customWidth="1"/>
    <col min="14604" max="14605" width="11.5703125" style="1" customWidth="1"/>
    <col min="14606" max="14606" width="10.85546875" style="1" customWidth="1"/>
    <col min="14607" max="14607" width="7.7109375" style="1" customWidth="1"/>
    <col min="14608" max="14608" width="8" style="1" customWidth="1"/>
    <col min="14609" max="14609" width="16.28515625" style="1" customWidth="1"/>
    <col min="14610" max="14610" width="10.5703125" style="1" customWidth="1"/>
    <col min="14611" max="14611" width="14.140625" style="1" customWidth="1"/>
    <col min="14612" max="14612" width="10.140625" style="1" customWidth="1"/>
    <col min="14613" max="14613" width="15.140625" style="1" customWidth="1"/>
    <col min="14614" max="14614" width="8.5703125" style="1" customWidth="1"/>
    <col min="14615" max="14615" width="14.28515625" style="1" customWidth="1"/>
    <col min="14616" max="14616" width="18.28515625" style="1" customWidth="1"/>
    <col min="14617" max="14617" width="13" style="1" bestFit="1" customWidth="1"/>
    <col min="14618" max="14618" width="11.7109375" style="1" bestFit="1" customWidth="1"/>
    <col min="14619" max="14625" width="9.140625" style="1"/>
    <col min="14626" max="14626" width="11.28515625" style="1" bestFit="1" customWidth="1"/>
    <col min="14627" max="14627" width="10.7109375" style="1" bestFit="1" customWidth="1"/>
    <col min="14628" max="14849" width="9.140625" style="1"/>
    <col min="14850" max="14850" width="6.42578125" style="1" customWidth="1"/>
    <col min="14851" max="14851" width="20.7109375" style="1" customWidth="1"/>
    <col min="14852" max="14852" width="24.7109375" style="1" customWidth="1"/>
    <col min="14853" max="14853" width="11.140625" style="1" customWidth="1"/>
    <col min="14854" max="14854" width="12.28515625" style="1" customWidth="1"/>
    <col min="14855" max="14855" width="11.140625" style="1" customWidth="1"/>
    <col min="14856" max="14856" width="10.42578125" style="1" customWidth="1"/>
    <col min="14857" max="14857" width="4.7109375" style="1" customWidth="1"/>
    <col min="14858" max="14858" width="8.5703125" style="1" customWidth="1"/>
    <col min="14859" max="14859" width="5.5703125" style="1" customWidth="1"/>
    <col min="14860" max="14861" width="11.5703125" style="1" customWidth="1"/>
    <col min="14862" max="14862" width="10.85546875" style="1" customWidth="1"/>
    <col min="14863" max="14863" width="7.7109375" style="1" customWidth="1"/>
    <col min="14864" max="14864" width="8" style="1" customWidth="1"/>
    <col min="14865" max="14865" width="16.28515625" style="1" customWidth="1"/>
    <col min="14866" max="14866" width="10.5703125" style="1" customWidth="1"/>
    <col min="14867" max="14867" width="14.140625" style="1" customWidth="1"/>
    <col min="14868" max="14868" width="10.140625" style="1" customWidth="1"/>
    <col min="14869" max="14869" width="15.140625" style="1" customWidth="1"/>
    <col min="14870" max="14870" width="8.5703125" style="1" customWidth="1"/>
    <col min="14871" max="14871" width="14.28515625" style="1" customWidth="1"/>
    <col min="14872" max="14872" width="18.28515625" style="1" customWidth="1"/>
    <col min="14873" max="14873" width="13" style="1" bestFit="1" customWidth="1"/>
    <col min="14874" max="14874" width="11.7109375" style="1" bestFit="1" customWidth="1"/>
    <col min="14875" max="14881" width="9.140625" style="1"/>
    <col min="14882" max="14882" width="11.28515625" style="1" bestFit="1" customWidth="1"/>
    <col min="14883" max="14883" width="10.7109375" style="1" bestFit="1" customWidth="1"/>
    <col min="14884" max="15105" width="9.140625" style="1"/>
    <col min="15106" max="15106" width="6.42578125" style="1" customWidth="1"/>
    <col min="15107" max="15107" width="20.7109375" style="1" customWidth="1"/>
    <col min="15108" max="15108" width="24.7109375" style="1" customWidth="1"/>
    <col min="15109" max="15109" width="11.140625" style="1" customWidth="1"/>
    <col min="15110" max="15110" width="12.28515625" style="1" customWidth="1"/>
    <col min="15111" max="15111" width="11.140625" style="1" customWidth="1"/>
    <col min="15112" max="15112" width="10.42578125" style="1" customWidth="1"/>
    <col min="15113" max="15113" width="4.7109375" style="1" customWidth="1"/>
    <col min="15114" max="15114" width="8.5703125" style="1" customWidth="1"/>
    <col min="15115" max="15115" width="5.5703125" style="1" customWidth="1"/>
    <col min="15116" max="15117" width="11.5703125" style="1" customWidth="1"/>
    <col min="15118" max="15118" width="10.85546875" style="1" customWidth="1"/>
    <col min="15119" max="15119" width="7.7109375" style="1" customWidth="1"/>
    <col min="15120" max="15120" width="8" style="1" customWidth="1"/>
    <col min="15121" max="15121" width="16.28515625" style="1" customWidth="1"/>
    <col min="15122" max="15122" width="10.5703125" style="1" customWidth="1"/>
    <col min="15123" max="15123" width="14.140625" style="1" customWidth="1"/>
    <col min="15124" max="15124" width="10.140625" style="1" customWidth="1"/>
    <col min="15125" max="15125" width="15.140625" style="1" customWidth="1"/>
    <col min="15126" max="15126" width="8.5703125" style="1" customWidth="1"/>
    <col min="15127" max="15127" width="14.28515625" style="1" customWidth="1"/>
    <col min="15128" max="15128" width="18.28515625" style="1" customWidth="1"/>
    <col min="15129" max="15129" width="13" style="1" bestFit="1" customWidth="1"/>
    <col min="15130" max="15130" width="11.7109375" style="1" bestFit="1" customWidth="1"/>
    <col min="15131" max="15137" width="9.140625" style="1"/>
    <col min="15138" max="15138" width="11.28515625" style="1" bestFit="1" customWidth="1"/>
    <col min="15139" max="15139" width="10.7109375" style="1" bestFit="1" customWidth="1"/>
    <col min="15140" max="15361" width="9.140625" style="1"/>
    <col min="15362" max="15362" width="6.42578125" style="1" customWidth="1"/>
    <col min="15363" max="15363" width="20.7109375" style="1" customWidth="1"/>
    <col min="15364" max="15364" width="24.7109375" style="1" customWidth="1"/>
    <col min="15365" max="15365" width="11.140625" style="1" customWidth="1"/>
    <col min="15366" max="15366" width="12.28515625" style="1" customWidth="1"/>
    <col min="15367" max="15367" width="11.140625" style="1" customWidth="1"/>
    <col min="15368" max="15368" width="10.42578125" style="1" customWidth="1"/>
    <col min="15369" max="15369" width="4.7109375" style="1" customWidth="1"/>
    <col min="15370" max="15370" width="8.5703125" style="1" customWidth="1"/>
    <col min="15371" max="15371" width="5.5703125" style="1" customWidth="1"/>
    <col min="15372" max="15373" width="11.5703125" style="1" customWidth="1"/>
    <col min="15374" max="15374" width="10.85546875" style="1" customWidth="1"/>
    <col min="15375" max="15375" width="7.7109375" style="1" customWidth="1"/>
    <col min="15376" max="15376" width="8" style="1" customWidth="1"/>
    <col min="15377" max="15377" width="16.28515625" style="1" customWidth="1"/>
    <col min="15378" max="15378" width="10.5703125" style="1" customWidth="1"/>
    <col min="15379" max="15379" width="14.140625" style="1" customWidth="1"/>
    <col min="15380" max="15380" width="10.140625" style="1" customWidth="1"/>
    <col min="15381" max="15381" width="15.140625" style="1" customWidth="1"/>
    <col min="15382" max="15382" width="8.5703125" style="1" customWidth="1"/>
    <col min="15383" max="15383" width="14.28515625" style="1" customWidth="1"/>
    <col min="15384" max="15384" width="18.28515625" style="1" customWidth="1"/>
    <col min="15385" max="15385" width="13" style="1" bestFit="1" customWidth="1"/>
    <col min="15386" max="15386" width="11.7109375" style="1" bestFit="1" customWidth="1"/>
    <col min="15387" max="15393" width="9.140625" style="1"/>
    <col min="15394" max="15394" width="11.28515625" style="1" bestFit="1" customWidth="1"/>
    <col min="15395" max="15395" width="10.7109375" style="1" bestFit="1" customWidth="1"/>
    <col min="15396" max="15617" width="9.140625" style="1"/>
    <col min="15618" max="15618" width="6.42578125" style="1" customWidth="1"/>
    <col min="15619" max="15619" width="20.7109375" style="1" customWidth="1"/>
    <col min="15620" max="15620" width="24.7109375" style="1" customWidth="1"/>
    <col min="15621" max="15621" width="11.140625" style="1" customWidth="1"/>
    <col min="15622" max="15622" width="12.28515625" style="1" customWidth="1"/>
    <col min="15623" max="15623" width="11.140625" style="1" customWidth="1"/>
    <col min="15624" max="15624" width="10.42578125" style="1" customWidth="1"/>
    <col min="15625" max="15625" width="4.7109375" style="1" customWidth="1"/>
    <col min="15626" max="15626" width="8.5703125" style="1" customWidth="1"/>
    <col min="15627" max="15627" width="5.5703125" style="1" customWidth="1"/>
    <col min="15628" max="15629" width="11.5703125" style="1" customWidth="1"/>
    <col min="15630" max="15630" width="10.85546875" style="1" customWidth="1"/>
    <col min="15631" max="15631" width="7.7109375" style="1" customWidth="1"/>
    <col min="15632" max="15632" width="8" style="1" customWidth="1"/>
    <col min="15633" max="15633" width="16.28515625" style="1" customWidth="1"/>
    <col min="15634" max="15634" width="10.5703125" style="1" customWidth="1"/>
    <col min="15635" max="15635" width="14.140625" style="1" customWidth="1"/>
    <col min="15636" max="15636" width="10.140625" style="1" customWidth="1"/>
    <col min="15637" max="15637" width="15.140625" style="1" customWidth="1"/>
    <col min="15638" max="15638" width="8.5703125" style="1" customWidth="1"/>
    <col min="15639" max="15639" width="14.28515625" style="1" customWidth="1"/>
    <col min="15640" max="15640" width="18.28515625" style="1" customWidth="1"/>
    <col min="15641" max="15641" width="13" style="1" bestFit="1" customWidth="1"/>
    <col min="15642" max="15642" width="11.7109375" style="1" bestFit="1" customWidth="1"/>
    <col min="15643" max="15649" width="9.140625" style="1"/>
    <col min="15650" max="15650" width="11.28515625" style="1" bestFit="1" customWidth="1"/>
    <col min="15651" max="15651" width="10.7109375" style="1" bestFit="1" customWidth="1"/>
    <col min="15652" max="15873" width="9.140625" style="1"/>
    <col min="15874" max="15874" width="6.42578125" style="1" customWidth="1"/>
    <col min="15875" max="15875" width="20.7109375" style="1" customWidth="1"/>
    <col min="15876" max="15876" width="24.7109375" style="1" customWidth="1"/>
    <col min="15877" max="15877" width="11.140625" style="1" customWidth="1"/>
    <col min="15878" max="15878" width="12.28515625" style="1" customWidth="1"/>
    <col min="15879" max="15879" width="11.140625" style="1" customWidth="1"/>
    <col min="15880" max="15880" width="10.42578125" style="1" customWidth="1"/>
    <col min="15881" max="15881" width="4.7109375" style="1" customWidth="1"/>
    <col min="15882" max="15882" width="8.5703125" style="1" customWidth="1"/>
    <col min="15883" max="15883" width="5.5703125" style="1" customWidth="1"/>
    <col min="15884" max="15885" width="11.5703125" style="1" customWidth="1"/>
    <col min="15886" max="15886" width="10.85546875" style="1" customWidth="1"/>
    <col min="15887" max="15887" width="7.7109375" style="1" customWidth="1"/>
    <col min="15888" max="15888" width="8" style="1" customWidth="1"/>
    <col min="15889" max="15889" width="16.28515625" style="1" customWidth="1"/>
    <col min="15890" max="15890" width="10.5703125" style="1" customWidth="1"/>
    <col min="15891" max="15891" width="14.140625" style="1" customWidth="1"/>
    <col min="15892" max="15892" width="10.140625" style="1" customWidth="1"/>
    <col min="15893" max="15893" width="15.140625" style="1" customWidth="1"/>
    <col min="15894" max="15894" width="8.5703125" style="1" customWidth="1"/>
    <col min="15895" max="15895" width="14.28515625" style="1" customWidth="1"/>
    <col min="15896" max="15896" width="18.28515625" style="1" customWidth="1"/>
    <col min="15897" max="15897" width="13" style="1" bestFit="1" customWidth="1"/>
    <col min="15898" max="15898" width="11.7109375" style="1" bestFit="1" customWidth="1"/>
    <col min="15899" max="15905" width="9.140625" style="1"/>
    <col min="15906" max="15906" width="11.28515625" style="1" bestFit="1" customWidth="1"/>
    <col min="15907" max="15907" width="10.7109375" style="1" bestFit="1" customWidth="1"/>
    <col min="15908" max="16129" width="9.140625" style="1"/>
    <col min="16130" max="16130" width="6.42578125" style="1" customWidth="1"/>
    <col min="16131" max="16131" width="20.7109375" style="1" customWidth="1"/>
    <col min="16132" max="16132" width="24.7109375" style="1" customWidth="1"/>
    <col min="16133" max="16133" width="11.140625" style="1" customWidth="1"/>
    <col min="16134" max="16134" width="12.28515625" style="1" customWidth="1"/>
    <col min="16135" max="16135" width="11.140625" style="1" customWidth="1"/>
    <col min="16136" max="16136" width="10.42578125" style="1" customWidth="1"/>
    <col min="16137" max="16137" width="4.7109375" style="1" customWidth="1"/>
    <col min="16138" max="16138" width="8.5703125" style="1" customWidth="1"/>
    <col min="16139" max="16139" width="5.5703125" style="1" customWidth="1"/>
    <col min="16140" max="16141" width="11.5703125" style="1" customWidth="1"/>
    <col min="16142" max="16142" width="10.85546875" style="1" customWidth="1"/>
    <col min="16143" max="16143" width="7.7109375" style="1" customWidth="1"/>
    <col min="16144" max="16144" width="8" style="1" customWidth="1"/>
    <col min="16145" max="16145" width="16.28515625" style="1" customWidth="1"/>
    <col min="16146" max="16146" width="10.5703125" style="1" customWidth="1"/>
    <col min="16147" max="16147" width="14.140625" style="1" customWidth="1"/>
    <col min="16148" max="16148" width="10.140625" style="1" customWidth="1"/>
    <col min="16149" max="16149" width="15.140625" style="1" customWidth="1"/>
    <col min="16150" max="16150" width="8.5703125" style="1" customWidth="1"/>
    <col min="16151" max="16151" width="14.28515625" style="1" customWidth="1"/>
    <col min="16152" max="16152" width="18.28515625" style="1" customWidth="1"/>
    <col min="16153" max="16153" width="13" style="1" bestFit="1" customWidth="1"/>
    <col min="16154" max="16154" width="11.7109375" style="1" bestFit="1" customWidth="1"/>
    <col min="16155" max="16161" width="9.140625" style="1"/>
    <col min="16162" max="16162" width="11.28515625" style="1" bestFit="1" customWidth="1"/>
    <col min="16163" max="16163" width="10.7109375" style="1" bestFit="1" customWidth="1"/>
    <col min="16164" max="16384" width="9.140625" style="1"/>
  </cols>
  <sheetData>
    <row r="1" spans="1:44" ht="9.75" customHeight="1">
      <c r="V1" s="3"/>
    </row>
    <row r="2" spans="1:44" ht="16.5" customHeight="1">
      <c r="A2" s="2308" t="s">
        <v>646</v>
      </c>
      <c r="B2" s="2308"/>
      <c r="C2" s="2308"/>
      <c r="D2" s="2308"/>
      <c r="E2" s="2308"/>
      <c r="F2" s="2308"/>
      <c r="G2" s="2308"/>
      <c r="H2" s="2308"/>
      <c r="I2" s="2308"/>
      <c r="J2" s="2308"/>
      <c r="K2" s="2308"/>
      <c r="L2" s="2308"/>
      <c r="M2" s="2308"/>
      <c r="N2" s="2308"/>
      <c r="O2" s="2308"/>
      <c r="P2" s="2308"/>
      <c r="Q2" s="2308"/>
      <c r="R2" s="2308"/>
      <c r="S2" s="2308"/>
      <c r="T2" s="2308"/>
      <c r="U2" s="2308"/>
      <c r="V2" s="2308"/>
      <c r="W2" s="2308"/>
      <c r="X2" s="2308"/>
      <c r="Y2" s="24"/>
      <c r="Z2" s="24"/>
    </row>
    <row r="3" spans="1:44" ht="13.5" customHeight="1">
      <c r="A3" s="2309" t="s">
        <v>0</v>
      </c>
      <c r="B3" s="2309"/>
      <c r="C3" s="2309"/>
      <c r="D3" s="2309"/>
      <c r="E3" s="2309"/>
      <c r="F3" s="2309"/>
      <c r="G3" s="2309"/>
      <c r="H3" s="2309"/>
      <c r="I3" s="2309"/>
      <c r="J3" s="2309"/>
      <c r="K3" s="2309"/>
      <c r="L3" s="2309"/>
      <c r="M3" s="2309"/>
      <c r="N3" s="2309"/>
      <c r="O3" s="2309"/>
      <c r="P3" s="2309"/>
      <c r="Q3" s="2309"/>
      <c r="R3" s="2309"/>
      <c r="S3" s="2309"/>
      <c r="T3" s="2309"/>
      <c r="U3" s="2309"/>
      <c r="V3" s="2309"/>
      <c r="W3" s="2309"/>
      <c r="X3" s="2309"/>
      <c r="Y3" s="24"/>
      <c r="Z3" s="24"/>
    </row>
    <row r="4" spans="1:44" s="351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728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304" t="s">
        <v>395</v>
      </c>
      <c r="P4" s="2256" t="s">
        <v>16</v>
      </c>
      <c r="Q4" s="1032" t="s">
        <v>642</v>
      </c>
      <c r="R4" s="2256" t="s">
        <v>17</v>
      </c>
      <c r="S4" s="2256"/>
      <c r="T4" s="2256" t="s">
        <v>18</v>
      </c>
      <c r="U4" s="2256"/>
      <c r="V4" s="2256" t="s">
        <v>19</v>
      </c>
      <c r="W4" s="2256"/>
      <c r="X4" s="2306" t="s">
        <v>401</v>
      </c>
      <c r="Y4" s="2260" t="s">
        <v>401</v>
      </c>
      <c r="Z4" s="2305" t="s">
        <v>394</v>
      </c>
      <c r="AA4" s="24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</row>
    <row r="5" spans="1:44" s="351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304"/>
      <c r="P5" s="2256"/>
      <c r="Q5" s="1028" t="s">
        <v>22</v>
      </c>
      <c r="R5" s="349" t="s">
        <v>21</v>
      </c>
      <c r="S5" s="349" t="s">
        <v>22</v>
      </c>
      <c r="T5" s="349" t="s">
        <v>21</v>
      </c>
      <c r="U5" s="349" t="s">
        <v>22</v>
      </c>
      <c r="V5" s="349" t="s">
        <v>21</v>
      </c>
      <c r="W5" s="349" t="s">
        <v>22</v>
      </c>
      <c r="X5" s="2306"/>
      <c r="Y5" s="2260"/>
      <c r="Z5" s="2305"/>
      <c r="AA5" s="1023" t="s">
        <v>640</v>
      </c>
      <c r="AB5" s="1024" t="s">
        <v>641</v>
      </c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</row>
    <row r="6" spans="1:44" s="80" customFormat="1" ht="15" customHeight="1">
      <c r="A6" s="266">
        <v>1</v>
      </c>
      <c r="B6" s="267" t="s">
        <v>23</v>
      </c>
      <c r="C6" s="268" t="s">
        <v>620</v>
      </c>
      <c r="D6" s="266" t="s">
        <v>25</v>
      </c>
      <c r="E6" s="266" t="s">
        <v>724</v>
      </c>
      <c r="F6" s="266" t="s">
        <v>27</v>
      </c>
      <c r="G6" s="266">
        <v>1</v>
      </c>
      <c r="H6" s="266" t="s">
        <v>28</v>
      </c>
      <c r="I6" s="266" t="s">
        <v>29</v>
      </c>
      <c r="J6" s="269" t="s">
        <v>30</v>
      </c>
      <c r="K6" s="270">
        <v>17697</v>
      </c>
      <c r="L6" s="270"/>
      <c r="M6" s="270">
        <v>1</v>
      </c>
      <c r="N6" s="270"/>
      <c r="O6" s="274">
        <v>6.22</v>
      </c>
      <c r="P6" s="270">
        <f>O6*K6</f>
        <v>110075.34</v>
      </c>
      <c r="Q6" s="994">
        <f>P6*25%</f>
        <v>27518.834999999999</v>
      </c>
      <c r="R6" s="270"/>
      <c r="S6" s="271"/>
      <c r="T6" s="270">
        <v>0.1</v>
      </c>
      <c r="U6" s="270">
        <f>(P6+Q6+S6)*T6</f>
        <v>13759.4175</v>
      </c>
      <c r="V6" s="270"/>
      <c r="W6" s="273"/>
      <c r="X6" s="274">
        <f>P6+S6+U6+W6+Q6</f>
        <v>151353.5925</v>
      </c>
      <c r="Y6" s="274">
        <f>R6+T6+V6</f>
        <v>0.1</v>
      </c>
      <c r="Z6" s="274">
        <f>S6+U6+W6</f>
        <v>13759.4175</v>
      </c>
      <c r="AA6" s="81">
        <f>X6*12</f>
        <v>1816243.1099999999</v>
      </c>
      <c r="AB6" s="1025">
        <f>AA6/12/29.33*30</f>
        <v>154811.03903852712</v>
      </c>
      <c r="AC6" s="82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</row>
    <row r="7" spans="1:44" s="80" customFormat="1" ht="15" customHeight="1">
      <c r="A7" s="266">
        <v>2</v>
      </c>
      <c r="B7" s="267" t="s">
        <v>31</v>
      </c>
      <c r="C7" s="268" t="s">
        <v>32</v>
      </c>
      <c r="D7" s="266" t="s">
        <v>25</v>
      </c>
      <c r="E7" s="275" t="s">
        <v>718</v>
      </c>
      <c r="F7" s="276" t="s">
        <v>34</v>
      </c>
      <c r="G7" s="266">
        <v>1</v>
      </c>
      <c r="H7" s="266" t="s">
        <v>28</v>
      </c>
      <c r="I7" s="266" t="s">
        <v>35</v>
      </c>
      <c r="J7" s="277" t="s">
        <v>30</v>
      </c>
      <c r="K7" s="270">
        <v>17697</v>
      </c>
      <c r="L7" s="270"/>
      <c r="M7" s="270">
        <v>1</v>
      </c>
      <c r="N7" s="270"/>
      <c r="O7" s="1138">
        <v>5.77</v>
      </c>
      <c r="P7" s="270">
        <f>O7*K7</f>
        <v>102111.68999999999</v>
      </c>
      <c r="Q7" s="994">
        <f t="shared" ref="Q7:Q11" si="0">P7*25%</f>
        <v>25527.922499999997</v>
      </c>
      <c r="R7" s="271"/>
      <c r="S7" s="270"/>
      <c r="T7" s="270">
        <v>0.1</v>
      </c>
      <c r="U7" s="270">
        <f t="shared" ref="U7:U24" si="1">(P7+Q7+S7)*T7</f>
        <v>12763.96125</v>
      </c>
      <c r="V7" s="273"/>
      <c r="W7" s="270"/>
      <c r="X7" s="274">
        <f t="shared" ref="X7:X24" si="2">P7+S7+U7+W7+Q7</f>
        <v>140403.57374999998</v>
      </c>
      <c r="Y7" s="274">
        <f t="shared" ref="Y7:Z24" si="3">R7+T7+V7</f>
        <v>0.1</v>
      </c>
      <c r="Z7" s="274">
        <f t="shared" si="3"/>
        <v>12763.96125</v>
      </c>
      <c r="AA7" s="81">
        <f t="shared" ref="AA7:AA70" si="4">X7*12</f>
        <v>1684842.8849999998</v>
      </c>
      <c r="AB7" s="1025">
        <f t="shared" ref="AB7:AB24" si="5">AA7/12/29.33*30</f>
        <v>143610.88348107738</v>
      </c>
      <c r="AH7" s="127"/>
      <c r="AI7" s="116"/>
    </row>
    <row r="8" spans="1:44" s="129" customFormat="1" ht="15" customHeight="1">
      <c r="A8" s="266">
        <v>3</v>
      </c>
      <c r="B8" s="285" t="s">
        <v>36</v>
      </c>
      <c r="C8" s="268" t="s">
        <v>32</v>
      </c>
      <c r="D8" s="286" t="s">
        <v>25</v>
      </c>
      <c r="E8" s="286" t="s">
        <v>725</v>
      </c>
      <c r="F8" s="276" t="s">
        <v>34</v>
      </c>
      <c r="G8" s="286">
        <v>1</v>
      </c>
      <c r="H8" s="266" t="s">
        <v>28</v>
      </c>
      <c r="I8" s="266" t="s">
        <v>35</v>
      </c>
      <c r="J8" s="286">
        <v>3</v>
      </c>
      <c r="K8" s="287">
        <v>17697</v>
      </c>
      <c r="L8" s="287"/>
      <c r="M8" s="287">
        <v>1</v>
      </c>
      <c r="N8" s="270"/>
      <c r="O8" s="1139">
        <v>5.77</v>
      </c>
      <c r="P8" s="270">
        <f>O8*K8</f>
        <v>102111.68999999999</v>
      </c>
      <c r="Q8" s="994">
        <f t="shared" si="0"/>
        <v>25527.922499999997</v>
      </c>
      <c r="R8" s="271"/>
      <c r="S8" s="270"/>
      <c r="T8" s="270">
        <v>0.1</v>
      </c>
      <c r="U8" s="270">
        <f t="shared" si="1"/>
        <v>12763.96125</v>
      </c>
      <c r="V8" s="273"/>
      <c r="W8" s="270"/>
      <c r="X8" s="274">
        <f t="shared" si="2"/>
        <v>140403.57374999998</v>
      </c>
      <c r="Y8" s="274">
        <f t="shared" si="3"/>
        <v>0.1</v>
      </c>
      <c r="Z8" s="274">
        <f t="shared" si="3"/>
        <v>12763.96125</v>
      </c>
      <c r="AA8" s="81">
        <f t="shared" si="4"/>
        <v>1684842.8849999998</v>
      </c>
      <c r="AB8" s="1025">
        <f t="shared" si="5"/>
        <v>143610.88348107738</v>
      </c>
      <c r="AH8" s="130"/>
      <c r="AI8" s="131"/>
    </row>
    <row r="9" spans="1:44" s="132" customFormat="1" ht="15">
      <c r="A9" s="266">
        <v>4</v>
      </c>
      <c r="B9" s="278" t="s">
        <v>38</v>
      </c>
      <c r="C9" s="268" t="s">
        <v>32</v>
      </c>
      <c r="D9" s="279" t="s">
        <v>25</v>
      </c>
      <c r="E9" s="279" t="s">
        <v>711</v>
      </c>
      <c r="F9" s="280" t="s">
        <v>40</v>
      </c>
      <c r="G9" s="279">
        <v>1</v>
      </c>
      <c r="H9" s="266" t="s">
        <v>28</v>
      </c>
      <c r="I9" s="266" t="s">
        <v>35</v>
      </c>
      <c r="J9" s="281">
        <v>3</v>
      </c>
      <c r="K9" s="282">
        <v>17697</v>
      </c>
      <c r="L9" s="282"/>
      <c r="M9" s="282">
        <v>1</v>
      </c>
      <c r="N9" s="282"/>
      <c r="O9" s="1139">
        <v>5.77</v>
      </c>
      <c r="P9" s="282">
        <f t="shared" ref="P9:P22" si="6">O9*K9*M9</f>
        <v>102111.68999999999</v>
      </c>
      <c r="Q9" s="994">
        <f>P9*25%</f>
        <v>25527.922499999997</v>
      </c>
      <c r="R9" s="283">
        <v>0.25</v>
      </c>
      <c r="S9" s="282">
        <v>31600</v>
      </c>
      <c r="T9" s="270">
        <v>0.1</v>
      </c>
      <c r="U9" s="270">
        <v>13073</v>
      </c>
      <c r="V9" s="284"/>
      <c r="W9" s="282"/>
      <c r="X9" s="274">
        <f>P9+S9+U9+W9+Q9</f>
        <v>172312.61249999999</v>
      </c>
      <c r="Y9" s="274">
        <f t="shared" si="3"/>
        <v>0.35</v>
      </c>
      <c r="Z9" s="274">
        <f t="shared" si="3"/>
        <v>44673</v>
      </c>
      <c r="AA9" s="81">
        <f t="shared" si="4"/>
        <v>2067751.3499999999</v>
      </c>
      <c r="AB9" s="1025">
        <f t="shared" si="5"/>
        <v>176248.83651551313</v>
      </c>
      <c r="AC9" s="81"/>
      <c r="AD9" s="81"/>
      <c r="AE9" s="82"/>
      <c r="AF9" s="82"/>
      <c r="AG9" s="81"/>
      <c r="AL9" s="134"/>
      <c r="AP9" s="133"/>
      <c r="AQ9" s="134">
        <f>P9+U9+S9+W9</f>
        <v>146784.69</v>
      </c>
    </row>
    <row r="10" spans="1:44" s="80" customFormat="1" ht="15" customHeight="1">
      <c r="A10" s="266">
        <v>5</v>
      </c>
      <c r="B10" s="267" t="s">
        <v>41</v>
      </c>
      <c r="C10" s="268" t="s">
        <v>42</v>
      </c>
      <c r="D10" s="266" t="s">
        <v>25</v>
      </c>
      <c r="E10" s="266" t="s">
        <v>726</v>
      </c>
      <c r="F10" s="266" t="s">
        <v>27</v>
      </c>
      <c r="G10" s="266">
        <v>1</v>
      </c>
      <c r="H10" s="288" t="s">
        <v>28</v>
      </c>
      <c r="I10" s="288" t="s">
        <v>29</v>
      </c>
      <c r="J10" s="269" t="s">
        <v>44</v>
      </c>
      <c r="K10" s="270">
        <v>17697</v>
      </c>
      <c r="L10" s="270"/>
      <c r="M10" s="270">
        <v>1</v>
      </c>
      <c r="N10" s="270"/>
      <c r="O10" s="1137" t="s">
        <v>369</v>
      </c>
      <c r="P10" s="282">
        <f t="shared" si="6"/>
        <v>104589.27</v>
      </c>
      <c r="Q10" s="994">
        <f t="shared" si="0"/>
        <v>26147.317500000001</v>
      </c>
      <c r="R10" s="270"/>
      <c r="S10" s="271"/>
      <c r="T10" s="270">
        <v>0.1</v>
      </c>
      <c r="U10" s="270">
        <f t="shared" si="1"/>
        <v>13073.658750000002</v>
      </c>
      <c r="V10" s="270"/>
      <c r="W10" s="273"/>
      <c r="X10" s="274">
        <f t="shared" si="2"/>
        <v>143810.24625</v>
      </c>
      <c r="Y10" s="274">
        <f t="shared" si="3"/>
        <v>0.1</v>
      </c>
      <c r="Z10" s="274">
        <f t="shared" si="3"/>
        <v>13073.658750000002</v>
      </c>
      <c r="AA10" s="81">
        <f t="shared" si="4"/>
        <v>1725722.9550000001</v>
      </c>
      <c r="AB10" s="1025">
        <f t="shared" si="5"/>
        <v>147095.37632117287</v>
      </c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</row>
    <row r="11" spans="1:44" s="80" customFormat="1" ht="15" customHeight="1">
      <c r="A11" s="266">
        <v>6</v>
      </c>
      <c r="B11" s="267" t="s">
        <v>45</v>
      </c>
      <c r="C11" s="268" t="s">
        <v>46</v>
      </c>
      <c r="D11" s="290" t="s">
        <v>25</v>
      </c>
      <c r="E11" s="291" t="s">
        <v>727</v>
      </c>
      <c r="F11" s="291" t="s">
        <v>34</v>
      </c>
      <c r="G11" s="290">
        <v>1</v>
      </c>
      <c r="H11" s="266" t="s">
        <v>28</v>
      </c>
      <c r="I11" s="266" t="s">
        <v>29</v>
      </c>
      <c r="J11" s="269" t="s">
        <v>44</v>
      </c>
      <c r="K11" s="270">
        <v>17697</v>
      </c>
      <c r="L11" s="270"/>
      <c r="M11" s="270">
        <v>1</v>
      </c>
      <c r="N11" s="270"/>
      <c r="O11" s="274">
        <v>5.91</v>
      </c>
      <c r="P11" s="282">
        <f t="shared" si="6"/>
        <v>104589.27</v>
      </c>
      <c r="Q11" s="994">
        <f t="shared" si="0"/>
        <v>26147.317500000001</v>
      </c>
      <c r="R11" s="283"/>
      <c r="S11" s="270"/>
      <c r="T11" s="270">
        <v>0.1</v>
      </c>
      <c r="U11" s="270">
        <f t="shared" si="1"/>
        <v>13073.658750000002</v>
      </c>
      <c r="V11" s="273"/>
      <c r="W11" s="270"/>
      <c r="X11" s="274">
        <f t="shared" si="2"/>
        <v>143810.24625</v>
      </c>
      <c r="Y11" s="274">
        <f t="shared" si="3"/>
        <v>0.1</v>
      </c>
      <c r="Z11" s="274">
        <f t="shared" si="3"/>
        <v>13073.658750000002</v>
      </c>
      <c r="AA11" s="81">
        <f t="shared" si="4"/>
        <v>1725722.9550000001</v>
      </c>
      <c r="AB11" s="1025">
        <f t="shared" si="5"/>
        <v>147095.37632117287</v>
      </c>
    </row>
    <row r="12" spans="1:44" s="80" customFormat="1" ht="15" customHeight="1">
      <c r="A12" s="5">
        <v>7</v>
      </c>
      <c r="B12" s="730" t="s">
        <v>48</v>
      </c>
      <c r="C12" s="6" t="s">
        <v>49</v>
      </c>
      <c r="D12" s="5" t="s">
        <v>25</v>
      </c>
      <c r="E12" s="5" t="s">
        <v>598</v>
      </c>
      <c r="F12" s="5" t="s">
        <v>51</v>
      </c>
      <c r="G12" s="5">
        <v>1</v>
      </c>
      <c r="H12" s="20" t="s">
        <v>28</v>
      </c>
      <c r="I12" s="20" t="s">
        <v>35</v>
      </c>
      <c r="J12" s="731" t="s">
        <v>30</v>
      </c>
      <c r="K12" s="7">
        <v>17697</v>
      </c>
      <c r="L12" s="7"/>
      <c r="M12" s="7">
        <v>1</v>
      </c>
      <c r="N12" s="7"/>
      <c r="O12" s="1022" t="s">
        <v>370</v>
      </c>
      <c r="P12" s="18">
        <f t="shared" si="6"/>
        <v>99280.170000000013</v>
      </c>
      <c r="Q12" s="882"/>
      <c r="R12" s="7"/>
      <c r="S12" s="8"/>
      <c r="T12" s="7">
        <v>0.1</v>
      </c>
      <c r="U12" s="7">
        <f t="shared" si="1"/>
        <v>9928.0170000000016</v>
      </c>
      <c r="V12" s="7"/>
      <c r="W12" s="9"/>
      <c r="X12" s="10">
        <f t="shared" si="2"/>
        <v>109208.18700000002</v>
      </c>
      <c r="Y12" s="274">
        <f t="shared" si="3"/>
        <v>0.1</v>
      </c>
      <c r="Z12" s="274">
        <f t="shared" si="3"/>
        <v>9928.0170000000016</v>
      </c>
      <c r="AA12" s="81">
        <f t="shared" si="4"/>
        <v>1310498.2440000002</v>
      </c>
      <c r="AB12" s="1025">
        <f t="shared" si="5"/>
        <v>111702.88475963179</v>
      </c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</row>
    <row r="13" spans="1:44" s="80" customFormat="1" ht="15" customHeight="1">
      <c r="A13" s="266">
        <v>8</v>
      </c>
      <c r="B13" s="292" t="s">
        <v>52</v>
      </c>
      <c r="C13" s="268" t="s">
        <v>53</v>
      </c>
      <c r="D13" s="266" t="s">
        <v>25</v>
      </c>
      <c r="E13" s="266" t="s">
        <v>723</v>
      </c>
      <c r="F13" s="266" t="s">
        <v>73</v>
      </c>
      <c r="G13" s="266">
        <v>1</v>
      </c>
      <c r="H13" s="288" t="s">
        <v>56</v>
      </c>
      <c r="I13" s="288" t="s">
        <v>56</v>
      </c>
      <c r="J13" s="269" t="s">
        <v>57</v>
      </c>
      <c r="K13" s="270">
        <v>17697</v>
      </c>
      <c r="L13" s="270"/>
      <c r="M13" s="270">
        <v>1</v>
      </c>
      <c r="N13" s="270"/>
      <c r="O13" s="1137" t="s">
        <v>639</v>
      </c>
      <c r="P13" s="282">
        <f t="shared" si="6"/>
        <v>78397.709999999992</v>
      </c>
      <c r="Q13" s="994"/>
      <c r="R13" s="270"/>
      <c r="S13" s="271"/>
      <c r="T13" s="270">
        <v>0.1</v>
      </c>
      <c r="U13" s="270">
        <f t="shared" si="1"/>
        <v>7839.7709999999997</v>
      </c>
      <c r="V13" s="270"/>
      <c r="W13" s="273"/>
      <c r="X13" s="274">
        <f t="shared" si="2"/>
        <v>86237.480999999985</v>
      </c>
      <c r="Y13" s="274">
        <f t="shared" si="3"/>
        <v>0.1</v>
      </c>
      <c r="Z13" s="274">
        <f t="shared" si="3"/>
        <v>7839.7709999999997</v>
      </c>
      <c r="AA13" s="81">
        <f t="shared" si="4"/>
        <v>1034849.7719999999</v>
      </c>
      <c r="AB13" s="1025">
        <f t="shared" si="5"/>
        <v>88207.447323559478</v>
      </c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</row>
    <row r="14" spans="1:44" s="80" customFormat="1" ht="15" customHeight="1">
      <c r="A14" s="5">
        <v>9</v>
      </c>
      <c r="B14" s="26" t="s">
        <v>399</v>
      </c>
      <c r="C14" s="6" t="s">
        <v>621</v>
      </c>
      <c r="D14" s="5" t="s">
        <v>25</v>
      </c>
      <c r="E14" s="34" t="s">
        <v>600</v>
      </c>
      <c r="F14" s="5" t="s">
        <v>77</v>
      </c>
      <c r="G14" s="40">
        <v>1</v>
      </c>
      <c r="H14" s="5" t="s">
        <v>61</v>
      </c>
      <c r="I14" s="5" t="s">
        <v>61</v>
      </c>
      <c r="J14" s="27">
        <v>1</v>
      </c>
      <c r="K14" s="7">
        <v>17697</v>
      </c>
      <c r="L14" s="7"/>
      <c r="M14" s="7">
        <v>1</v>
      </c>
      <c r="N14" s="732"/>
      <c r="O14" s="1022" t="s">
        <v>402</v>
      </c>
      <c r="P14" s="18">
        <f t="shared" si="6"/>
        <v>53798.879999999997</v>
      </c>
      <c r="Q14" s="882"/>
      <c r="R14" s="7"/>
      <c r="S14" s="8"/>
      <c r="T14" s="7">
        <v>0.1</v>
      </c>
      <c r="U14" s="7">
        <f t="shared" si="1"/>
        <v>5379.8879999999999</v>
      </c>
      <c r="V14" s="7"/>
      <c r="W14" s="9"/>
      <c r="X14" s="10">
        <f t="shared" si="2"/>
        <v>59178.767999999996</v>
      </c>
      <c r="Y14" s="274">
        <f t="shared" si="3"/>
        <v>0.1</v>
      </c>
      <c r="Z14" s="274">
        <f t="shared" si="3"/>
        <v>5379.8879999999999</v>
      </c>
      <c r="AA14" s="81">
        <f t="shared" si="4"/>
        <v>710145.21600000001</v>
      </c>
      <c r="AB14" s="1025">
        <f t="shared" si="5"/>
        <v>60530.618479372664</v>
      </c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</row>
    <row r="15" spans="1:44" s="80" customFormat="1" ht="15" customHeight="1">
      <c r="A15" s="266">
        <v>10</v>
      </c>
      <c r="B15" s="292" t="s">
        <v>62</v>
      </c>
      <c r="C15" s="285" t="s">
        <v>63</v>
      </c>
      <c r="D15" s="266" t="s">
        <v>64</v>
      </c>
      <c r="E15" s="266" t="s">
        <v>730</v>
      </c>
      <c r="F15" s="266" t="s">
        <v>367</v>
      </c>
      <c r="G15" s="266">
        <v>1</v>
      </c>
      <c r="H15" s="288" t="s">
        <v>56</v>
      </c>
      <c r="I15" s="288" t="s">
        <v>56</v>
      </c>
      <c r="J15" s="293">
        <v>3</v>
      </c>
      <c r="K15" s="270">
        <v>17697</v>
      </c>
      <c r="L15" s="270"/>
      <c r="M15" s="270">
        <v>1</v>
      </c>
      <c r="N15" s="270"/>
      <c r="O15" s="1141">
        <v>3.61</v>
      </c>
      <c r="P15" s="282">
        <f t="shared" si="6"/>
        <v>63886.17</v>
      </c>
      <c r="Q15" s="994"/>
      <c r="R15" s="270"/>
      <c r="S15" s="271"/>
      <c r="T15" s="270">
        <v>0.1</v>
      </c>
      <c r="U15" s="270">
        <f t="shared" si="1"/>
        <v>6388.6170000000002</v>
      </c>
      <c r="V15" s="270"/>
      <c r="W15" s="273"/>
      <c r="X15" s="274">
        <f t="shared" si="2"/>
        <v>70274.786999999997</v>
      </c>
      <c r="Y15" s="274">
        <f t="shared" si="3"/>
        <v>0.1</v>
      </c>
      <c r="Z15" s="274">
        <f t="shared" si="3"/>
        <v>6388.6170000000002</v>
      </c>
      <c r="AA15" s="81">
        <f t="shared" si="4"/>
        <v>843297.4439999999</v>
      </c>
      <c r="AB15" s="1025">
        <f t="shared" si="5"/>
        <v>71880.109444255024</v>
      </c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</row>
    <row r="16" spans="1:44" s="80" customFormat="1" ht="15" customHeight="1">
      <c r="A16" s="266">
        <v>11</v>
      </c>
      <c r="B16" s="292" t="s">
        <v>400</v>
      </c>
      <c r="C16" s="285" t="s">
        <v>63</v>
      </c>
      <c r="D16" s="266" t="s">
        <v>64</v>
      </c>
      <c r="E16" s="272" t="s">
        <v>729</v>
      </c>
      <c r="F16" s="266" t="s">
        <v>122</v>
      </c>
      <c r="G16" s="266">
        <v>1.5</v>
      </c>
      <c r="H16" s="288" t="s">
        <v>69</v>
      </c>
      <c r="I16" s="288" t="s">
        <v>69</v>
      </c>
      <c r="J16" s="312" t="s">
        <v>30</v>
      </c>
      <c r="K16" s="270">
        <v>17697</v>
      </c>
      <c r="L16" s="270"/>
      <c r="M16" s="270">
        <v>1.5</v>
      </c>
      <c r="N16" s="270"/>
      <c r="O16" s="1142">
        <v>3.35</v>
      </c>
      <c r="P16" s="282">
        <f>O16*K16*M16</f>
        <v>88927.425000000003</v>
      </c>
      <c r="Q16" s="994"/>
      <c r="R16" s="271"/>
      <c r="S16" s="270"/>
      <c r="T16" s="270">
        <v>0.1</v>
      </c>
      <c r="U16" s="270">
        <f t="shared" si="1"/>
        <v>8892.7425000000003</v>
      </c>
      <c r="V16" s="273"/>
      <c r="W16" s="270"/>
      <c r="X16" s="274">
        <f t="shared" si="2"/>
        <v>97820.16750000001</v>
      </c>
      <c r="Y16" s="274">
        <f t="shared" si="3"/>
        <v>0.1</v>
      </c>
      <c r="Z16" s="274">
        <f t="shared" si="3"/>
        <v>8892.7425000000003</v>
      </c>
      <c r="AA16" s="81">
        <f t="shared" si="4"/>
        <v>1173842.0100000002</v>
      </c>
      <c r="AB16" s="1025">
        <f t="shared" si="5"/>
        <v>100054.72297988411</v>
      </c>
    </row>
    <row r="17" spans="1:40" s="364" customFormat="1" ht="15.75" customHeight="1">
      <c r="A17" s="5">
        <v>12</v>
      </c>
      <c r="B17" s="13" t="s">
        <v>378</v>
      </c>
      <c r="C17" s="13" t="s">
        <v>63</v>
      </c>
      <c r="D17" s="5" t="s">
        <v>64</v>
      </c>
      <c r="E17" s="14">
        <v>0</v>
      </c>
      <c r="F17" s="5" t="s">
        <v>159</v>
      </c>
      <c r="G17" s="5">
        <v>0.5</v>
      </c>
      <c r="H17" s="15" t="s">
        <v>56</v>
      </c>
      <c r="I17" s="15" t="s">
        <v>56</v>
      </c>
      <c r="J17" s="14">
        <v>3</v>
      </c>
      <c r="K17" s="15">
        <v>17697</v>
      </c>
      <c r="L17" s="15"/>
      <c r="M17" s="7">
        <v>0.5</v>
      </c>
      <c r="N17" s="21"/>
      <c r="O17" s="10">
        <v>3.31</v>
      </c>
      <c r="P17" s="18">
        <f t="shared" si="6"/>
        <v>29288.535</v>
      </c>
      <c r="Q17" s="882"/>
      <c r="R17" s="8"/>
      <c r="S17" s="7"/>
      <c r="T17" s="7">
        <v>0.1</v>
      </c>
      <c r="U17" s="7">
        <f t="shared" si="1"/>
        <v>2928.8535000000002</v>
      </c>
      <c r="V17" s="9"/>
      <c r="W17" s="7"/>
      <c r="X17" s="10">
        <f t="shared" si="2"/>
        <v>32217.388500000001</v>
      </c>
      <c r="Y17" s="406">
        <f t="shared" si="3"/>
        <v>0.1</v>
      </c>
      <c r="Z17" s="406">
        <f t="shared" si="3"/>
        <v>2928.8535000000002</v>
      </c>
      <c r="AA17" s="81">
        <f t="shared" si="4"/>
        <v>386608.66200000001</v>
      </c>
      <c r="AB17" s="1025">
        <f t="shared" si="5"/>
        <v>32953.346573474264</v>
      </c>
    </row>
    <row r="18" spans="1:40" s="129" customFormat="1" ht="15.75" customHeight="1">
      <c r="A18" s="266">
        <v>13</v>
      </c>
      <c r="B18" s="285" t="s">
        <v>70</v>
      </c>
      <c r="C18" s="285" t="s">
        <v>71</v>
      </c>
      <c r="D18" s="266" t="s">
        <v>25</v>
      </c>
      <c r="E18" s="14" t="s">
        <v>731</v>
      </c>
      <c r="F18" s="266" t="s">
        <v>239</v>
      </c>
      <c r="G18" s="266">
        <v>1</v>
      </c>
      <c r="H18" s="308" t="s">
        <v>56</v>
      </c>
      <c r="I18" s="308" t="s">
        <v>56</v>
      </c>
      <c r="J18" s="308">
        <v>2</v>
      </c>
      <c r="K18" s="287">
        <v>17697</v>
      </c>
      <c r="L18" s="287"/>
      <c r="M18" s="274">
        <v>0.5</v>
      </c>
      <c r="N18" s="289"/>
      <c r="O18" s="1141">
        <v>4.46</v>
      </c>
      <c r="P18" s="282">
        <f>O18*K18*M18</f>
        <v>39464.31</v>
      </c>
      <c r="Q18" s="1140"/>
      <c r="R18" s="271"/>
      <c r="S18" s="270"/>
      <c r="T18" s="270">
        <v>0.1</v>
      </c>
      <c r="U18" s="270">
        <f t="shared" si="1"/>
        <v>3946.431</v>
      </c>
      <c r="V18" s="273">
        <v>0.2</v>
      </c>
      <c r="W18" s="270">
        <f>V18*K18*50%</f>
        <v>1769.7</v>
      </c>
      <c r="X18" s="274">
        <f>P18+S18+U18+W18+Q18</f>
        <v>45180.440999999992</v>
      </c>
      <c r="Y18" s="274">
        <f>R18+T18+V18+X18</f>
        <v>45180.740999999995</v>
      </c>
      <c r="Z18" s="274">
        <f>S18+U18+W18+Y18</f>
        <v>50896.871999999996</v>
      </c>
      <c r="AA18" s="81">
        <f t="shared" si="4"/>
        <v>542165.2919999999</v>
      </c>
      <c r="AB18" s="1025">
        <f t="shared" si="5"/>
        <v>46212.520627344013</v>
      </c>
    </row>
    <row r="19" spans="1:40" s="129" customFormat="1" ht="15.75" customHeight="1">
      <c r="A19" s="266">
        <v>14</v>
      </c>
      <c r="B19" s="285" t="s">
        <v>378</v>
      </c>
      <c r="C19" s="285" t="s">
        <v>71</v>
      </c>
      <c r="D19" s="266" t="s">
        <v>75</v>
      </c>
      <c r="E19" s="14" t="s">
        <v>666</v>
      </c>
      <c r="F19" s="266" t="s">
        <v>602</v>
      </c>
      <c r="G19" s="266">
        <v>0.5</v>
      </c>
      <c r="H19" s="287" t="s">
        <v>56</v>
      </c>
      <c r="I19" s="287" t="s">
        <v>56</v>
      </c>
      <c r="J19" s="286">
        <v>2</v>
      </c>
      <c r="K19" s="287">
        <v>17697</v>
      </c>
      <c r="L19" s="287"/>
      <c r="M19" s="274">
        <v>0.5</v>
      </c>
      <c r="N19" s="289"/>
      <c r="O19" s="274">
        <v>4.1399999999999997</v>
      </c>
      <c r="P19" s="282">
        <f>O19*K19*M19</f>
        <v>36632.789999999994</v>
      </c>
      <c r="Q19" s="1140"/>
      <c r="R19" s="271"/>
      <c r="S19" s="270"/>
      <c r="T19" s="270">
        <v>0.1</v>
      </c>
      <c r="U19" s="270">
        <f t="shared" si="1"/>
        <v>3663.2789999999995</v>
      </c>
      <c r="V19" s="273">
        <v>0.2</v>
      </c>
      <c r="W19" s="270">
        <f>V19*K19*50%</f>
        <v>1769.7</v>
      </c>
      <c r="X19" s="274">
        <f t="shared" si="2"/>
        <v>42065.768999999993</v>
      </c>
      <c r="Y19" s="274">
        <f>R19+T19+V19+X19</f>
        <v>42066.068999999996</v>
      </c>
      <c r="Z19" s="274">
        <f>S19+U19+W19+Y19</f>
        <v>47499.047999999995</v>
      </c>
      <c r="AA19" s="81">
        <f t="shared" si="4"/>
        <v>504789.22799999989</v>
      </c>
      <c r="AB19" s="1025">
        <f t="shared" si="5"/>
        <v>43026.698602113873</v>
      </c>
    </row>
    <row r="20" spans="1:40" s="80" customFormat="1" ht="15" customHeight="1">
      <c r="A20" s="5">
        <v>15</v>
      </c>
      <c r="B20" s="26" t="s">
        <v>619</v>
      </c>
      <c r="C20" s="6" t="s">
        <v>622</v>
      </c>
      <c r="D20" s="5" t="s">
        <v>25</v>
      </c>
      <c r="E20" s="5" t="s">
        <v>643</v>
      </c>
      <c r="F20" s="5" t="s">
        <v>644</v>
      </c>
      <c r="G20" s="5">
        <v>1</v>
      </c>
      <c r="H20" s="5" t="s">
        <v>56</v>
      </c>
      <c r="I20" s="5" t="s">
        <v>56</v>
      </c>
      <c r="J20" s="27">
        <v>2</v>
      </c>
      <c r="K20" s="7">
        <v>17697</v>
      </c>
      <c r="L20" s="7"/>
      <c r="M20" s="7">
        <v>0.5</v>
      </c>
      <c r="N20" s="739"/>
      <c r="O20" s="10">
        <v>3.54</v>
      </c>
      <c r="P20" s="18">
        <f t="shared" si="6"/>
        <v>31323.69</v>
      </c>
      <c r="Q20" s="894"/>
      <c r="R20" s="7"/>
      <c r="S20" s="8"/>
      <c r="T20" s="7">
        <v>0.1</v>
      </c>
      <c r="U20" s="7">
        <f t="shared" si="1"/>
        <v>3132.3690000000001</v>
      </c>
      <c r="V20" s="7"/>
      <c r="W20" s="9"/>
      <c r="X20" s="10">
        <f t="shared" si="2"/>
        <v>34456.059000000001</v>
      </c>
      <c r="Y20" s="274">
        <f t="shared" si="3"/>
        <v>0.1</v>
      </c>
      <c r="Z20" s="274">
        <f t="shared" si="3"/>
        <v>3132.3690000000001</v>
      </c>
      <c r="AA20" s="81">
        <f t="shared" si="4"/>
        <v>413472.70799999998</v>
      </c>
      <c r="AB20" s="1025">
        <f t="shared" si="5"/>
        <v>35243.156154108423</v>
      </c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</row>
    <row r="21" spans="1:40" s="78" customFormat="1" ht="15.75" customHeight="1">
      <c r="A21" s="5">
        <v>16</v>
      </c>
      <c r="B21" s="29" t="s">
        <v>81</v>
      </c>
      <c r="C21" s="6" t="s">
        <v>82</v>
      </c>
      <c r="D21" s="30" t="s">
        <v>64</v>
      </c>
      <c r="E21" s="5" t="s">
        <v>597</v>
      </c>
      <c r="F21" s="30" t="s">
        <v>84</v>
      </c>
      <c r="G21" s="21">
        <v>1</v>
      </c>
      <c r="H21" s="20" t="s">
        <v>56</v>
      </c>
      <c r="I21" s="5" t="s">
        <v>56</v>
      </c>
      <c r="J21" s="20">
        <v>3</v>
      </c>
      <c r="K21" s="7">
        <v>17697</v>
      </c>
      <c r="L21" s="7"/>
      <c r="M21" s="7">
        <v>1</v>
      </c>
      <c r="N21" s="7"/>
      <c r="O21" s="10">
        <v>3.5</v>
      </c>
      <c r="P21" s="18">
        <f t="shared" si="6"/>
        <v>61939.5</v>
      </c>
      <c r="Q21" s="894"/>
      <c r="R21" s="7"/>
      <c r="S21" s="8"/>
      <c r="T21" s="7">
        <v>0.1</v>
      </c>
      <c r="U21" s="7">
        <f t="shared" si="1"/>
        <v>6193.9500000000007</v>
      </c>
      <c r="V21" s="7"/>
      <c r="W21" s="9"/>
      <c r="X21" s="10">
        <f t="shared" si="2"/>
        <v>68133.45</v>
      </c>
      <c r="Y21" s="274">
        <f t="shared" si="3"/>
        <v>0.1</v>
      </c>
      <c r="Z21" s="274">
        <f t="shared" si="3"/>
        <v>6193.9500000000007</v>
      </c>
      <c r="AA21" s="81">
        <f t="shared" si="4"/>
        <v>817601.39999999991</v>
      </c>
      <c r="AB21" s="1025">
        <f t="shared" si="5"/>
        <v>69689.856801909307</v>
      </c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</row>
    <row r="22" spans="1:40" s="80" customFormat="1" ht="18" customHeight="1">
      <c r="A22" s="266">
        <v>17</v>
      </c>
      <c r="B22" s="292" t="s">
        <v>85</v>
      </c>
      <c r="C22" s="268" t="s">
        <v>86</v>
      </c>
      <c r="D22" s="266" t="s">
        <v>25</v>
      </c>
      <c r="E22" s="270" t="s">
        <v>733</v>
      </c>
      <c r="F22" s="266" t="s">
        <v>249</v>
      </c>
      <c r="G22" s="266">
        <v>1</v>
      </c>
      <c r="H22" s="266" t="s">
        <v>56</v>
      </c>
      <c r="I22" s="266" t="s">
        <v>56</v>
      </c>
      <c r="J22" s="269" t="s">
        <v>57</v>
      </c>
      <c r="K22" s="270">
        <v>17697</v>
      </c>
      <c r="L22" s="270"/>
      <c r="M22" s="270">
        <v>1</v>
      </c>
      <c r="N22" s="270"/>
      <c r="O22" s="274">
        <v>4.43</v>
      </c>
      <c r="P22" s="282">
        <f t="shared" si="6"/>
        <v>78397.709999999992</v>
      </c>
      <c r="Q22" s="1140"/>
      <c r="R22" s="271"/>
      <c r="S22" s="298"/>
      <c r="T22" s="270">
        <v>0.1</v>
      </c>
      <c r="U22" s="270">
        <f t="shared" si="1"/>
        <v>7839.7709999999997</v>
      </c>
      <c r="V22" s="299"/>
      <c r="W22" s="298"/>
      <c r="X22" s="274">
        <f t="shared" si="2"/>
        <v>86237.480999999985</v>
      </c>
      <c r="Y22" s="274">
        <f t="shared" si="3"/>
        <v>0.1</v>
      </c>
      <c r="Z22" s="274">
        <f t="shared" si="3"/>
        <v>7839.7709999999997</v>
      </c>
      <c r="AA22" s="81">
        <f t="shared" si="4"/>
        <v>1034849.7719999999</v>
      </c>
      <c r="AB22" s="1025">
        <f t="shared" si="5"/>
        <v>88207.447323559478</v>
      </c>
    </row>
    <row r="23" spans="1:40" s="80" customFormat="1" ht="17.25" customHeight="1">
      <c r="A23" s="266">
        <v>18</v>
      </c>
      <c r="B23" s="1143" t="s">
        <v>732</v>
      </c>
      <c r="C23" s="268" t="s">
        <v>86</v>
      </c>
      <c r="D23" s="288" t="s">
        <v>25</v>
      </c>
      <c r="E23" s="1144" t="s">
        <v>707</v>
      </c>
      <c r="F23" s="1144" t="s">
        <v>159</v>
      </c>
      <c r="G23" s="302">
        <v>1</v>
      </c>
      <c r="H23" s="266" t="s">
        <v>56</v>
      </c>
      <c r="I23" s="266" t="s">
        <v>56</v>
      </c>
      <c r="J23" s="269" t="s">
        <v>57</v>
      </c>
      <c r="K23" s="270">
        <v>17697</v>
      </c>
      <c r="L23" s="303"/>
      <c r="M23" s="303">
        <v>0.5</v>
      </c>
      <c r="N23" s="303"/>
      <c r="O23" s="304">
        <v>4.0999999999999996</v>
      </c>
      <c r="P23" s="305">
        <f>O23*K23*M23</f>
        <v>36278.85</v>
      </c>
      <c r="Q23" s="1140"/>
      <c r="R23" s="306"/>
      <c r="S23" s="303"/>
      <c r="T23" s="303">
        <v>0.1</v>
      </c>
      <c r="U23" s="270">
        <f t="shared" si="1"/>
        <v>3627.8850000000002</v>
      </c>
      <c r="V23" s="307"/>
      <c r="W23" s="303"/>
      <c r="X23" s="274">
        <f t="shared" si="2"/>
        <v>39906.735000000001</v>
      </c>
      <c r="Y23" s="304">
        <f t="shared" si="3"/>
        <v>0.1</v>
      </c>
      <c r="Z23" s="304">
        <f t="shared" si="3"/>
        <v>3627.8850000000002</v>
      </c>
      <c r="AA23" s="81">
        <f t="shared" si="4"/>
        <v>478880.82</v>
      </c>
      <c r="AB23" s="1025">
        <f t="shared" si="5"/>
        <v>40818.344698261171</v>
      </c>
    </row>
    <row r="24" spans="1:40" s="80" customFormat="1" ht="17.25" customHeight="1">
      <c r="A24" s="5">
        <v>21</v>
      </c>
      <c r="B24" s="32" t="s">
        <v>399</v>
      </c>
      <c r="C24" s="39" t="s">
        <v>95</v>
      </c>
      <c r="D24" s="40" t="s">
        <v>25</v>
      </c>
      <c r="E24" s="34" t="s">
        <v>599</v>
      </c>
      <c r="F24" s="5" t="s">
        <v>403</v>
      </c>
      <c r="G24" s="40">
        <v>0.5</v>
      </c>
      <c r="H24" s="40" t="s">
        <v>56</v>
      </c>
      <c r="I24" s="40" t="s">
        <v>56</v>
      </c>
      <c r="J24" s="41" t="s">
        <v>57</v>
      </c>
      <c r="K24" s="34">
        <v>17697</v>
      </c>
      <c r="L24" s="34"/>
      <c r="M24" s="34">
        <v>0.5</v>
      </c>
      <c r="N24" s="34"/>
      <c r="O24" s="35">
        <v>4.43</v>
      </c>
      <c r="P24" s="36">
        <f>O24*K24*M24</f>
        <v>39198.854999999996</v>
      </c>
      <c r="Q24" s="894"/>
      <c r="R24" s="37"/>
      <c r="S24" s="34"/>
      <c r="T24" s="34">
        <v>0.1</v>
      </c>
      <c r="U24" s="7">
        <f t="shared" si="1"/>
        <v>3919.8854999999999</v>
      </c>
      <c r="V24" s="38"/>
      <c r="W24" s="34"/>
      <c r="X24" s="10">
        <f t="shared" si="2"/>
        <v>43118.740499999993</v>
      </c>
      <c r="Y24" s="304">
        <f t="shared" si="3"/>
        <v>0.1</v>
      </c>
      <c r="Z24" s="304">
        <f t="shared" si="3"/>
        <v>3919.8854999999999</v>
      </c>
      <c r="AA24" s="81">
        <f t="shared" si="4"/>
        <v>517424.88599999994</v>
      </c>
      <c r="AB24" s="1025">
        <f t="shared" si="5"/>
        <v>44103.723661779739</v>
      </c>
    </row>
    <row r="25" spans="1:40" s="24" customFormat="1" ht="17.25" customHeight="1">
      <c r="A25" s="189"/>
      <c r="B25" s="105"/>
      <c r="C25" s="106"/>
      <c r="D25" s="95"/>
      <c r="E25" s="97"/>
      <c r="F25" s="95"/>
      <c r="G25" s="95"/>
      <c r="H25" s="95"/>
      <c r="I25" s="95"/>
      <c r="J25" s="123"/>
      <c r="K25" s="97"/>
      <c r="L25" s="97"/>
      <c r="M25" s="97"/>
      <c r="N25" s="97"/>
      <c r="O25" s="197"/>
      <c r="P25" s="101"/>
      <c r="Q25" s="1029"/>
      <c r="R25" s="102"/>
      <c r="S25" s="97"/>
      <c r="T25" s="97"/>
      <c r="U25" s="101"/>
      <c r="V25" s="103"/>
      <c r="W25" s="97"/>
      <c r="X25" s="203"/>
      <c r="Y25" s="104"/>
      <c r="Z25" s="104"/>
      <c r="AA25" s="81">
        <f>SUM(AA6:AA24)</f>
        <v>20473551.593999997</v>
      </c>
      <c r="AB25" s="683">
        <f>SUM(AB6:AB24)</f>
        <v>1745103.2725877943</v>
      </c>
      <c r="AC25" s="22">
        <f>SUM(X6:X24)</f>
        <v>1706129.2995</v>
      </c>
      <c r="AD25" s="683"/>
    </row>
    <row r="26" spans="1:40" s="377" customFormat="1" ht="17.25" customHeight="1">
      <c r="A26" s="1209">
        <v>22</v>
      </c>
      <c r="B26" s="1229" t="s">
        <v>98</v>
      </c>
      <c r="C26" s="1230" t="s">
        <v>99</v>
      </c>
      <c r="D26" s="1209" t="s">
        <v>25</v>
      </c>
      <c r="E26" s="1231" t="s">
        <v>647</v>
      </c>
      <c r="F26" s="1231" t="s">
        <v>463</v>
      </c>
      <c r="G26" s="1209">
        <v>1</v>
      </c>
      <c r="H26" s="1209" t="s">
        <v>102</v>
      </c>
      <c r="I26" s="1209" t="s">
        <v>103</v>
      </c>
      <c r="J26" s="1237">
        <v>1</v>
      </c>
      <c r="K26" s="1232">
        <v>17697</v>
      </c>
      <c r="L26" s="1238">
        <v>35</v>
      </c>
      <c r="M26" s="1166">
        <f t="shared" ref="M26:M40" si="7">L26/18</f>
        <v>1.9444444444444444</v>
      </c>
      <c r="N26" s="1233" t="s">
        <v>152</v>
      </c>
      <c r="O26" s="1234">
        <v>4.55</v>
      </c>
      <c r="P26" s="401">
        <f t="shared" ref="P26:P40" si="8">O26*K26/18*L26</f>
        <v>156569.29166666666</v>
      </c>
      <c r="Q26" s="401">
        <f>P26*25%</f>
        <v>39142.322916666664</v>
      </c>
      <c r="R26" s="1235"/>
      <c r="S26" s="1232"/>
      <c r="T26" s="1232">
        <v>0.1</v>
      </c>
      <c r="U26" s="401">
        <f>(P26+Q26)*T26</f>
        <v>19571.161458333332</v>
      </c>
      <c r="V26" s="1236"/>
      <c r="W26" s="1232"/>
      <c r="X26" s="1208">
        <f>P26+Q26+U26</f>
        <v>215282.77604166666</v>
      </c>
      <c r="Y26" s="363">
        <f>V26+R26</f>
        <v>0</v>
      </c>
      <c r="Z26" s="363">
        <f>W26+S26</f>
        <v>0</v>
      </c>
      <c r="AA26" s="375">
        <f t="shared" si="4"/>
        <v>2583393.3125</v>
      </c>
      <c r="AB26" s="377">
        <f>AA26/12/29.33*56</f>
        <v>411041.09984089102</v>
      </c>
      <c r="AC26" s="377">
        <f>AA26*1.25</f>
        <v>3229241.640625</v>
      </c>
      <c r="AD26" s="377">
        <f>AC26/12/29.33*56</f>
        <v>513801.37480111379</v>
      </c>
    </row>
    <row r="27" spans="1:40" s="377" customFormat="1" ht="17.25" customHeight="1">
      <c r="A27" s="423">
        <v>23</v>
      </c>
      <c r="B27" s="1239" t="s">
        <v>41</v>
      </c>
      <c r="C27" s="1240" t="s">
        <v>99</v>
      </c>
      <c r="D27" s="1158" t="s">
        <v>25</v>
      </c>
      <c r="E27" s="1241" t="s">
        <v>648</v>
      </c>
      <c r="F27" s="1241" t="s">
        <v>34</v>
      </c>
      <c r="G27" s="1209">
        <v>1</v>
      </c>
      <c r="H27" s="1242" t="s">
        <v>102</v>
      </c>
      <c r="I27" s="1242" t="s">
        <v>103</v>
      </c>
      <c r="J27" s="1243">
        <v>2</v>
      </c>
      <c r="K27" s="1173">
        <v>17697</v>
      </c>
      <c r="L27" s="1244">
        <v>9</v>
      </c>
      <c r="M27" s="1166">
        <f t="shared" si="7"/>
        <v>0.5</v>
      </c>
      <c r="N27" s="1190" t="s">
        <v>104</v>
      </c>
      <c r="O27" s="1206">
        <v>4.51</v>
      </c>
      <c r="P27" s="1171">
        <f t="shared" si="8"/>
        <v>39906.735000000001</v>
      </c>
      <c r="Q27" s="401">
        <f t="shared" ref="Q27:Q79" si="9">P27*25%</f>
        <v>9976.6837500000001</v>
      </c>
      <c r="R27" s="1203"/>
      <c r="S27" s="1166"/>
      <c r="T27" s="1166">
        <v>0.1</v>
      </c>
      <c r="U27" s="401">
        <f t="shared" ref="U27:U78" si="10">(P27+Q27)*T27</f>
        <v>4988.3418750000001</v>
      </c>
      <c r="V27" s="1207"/>
      <c r="W27" s="1166"/>
      <c r="X27" s="1208">
        <f t="shared" ref="X27:X79" si="11">P27+Q27+U27</f>
        <v>54871.760624999995</v>
      </c>
      <c r="Y27" s="406">
        <f t="shared" ref="Y27:Z71" si="12">V27+R27</f>
        <v>0</v>
      </c>
      <c r="Z27" s="406">
        <f t="shared" si="12"/>
        <v>0</v>
      </c>
      <c r="AA27" s="375">
        <f t="shared" si="4"/>
        <v>658461.12749999994</v>
      </c>
      <c r="AB27" s="377">
        <f t="shared" ref="AB27:AB93" si="13">AA27/12/29.33*56</f>
        <v>104767.08472553699</v>
      </c>
      <c r="AC27" s="377">
        <f t="shared" ref="AC27:AC93" si="14">AA27*1.25</f>
        <v>823076.40937499993</v>
      </c>
      <c r="AD27" s="377">
        <f t="shared" ref="AD27:AD93" si="15">AC27/12/29.33*56</f>
        <v>130958.85590692124</v>
      </c>
    </row>
    <row r="28" spans="1:40" s="80" customFormat="1" ht="15.75">
      <c r="A28" s="547">
        <v>24</v>
      </c>
      <c r="B28" s="998" t="s">
        <v>445</v>
      </c>
      <c r="C28" s="873" t="s">
        <v>99</v>
      </c>
      <c r="D28" s="1002" t="s">
        <v>25</v>
      </c>
      <c r="E28" s="664" t="s">
        <v>593</v>
      </c>
      <c r="F28" s="562" t="s">
        <v>217</v>
      </c>
      <c r="G28" s="547">
        <v>1</v>
      </c>
      <c r="H28" s="560" t="s">
        <v>102</v>
      </c>
      <c r="I28" s="560" t="s">
        <v>103</v>
      </c>
      <c r="J28" s="572">
        <v>1</v>
      </c>
      <c r="K28" s="554">
        <v>17697</v>
      </c>
      <c r="L28" s="573">
        <v>10</v>
      </c>
      <c r="M28" s="554">
        <f t="shared" si="7"/>
        <v>0.55555555555555558</v>
      </c>
      <c r="N28" s="574" t="s">
        <v>152</v>
      </c>
      <c r="O28" s="1015">
        <v>4.6900000000000004</v>
      </c>
      <c r="P28" s="567">
        <f t="shared" si="8"/>
        <v>46110.51666666667</v>
      </c>
      <c r="Q28" s="556">
        <f t="shared" si="9"/>
        <v>11527.629166666668</v>
      </c>
      <c r="R28" s="568"/>
      <c r="S28" s="554"/>
      <c r="T28" s="554">
        <v>0.1</v>
      </c>
      <c r="U28" s="556">
        <f t="shared" si="10"/>
        <v>5763.8145833333338</v>
      </c>
      <c r="V28" s="569"/>
      <c r="W28" s="554"/>
      <c r="X28" s="559">
        <f t="shared" si="11"/>
        <v>63401.960416666669</v>
      </c>
      <c r="Y28" s="274">
        <f t="shared" si="12"/>
        <v>0</v>
      </c>
      <c r="Z28" s="274">
        <f t="shared" si="12"/>
        <v>0</v>
      </c>
      <c r="AA28" s="81">
        <f t="shared" si="4"/>
        <v>760823.52500000002</v>
      </c>
      <c r="AB28" s="80">
        <f t="shared" si="13"/>
        <v>121053.86237072396</v>
      </c>
      <c r="AC28" s="80">
        <f t="shared" si="14"/>
        <v>951029.40625</v>
      </c>
      <c r="AD28" s="80">
        <f t="shared" si="15"/>
        <v>151317.32796340494</v>
      </c>
    </row>
    <row r="29" spans="1:40" s="377" customFormat="1" ht="15.75">
      <c r="A29" s="423">
        <v>25</v>
      </c>
      <c r="B29" s="1220" t="s">
        <v>110</v>
      </c>
      <c r="C29" s="1197" t="s">
        <v>99</v>
      </c>
      <c r="D29" s="423" t="s">
        <v>25</v>
      </c>
      <c r="E29" s="1198" t="s">
        <v>650</v>
      </c>
      <c r="F29" s="1198" t="s">
        <v>77</v>
      </c>
      <c r="G29" s="1209">
        <v>1</v>
      </c>
      <c r="H29" s="1221" t="s">
        <v>102</v>
      </c>
      <c r="I29" s="1221" t="s">
        <v>103</v>
      </c>
      <c r="J29" s="1222">
        <v>3</v>
      </c>
      <c r="K29" s="1166">
        <v>17697</v>
      </c>
      <c r="L29" s="1205">
        <v>31</v>
      </c>
      <c r="M29" s="1166">
        <f t="shared" si="7"/>
        <v>1.7222222222222223</v>
      </c>
      <c r="N29" s="1211" t="s">
        <v>109</v>
      </c>
      <c r="O29" s="1213">
        <v>4</v>
      </c>
      <c r="P29" s="1171">
        <f t="shared" si="8"/>
        <v>121912.66666666666</v>
      </c>
      <c r="Q29" s="401">
        <f t="shared" si="9"/>
        <v>30478.166666666664</v>
      </c>
      <c r="R29" s="1203"/>
      <c r="S29" s="1166"/>
      <c r="T29" s="1166">
        <v>0.1</v>
      </c>
      <c r="U29" s="401">
        <f t="shared" si="10"/>
        <v>15239.083333333332</v>
      </c>
      <c r="V29" s="1207"/>
      <c r="W29" s="1166"/>
      <c r="X29" s="1208">
        <f t="shared" si="11"/>
        <v>167629.91666666666</v>
      </c>
      <c r="Y29" s="406"/>
      <c r="Z29" s="406"/>
      <c r="AA29" s="375">
        <f t="shared" si="4"/>
        <v>2011559</v>
      </c>
      <c r="AB29" s="377">
        <f t="shared" si="13"/>
        <v>320057.12012728717</v>
      </c>
      <c r="AC29" s="377">
        <f t="shared" si="14"/>
        <v>2514448.75</v>
      </c>
      <c r="AD29" s="377">
        <f t="shared" si="15"/>
        <v>400071.40015910903</v>
      </c>
    </row>
    <row r="30" spans="1:40" s="377" customFormat="1" ht="17.25" customHeight="1">
      <c r="A30" s="1209">
        <v>26</v>
      </c>
      <c r="B30" s="463" t="s">
        <v>106</v>
      </c>
      <c r="C30" s="1197" t="s">
        <v>99</v>
      </c>
      <c r="D30" s="423" t="s">
        <v>25</v>
      </c>
      <c r="E30" s="1198" t="s">
        <v>651</v>
      </c>
      <c r="F30" s="1198" t="s">
        <v>77</v>
      </c>
      <c r="G30" s="1209">
        <v>1</v>
      </c>
      <c r="H30" s="1164" t="s">
        <v>102</v>
      </c>
      <c r="I30" s="1164" t="s">
        <v>103</v>
      </c>
      <c r="J30" s="1165">
        <v>3</v>
      </c>
      <c r="K30" s="1166">
        <v>17697</v>
      </c>
      <c r="L30" s="1205">
        <v>12</v>
      </c>
      <c r="M30" s="1166">
        <f t="shared" si="7"/>
        <v>0.66666666666666663</v>
      </c>
      <c r="N30" s="1190" t="s">
        <v>109</v>
      </c>
      <c r="O30" s="1213">
        <v>4</v>
      </c>
      <c r="P30" s="1171">
        <f t="shared" si="8"/>
        <v>47192</v>
      </c>
      <c r="Q30" s="401">
        <f t="shared" si="9"/>
        <v>11798</v>
      </c>
      <c r="R30" s="1203"/>
      <c r="S30" s="1166"/>
      <c r="T30" s="1166">
        <v>0.1</v>
      </c>
      <c r="U30" s="401">
        <f t="shared" si="10"/>
        <v>5899</v>
      </c>
      <c r="V30" s="1207"/>
      <c r="W30" s="1166"/>
      <c r="X30" s="1208">
        <f t="shared" si="11"/>
        <v>64889</v>
      </c>
      <c r="Y30" s="406">
        <f t="shared" si="12"/>
        <v>0</v>
      </c>
      <c r="Z30" s="406">
        <f t="shared" si="12"/>
        <v>0</v>
      </c>
      <c r="AA30" s="375">
        <f t="shared" si="4"/>
        <v>778668</v>
      </c>
      <c r="AB30" s="377">
        <f t="shared" si="13"/>
        <v>123893.07875894989</v>
      </c>
      <c r="AC30" s="377">
        <f t="shared" si="14"/>
        <v>973335</v>
      </c>
      <c r="AD30" s="377">
        <f t="shared" si="15"/>
        <v>154866.34844868738</v>
      </c>
    </row>
    <row r="31" spans="1:40" s="377" customFormat="1" ht="15.75">
      <c r="A31" s="423">
        <v>27</v>
      </c>
      <c r="B31" s="463" t="s">
        <v>215</v>
      </c>
      <c r="C31" s="1197" t="s">
        <v>99</v>
      </c>
      <c r="D31" s="1164" t="s">
        <v>25</v>
      </c>
      <c r="E31" s="1198" t="s">
        <v>750</v>
      </c>
      <c r="F31" s="1198" t="s">
        <v>217</v>
      </c>
      <c r="G31" s="1209">
        <v>1</v>
      </c>
      <c r="H31" s="1200" t="s">
        <v>102</v>
      </c>
      <c r="I31" s="1200" t="s">
        <v>103</v>
      </c>
      <c r="J31" s="1183">
        <v>1</v>
      </c>
      <c r="K31" s="1166">
        <v>17697</v>
      </c>
      <c r="L31" s="1201">
        <v>6</v>
      </c>
      <c r="M31" s="1166">
        <f t="shared" si="7"/>
        <v>0.33333333333333331</v>
      </c>
      <c r="N31" s="1183" t="s">
        <v>152</v>
      </c>
      <c r="O31" s="1204">
        <v>4.6900000000000004</v>
      </c>
      <c r="P31" s="1171">
        <f t="shared" si="8"/>
        <v>27666.310000000005</v>
      </c>
      <c r="Q31" s="401">
        <f t="shared" si="9"/>
        <v>6916.5775000000012</v>
      </c>
      <c r="R31" s="1203"/>
      <c r="S31" s="1166"/>
      <c r="T31" s="1166">
        <v>0.1</v>
      </c>
      <c r="U31" s="401">
        <f t="shared" si="10"/>
        <v>3458.2887500000006</v>
      </c>
      <c r="V31" s="1207"/>
      <c r="W31" s="1166"/>
      <c r="X31" s="1208">
        <f t="shared" si="11"/>
        <v>38041.176250000004</v>
      </c>
      <c r="Y31" s="359">
        <f t="shared" si="12"/>
        <v>0</v>
      </c>
      <c r="Z31" s="359">
        <f t="shared" si="12"/>
        <v>0</v>
      </c>
      <c r="AA31" s="375">
        <f t="shared" si="4"/>
        <v>456494.11500000005</v>
      </c>
      <c r="AB31" s="377">
        <f t="shared" si="13"/>
        <v>72632.317422434382</v>
      </c>
      <c r="AC31" s="377">
        <f t="shared" si="14"/>
        <v>570617.64375000005</v>
      </c>
      <c r="AD31" s="377">
        <f t="shared" si="15"/>
        <v>90790.396778042967</v>
      </c>
    </row>
    <row r="32" spans="1:40" s="80" customFormat="1" ht="17.25" customHeight="1">
      <c r="A32" s="1036">
        <v>28</v>
      </c>
      <c r="B32" s="1060" t="s">
        <v>23</v>
      </c>
      <c r="C32" s="1055" t="s">
        <v>99</v>
      </c>
      <c r="D32" s="290" t="s">
        <v>25</v>
      </c>
      <c r="E32" s="1056" t="s">
        <v>656</v>
      </c>
      <c r="F32" s="1056" t="s">
        <v>114</v>
      </c>
      <c r="G32" s="1036">
        <v>1</v>
      </c>
      <c r="H32" s="1061" t="s">
        <v>102</v>
      </c>
      <c r="I32" s="1061" t="s">
        <v>103</v>
      </c>
      <c r="J32" s="1074">
        <v>1</v>
      </c>
      <c r="K32" s="1039">
        <v>17697</v>
      </c>
      <c r="L32" s="1058">
        <v>9</v>
      </c>
      <c r="M32" s="1039">
        <f t="shared" si="7"/>
        <v>0.5</v>
      </c>
      <c r="N32" s="1054" t="s">
        <v>152</v>
      </c>
      <c r="O32" s="1075">
        <v>4.75</v>
      </c>
      <c r="P32" s="1049">
        <f t="shared" si="8"/>
        <v>42030.375</v>
      </c>
      <c r="Q32" s="328">
        <f t="shared" si="9"/>
        <v>10507.59375</v>
      </c>
      <c r="R32" s="1050"/>
      <c r="S32" s="1039"/>
      <c r="T32" s="1039">
        <v>0.1</v>
      </c>
      <c r="U32" s="328">
        <f t="shared" si="10"/>
        <v>5253.796875</v>
      </c>
      <c r="V32" s="1051"/>
      <c r="W32" s="1039"/>
      <c r="X32" s="1040">
        <f t="shared" si="11"/>
        <v>57791.765625</v>
      </c>
      <c r="Y32" s="270">
        <f t="shared" si="12"/>
        <v>0</v>
      </c>
      <c r="Z32" s="270">
        <f t="shared" si="12"/>
        <v>0</v>
      </c>
      <c r="AA32" s="81">
        <f t="shared" si="4"/>
        <v>693501.1875</v>
      </c>
      <c r="AB32" s="80">
        <f t="shared" si="13"/>
        <v>110342.27326968974</v>
      </c>
      <c r="AC32" s="80">
        <f t="shared" si="14"/>
        <v>866876.484375</v>
      </c>
      <c r="AD32" s="80">
        <f t="shared" si="15"/>
        <v>137927.84158711217</v>
      </c>
    </row>
    <row r="33" spans="1:30" s="80" customFormat="1" ht="17.25" customHeight="1">
      <c r="A33" s="290">
        <v>29</v>
      </c>
      <c r="B33" s="1060" t="s">
        <v>631</v>
      </c>
      <c r="C33" s="1055" t="s">
        <v>525</v>
      </c>
      <c r="D33" s="290" t="s">
        <v>25</v>
      </c>
      <c r="E33" s="1076" t="s">
        <v>657</v>
      </c>
      <c r="F33" s="1056" t="s">
        <v>114</v>
      </c>
      <c r="G33" s="1036">
        <v>1</v>
      </c>
      <c r="H33" s="1061" t="s">
        <v>102</v>
      </c>
      <c r="I33" s="1061" t="s">
        <v>103</v>
      </c>
      <c r="J33" s="1074">
        <v>1</v>
      </c>
      <c r="K33" s="1039">
        <v>17697</v>
      </c>
      <c r="L33" s="1058">
        <v>27</v>
      </c>
      <c r="M33" s="1039">
        <f t="shared" si="7"/>
        <v>1.5</v>
      </c>
      <c r="N33" s="1054" t="s">
        <v>152</v>
      </c>
      <c r="O33" s="1075">
        <v>4.75</v>
      </c>
      <c r="P33" s="1049">
        <f>O33*K33/18*L33</f>
        <v>126091.12500000001</v>
      </c>
      <c r="Q33" s="328">
        <f t="shared" si="9"/>
        <v>31522.781250000004</v>
      </c>
      <c r="R33" s="1073"/>
      <c r="S33" s="1045"/>
      <c r="T33" s="1039">
        <v>0.1</v>
      </c>
      <c r="U33" s="328">
        <f t="shared" si="10"/>
        <v>15761.390625000004</v>
      </c>
      <c r="V33" s="1077"/>
      <c r="W33" s="1045"/>
      <c r="X33" s="1040">
        <f t="shared" si="11"/>
        <v>173375.29687500003</v>
      </c>
      <c r="Y33" s="994"/>
      <c r="Z33" s="994"/>
      <c r="AA33" s="81">
        <f t="shared" si="4"/>
        <v>2080503.5625000005</v>
      </c>
      <c r="AB33" s="80">
        <f t="shared" si="13"/>
        <v>331026.81980906927</v>
      </c>
      <c r="AC33" s="80">
        <f t="shared" si="14"/>
        <v>2600629.4531250005</v>
      </c>
      <c r="AD33" s="80">
        <f t="shared" si="15"/>
        <v>413783.52476133656</v>
      </c>
    </row>
    <row r="34" spans="1:30" s="80" customFormat="1" ht="17.25" customHeight="1">
      <c r="A34" s="1036">
        <v>30</v>
      </c>
      <c r="B34" s="1060" t="s">
        <v>124</v>
      </c>
      <c r="C34" s="1055" t="s">
        <v>125</v>
      </c>
      <c r="D34" s="290" t="s">
        <v>75</v>
      </c>
      <c r="E34" s="291" t="s">
        <v>503</v>
      </c>
      <c r="F34" s="1056" t="s">
        <v>77</v>
      </c>
      <c r="G34" s="1036">
        <v>1</v>
      </c>
      <c r="H34" s="1053" t="s">
        <v>102</v>
      </c>
      <c r="I34" s="1053" t="s">
        <v>118</v>
      </c>
      <c r="J34" s="1057">
        <v>3</v>
      </c>
      <c r="K34" s="1039">
        <v>17697</v>
      </c>
      <c r="L34" s="1058">
        <v>20.5</v>
      </c>
      <c r="M34" s="1039">
        <f t="shared" si="7"/>
        <v>1.1388888888888888</v>
      </c>
      <c r="N34" s="1078" t="s">
        <v>109</v>
      </c>
      <c r="O34" s="1075">
        <v>3.85</v>
      </c>
      <c r="P34" s="1070">
        <f>O34*K34/18*L34</f>
        <v>77596.429166666669</v>
      </c>
      <c r="Q34" s="328">
        <f t="shared" si="9"/>
        <v>19399.107291666667</v>
      </c>
      <c r="R34" s="1073"/>
      <c r="S34" s="1045"/>
      <c r="T34" s="1039">
        <v>0.1</v>
      </c>
      <c r="U34" s="328">
        <f t="shared" si="10"/>
        <v>9699.5536458333354</v>
      </c>
      <c r="V34" s="1077"/>
      <c r="W34" s="1045"/>
      <c r="X34" s="1040">
        <f t="shared" si="11"/>
        <v>106695.09010416668</v>
      </c>
      <c r="Y34" s="994"/>
      <c r="Z34" s="994"/>
      <c r="AA34" s="81">
        <f t="shared" si="4"/>
        <v>1280341.0812500003</v>
      </c>
      <c r="AB34" s="80">
        <f t="shared" si="13"/>
        <v>203713.77585521087</v>
      </c>
      <c r="AC34" s="80">
        <f t="shared" si="14"/>
        <v>1600426.3515625005</v>
      </c>
      <c r="AD34" s="80">
        <f t="shared" si="15"/>
        <v>254642.21981901361</v>
      </c>
    </row>
    <row r="35" spans="1:30" s="80" customFormat="1" ht="17.25" customHeight="1">
      <c r="A35" s="560">
        <v>31</v>
      </c>
      <c r="B35" s="153" t="s">
        <v>629</v>
      </c>
      <c r="C35" s="561" t="s">
        <v>99</v>
      </c>
      <c r="D35" s="560" t="s">
        <v>25</v>
      </c>
      <c r="E35" s="562" t="s">
        <v>633</v>
      </c>
      <c r="F35" s="562" t="s">
        <v>252</v>
      </c>
      <c r="G35" s="547">
        <v>1</v>
      </c>
      <c r="H35" s="563" t="s">
        <v>102</v>
      </c>
      <c r="I35" s="563" t="s">
        <v>103</v>
      </c>
      <c r="J35" s="581">
        <v>4</v>
      </c>
      <c r="K35" s="554">
        <v>17697</v>
      </c>
      <c r="L35" s="565">
        <v>16</v>
      </c>
      <c r="M35" s="554">
        <f t="shared" si="7"/>
        <v>0.88888888888888884</v>
      </c>
      <c r="N35" s="574" t="s">
        <v>112</v>
      </c>
      <c r="O35" s="1014">
        <v>3.78</v>
      </c>
      <c r="P35" s="567">
        <f t="shared" si="8"/>
        <v>59461.920000000006</v>
      </c>
      <c r="Q35" s="556">
        <f t="shared" si="9"/>
        <v>14865.480000000001</v>
      </c>
      <c r="R35" s="568"/>
      <c r="S35" s="554"/>
      <c r="T35" s="554">
        <v>0.1</v>
      </c>
      <c r="U35" s="556">
        <f t="shared" si="10"/>
        <v>7432.7400000000016</v>
      </c>
      <c r="V35" s="569"/>
      <c r="W35" s="554"/>
      <c r="X35" s="559">
        <f t="shared" si="11"/>
        <v>81760.140000000014</v>
      </c>
      <c r="Y35" s="274">
        <f t="shared" si="12"/>
        <v>0</v>
      </c>
      <c r="Z35" s="274">
        <f t="shared" si="12"/>
        <v>0</v>
      </c>
      <c r="AA35" s="81">
        <f t="shared" si="4"/>
        <v>981121.68000000017</v>
      </c>
      <c r="AB35" s="80">
        <f t="shared" si="13"/>
        <v>156105.27923627687</v>
      </c>
      <c r="AC35" s="80">
        <f t="shared" si="14"/>
        <v>1226402.1000000001</v>
      </c>
      <c r="AD35" s="80">
        <f t="shared" si="15"/>
        <v>195131.59904534608</v>
      </c>
    </row>
    <row r="36" spans="1:30" s="80" customFormat="1" ht="17.25" customHeight="1">
      <c r="A36" s="547">
        <v>32</v>
      </c>
      <c r="B36" s="153" t="s">
        <v>116</v>
      </c>
      <c r="C36" s="561" t="s">
        <v>99</v>
      </c>
      <c r="D36" s="560" t="s">
        <v>64</v>
      </c>
      <c r="E36" s="583" t="s">
        <v>589</v>
      </c>
      <c r="F36" s="562" t="s">
        <v>114</v>
      </c>
      <c r="G36" s="547">
        <v>1</v>
      </c>
      <c r="H36" s="563" t="s">
        <v>102</v>
      </c>
      <c r="I36" s="563" t="s">
        <v>118</v>
      </c>
      <c r="J36" s="564">
        <v>1</v>
      </c>
      <c r="K36" s="554">
        <v>17697</v>
      </c>
      <c r="L36" s="565">
        <v>18</v>
      </c>
      <c r="M36" s="554">
        <f t="shared" si="7"/>
        <v>1</v>
      </c>
      <c r="N36" s="574" t="s">
        <v>152</v>
      </c>
      <c r="O36" s="1014">
        <v>4.5199999999999996</v>
      </c>
      <c r="P36" s="567">
        <f t="shared" si="8"/>
        <v>79990.439999999988</v>
      </c>
      <c r="Q36" s="556">
        <f t="shared" si="9"/>
        <v>19997.609999999997</v>
      </c>
      <c r="R36" s="568"/>
      <c r="S36" s="554"/>
      <c r="T36" s="554">
        <v>0.1</v>
      </c>
      <c r="U36" s="556">
        <f t="shared" si="10"/>
        <v>9998.8050000000003</v>
      </c>
      <c r="V36" s="569"/>
      <c r="W36" s="554"/>
      <c r="X36" s="559">
        <f t="shared" si="11"/>
        <v>109986.85499999998</v>
      </c>
      <c r="Y36" s="274">
        <f t="shared" si="12"/>
        <v>0</v>
      </c>
      <c r="Z36" s="274">
        <f t="shared" si="12"/>
        <v>0</v>
      </c>
      <c r="AA36" s="81">
        <f t="shared" si="4"/>
        <v>1319842.2599999998</v>
      </c>
      <c r="AB36" s="80">
        <f t="shared" si="13"/>
        <v>209998.76849642003</v>
      </c>
      <c r="AC36" s="80">
        <f t="shared" si="14"/>
        <v>1649802.8249999997</v>
      </c>
      <c r="AD36" s="80">
        <f t="shared" si="15"/>
        <v>262498.460620525</v>
      </c>
    </row>
    <row r="37" spans="1:30" s="80" customFormat="1" ht="17.25" customHeight="1">
      <c r="A37" s="560">
        <v>33</v>
      </c>
      <c r="B37" s="153" t="s">
        <v>626</v>
      </c>
      <c r="C37" s="561" t="s">
        <v>99</v>
      </c>
      <c r="D37" s="560" t="s">
        <v>25</v>
      </c>
      <c r="E37" s="999" t="s">
        <v>634</v>
      </c>
      <c r="F37" s="582" t="s">
        <v>34</v>
      </c>
      <c r="G37" s="547">
        <v>1</v>
      </c>
      <c r="H37" s="1000" t="s">
        <v>102</v>
      </c>
      <c r="I37" s="1000" t="s">
        <v>103</v>
      </c>
      <c r="J37" s="1001">
        <v>2</v>
      </c>
      <c r="K37" s="554">
        <v>17697</v>
      </c>
      <c r="L37" s="565">
        <v>22</v>
      </c>
      <c r="M37" s="554">
        <f t="shared" si="7"/>
        <v>1.2222222222222223</v>
      </c>
      <c r="N37" s="574" t="s">
        <v>104</v>
      </c>
      <c r="O37" s="1014">
        <v>4.51</v>
      </c>
      <c r="P37" s="567">
        <f t="shared" si="8"/>
        <v>97549.796666666676</v>
      </c>
      <c r="Q37" s="556">
        <f t="shared" si="9"/>
        <v>24387.449166666669</v>
      </c>
      <c r="R37" s="568"/>
      <c r="S37" s="554"/>
      <c r="T37" s="554">
        <v>0.1</v>
      </c>
      <c r="U37" s="556">
        <f t="shared" si="10"/>
        <v>12193.724583333336</v>
      </c>
      <c r="V37" s="569"/>
      <c r="W37" s="554"/>
      <c r="X37" s="559">
        <f t="shared" si="11"/>
        <v>134130.97041666668</v>
      </c>
      <c r="Y37" s="274">
        <f t="shared" si="12"/>
        <v>0</v>
      </c>
      <c r="Z37" s="274">
        <f t="shared" si="12"/>
        <v>0</v>
      </c>
      <c r="AA37" s="81">
        <f t="shared" si="4"/>
        <v>1609571.645</v>
      </c>
      <c r="AB37" s="80">
        <f t="shared" si="13"/>
        <v>256097.31821797937</v>
      </c>
      <c r="AC37" s="80">
        <f t="shared" si="14"/>
        <v>2011964.5562499999</v>
      </c>
      <c r="AD37" s="80">
        <f t="shared" si="15"/>
        <v>320121.64777247416</v>
      </c>
    </row>
    <row r="38" spans="1:30" s="80" customFormat="1" ht="17.25" customHeight="1">
      <c r="A38" s="547">
        <v>34</v>
      </c>
      <c r="B38" s="153" t="s">
        <v>127</v>
      </c>
      <c r="C38" s="561" t="s">
        <v>99</v>
      </c>
      <c r="D38" s="560" t="s">
        <v>25</v>
      </c>
      <c r="E38" s="562" t="s">
        <v>587</v>
      </c>
      <c r="F38" s="562" t="s">
        <v>34</v>
      </c>
      <c r="G38" s="547">
        <v>1</v>
      </c>
      <c r="H38" s="563" t="s">
        <v>102</v>
      </c>
      <c r="I38" s="563" t="s">
        <v>103</v>
      </c>
      <c r="J38" s="564">
        <v>1</v>
      </c>
      <c r="K38" s="554">
        <v>17697</v>
      </c>
      <c r="L38" s="565">
        <v>23</v>
      </c>
      <c r="M38" s="554">
        <f t="shared" si="7"/>
        <v>1.2777777777777777</v>
      </c>
      <c r="N38" s="574" t="s">
        <v>152</v>
      </c>
      <c r="O38" s="1014">
        <v>4.75</v>
      </c>
      <c r="P38" s="567">
        <f t="shared" si="8"/>
        <v>107410.95833333334</v>
      </c>
      <c r="Q38" s="556">
        <f t="shared" si="9"/>
        <v>26852.739583333336</v>
      </c>
      <c r="R38" s="568"/>
      <c r="S38" s="554"/>
      <c r="T38" s="554">
        <v>0.1</v>
      </c>
      <c r="U38" s="556">
        <f t="shared" si="10"/>
        <v>13426.36979166667</v>
      </c>
      <c r="V38" s="569"/>
      <c r="W38" s="554"/>
      <c r="X38" s="559">
        <f t="shared" si="11"/>
        <v>147690.06770833334</v>
      </c>
      <c r="Y38" s="274"/>
      <c r="Z38" s="274"/>
      <c r="AA38" s="81">
        <f t="shared" si="4"/>
        <v>1772280.8125</v>
      </c>
      <c r="AB38" s="80">
        <f t="shared" si="13"/>
        <v>281985.80946698494</v>
      </c>
      <c r="AC38" s="80">
        <f t="shared" si="14"/>
        <v>2215351.015625</v>
      </c>
      <c r="AD38" s="80">
        <f t="shared" si="15"/>
        <v>352482.26183373109</v>
      </c>
    </row>
    <row r="39" spans="1:30" s="80" customFormat="1" ht="17.25" customHeight="1">
      <c r="A39" s="290">
        <v>35</v>
      </c>
      <c r="B39" s="1060" t="s">
        <v>386</v>
      </c>
      <c r="C39" s="1055" t="s">
        <v>99</v>
      </c>
      <c r="D39" s="290" t="s">
        <v>25</v>
      </c>
      <c r="E39" s="291" t="s">
        <v>662</v>
      </c>
      <c r="F39" s="291" t="s">
        <v>34</v>
      </c>
      <c r="G39" s="1036">
        <v>1</v>
      </c>
      <c r="H39" s="1061" t="s">
        <v>102</v>
      </c>
      <c r="I39" s="1061" t="s">
        <v>103</v>
      </c>
      <c r="J39" s="1074">
        <v>1</v>
      </c>
      <c r="K39" s="1039">
        <v>17697</v>
      </c>
      <c r="L39" s="1058">
        <v>20</v>
      </c>
      <c r="M39" s="1045">
        <f t="shared" si="7"/>
        <v>1.1111111111111112</v>
      </c>
      <c r="N39" s="1072" t="s">
        <v>152</v>
      </c>
      <c r="O39" s="1079">
        <v>4.75</v>
      </c>
      <c r="P39" s="1070">
        <f t="shared" si="8"/>
        <v>93400.833333333343</v>
      </c>
      <c r="Q39" s="328">
        <f t="shared" si="9"/>
        <v>23350.208333333336</v>
      </c>
      <c r="R39" s="1073"/>
      <c r="S39" s="1045"/>
      <c r="T39" s="1039">
        <v>0.1</v>
      </c>
      <c r="U39" s="328">
        <f t="shared" si="10"/>
        <v>11675.10416666667</v>
      </c>
      <c r="V39" s="1077"/>
      <c r="W39" s="1045"/>
      <c r="X39" s="1040">
        <f t="shared" si="11"/>
        <v>128426.14583333336</v>
      </c>
      <c r="Y39" s="688"/>
      <c r="Z39" s="688"/>
      <c r="AA39" s="81">
        <f t="shared" si="4"/>
        <v>1541113.7500000002</v>
      </c>
      <c r="AB39" s="80">
        <f t="shared" si="13"/>
        <v>245205.05171042171</v>
      </c>
      <c r="AC39" s="80">
        <f t="shared" si="14"/>
        <v>1926392.1875000002</v>
      </c>
      <c r="AD39" s="80">
        <f t="shared" si="15"/>
        <v>306506.31463802711</v>
      </c>
    </row>
    <row r="40" spans="1:30" s="80" customFormat="1" ht="17.25" customHeight="1">
      <c r="A40" s="1036">
        <v>36</v>
      </c>
      <c r="B40" s="1060" t="s">
        <v>130</v>
      </c>
      <c r="C40" s="1055" t="s">
        <v>99</v>
      </c>
      <c r="D40" s="290" t="s">
        <v>25</v>
      </c>
      <c r="E40" s="291" t="s">
        <v>665</v>
      </c>
      <c r="F40" s="291" t="s">
        <v>34</v>
      </c>
      <c r="G40" s="1036">
        <v>1</v>
      </c>
      <c r="H40" s="1061" t="s">
        <v>102</v>
      </c>
      <c r="I40" s="1061" t="s">
        <v>103</v>
      </c>
      <c r="J40" s="1062">
        <v>1</v>
      </c>
      <c r="K40" s="1039">
        <v>17697</v>
      </c>
      <c r="L40" s="1058">
        <v>9</v>
      </c>
      <c r="M40" s="1039">
        <f t="shared" si="7"/>
        <v>0.5</v>
      </c>
      <c r="N40" s="1080" t="s">
        <v>152</v>
      </c>
      <c r="O40" s="1048">
        <v>4.75</v>
      </c>
      <c r="P40" s="1049">
        <f t="shared" si="8"/>
        <v>42030.375</v>
      </c>
      <c r="Q40" s="328">
        <f t="shared" si="9"/>
        <v>10507.59375</v>
      </c>
      <c r="R40" s="1050"/>
      <c r="S40" s="1039"/>
      <c r="T40" s="1039">
        <v>0.1</v>
      </c>
      <c r="U40" s="328">
        <f t="shared" si="10"/>
        <v>5253.796875</v>
      </c>
      <c r="V40" s="1051"/>
      <c r="W40" s="1039"/>
      <c r="X40" s="1040">
        <f t="shared" si="11"/>
        <v>57791.765625</v>
      </c>
      <c r="Y40" s="270">
        <f t="shared" si="12"/>
        <v>0</v>
      </c>
      <c r="Z40" s="270">
        <f t="shared" si="12"/>
        <v>0</v>
      </c>
      <c r="AA40" s="81">
        <f t="shared" si="4"/>
        <v>693501.1875</v>
      </c>
      <c r="AB40" s="80">
        <f t="shared" si="13"/>
        <v>110342.27326968974</v>
      </c>
      <c r="AC40" s="80">
        <f t="shared" si="14"/>
        <v>866876.484375</v>
      </c>
      <c r="AD40" s="80">
        <f t="shared" si="15"/>
        <v>137927.84158711217</v>
      </c>
    </row>
    <row r="41" spans="1:30" s="993" customFormat="1" ht="17.25" customHeight="1">
      <c r="A41" s="290">
        <v>37</v>
      </c>
      <c r="B41" s="1060" t="s">
        <v>455</v>
      </c>
      <c r="C41" s="1055" t="s">
        <v>99</v>
      </c>
      <c r="D41" s="1061" t="s">
        <v>25</v>
      </c>
      <c r="E41" s="1081" t="s">
        <v>667</v>
      </c>
      <c r="F41" s="1056" t="s">
        <v>34</v>
      </c>
      <c r="G41" s="1036">
        <v>1</v>
      </c>
      <c r="H41" s="1061" t="s">
        <v>102</v>
      </c>
      <c r="I41" s="1061" t="s">
        <v>103</v>
      </c>
      <c r="J41" s="1062">
        <v>1</v>
      </c>
      <c r="K41" s="1039">
        <v>17697</v>
      </c>
      <c r="L41" s="1058">
        <v>8</v>
      </c>
      <c r="M41" s="1039">
        <f t="shared" ref="M41:M59" si="16">L41/18</f>
        <v>0.44444444444444442</v>
      </c>
      <c r="N41" s="1080" t="s">
        <v>152</v>
      </c>
      <c r="O41" s="1048">
        <v>4.75</v>
      </c>
      <c r="P41" s="1049">
        <f t="shared" ref="P41:P79" si="17">O41*K41/18*L41</f>
        <v>37360.333333333336</v>
      </c>
      <c r="Q41" s="328">
        <f t="shared" si="9"/>
        <v>9340.0833333333339</v>
      </c>
      <c r="R41" s="1050"/>
      <c r="S41" s="1039"/>
      <c r="T41" s="1039">
        <v>0.1</v>
      </c>
      <c r="U41" s="328">
        <f t="shared" si="10"/>
        <v>4670.041666666667</v>
      </c>
      <c r="V41" s="1051"/>
      <c r="W41" s="1039"/>
      <c r="X41" s="1040">
        <f t="shared" si="11"/>
        <v>51370.458333333336</v>
      </c>
      <c r="Y41" s="992">
        <f t="shared" si="12"/>
        <v>0</v>
      </c>
      <c r="Z41" s="992">
        <f t="shared" si="12"/>
        <v>0</v>
      </c>
      <c r="AA41" s="81">
        <f t="shared" si="4"/>
        <v>616445.5</v>
      </c>
      <c r="AB41" s="80">
        <f t="shared" si="13"/>
        <v>98082.020684168674</v>
      </c>
      <c r="AC41" s="80">
        <f t="shared" si="14"/>
        <v>770556.875</v>
      </c>
      <c r="AD41" s="80">
        <f t="shared" si="15"/>
        <v>122602.52585521083</v>
      </c>
    </row>
    <row r="42" spans="1:30" s="377" customFormat="1" ht="17.25" customHeight="1">
      <c r="A42" s="1209">
        <v>38</v>
      </c>
      <c r="B42" s="463" t="s">
        <v>227</v>
      </c>
      <c r="C42" s="1197" t="s">
        <v>99</v>
      </c>
      <c r="D42" s="423" t="s">
        <v>25</v>
      </c>
      <c r="E42" s="1198" t="s">
        <v>741</v>
      </c>
      <c r="F42" s="1198" t="s">
        <v>669</v>
      </c>
      <c r="G42" s="1199">
        <v>1</v>
      </c>
      <c r="H42" s="1200" t="s">
        <v>102</v>
      </c>
      <c r="I42" s="1200" t="s">
        <v>103</v>
      </c>
      <c r="J42" s="1186">
        <v>2</v>
      </c>
      <c r="K42" s="1166">
        <v>17697</v>
      </c>
      <c r="L42" s="1205">
        <v>6</v>
      </c>
      <c r="M42" s="1166">
        <f t="shared" si="16"/>
        <v>0.33333333333333331</v>
      </c>
      <c r="N42" s="1206" t="s">
        <v>104</v>
      </c>
      <c r="O42" s="1206">
        <v>4.09</v>
      </c>
      <c r="P42" s="1171">
        <f t="shared" si="17"/>
        <v>24126.91</v>
      </c>
      <c r="Q42" s="401">
        <f t="shared" si="9"/>
        <v>6031.7275</v>
      </c>
      <c r="R42" s="1203"/>
      <c r="S42" s="1166"/>
      <c r="T42" s="1166">
        <v>0.1</v>
      </c>
      <c r="U42" s="401">
        <f t="shared" si="10"/>
        <v>3015.8637500000004</v>
      </c>
      <c r="V42" s="1207"/>
      <c r="W42" s="1166"/>
      <c r="X42" s="1208">
        <f t="shared" si="11"/>
        <v>33174.501250000001</v>
      </c>
      <c r="Y42" s="406">
        <f t="shared" si="12"/>
        <v>0</v>
      </c>
      <c r="Z42" s="406">
        <f t="shared" si="12"/>
        <v>0</v>
      </c>
      <c r="AA42" s="375">
        <f t="shared" si="4"/>
        <v>398094.01500000001</v>
      </c>
      <c r="AB42" s="377">
        <f t="shared" si="13"/>
        <v>63340.336515513125</v>
      </c>
      <c r="AC42" s="377">
        <f t="shared" si="14"/>
        <v>497617.51875000005</v>
      </c>
      <c r="AD42" s="377">
        <f t="shared" si="15"/>
        <v>79175.420644391415</v>
      </c>
    </row>
    <row r="43" spans="1:30" s="377" customFormat="1" ht="17.25" customHeight="1">
      <c r="A43" s="423">
        <v>39</v>
      </c>
      <c r="B43" s="463" t="s">
        <v>138</v>
      </c>
      <c r="C43" s="1197" t="s">
        <v>99</v>
      </c>
      <c r="D43" s="1164" t="s">
        <v>25</v>
      </c>
      <c r="E43" s="1198" t="s">
        <v>671</v>
      </c>
      <c r="F43" s="1198" t="s">
        <v>476</v>
      </c>
      <c r="G43" s="1209">
        <v>1</v>
      </c>
      <c r="H43" s="1164" t="s">
        <v>102</v>
      </c>
      <c r="I43" s="1164" t="s">
        <v>103</v>
      </c>
      <c r="J43" s="1218">
        <v>3</v>
      </c>
      <c r="K43" s="1166">
        <v>17697</v>
      </c>
      <c r="L43" s="1205">
        <v>24</v>
      </c>
      <c r="M43" s="1166">
        <f t="shared" si="16"/>
        <v>1.3333333333333333</v>
      </c>
      <c r="N43" s="1219" t="s">
        <v>109</v>
      </c>
      <c r="O43" s="1206">
        <v>4.07</v>
      </c>
      <c r="P43" s="1171">
        <f t="shared" si="17"/>
        <v>96035.72</v>
      </c>
      <c r="Q43" s="401">
        <f t="shared" si="9"/>
        <v>24008.93</v>
      </c>
      <c r="R43" s="1203"/>
      <c r="S43" s="1166"/>
      <c r="T43" s="1166">
        <v>0.1</v>
      </c>
      <c r="U43" s="401">
        <f t="shared" si="10"/>
        <v>12004.465</v>
      </c>
      <c r="V43" s="1207"/>
      <c r="W43" s="1166"/>
      <c r="X43" s="1208">
        <f t="shared" si="11"/>
        <v>132049.11499999999</v>
      </c>
      <c r="Y43" s="359"/>
      <c r="Z43" s="359"/>
      <c r="AA43" s="375">
        <f t="shared" si="4"/>
        <v>1584589.38</v>
      </c>
      <c r="AB43" s="377">
        <f t="shared" si="13"/>
        <v>252122.41527446301</v>
      </c>
      <c r="AC43" s="377">
        <f t="shared" si="14"/>
        <v>1980736.7249999999</v>
      </c>
      <c r="AD43" s="377">
        <f t="shared" si="15"/>
        <v>315153.01909307879</v>
      </c>
    </row>
    <row r="44" spans="1:30" s="377" customFormat="1" ht="17.25" customHeight="1">
      <c r="A44" s="1209">
        <v>40</v>
      </c>
      <c r="B44" s="463" t="s">
        <v>58</v>
      </c>
      <c r="C44" s="1197" t="s">
        <v>99</v>
      </c>
      <c r="D44" s="1164" t="s">
        <v>25</v>
      </c>
      <c r="E44" s="1198" t="s">
        <v>608</v>
      </c>
      <c r="F44" s="1198" t="s">
        <v>366</v>
      </c>
      <c r="G44" s="1209">
        <v>1</v>
      </c>
      <c r="H44" s="1164" t="s">
        <v>102</v>
      </c>
      <c r="I44" s="1164" t="s">
        <v>103</v>
      </c>
      <c r="J44" s="1210">
        <v>2</v>
      </c>
      <c r="K44" s="1166">
        <v>17697</v>
      </c>
      <c r="L44" s="1205">
        <v>18</v>
      </c>
      <c r="M44" s="1166">
        <f t="shared" si="16"/>
        <v>1</v>
      </c>
      <c r="N44" s="1206" t="s">
        <v>104</v>
      </c>
      <c r="O44" s="1206">
        <v>4.4400000000000004</v>
      </c>
      <c r="P44" s="1171">
        <f t="shared" si="17"/>
        <v>78574.680000000008</v>
      </c>
      <c r="Q44" s="401">
        <f t="shared" si="9"/>
        <v>19643.670000000002</v>
      </c>
      <c r="R44" s="1203"/>
      <c r="S44" s="1166"/>
      <c r="T44" s="1166">
        <v>0.1</v>
      </c>
      <c r="U44" s="401">
        <f t="shared" si="10"/>
        <v>9821.8350000000009</v>
      </c>
      <c r="V44" s="1207"/>
      <c r="W44" s="1166"/>
      <c r="X44" s="1208">
        <f t="shared" si="11"/>
        <v>108040.18500000001</v>
      </c>
      <c r="Y44" s="406">
        <f t="shared" si="12"/>
        <v>0</v>
      </c>
      <c r="Z44" s="406">
        <f t="shared" si="12"/>
        <v>0</v>
      </c>
      <c r="AA44" s="375">
        <f t="shared" si="4"/>
        <v>1296482.2200000002</v>
      </c>
      <c r="AB44" s="377">
        <f t="shared" si="13"/>
        <v>206281.97613365157</v>
      </c>
      <c r="AC44" s="377">
        <f t="shared" si="14"/>
        <v>1620602.7750000004</v>
      </c>
      <c r="AD44" s="377">
        <f t="shared" si="15"/>
        <v>257852.47016706454</v>
      </c>
    </row>
    <row r="45" spans="1:30" s="377" customFormat="1" ht="17.25" customHeight="1">
      <c r="A45" s="423">
        <v>41</v>
      </c>
      <c r="B45" s="463" t="s">
        <v>145</v>
      </c>
      <c r="C45" s="1197" t="s">
        <v>99</v>
      </c>
      <c r="D45" s="1164" t="s">
        <v>25</v>
      </c>
      <c r="E45" s="1198" t="s">
        <v>672</v>
      </c>
      <c r="F45" s="1198" t="s">
        <v>476</v>
      </c>
      <c r="G45" s="1209">
        <v>1</v>
      </c>
      <c r="H45" s="1164" t="s">
        <v>102</v>
      </c>
      <c r="I45" s="1164" t="s">
        <v>103</v>
      </c>
      <c r="J45" s="1210">
        <v>2</v>
      </c>
      <c r="K45" s="1166">
        <v>17697</v>
      </c>
      <c r="L45" s="1205">
        <v>17</v>
      </c>
      <c r="M45" s="1166">
        <f t="shared" si="16"/>
        <v>0.94444444444444442</v>
      </c>
      <c r="N45" s="1211" t="s">
        <v>104</v>
      </c>
      <c r="O45" s="1206">
        <v>4.09</v>
      </c>
      <c r="P45" s="1171">
        <f t="shared" si="17"/>
        <v>68359.578333333338</v>
      </c>
      <c r="Q45" s="401">
        <f t="shared" si="9"/>
        <v>17089.894583333335</v>
      </c>
      <c r="R45" s="1203"/>
      <c r="S45" s="1166"/>
      <c r="T45" s="1166">
        <v>0.1</v>
      </c>
      <c r="U45" s="401">
        <f t="shared" si="10"/>
        <v>8544.9472916666691</v>
      </c>
      <c r="V45" s="1207"/>
      <c r="W45" s="1166"/>
      <c r="X45" s="1208">
        <f t="shared" si="11"/>
        <v>93994.420208333351</v>
      </c>
      <c r="Y45" s="406">
        <f t="shared" si="12"/>
        <v>0</v>
      </c>
      <c r="Z45" s="406">
        <f t="shared" si="12"/>
        <v>0</v>
      </c>
      <c r="AA45" s="375">
        <f t="shared" si="4"/>
        <v>1127933.0425000002</v>
      </c>
      <c r="AB45" s="377">
        <f t="shared" si="13"/>
        <v>179464.28679395388</v>
      </c>
      <c r="AC45" s="377">
        <f t="shared" si="14"/>
        <v>1409916.3031250003</v>
      </c>
      <c r="AD45" s="377">
        <f t="shared" si="15"/>
        <v>224330.35849244238</v>
      </c>
    </row>
    <row r="46" spans="1:30" s="80" customFormat="1" ht="17.25" customHeight="1">
      <c r="A46" s="1036">
        <v>42</v>
      </c>
      <c r="B46" s="1060" t="s">
        <v>143</v>
      </c>
      <c r="C46" s="1055" t="s">
        <v>99</v>
      </c>
      <c r="D46" s="1061" t="s">
        <v>25</v>
      </c>
      <c r="E46" s="1056" t="s">
        <v>674</v>
      </c>
      <c r="F46" s="1056" t="s">
        <v>239</v>
      </c>
      <c r="G46" s="1036">
        <v>1</v>
      </c>
      <c r="H46" s="1061" t="s">
        <v>102</v>
      </c>
      <c r="I46" s="1061" t="s">
        <v>103</v>
      </c>
      <c r="J46" s="1074">
        <v>1</v>
      </c>
      <c r="K46" s="1039">
        <v>17697</v>
      </c>
      <c r="L46" s="1058">
        <v>30</v>
      </c>
      <c r="M46" s="1039">
        <f t="shared" si="16"/>
        <v>1.6666666666666667</v>
      </c>
      <c r="N46" s="1054" t="s">
        <v>152</v>
      </c>
      <c r="O46" s="1048">
        <v>4.49</v>
      </c>
      <c r="P46" s="1049">
        <f t="shared" si="17"/>
        <v>132432.54999999999</v>
      </c>
      <c r="Q46" s="328">
        <f t="shared" si="9"/>
        <v>33108.137499999997</v>
      </c>
      <c r="R46" s="1050"/>
      <c r="S46" s="1039"/>
      <c r="T46" s="1039">
        <v>0.1</v>
      </c>
      <c r="U46" s="328">
        <f t="shared" si="10"/>
        <v>16554.068750000002</v>
      </c>
      <c r="V46" s="1051"/>
      <c r="W46" s="1039"/>
      <c r="X46" s="1040">
        <f t="shared" si="11"/>
        <v>182094.75625000001</v>
      </c>
      <c r="Y46" s="274">
        <f t="shared" si="12"/>
        <v>0</v>
      </c>
      <c r="Z46" s="274">
        <f t="shared" si="12"/>
        <v>0</v>
      </c>
      <c r="AA46" s="81">
        <f t="shared" si="4"/>
        <v>2185137.0750000002</v>
      </c>
      <c r="AB46" s="80">
        <f t="shared" si="13"/>
        <v>347674.95226730313</v>
      </c>
      <c r="AC46" s="80">
        <f t="shared" si="14"/>
        <v>2731421.34375</v>
      </c>
      <c r="AD46" s="80">
        <f t="shared" si="15"/>
        <v>434593.69033412891</v>
      </c>
    </row>
    <row r="47" spans="1:30" s="80" customFormat="1" ht="17.25" customHeight="1">
      <c r="A47" s="290">
        <v>43</v>
      </c>
      <c r="B47" s="1060" t="s">
        <v>447</v>
      </c>
      <c r="C47" s="1055" t="s">
        <v>99</v>
      </c>
      <c r="D47" s="1061" t="s">
        <v>75</v>
      </c>
      <c r="E47" s="1084" t="s">
        <v>675</v>
      </c>
      <c r="F47" s="1084" t="s">
        <v>602</v>
      </c>
      <c r="G47" s="1036">
        <v>1</v>
      </c>
      <c r="H47" s="1061" t="s">
        <v>102</v>
      </c>
      <c r="I47" s="1061" t="s">
        <v>118</v>
      </c>
      <c r="J47" s="1074">
        <v>4</v>
      </c>
      <c r="K47" s="1039">
        <v>17697</v>
      </c>
      <c r="L47" s="1058">
        <v>2</v>
      </c>
      <c r="M47" s="1039">
        <f t="shared" si="16"/>
        <v>0.1111111111111111</v>
      </c>
      <c r="N47" s="1054" t="s">
        <v>112</v>
      </c>
      <c r="O47" s="1048">
        <v>3.36</v>
      </c>
      <c r="P47" s="1049">
        <f t="shared" si="17"/>
        <v>6606.88</v>
      </c>
      <c r="Q47" s="328">
        <f t="shared" si="9"/>
        <v>1651.72</v>
      </c>
      <c r="R47" s="1050"/>
      <c r="S47" s="1039"/>
      <c r="T47" s="1039">
        <v>0.1</v>
      </c>
      <c r="U47" s="328">
        <f t="shared" si="10"/>
        <v>825.86000000000013</v>
      </c>
      <c r="V47" s="1051"/>
      <c r="W47" s="1039"/>
      <c r="X47" s="1040">
        <f t="shared" si="11"/>
        <v>9084.4600000000009</v>
      </c>
      <c r="Y47" s="274">
        <f t="shared" si="12"/>
        <v>0</v>
      </c>
      <c r="Z47" s="274">
        <f t="shared" si="12"/>
        <v>0</v>
      </c>
      <c r="AA47" s="81">
        <f t="shared" si="4"/>
        <v>109013.52000000002</v>
      </c>
      <c r="AB47" s="80">
        <f t="shared" si="13"/>
        <v>17345.031026252986</v>
      </c>
      <c r="AC47" s="80">
        <f t="shared" si="14"/>
        <v>136266.90000000002</v>
      </c>
      <c r="AD47" s="80">
        <f t="shared" si="15"/>
        <v>21681.288782816235</v>
      </c>
    </row>
    <row r="48" spans="1:30" s="80" customFormat="1" ht="17.25" customHeight="1">
      <c r="A48" s="1036">
        <v>44</v>
      </c>
      <c r="B48" s="1060" t="s">
        <v>147</v>
      </c>
      <c r="C48" s="1055" t="s">
        <v>148</v>
      </c>
      <c r="D48" s="1061" t="s">
        <v>25</v>
      </c>
      <c r="E48" s="1056" t="s">
        <v>676</v>
      </c>
      <c r="F48" s="1056" t="s">
        <v>51</v>
      </c>
      <c r="G48" s="1036">
        <v>1</v>
      </c>
      <c r="H48" s="1061" t="s">
        <v>102</v>
      </c>
      <c r="I48" s="1061" t="s">
        <v>103</v>
      </c>
      <c r="J48" s="1062">
        <v>3</v>
      </c>
      <c r="K48" s="1039">
        <v>17697</v>
      </c>
      <c r="L48" s="1058">
        <v>36</v>
      </c>
      <c r="M48" s="1039">
        <f t="shared" si="16"/>
        <v>2</v>
      </c>
      <c r="N48" s="1047" t="s">
        <v>109</v>
      </c>
      <c r="O48" s="1048">
        <v>4.43</v>
      </c>
      <c r="P48" s="1049">
        <f t="shared" si="17"/>
        <v>156795.41999999998</v>
      </c>
      <c r="Q48" s="328">
        <f t="shared" si="9"/>
        <v>39198.854999999996</v>
      </c>
      <c r="R48" s="1050"/>
      <c r="S48" s="1039"/>
      <c r="T48" s="1039">
        <v>0.1</v>
      </c>
      <c r="U48" s="328">
        <f t="shared" si="10"/>
        <v>19599.427499999998</v>
      </c>
      <c r="V48" s="1051"/>
      <c r="W48" s="1039"/>
      <c r="X48" s="1040">
        <f t="shared" si="11"/>
        <v>215593.70249999996</v>
      </c>
      <c r="Y48" s="274">
        <f t="shared" si="12"/>
        <v>0</v>
      </c>
      <c r="Z48" s="274">
        <f t="shared" si="12"/>
        <v>0</v>
      </c>
      <c r="AA48" s="81">
        <f t="shared" si="4"/>
        <v>2587124.4299999997</v>
      </c>
      <c r="AB48" s="80">
        <f t="shared" si="13"/>
        <v>411634.75417661096</v>
      </c>
      <c r="AC48" s="80">
        <f t="shared" si="14"/>
        <v>3233905.5374999996</v>
      </c>
      <c r="AD48" s="80">
        <f t="shared" si="15"/>
        <v>514543.44272076373</v>
      </c>
    </row>
    <row r="49" spans="1:30" s="80" customFormat="1" ht="17.25" customHeight="1">
      <c r="A49" s="290">
        <v>45</v>
      </c>
      <c r="B49" s="1060" t="s">
        <v>91</v>
      </c>
      <c r="C49" s="1055" t="s">
        <v>99</v>
      </c>
      <c r="D49" s="1061" t="s">
        <v>25</v>
      </c>
      <c r="E49" s="1056" t="s">
        <v>677</v>
      </c>
      <c r="F49" s="1056" t="s">
        <v>93</v>
      </c>
      <c r="G49" s="1036">
        <v>1</v>
      </c>
      <c r="H49" s="1061" t="s">
        <v>102</v>
      </c>
      <c r="I49" s="1061" t="s">
        <v>103</v>
      </c>
      <c r="J49" s="1074">
        <v>1</v>
      </c>
      <c r="K49" s="1039">
        <v>17697</v>
      </c>
      <c r="L49" s="1058">
        <v>36</v>
      </c>
      <c r="M49" s="1039">
        <f t="shared" si="16"/>
        <v>2</v>
      </c>
      <c r="N49" s="1054" t="s">
        <v>152</v>
      </c>
      <c r="O49" s="1048">
        <v>4.62</v>
      </c>
      <c r="P49" s="1049">
        <f t="shared" si="17"/>
        <v>163520.27999999997</v>
      </c>
      <c r="Q49" s="328">
        <f t="shared" si="9"/>
        <v>40880.069999999992</v>
      </c>
      <c r="R49" s="1050"/>
      <c r="S49" s="1039"/>
      <c r="T49" s="1039">
        <v>0.1</v>
      </c>
      <c r="U49" s="328">
        <f t="shared" si="10"/>
        <v>20440.035</v>
      </c>
      <c r="V49" s="1051"/>
      <c r="W49" s="1039"/>
      <c r="X49" s="1040">
        <f t="shared" si="11"/>
        <v>224840.38499999998</v>
      </c>
      <c r="Y49" s="274">
        <f t="shared" si="12"/>
        <v>0</v>
      </c>
      <c r="Z49" s="274">
        <f t="shared" si="12"/>
        <v>0</v>
      </c>
      <c r="AA49" s="81">
        <f t="shared" si="4"/>
        <v>2698084.6199999996</v>
      </c>
      <c r="AB49" s="80">
        <f t="shared" si="13"/>
        <v>429289.51789976133</v>
      </c>
      <c r="AC49" s="80">
        <f t="shared" si="14"/>
        <v>3372605.7749999994</v>
      </c>
      <c r="AD49" s="80">
        <f t="shared" si="15"/>
        <v>536611.89737470157</v>
      </c>
    </row>
    <row r="50" spans="1:30" s="80" customFormat="1" ht="17.25" customHeight="1">
      <c r="A50" s="1036"/>
      <c r="B50" s="1041" t="s">
        <v>678</v>
      </c>
      <c r="C50" s="1042" t="s">
        <v>99</v>
      </c>
      <c r="D50" s="1044" t="s">
        <v>64</v>
      </c>
      <c r="E50" s="1043" t="s">
        <v>679</v>
      </c>
      <c r="F50" s="1043" t="s">
        <v>602</v>
      </c>
      <c r="G50" s="1036">
        <v>1</v>
      </c>
      <c r="H50" s="1061" t="s">
        <v>102</v>
      </c>
      <c r="I50" s="1061" t="s">
        <v>118</v>
      </c>
      <c r="J50" s="1074">
        <v>4</v>
      </c>
      <c r="K50" s="1039">
        <v>17697</v>
      </c>
      <c r="L50" s="1046">
        <v>18</v>
      </c>
      <c r="M50" s="1045">
        <f t="shared" si="16"/>
        <v>1</v>
      </c>
      <c r="N50" s="1054" t="s">
        <v>112</v>
      </c>
      <c r="O50" s="1079">
        <v>3.36</v>
      </c>
      <c r="P50" s="1070">
        <f t="shared" si="17"/>
        <v>59461.919999999998</v>
      </c>
      <c r="Q50" s="328">
        <f t="shared" si="9"/>
        <v>14865.48</v>
      </c>
      <c r="R50" s="1073"/>
      <c r="S50" s="1045"/>
      <c r="T50" s="1039">
        <v>0.1</v>
      </c>
      <c r="U50" s="328">
        <f t="shared" si="10"/>
        <v>7432.74</v>
      </c>
      <c r="V50" s="1077"/>
      <c r="W50" s="1045"/>
      <c r="X50" s="1040">
        <f t="shared" si="11"/>
        <v>81760.14</v>
      </c>
      <c r="Y50" s="688"/>
      <c r="Z50" s="688"/>
      <c r="AA50" s="81"/>
    </row>
    <row r="51" spans="1:30" s="80" customFormat="1" ht="17.25" customHeight="1">
      <c r="A51" s="1036">
        <v>46</v>
      </c>
      <c r="B51" s="1060" t="s">
        <v>150</v>
      </c>
      <c r="C51" s="1055" t="s">
        <v>99</v>
      </c>
      <c r="D51" s="1061" t="s">
        <v>25</v>
      </c>
      <c r="E51" s="1056" t="s">
        <v>680</v>
      </c>
      <c r="F51" s="1056" t="s">
        <v>34</v>
      </c>
      <c r="G51" s="1036">
        <v>1</v>
      </c>
      <c r="H51" s="1061" t="s">
        <v>102</v>
      </c>
      <c r="I51" s="1061" t="s">
        <v>103</v>
      </c>
      <c r="J51" s="1062">
        <v>1</v>
      </c>
      <c r="K51" s="1039">
        <v>17697</v>
      </c>
      <c r="L51" s="1058">
        <v>33</v>
      </c>
      <c r="M51" s="1039">
        <f t="shared" si="16"/>
        <v>1.8333333333333333</v>
      </c>
      <c r="N51" s="1080" t="s">
        <v>152</v>
      </c>
      <c r="O51" s="1048">
        <v>4.75</v>
      </c>
      <c r="P51" s="1049">
        <f t="shared" si="17"/>
        <v>154111.375</v>
      </c>
      <c r="Q51" s="328">
        <f t="shared" si="9"/>
        <v>38527.84375</v>
      </c>
      <c r="R51" s="1050"/>
      <c r="S51" s="1039"/>
      <c r="T51" s="1039">
        <v>0.1</v>
      </c>
      <c r="U51" s="328">
        <f t="shared" si="10"/>
        <v>19263.921875</v>
      </c>
      <c r="V51" s="1051"/>
      <c r="W51" s="1039"/>
      <c r="X51" s="1040">
        <f t="shared" si="11"/>
        <v>211903.140625</v>
      </c>
      <c r="Y51" s="270">
        <f t="shared" si="12"/>
        <v>0</v>
      </c>
      <c r="Z51" s="270">
        <f t="shared" si="12"/>
        <v>0</v>
      </c>
      <c r="AA51" s="81">
        <f t="shared" si="4"/>
        <v>2542837.6875</v>
      </c>
      <c r="AB51" s="80">
        <f t="shared" si="13"/>
        <v>404588.33532219572</v>
      </c>
      <c r="AC51" s="80">
        <f t="shared" si="14"/>
        <v>3178547.109375</v>
      </c>
      <c r="AD51" s="80">
        <f t="shared" si="15"/>
        <v>505735.4191527447</v>
      </c>
    </row>
    <row r="52" spans="1:30" s="80" customFormat="1" ht="17.25" customHeight="1">
      <c r="A52" s="290">
        <v>47</v>
      </c>
      <c r="B52" s="1060" t="s">
        <v>157</v>
      </c>
      <c r="C52" s="1055" t="s">
        <v>99</v>
      </c>
      <c r="D52" s="1061" t="s">
        <v>75</v>
      </c>
      <c r="E52" s="1056" t="s">
        <v>681</v>
      </c>
      <c r="F52" s="1056" t="s">
        <v>108</v>
      </c>
      <c r="G52" s="1036">
        <v>1</v>
      </c>
      <c r="H52" s="1061" t="s">
        <v>102</v>
      </c>
      <c r="I52" s="1061" t="s">
        <v>118</v>
      </c>
      <c r="J52" s="1062">
        <v>4</v>
      </c>
      <c r="K52" s="1039">
        <v>17697</v>
      </c>
      <c r="L52" s="1058">
        <v>22</v>
      </c>
      <c r="M52" s="1039">
        <f t="shared" si="16"/>
        <v>1.2222222222222223</v>
      </c>
      <c r="N52" s="1080" t="s">
        <v>112</v>
      </c>
      <c r="O52" s="1048">
        <v>3.41</v>
      </c>
      <c r="P52" s="1049">
        <f t="shared" si="17"/>
        <v>73757.16333333333</v>
      </c>
      <c r="Q52" s="328">
        <f t="shared" si="9"/>
        <v>18439.290833333333</v>
      </c>
      <c r="R52" s="1050"/>
      <c r="S52" s="1039"/>
      <c r="T52" s="1039">
        <v>0.1</v>
      </c>
      <c r="U52" s="328">
        <f t="shared" si="10"/>
        <v>9219.6454166666663</v>
      </c>
      <c r="V52" s="1051"/>
      <c r="W52" s="1039"/>
      <c r="X52" s="1040">
        <f t="shared" si="11"/>
        <v>101416.09958333333</v>
      </c>
      <c r="Y52" s="274">
        <f t="shared" si="12"/>
        <v>0</v>
      </c>
      <c r="Z52" s="274">
        <f t="shared" si="12"/>
        <v>0</v>
      </c>
      <c r="AA52" s="81">
        <f t="shared" si="4"/>
        <v>1216993.1949999998</v>
      </c>
      <c r="AB52" s="80">
        <f t="shared" si="13"/>
        <v>193634.55767700871</v>
      </c>
      <c r="AC52" s="80">
        <f t="shared" si="14"/>
        <v>1521241.4937499999</v>
      </c>
      <c r="AD52" s="80">
        <f t="shared" si="15"/>
        <v>242043.19709626093</v>
      </c>
    </row>
    <row r="53" spans="1:30" s="80" customFormat="1" ht="17.25" customHeight="1">
      <c r="A53" s="1036">
        <v>48</v>
      </c>
      <c r="B53" s="1060" t="s">
        <v>160</v>
      </c>
      <c r="C53" s="1055" t="s">
        <v>148</v>
      </c>
      <c r="D53" s="1061" t="s">
        <v>25</v>
      </c>
      <c r="E53" s="1056" t="s">
        <v>682</v>
      </c>
      <c r="F53" s="1056" t="s">
        <v>34</v>
      </c>
      <c r="G53" s="1036">
        <v>1</v>
      </c>
      <c r="H53" s="1061" t="s">
        <v>102</v>
      </c>
      <c r="I53" s="1061" t="s">
        <v>103</v>
      </c>
      <c r="J53" s="1062">
        <v>2</v>
      </c>
      <c r="K53" s="1039">
        <v>17697</v>
      </c>
      <c r="L53" s="1058">
        <v>24</v>
      </c>
      <c r="M53" s="1039">
        <f t="shared" si="16"/>
        <v>1.3333333333333333</v>
      </c>
      <c r="N53" s="1047" t="s">
        <v>104</v>
      </c>
      <c r="O53" s="1048">
        <v>4.51</v>
      </c>
      <c r="P53" s="1049">
        <f t="shared" si="17"/>
        <v>106417.96</v>
      </c>
      <c r="Q53" s="328">
        <f t="shared" si="9"/>
        <v>26604.49</v>
      </c>
      <c r="R53" s="1050"/>
      <c r="S53" s="1039"/>
      <c r="T53" s="1039">
        <v>0.1</v>
      </c>
      <c r="U53" s="328">
        <f t="shared" si="10"/>
        <v>13302.245000000003</v>
      </c>
      <c r="V53" s="1051"/>
      <c r="W53" s="1039"/>
      <c r="X53" s="1040">
        <f t="shared" si="11"/>
        <v>146324.69500000001</v>
      </c>
      <c r="Y53" s="274">
        <f>V53+R53</f>
        <v>0</v>
      </c>
      <c r="Z53" s="274">
        <f>W53+S53</f>
        <v>0</v>
      </c>
      <c r="AA53" s="81">
        <f t="shared" si="4"/>
        <v>1755896.34</v>
      </c>
      <c r="AB53" s="80">
        <f t="shared" si="13"/>
        <v>279378.89260143205</v>
      </c>
      <c r="AC53" s="80">
        <f t="shared" si="14"/>
        <v>2194870.4250000003</v>
      </c>
      <c r="AD53" s="80">
        <f t="shared" si="15"/>
        <v>349223.61575179</v>
      </c>
    </row>
    <row r="54" spans="1:30" s="80" customFormat="1" ht="17.25" customHeight="1">
      <c r="A54" s="290">
        <v>49</v>
      </c>
      <c r="B54" s="1060" t="s">
        <v>162</v>
      </c>
      <c r="C54" s="1055" t="s">
        <v>99</v>
      </c>
      <c r="D54" s="1061" t="s">
        <v>25</v>
      </c>
      <c r="E54" s="291" t="s">
        <v>503</v>
      </c>
      <c r="F54" s="1056" t="s">
        <v>77</v>
      </c>
      <c r="G54" s="1036">
        <v>1</v>
      </c>
      <c r="H54" s="1061" t="s">
        <v>102</v>
      </c>
      <c r="I54" s="1061" t="s">
        <v>103</v>
      </c>
      <c r="J54" s="1074">
        <v>4</v>
      </c>
      <c r="K54" s="1039">
        <v>17697</v>
      </c>
      <c r="L54" s="1058">
        <v>10</v>
      </c>
      <c r="M54" s="1039">
        <f t="shared" si="16"/>
        <v>0.55555555555555558</v>
      </c>
      <c r="N54" s="1054" t="s">
        <v>112</v>
      </c>
      <c r="O54" s="1048">
        <v>3.71</v>
      </c>
      <c r="P54" s="1049">
        <f t="shared" si="17"/>
        <v>36475.48333333333</v>
      </c>
      <c r="Q54" s="328">
        <f t="shared" si="9"/>
        <v>9118.8708333333325</v>
      </c>
      <c r="R54" s="1050"/>
      <c r="S54" s="1039"/>
      <c r="T54" s="1039">
        <v>0.1</v>
      </c>
      <c r="U54" s="328">
        <f t="shared" si="10"/>
        <v>4559.4354166666662</v>
      </c>
      <c r="V54" s="1051"/>
      <c r="W54" s="1039"/>
      <c r="X54" s="1040">
        <f t="shared" si="11"/>
        <v>50153.789583333331</v>
      </c>
      <c r="Y54" s="274">
        <f t="shared" si="12"/>
        <v>0</v>
      </c>
      <c r="Z54" s="274">
        <f t="shared" si="12"/>
        <v>0</v>
      </c>
      <c r="AA54" s="81">
        <f t="shared" si="4"/>
        <v>601845.47499999998</v>
      </c>
      <c r="AB54" s="80">
        <f t="shared" si="13"/>
        <v>95759.025457438343</v>
      </c>
      <c r="AC54" s="80">
        <f t="shared" si="14"/>
        <v>752306.84375</v>
      </c>
      <c r="AD54" s="80">
        <f t="shared" si="15"/>
        <v>119698.78182179792</v>
      </c>
    </row>
    <row r="55" spans="1:30" s="80" customFormat="1" ht="17.25" customHeight="1">
      <c r="A55" s="1036">
        <v>50</v>
      </c>
      <c r="B55" s="1060" t="s">
        <v>166</v>
      </c>
      <c r="C55" s="1055" t="s">
        <v>99</v>
      </c>
      <c r="D55" s="1061" t="s">
        <v>25</v>
      </c>
      <c r="E55" s="1056" t="s">
        <v>684</v>
      </c>
      <c r="F55" s="1056" t="s">
        <v>239</v>
      </c>
      <c r="G55" s="1036">
        <v>1</v>
      </c>
      <c r="H55" s="1061" t="s">
        <v>102</v>
      </c>
      <c r="I55" s="1061" t="s">
        <v>103</v>
      </c>
      <c r="J55" s="1074">
        <v>1</v>
      </c>
      <c r="K55" s="1039">
        <v>17697</v>
      </c>
      <c r="L55" s="1058">
        <v>33</v>
      </c>
      <c r="M55" s="1039">
        <f t="shared" si="16"/>
        <v>1.8333333333333333</v>
      </c>
      <c r="N55" s="1054" t="s">
        <v>152</v>
      </c>
      <c r="O55" s="1075">
        <v>4.49</v>
      </c>
      <c r="P55" s="1049">
        <f t="shared" si="17"/>
        <v>145675.80499999999</v>
      </c>
      <c r="Q55" s="328">
        <f t="shared" si="9"/>
        <v>36418.951249999998</v>
      </c>
      <c r="R55" s="1050"/>
      <c r="S55" s="1039"/>
      <c r="T55" s="1039">
        <v>0.1</v>
      </c>
      <c r="U55" s="328">
        <f t="shared" si="10"/>
        <v>18209.475624999999</v>
      </c>
      <c r="V55" s="1051"/>
      <c r="W55" s="1039"/>
      <c r="X55" s="1040">
        <f t="shared" si="11"/>
        <v>200304.23187499997</v>
      </c>
      <c r="Y55" s="274">
        <f t="shared" si="12"/>
        <v>0</v>
      </c>
      <c r="Z55" s="274">
        <f t="shared" si="12"/>
        <v>0</v>
      </c>
      <c r="AA55" s="81">
        <f t="shared" si="4"/>
        <v>2403650.7824999997</v>
      </c>
      <c r="AB55" s="80">
        <f t="shared" si="13"/>
        <v>382442.44749403337</v>
      </c>
      <c r="AC55" s="80">
        <f t="shared" si="14"/>
        <v>3004563.4781249994</v>
      </c>
      <c r="AD55" s="80">
        <f t="shared" si="15"/>
        <v>478053.05936754169</v>
      </c>
    </row>
    <row r="56" spans="1:30" s="80" customFormat="1" ht="17.25" customHeight="1">
      <c r="A56" s="1036"/>
      <c r="B56" s="1041" t="s">
        <v>688</v>
      </c>
      <c r="C56" s="1042" t="s">
        <v>99</v>
      </c>
      <c r="D56" s="1044" t="s">
        <v>75</v>
      </c>
      <c r="E56" s="1043" t="s">
        <v>689</v>
      </c>
      <c r="F56" s="1043" t="s">
        <v>159</v>
      </c>
      <c r="G56" s="1036"/>
      <c r="H56" s="1061" t="s">
        <v>102</v>
      </c>
      <c r="I56" s="1061" t="s">
        <v>118</v>
      </c>
      <c r="J56" s="1074">
        <v>4</v>
      </c>
      <c r="K56" s="1039">
        <v>17697</v>
      </c>
      <c r="L56" s="1046">
        <v>18</v>
      </c>
      <c r="M56" s="1045">
        <f t="shared" si="16"/>
        <v>1</v>
      </c>
      <c r="N56" s="1072" t="s">
        <v>112</v>
      </c>
      <c r="O56" s="1075">
        <v>3.32</v>
      </c>
      <c r="P56" s="1070">
        <f t="shared" si="17"/>
        <v>58754.039999999994</v>
      </c>
      <c r="Q56" s="328">
        <f t="shared" si="9"/>
        <v>14688.509999999998</v>
      </c>
      <c r="R56" s="1073"/>
      <c r="S56" s="1045"/>
      <c r="T56" s="1039">
        <v>0.1</v>
      </c>
      <c r="U56" s="328">
        <f t="shared" si="10"/>
        <v>7344.2549999999992</v>
      </c>
      <c r="V56" s="1077"/>
      <c r="W56" s="1045"/>
      <c r="X56" s="1040">
        <f t="shared" si="11"/>
        <v>80786.804999999993</v>
      </c>
      <c r="Y56" s="688"/>
      <c r="Z56" s="688"/>
      <c r="AA56" s="81"/>
    </row>
    <row r="57" spans="1:30" s="377" customFormat="1" ht="17.25" customHeight="1">
      <c r="A57" s="423">
        <v>51</v>
      </c>
      <c r="B57" s="463" t="s">
        <v>168</v>
      </c>
      <c r="C57" s="1197" t="s">
        <v>99</v>
      </c>
      <c r="D57" s="1164" t="s">
        <v>25</v>
      </c>
      <c r="E57" s="1198" t="s">
        <v>690</v>
      </c>
      <c r="F57" s="1198" t="s">
        <v>73</v>
      </c>
      <c r="G57" s="1209">
        <v>1</v>
      </c>
      <c r="H57" s="1164" t="s">
        <v>102</v>
      </c>
      <c r="I57" s="1164" t="s">
        <v>103</v>
      </c>
      <c r="J57" s="1165">
        <v>2</v>
      </c>
      <c r="K57" s="1166">
        <v>17697</v>
      </c>
      <c r="L57" s="1205">
        <v>31</v>
      </c>
      <c r="M57" s="1166">
        <f t="shared" si="16"/>
        <v>1.7222222222222223</v>
      </c>
      <c r="N57" s="1206" t="s">
        <v>104</v>
      </c>
      <c r="O57" s="1206">
        <v>4.16</v>
      </c>
      <c r="P57" s="1171">
        <f t="shared" si="17"/>
        <v>126789.17333333334</v>
      </c>
      <c r="Q57" s="401">
        <f t="shared" si="9"/>
        <v>31697.293333333335</v>
      </c>
      <c r="R57" s="1203"/>
      <c r="S57" s="1166"/>
      <c r="T57" s="1166">
        <v>0.1</v>
      </c>
      <c r="U57" s="401">
        <f t="shared" si="10"/>
        <v>15848.646666666667</v>
      </c>
      <c r="V57" s="1207"/>
      <c r="W57" s="1166"/>
      <c r="X57" s="1208">
        <f t="shared" si="11"/>
        <v>174335.11333333334</v>
      </c>
      <c r="Y57" s="359">
        <f t="shared" si="12"/>
        <v>0</v>
      </c>
      <c r="Z57" s="359">
        <f t="shared" si="12"/>
        <v>0</v>
      </c>
      <c r="AA57" s="375">
        <f t="shared" si="4"/>
        <v>2092021.36</v>
      </c>
      <c r="AB57" s="377">
        <f t="shared" si="13"/>
        <v>332859.40493237867</v>
      </c>
      <c r="AC57" s="377">
        <f t="shared" si="14"/>
        <v>2615026.7000000002</v>
      </c>
      <c r="AD57" s="377">
        <f t="shared" si="15"/>
        <v>416074.25616547343</v>
      </c>
    </row>
    <row r="58" spans="1:30" s="993" customFormat="1" ht="17.25" customHeight="1">
      <c r="A58" s="1085">
        <v>52</v>
      </c>
      <c r="B58" s="1086" t="s">
        <v>89</v>
      </c>
      <c r="C58" s="1087" t="s">
        <v>170</v>
      </c>
      <c r="D58" s="1088" t="s">
        <v>25</v>
      </c>
      <c r="E58" s="1089" t="s">
        <v>697</v>
      </c>
      <c r="F58" s="1089" t="s">
        <v>73</v>
      </c>
      <c r="G58" s="1085">
        <v>1</v>
      </c>
      <c r="H58" s="1088" t="s">
        <v>102</v>
      </c>
      <c r="I58" s="1088" t="s">
        <v>103</v>
      </c>
      <c r="J58" s="1090">
        <v>3</v>
      </c>
      <c r="K58" s="1091">
        <v>17697</v>
      </c>
      <c r="L58" s="1058">
        <v>22</v>
      </c>
      <c r="M58" s="1091">
        <f t="shared" si="16"/>
        <v>1.2222222222222223</v>
      </c>
      <c r="N58" s="1092" t="s">
        <v>109</v>
      </c>
      <c r="O58" s="1058">
        <v>4.21</v>
      </c>
      <c r="P58" s="1093">
        <f t="shared" si="17"/>
        <v>91060.896666666653</v>
      </c>
      <c r="Q58" s="1094">
        <f t="shared" si="9"/>
        <v>22765.224166666663</v>
      </c>
      <c r="R58" s="1095"/>
      <c r="S58" s="1091"/>
      <c r="T58" s="1091">
        <v>0.1</v>
      </c>
      <c r="U58" s="1094">
        <f t="shared" si="10"/>
        <v>11382.612083333333</v>
      </c>
      <c r="V58" s="1096"/>
      <c r="W58" s="1091"/>
      <c r="X58" s="1097">
        <f t="shared" si="11"/>
        <v>125208.73291666666</v>
      </c>
      <c r="Y58" s="1098">
        <f t="shared" si="12"/>
        <v>0</v>
      </c>
      <c r="Z58" s="1098">
        <f t="shared" si="12"/>
        <v>0</v>
      </c>
      <c r="AA58" s="1099">
        <f t="shared" si="4"/>
        <v>1502504.7949999999</v>
      </c>
      <c r="AB58" s="993">
        <f t="shared" si="13"/>
        <v>239062.01988862368</v>
      </c>
      <c r="AC58" s="993">
        <f t="shared" si="14"/>
        <v>1878130.9937499999</v>
      </c>
      <c r="AD58" s="993">
        <f t="shared" si="15"/>
        <v>298827.52486077964</v>
      </c>
    </row>
    <row r="59" spans="1:30" s="80" customFormat="1" ht="17.25" customHeight="1">
      <c r="A59" s="290">
        <v>53</v>
      </c>
      <c r="B59" s="1060" t="s">
        <v>171</v>
      </c>
      <c r="C59" s="1055" t="s">
        <v>99</v>
      </c>
      <c r="D59" s="1061" t="s">
        <v>25</v>
      </c>
      <c r="E59" s="1056" t="s">
        <v>691</v>
      </c>
      <c r="F59" s="1056" t="s">
        <v>34</v>
      </c>
      <c r="G59" s="1036">
        <v>1</v>
      </c>
      <c r="H59" s="1061" t="s">
        <v>102</v>
      </c>
      <c r="I59" s="1061" t="s">
        <v>103</v>
      </c>
      <c r="J59" s="1074">
        <v>1</v>
      </c>
      <c r="K59" s="1039">
        <v>17697</v>
      </c>
      <c r="L59" s="1058">
        <v>36</v>
      </c>
      <c r="M59" s="1039">
        <f t="shared" si="16"/>
        <v>2</v>
      </c>
      <c r="N59" s="1054" t="s">
        <v>152</v>
      </c>
      <c r="O59" s="1048">
        <v>4.75</v>
      </c>
      <c r="P59" s="1049">
        <f t="shared" si="17"/>
        <v>168121.5</v>
      </c>
      <c r="Q59" s="328">
        <f t="shared" si="9"/>
        <v>42030.375</v>
      </c>
      <c r="R59" s="1050"/>
      <c r="S59" s="1039"/>
      <c r="T59" s="1039">
        <v>0.1</v>
      </c>
      <c r="U59" s="328">
        <f t="shared" si="10"/>
        <v>21015.1875</v>
      </c>
      <c r="V59" s="1051"/>
      <c r="W59" s="1039"/>
      <c r="X59" s="1040">
        <f t="shared" si="11"/>
        <v>231167.0625</v>
      </c>
      <c r="Y59" s="274"/>
      <c r="Z59" s="274"/>
      <c r="AA59" s="81">
        <f t="shared" si="4"/>
        <v>2774004.75</v>
      </c>
      <c r="AB59" s="80">
        <f t="shared" si="13"/>
        <v>441369.09307875898</v>
      </c>
      <c r="AC59" s="80">
        <f t="shared" si="14"/>
        <v>3467505.9375</v>
      </c>
      <c r="AD59" s="80">
        <f t="shared" si="15"/>
        <v>551711.36634844868</v>
      </c>
    </row>
    <row r="60" spans="1:30" s="80" customFormat="1" ht="17.25" customHeight="1">
      <c r="A60" s="1036">
        <v>54</v>
      </c>
      <c r="B60" s="1060" t="s">
        <v>207</v>
      </c>
      <c r="C60" s="1055" t="s">
        <v>99</v>
      </c>
      <c r="D60" s="1061" t="s">
        <v>25</v>
      </c>
      <c r="E60" s="1056" t="s">
        <v>692</v>
      </c>
      <c r="F60" s="1052" t="s">
        <v>614</v>
      </c>
      <c r="G60" s="1036">
        <v>1</v>
      </c>
      <c r="H60" s="1061" t="s">
        <v>102</v>
      </c>
      <c r="I60" s="1061" t="s">
        <v>103</v>
      </c>
      <c r="J60" s="1074">
        <v>2</v>
      </c>
      <c r="K60" s="1039">
        <v>17697</v>
      </c>
      <c r="L60" s="1058">
        <v>4</v>
      </c>
      <c r="M60" s="1039">
        <f t="shared" ref="M60:M79" si="18">L60/18</f>
        <v>0.22222222222222221</v>
      </c>
      <c r="N60" s="1078" t="s">
        <v>104</v>
      </c>
      <c r="O60" s="1079">
        <v>4.3</v>
      </c>
      <c r="P60" s="1049">
        <f t="shared" si="17"/>
        <v>16910.466666666664</v>
      </c>
      <c r="Q60" s="328">
        <f t="shared" si="9"/>
        <v>4227.6166666666659</v>
      </c>
      <c r="R60" s="1073"/>
      <c r="S60" s="1045"/>
      <c r="T60" s="1039">
        <v>0.1</v>
      </c>
      <c r="U60" s="328">
        <f t="shared" si="10"/>
        <v>2113.8083333333329</v>
      </c>
      <c r="V60" s="1077"/>
      <c r="W60" s="1045"/>
      <c r="X60" s="1040">
        <f t="shared" si="11"/>
        <v>23251.891666666663</v>
      </c>
      <c r="Y60" s="688"/>
      <c r="Z60" s="688"/>
      <c r="AA60" s="81">
        <f t="shared" si="4"/>
        <v>279022.69999999995</v>
      </c>
      <c r="AB60" s="80">
        <f t="shared" si="13"/>
        <v>44395.019888623705</v>
      </c>
      <c r="AC60" s="80">
        <f t="shared" si="14"/>
        <v>348778.37499999994</v>
      </c>
      <c r="AD60" s="80">
        <f t="shared" si="15"/>
        <v>55493.774860779631</v>
      </c>
    </row>
    <row r="61" spans="1:30" s="80" customFormat="1" ht="16.5" customHeight="1">
      <c r="A61" s="290">
        <v>55</v>
      </c>
      <c r="B61" s="1060" t="s">
        <v>173</v>
      </c>
      <c r="C61" s="1055" t="s">
        <v>99</v>
      </c>
      <c r="D61" s="1061" t="s">
        <v>25</v>
      </c>
      <c r="E61" s="1056" t="s">
        <v>693</v>
      </c>
      <c r="F61" s="1056" t="s">
        <v>66</v>
      </c>
      <c r="G61" s="1036">
        <v>1</v>
      </c>
      <c r="H61" s="1061" t="s">
        <v>102</v>
      </c>
      <c r="I61" s="1061" t="s">
        <v>103</v>
      </c>
      <c r="J61" s="1074">
        <v>1</v>
      </c>
      <c r="K61" s="1039">
        <v>17697</v>
      </c>
      <c r="L61" s="1058">
        <v>31.5</v>
      </c>
      <c r="M61" s="1039">
        <f t="shared" si="18"/>
        <v>1.75</v>
      </c>
      <c r="N61" s="1054" t="s">
        <v>152</v>
      </c>
      <c r="O61" s="1100">
        <v>4.55</v>
      </c>
      <c r="P61" s="1049">
        <f t="shared" si="17"/>
        <v>140912.36249999999</v>
      </c>
      <c r="Q61" s="328">
        <f t="shared" si="9"/>
        <v>35228.090624999997</v>
      </c>
      <c r="R61" s="1050"/>
      <c r="S61" s="1039"/>
      <c r="T61" s="1039">
        <v>0.1</v>
      </c>
      <c r="U61" s="328">
        <f t="shared" si="10"/>
        <v>17614.045312500002</v>
      </c>
      <c r="V61" s="1051"/>
      <c r="W61" s="1039"/>
      <c r="X61" s="1040">
        <f t="shared" si="11"/>
        <v>193754.49843750001</v>
      </c>
      <c r="Y61" s="274">
        <f t="shared" si="12"/>
        <v>0</v>
      </c>
      <c r="Z61" s="274">
        <f t="shared" si="12"/>
        <v>0</v>
      </c>
      <c r="AA61" s="81">
        <f t="shared" si="4"/>
        <v>2325053.9812500002</v>
      </c>
      <c r="AB61" s="80">
        <f t="shared" si="13"/>
        <v>369936.98985680193</v>
      </c>
      <c r="AC61" s="80">
        <f t="shared" si="14"/>
        <v>2906317.4765625</v>
      </c>
      <c r="AD61" s="80">
        <f t="shared" si="15"/>
        <v>462421.23732100247</v>
      </c>
    </row>
    <row r="62" spans="1:30" s="80" customFormat="1" ht="17.25" customHeight="1">
      <c r="A62" s="547">
        <v>56</v>
      </c>
      <c r="B62" s="153" t="s">
        <v>628</v>
      </c>
      <c r="C62" s="561" t="s">
        <v>99</v>
      </c>
      <c r="D62" s="563" t="s">
        <v>25</v>
      </c>
      <c r="E62" s="999" t="s">
        <v>632</v>
      </c>
      <c r="F62" s="1003" t="s">
        <v>252</v>
      </c>
      <c r="G62" s="547">
        <v>1</v>
      </c>
      <c r="H62" s="1000" t="s">
        <v>102</v>
      </c>
      <c r="I62" s="1000" t="s">
        <v>103</v>
      </c>
      <c r="J62" s="1001">
        <v>3</v>
      </c>
      <c r="K62" s="554">
        <v>17697</v>
      </c>
      <c r="L62" s="565">
        <v>11</v>
      </c>
      <c r="M62" s="554">
        <f t="shared" si="18"/>
        <v>0.61111111111111116</v>
      </c>
      <c r="N62" s="574" t="s">
        <v>109</v>
      </c>
      <c r="O62" s="1014">
        <v>4.07</v>
      </c>
      <c r="P62" s="567">
        <f t="shared" si="17"/>
        <v>44016.371666666673</v>
      </c>
      <c r="Q62" s="556">
        <f t="shared" si="9"/>
        <v>11004.092916666668</v>
      </c>
      <c r="R62" s="568"/>
      <c r="S62" s="554"/>
      <c r="T62" s="554">
        <v>0.1</v>
      </c>
      <c r="U62" s="556">
        <f t="shared" si="10"/>
        <v>5502.0464583333342</v>
      </c>
      <c r="V62" s="569"/>
      <c r="W62" s="554"/>
      <c r="X62" s="559">
        <f t="shared" si="11"/>
        <v>60522.511041666672</v>
      </c>
      <c r="Y62" s="274">
        <f t="shared" si="12"/>
        <v>0</v>
      </c>
      <c r="Z62" s="274">
        <f t="shared" si="12"/>
        <v>0</v>
      </c>
      <c r="AA62" s="81">
        <f t="shared" si="4"/>
        <v>726270.13250000007</v>
      </c>
      <c r="AB62" s="80">
        <f t="shared" si="13"/>
        <v>115556.10700079556</v>
      </c>
      <c r="AC62" s="80">
        <f t="shared" si="14"/>
        <v>907837.66562500014</v>
      </c>
      <c r="AD62" s="80">
        <f t="shared" si="15"/>
        <v>144445.13375099446</v>
      </c>
    </row>
    <row r="63" spans="1:30" s="80" customFormat="1" ht="17.25" customHeight="1">
      <c r="A63" s="290">
        <v>57</v>
      </c>
      <c r="B63" s="1060" t="s">
        <v>175</v>
      </c>
      <c r="C63" s="1055" t="s">
        <v>99</v>
      </c>
      <c r="D63" s="1061" t="s">
        <v>25</v>
      </c>
      <c r="E63" s="1056" t="s">
        <v>610</v>
      </c>
      <c r="F63" s="1056" t="s">
        <v>114</v>
      </c>
      <c r="G63" s="1036">
        <v>1</v>
      </c>
      <c r="H63" s="1061" t="s">
        <v>102</v>
      </c>
      <c r="I63" s="1061" t="s">
        <v>103</v>
      </c>
      <c r="J63" s="1062">
        <v>1</v>
      </c>
      <c r="K63" s="1039">
        <v>17697</v>
      </c>
      <c r="L63" s="1058">
        <v>9</v>
      </c>
      <c r="M63" s="1039">
        <f t="shared" si="18"/>
        <v>0.5</v>
      </c>
      <c r="N63" s="1080" t="s">
        <v>152</v>
      </c>
      <c r="O63" s="1048">
        <v>4.75</v>
      </c>
      <c r="P63" s="1049">
        <f t="shared" si="17"/>
        <v>42030.375</v>
      </c>
      <c r="Q63" s="328">
        <f t="shared" si="9"/>
        <v>10507.59375</v>
      </c>
      <c r="R63" s="1050"/>
      <c r="S63" s="1039"/>
      <c r="T63" s="1039">
        <v>0.1</v>
      </c>
      <c r="U63" s="328">
        <f t="shared" si="10"/>
        <v>5253.796875</v>
      </c>
      <c r="V63" s="1051"/>
      <c r="W63" s="1039"/>
      <c r="X63" s="1040">
        <f t="shared" si="11"/>
        <v>57791.765625</v>
      </c>
      <c r="Y63" s="270">
        <f t="shared" si="12"/>
        <v>0</v>
      </c>
      <c r="Z63" s="270">
        <f t="shared" si="12"/>
        <v>0</v>
      </c>
      <c r="AA63" s="81">
        <f t="shared" si="4"/>
        <v>693501.1875</v>
      </c>
      <c r="AB63" s="80">
        <f t="shared" si="13"/>
        <v>110342.27326968974</v>
      </c>
      <c r="AC63" s="80">
        <f t="shared" si="14"/>
        <v>866876.484375</v>
      </c>
      <c r="AD63" s="80">
        <f t="shared" si="15"/>
        <v>137927.84158711217</v>
      </c>
    </row>
    <row r="64" spans="1:30" s="125" customFormat="1" ht="17.25" customHeight="1">
      <c r="A64" s="547">
        <v>58</v>
      </c>
      <c r="B64" s="153" t="s">
        <v>603</v>
      </c>
      <c r="C64" s="561" t="s">
        <v>99</v>
      </c>
      <c r="D64" s="563" t="s">
        <v>25</v>
      </c>
      <c r="E64" s="1000" t="s">
        <v>601</v>
      </c>
      <c r="F64" s="562" t="s">
        <v>159</v>
      </c>
      <c r="G64" s="547">
        <v>1</v>
      </c>
      <c r="H64" s="1000" t="s">
        <v>102</v>
      </c>
      <c r="I64" s="1000" t="s">
        <v>103</v>
      </c>
      <c r="J64" s="1001">
        <v>4</v>
      </c>
      <c r="K64" s="554">
        <v>17697</v>
      </c>
      <c r="L64" s="565">
        <v>6</v>
      </c>
      <c r="M64" s="554">
        <f t="shared" si="18"/>
        <v>0.33333333333333331</v>
      </c>
      <c r="N64" s="566" t="s">
        <v>112</v>
      </c>
      <c r="O64" s="1014">
        <v>3.52</v>
      </c>
      <c r="P64" s="567">
        <f t="shared" si="17"/>
        <v>20764.480000000003</v>
      </c>
      <c r="Q64" s="556">
        <f t="shared" si="9"/>
        <v>5191.1200000000008</v>
      </c>
      <c r="R64" s="568"/>
      <c r="S64" s="554"/>
      <c r="T64" s="554">
        <v>0.1</v>
      </c>
      <c r="U64" s="556">
        <f t="shared" si="10"/>
        <v>2595.5600000000009</v>
      </c>
      <c r="V64" s="569"/>
      <c r="W64" s="554"/>
      <c r="X64" s="559">
        <f t="shared" si="11"/>
        <v>28551.160000000007</v>
      </c>
      <c r="Y64" s="682">
        <f t="shared" si="12"/>
        <v>0</v>
      </c>
      <c r="Z64" s="682">
        <f t="shared" si="12"/>
        <v>0</v>
      </c>
      <c r="AA64" s="81">
        <f t="shared" si="4"/>
        <v>342613.9200000001</v>
      </c>
      <c r="AB64" s="80">
        <f t="shared" si="13"/>
        <v>54512.954653937966</v>
      </c>
      <c r="AC64" s="80">
        <f t="shared" si="14"/>
        <v>428267.40000000014</v>
      </c>
      <c r="AD64" s="80">
        <f t="shared" si="15"/>
        <v>68141.193317422454</v>
      </c>
    </row>
    <row r="65" spans="1:44" s="125" customFormat="1" ht="17.25" customHeight="1">
      <c r="A65" s="290">
        <v>59</v>
      </c>
      <c r="B65" s="1060" t="s">
        <v>177</v>
      </c>
      <c r="C65" s="1055" t="s">
        <v>99</v>
      </c>
      <c r="D65" s="1061" t="s">
        <v>178</v>
      </c>
      <c r="E65" s="1056" t="s">
        <v>695</v>
      </c>
      <c r="F65" s="1056" t="s">
        <v>366</v>
      </c>
      <c r="G65" s="1036">
        <v>1</v>
      </c>
      <c r="H65" s="1061" t="s">
        <v>102</v>
      </c>
      <c r="I65" s="1061" t="s">
        <v>103</v>
      </c>
      <c r="J65" s="1074">
        <v>2</v>
      </c>
      <c r="K65" s="1039">
        <v>17697</v>
      </c>
      <c r="L65" s="1058">
        <v>30</v>
      </c>
      <c r="M65" s="1045">
        <f t="shared" si="18"/>
        <v>1.6666666666666667</v>
      </c>
      <c r="N65" s="1078" t="s">
        <v>104</v>
      </c>
      <c r="O65" s="1079">
        <v>4.4400000000000004</v>
      </c>
      <c r="P65" s="1070">
        <f t="shared" si="17"/>
        <v>130957.8</v>
      </c>
      <c r="Q65" s="328">
        <f t="shared" si="9"/>
        <v>32739.45</v>
      </c>
      <c r="R65" s="1073"/>
      <c r="S65" s="1045"/>
      <c r="T65" s="1039">
        <v>0.1</v>
      </c>
      <c r="U65" s="328">
        <f t="shared" si="10"/>
        <v>16369.725</v>
      </c>
      <c r="V65" s="1077"/>
      <c r="W65" s="1045"/>
      <c r="X65" s="1040">
        <f t="shared" si="11"/>
        <v>180066.97500000001</v>
      </c>
      <c r="Y65" s="991"/>
      <c r="Z65" s="991"/>
      <c r="AA65" s="81">
        <f t="shared" si="4"/>
        <v>2160803.7000000002</v>
      </c>
      <c r="AB65" s="80">
        <f t="shared" si="13"/>
        <v>343803.2935560859</v>
      </c>
      <c r="AC65" s="80">
        <f t="shared" si="14"/>
        <v>2701004.625</v>
      </c>
      <c r="AD65" s="80">
        <f t="shared" si="15"/>
        <v>429754.11694510741</v>
      </c>
    </row>
    <row r="66" spans="1:44" s="125" customFormat="1" ht="17.25" customHeight="1">
      <c r="A66" s="1036">
        <v>60</v>
      </c>
      <c r="B66" s="1060" t="s">
        <v>182</v>
      </c>
      <c r="C66" s="1055" t="s">
        <v>99</v>
      </c>
      <c r="D66" s="1061" t="s">
        <v>25</v>
      </c>
      <c r="E66" s="1056" t="s">
        <v>701</v>
      </c>
      <c r="F66" s="1056" t="s">
        <v>51</v>
      </c>
      <c r="G66" s="1036">
        <v>1</v>
      </c>
      <c r="H66" s="1061" t="s">
        <v>102</v>
      </c>
      <c r="I66" s="1061" t="s">
        <v>103</v>
      </c>
      <c r="J66" s="1074">
        <v>1</v>
      </c>
      <c r="K66" s="1039">
        <v>17697</v>
      </c>
      <c r="L66" s="1058">
        <v>34</v>
      </c>
      <c r="M66" s="1039">
        <f t="shared" si="18"/>
        <v>1.8888888888888888</v>
      </c>
      <c r="N66" s="1054" t="s">
        <v>152</v>
      </c>
      <c r="O66" s="1048">
        <v>4.6900000000000004</v>
      </c>
      <c r="P66" s="1049">
        <f t="shared" si="17"/>
        <v>156775.75666666668</v>
      </c>
      <c r="Q66" s="328">
        <f t="shared" si="9"/>
        <v>39193.939166666671</v>
      </c>
      <c r="R66" s="1050"/>
      <c r="S66" s="1039"/>
      <c r="T66" s="1039">
        <v>0.1</v>
      </c>
      <c r="U66" s="328">
        <f t="shared" si="10"/>
        <v>19596.969583333335</v>
      </c>
      <c r="V66" s="1051"/>
      <c r="W66" s="1039"/>
      <c r="X66" s="1040">
        <f t="shared" si="11"/>
        <v>215566.66541666668</v>
      </c>
      <c r="Y66" s="682"/>
      <c r="Z66" s="682"/>
      <c r="AA66" s="81">
        <f t="shared" si="4"/>
        <v>2586799.9850000003</v>
      </c>
      <c r="AB66" s="80">
        <f t="shared" si="13"/>
        <v>411583.1320604615</v>
      </c>
      <c r="AC66" s="80">
        <f t="shared" si="14"/>
        <v>3233499.9812500002</v>
      </c>
      <c r="AD66" s="80">
        <f t="shared" si="15"/>
        <v>514478.91507557686</v>
      </c>
    </row>
    <row r="67" spans="1:44" s="80" customFormat="1" ht="17.25" customHeight="1">
      <c r="A67" s="290">
        <v>61</v>
      </c>
      <c r="B67" s="1060" t="s">
        <v>184</v>
      </c>
      <c r="C67" s="1055" t="s">
        <v>99</v>
      </c>
      <c r="D67" s="1061" t="s">
        <v>25</v>
      </c>
      <c r="E67" s="1065" t="s">
        <v>702</v>
      </c>
      <c r="F67" s="1056" t="s">
        <v>27</v>
      </c>
      <c r="G67" s="1036">
        <v>1</v>
      </c>
      <c r="H67" s="1061" t="s">
        <v>102</v>
      </c>
      <c r="I67" s="1061" t="s">
        <v>103</v>
      </c>
      <c r="J67" s="1074">
        <v>1</v>
      </c>
      <c r="K67" s="1039">
        <v>17697</v>
      </c>
      <c r="L67" s="1058">
        <v>29</v>
      </c>
      <c r="M67" s="1039">
        <f t="shared" si="18"/>
        <v>1.6111111111111112</v>
      </c>
      <c r="N67" s="1054" t="s">
        <v>152</v>
      </c>
      <c r="O67" s="1048">
        <v>4.75</v>
      </c>
      <c r="P67" s="1049">
        <f t="shared" si="17"/>
        <v>135431.20833333334</v>
      </c>
      <c r="Q67" s="328">
        <f t="shared" si="9"/>
        <v>33857.802083333336</v>
      </c>
      <c r="R67" s="1050"/>
      <c r="S67" s="1039"/>
      <c r="T67" s="1039">
        <v>0.1</v>
      </c>
      <c r="U67" s="328">
        <f t="shared" si="10"/>
        <v>16928.901041666668</v>
      </c>
      <c r="V67" s="1051"/>
      <c r="W67" s="1039"/>
      <c r="X67" s="1040">
        <f t="shared" si="11"/>
        <v>186217.91145833334</v>
      </c>
      <c r="Y67" s="274">
        <f t="shared" si="12"/>
        <v>0</v>
      </c>
      <c r="Z67" s="274">
        <f t="shared" si="12"/>
        <v>0</v>
      </c>
      <c r="AA67" s="81">
        <f t="shared" si="4"/>
        <v>2234614.9375</v>
      </c>
      <c r="AB67" s="80">
        <f t="shared" si="13"/>
        <v>355547.32498011144</v>
      </c>
      <c r="AC67" s="80">
        <f t="shared" si="14"/>
        <v>2793268.671875</v>
      </c>
      <c r="AD67" s="80">
        <f t="shared" si="15"/>
        <v>444434.15622513922</v>
      </c>
    </row>
    <row r="68" spans="1:44" s="80" customFormat="1" ht="17.25" customHeight="1">
      <c r="A68" s="1036">
        <v>62</v>
      </c>
      <c r="B68" s="1060" t="s">
        <v>186</v>
      </c>
      <c r="C68" s="1055" t="s">
        <v>99</v>
      </c>
      <c r="D68" s="1061" t="s">
        <v>25</v>
      </c>
      <c r="E68" s="1056" t="s">
        <v>703</v>
      </c>
      <c r="F68" s="1056" t="s">
        <v>27</v>
      </c>
      <c r="G68" s="1036">
        <v>1</v>
      </c>
      <c r="H68" s="1061" t="s">
        <v>102</v>
      </c>
      <c r="I68" s="1061" t="s">
        <v>103</v>
      </c>
      <c r="J68" s="1074">
        <v>1</v>
      </c>
      <c r="K68" s="1039">
        <v>17697</v>
      </c>
      <c r="L68" s="1058">
        <v>25</v>
      </c>
      <c r="M68" s="1039">
        <f t="shared" si="18"/>
        <v>1.3888888888888888</v>
      </c>
      <c r="N68" s="1054" t="s">
        <v>152</v>
      </c>
      <c r="O68" s="1048">
        <v>4.75</v>
      </c>
      <c r="P68" s="1049">
        <f t="shared" si="17"/>
        <v>116751.04166666667</v>
      </c>
      <c r="Q68" s="328">
        <f t="shared" si="9"/>
        <v>29187.760416666668</v>
      </c>
      <c r="R68" s="1050"/>
      <c r="S68" s="1039"/>
      <c r="T68" s="1039">
        <v>0.1</v>
      </c>
      <c r="U68" s="328">
        <f t="shared" si="10"/>
        <v>14593.880208333336</v>
      </c>
      <c r="V68" s="1051"/>
      <c r="W68" s="1039"/>
      <c r="X68" s="1040">
        <f t="shared" si="11"/>
        <v>160532.68229166669</v>
      </c>
      <c r="Y68" s="274">
        <f t="shared" si="12"/>
        <v>0</v>
      </c>
      <c r="Z68" s="274">
        <f t="shared" si="12"/>
        <v>0</v>
      </c>
      <c r="AA68" s="81">
        <f t="shared" si="4"/>
        <v>1926392.1875000002</v>
      </c>
      <c r="AB68" s="80">
        <f t="shared" si="13"/>
        <v>306506.31463802711</v>
      </c>
      <c r="AC68" s="80">
        <f t="shared" si="14"/>
        <v>2407990.2343750005</v>
      </c>
      <c r="AD68" s="80">
        <f t="shared" si="15"/>
        <v>383132.89329753391</v>
      </c>
    </row>
    <row r="69" spans="1:44" s="80" customFormat="1" ht="17.25" customHeight="1">
      <c r="A69" s="290">
        <v>63</v>
      </c>
      <c r="B69" s="1102" t="s">
        <v>188</v>
      </c>
      <c r="C69" s="1103" t="s">
        <v>99</v>
      </c>
      <c r="D69" s="1104" t="s">
        <v>25</v>
      </c>
      <c r="E69" s="1105" t="s">
        <v>708</v>
      </c>
      <c r="F69" s="1106" t="s">
        <v>51</v>
      </c>
      <c r="G69" s="1036">
        <v>1</v>
      </c>
      <c r="H69" s="1104" t="s">
        <v>102</v>
      </c>
      <c r="I69" s="1104" t="s">
        <v>103</v>
      </c>
      <c r="J69" s="1074">
        <v>1</v>
      </c>
      <c r="K69" s="1107">
        <v>17697</v>
      </c>
      <c r="L69" s="1108">
        <v>33</v>
      </c>
      <c r="M69" s="1039">
        <f t="shared" si="18"/>
        <v>1.8333333333333333</v>
      </c>
      <c r="N69" s="1054" t="s">
        <v>152</v>
      </c>
      <c r="O69" s="1109">
        <v>4.6900000000000004</v>
      </c>
      <c r="P69" s="1110">
        <f t="shared" si="17"/>
        <v>152164.70500000002</v>
      </c>
      <c r="Q69" s="328">
        <f t="shared" si="9"/>
        <v>38041.176250000004</v>
      </c>
      <c r="R69" s="1111"/>
      <c r="S69" s="1107"/>
      <c r="T69" s="1107">
        <v>0.1</v>
      </c>
      <c r="U69" s="328">
        <f t="shared" si="10"/>
        <v>19020.588125000006</v>
      </c>
      <c r="V69" s="1112"/>
      <c r="W69" s="1107"/>
      <c r="X69" s="1040">
        <f t="shared" si="11"/>
        <v>209226.46937500004</v>
      </c>
      <c r="Y69" s="274">
        <f t="shared" si="12"/>
        <v>0</v>
      </c>
      <c r="Z69" s="274">
        <f t="shared" si="12"/>
        <v>0</v>
      </c>
      <c r="AA69" s="81">
        <f t="shared" si="4"/>
        <v>2510717.6325000003</v>
      </c>
      <c r="AB69" s="80">
        <f t="shared" si="13"/>
        <v>399477.74582338904</v>
      </c>
      <c r="AC69" s="80">
        <f t="shared" si="14"/>
        <v>3138397.0406250004</v>
      </c>
      <c r="AD69" s="80">
        <f t="shared" si="15"/>
        <v>499347.18227923638</v>
      </c>
    </row>
    <row r="70" spans="1:44" s="80" customFormat="1" ht="17.25" customHeight="1">
      <c r="A70" s="547">
        <v>64</v>
      </c>
      <c r="B70" s="587" t="s">
        <v>450</v>
      </c>
      <c r="C70" s="588" t="s">
        <v>99</v>
      </c>
      <c r="D70" s="589" t="s">
        <v>25</v>
      </c>
      <c r="E70" s="590" t="s">
        <v>611</v>
      </c>
      <c r="F70" s="591" t="s">
        <v>34</v>
      </c>
      <c r="G70" s="547">
        <v>1</v>
      </c>
      <c r="H70" s="589" t="s">
        <v>102</v>
      </c>
      <c r="I70" s="589" t="s">
        <v>103</v>
      </c>
      <c r="J70" s="564">
        <v>1</v>
      </c>
      <c r="K70" s="593">
        <v>17697</v>
      </c>
      <c r="L70" s="594">
        <v>27</v>
      </c>
      <c r="M70" s="700">
        <f t="shared" si="18"/>
        <v>1.5</v>
      </c>
      <c r="N70" s="1004" t="s">
        <v>152</v>
      </c>
      <c r="O70" s="1020">
        <v>4.75</v>
      </c>
      <c r="P70" s="1005">
        <f t="shared" si="17"/>
        <v>126091.12500000001</v>
      </c>
      <c r="Q70" s="556">
        <f t="shared" si="9"/>
        <v>31522.781250000004</v>
      </c>
      <c r="R70" s="1006"/>
      <c r="S70" s="887"/>
      <c r="T70" s="887">
        <v>0.1</v>
      </c>
      <c r="U70" s="556">
        <f t="shared" si="10"/>
        <v>15761.390625000004</v>
      </c>
      <c r="V70" s="1007"/>
      <c r="W70" s="887"/>
      <c r="X70" s="559">
        <f t="shared" si="11"/>
        <v>173375.29687500003</v>
      </c>
      <c r="Y70" s="270">
        <f t="shared" si="12"/>
        <v>0</v>
      </c>
      <c r="Z70" s="270">
        <f t="shared" si="12"/>
        <v>0</v>
      </c>
      <c r="AA70" s="81">
        <f t="shared" si="4"/>
        <v>2080503.5625000005</v>
      </c>
      <c r="AB70" s="80">
        <f t="shared" si="13"/>
        <v>331026.81980906927</v>
      </c>
      <c r="AC70" s="80">
        <f t="shared" si="14"/>
        <v>2600629.4531250005</v>
      </c>
      <c r="AD70" s="80">
        <f t="shared" si="15"/>
        <v>413783.52476133656</v>
      </c>
    </row>
    <row r="71" spans="1:44" s="80" customFormat="1" ht="17.25" customHeight="1">
      <c r="A71" s="290">
        <v>65</v>
      </c>
      <c r="B71" s="1102" t="s">
        <v>454</v>
      </c>
      <c r="C71" s="1103" t="s">
        <v>99</v>
      </c>
      <c r="D71" s="1104" t="s">
        <v>189</v>
      </c>
      <c r="E71" s="1105" t="s">
        <v>709</v>
      </c>
      <c r="F71" s="1106" t="s">
        <v>77</v>
      </c>
      <c r="G71" s="1036">
        <v>1</v>
      </c>
      <c r="H71" s="1104" t="s">
        <v>102</v>
      </c>
      <c r="I71" s="1104" t="s">
        <v>103</v>
      </c>
      <c r="J71" s="1062">
        <v>4</v>
      </c>
      <c r="K71" s="1107">
        <v>17697</v>
      </c>
      <c r="L71" s="1108">
        <v>30</v>
      </c>
      <c r="M71" s="1045">
        <f t="shared" si="18"/>
        <v>1.6666666666666667</v>
      </c>
      <c r="N71" s="1113" t="s">
        <v>112</v>
      </c>
      <c r="O71" s="1114">
        <v>3.71</v>
      </c>
      <c r="P71" s="1115">
        <f t="shared" si="17"/>
        <v>109426.45</v>
      </c>
      <c r="Q71" s="328">
        <f t="shared" si="9"/>
        <v>27356.612499999999</v>
      </c>
      <c r="R71" s="1116"/>
      <c r="S71" s="1117"/>
      <c r="T71" s="1117">
        <v>0.1</v>
      </c>
      <c r="U71" s="328">
        <f t="shared" si="10"/>
        <v>13678.306250000001</v>
      </c>
      <c r="V71" s="1118"/>
      <c r="W71" s="1117"/>
      <c r="X71" s="1040">
        <f t="shared" si="11"/>
        <v>150461.36874999999</v>
      </c>
      <c r="Y71" s="270">
        <f t="shared" si="12"/>
        <v>0</v>
      </c>
      <c r="Z71" s="270">
        <f t="shared" si="12"/>
        <v>0</v>
      </c>
      <c r="AA71" s="81">
        <f t="shared" ref="AA71:AA148" si="19">X71*12</f>
        <v>1805536.4249999998</v>
      </c>
      <c r="AB71" s="80">
        <f t="shared" si="13"/>
        <v>287277.076372315</v>
      </c>
      <c r="AC71" s="80">
        <f t="shared" si="14"/>
        <v>2256920.53125</v>
      </c>
      <c r="AD71" s="80">
        <f t="shared" si="15"/>
        <v>359096.3454653938</v>
      </c>
    </row>
    <row r="72" spans="1:44" s="80" customFormat="1" ht="15.75">
      <c r="A72" s="1036">
        <v>66</v>
      </c>
      <c r="B72" s="1060" t="s">
        <v>193</v>
      </c>
      <c r="C72" s="1055" t="s">
        <v>99</v>
      </c>
      <c r="D72" s="1061" t="s">
        <v>64</v>
      </c>
      <c r="E72" s="1081" t="s">
        <v>716</v>
      </c>
      <c r="F72" s="1056" t="s">
        <v>403</v>
      </c>
      <c r="G72" s="1036">
        <v>1</v>
      </c>
      <c r="H72" s="1061" t="s">
        <v>102</v>
      </c>
      <c r="I72" s="1061" t="s">
        <v>118</v>
      </c>
      <c r="J72" s="1074">
        <v>3</v>
      </c>
      <c r="K72" s="1039">
        <v>17697</v>
      </c>
      <c r="L72" s="1058">
        <v>33</v>
      </c>
      <c r="M72" s="1045">
        <f t="shared" si="18"/>
        <v>1.8333333333333333</v>
      </c>
      <c r="N72" s="1078" t="s">
        <v>109</v>
      </c>
      <c r="O72" s="1079">
        <v>3.97</v>
      </c>
      <c r="P72" s="1070">
        <f t="shared" si="17"/>
        <v>128804.66499999999</v>
      </c>
      <c r="Q72" s="328">
        <f t="shared" si="9"/>
        <v>32201.166249999998</v>
      </c>
      <c r="R72" s="1073"/>
      <c r="S72" s="1045"/>
      <c r="T72" s="1045">
        <v>0.1</v>
      </c>
      <c r="U72" s="328">
        <f t="shared" si="10"/>
        <v>16100.583124999999</v>
      </c>
      <c r="V72" s="1077"/>
      <c r="W72" s="1045"/>
      <c r="X72" s="1040">
        <f t="shared" si="11"/>
        <v>177106.41437499999</v>
      </c>
      <c r="Y72" s="304"/>
      <c r="Z72" s="304"/>
      <c r="AA72" s="81">
        <f t="shared" si="19"/>
        <v>2125276.9725000001</v>
      </c>
      <c r="AB72" s="80">
        <f t="shared" si="13"/>
        <v>338150.67183770891</v>
      </c>
      <c r="AC72" s="80">
        <f t="shared" si="14"/>
        <v>2656596.2156250002</v>
      </c>
      <c r="AD72" s="80">
        <f t="shared" si="15"/>
        <v>422688.33979713608</v>
      </c>
    </row>
    <row r="73" spans="1:44" s="80" customFormat="1" ht="15.75">
      <c r="A73" s="290">
        <v>67</v>
      </c>
      <c r="B73" s="1060" t="s">
        <v>197</v>
      </c>
      <c r="C73" s="1055" t="s">
        <v>99</v>
      </c>
      <c r="D73" s="1061" t="s">
        <v>25</v>
      </c>
      <c r="E73" s="1081" t="s">
        <v>717</v>
      </c>
      <c r="F73" s="1056" t="s">
        <v>34</v>
      </c>
      <c r="G73" s="1036">
        <v>1</v>
      </c>
      <c r="H73" s="1061" t="s">
        <v>102</v>
      </c>
      <c r="I73" s="1061" t="s">
        <v>103</v>
      </c>
      <c r="J73" s="1062">
        <v>1</v>
      </c>
      <c r="K73" s="1039">
        <v>17697</v>
      </c>
      <c r="L73" s="1058">
        <v>30</v>
      </c>
      <c r="M73" s="1045">
        <f t="shared" si="18"/>
        <v>1.6666666666666667</v>
      </c>
      <c r="N73" s="1113" t="s">
        <v>152</v>
      </c>
      <c r="O73" s="1079">
        <v>4.75</v>
      </c>
      <c r="P73" s="1070">
        <f t="shared" si="17"/>
        <v>140101.25</v>
      </c>
      <c r="Q73" s="328">
        <f t="shared" si="9"/>
        <v>35025.3125</v>
      </c>
      <c r="R73" s="1073"/>
      <c r="S73" s="1045"/>
      <c r="T73" s="1045">
        <v>0.1</v>
      </c>
      <c r="U73" s="328">
        <f t="shared" si="10"/>
        <v>17512.65625</v>
      </c>
      <c r="V73" s="1077"/>
      <c r="W73" s="1045"/>
      <c r="X73" s="1040">
        <f t="shared" si="11"/>
        <v>192639.21875</v>
      </c>
      <c r="Y73" s="303">
        <f t="shared" ref="Y73:Z76" si="20">V73+R73</f>
        <v>0</v>
      </c>
      <c r="Z73" s="303">
        <f t="shared" si="20"/>
        <v>0</v>
      </c>
      <c r="AA73" s="81">
        <f t="shared" si="19"/>
        <v>2311670.625</v>
      </c>
      <c r="AB73" s="80">
        <f t="shared" si="13"/>
        <v>367807.57756563247</v>
      </c>
      <c r="AC73" s="80">
        <f t="shared" si="14"/>
        <v>2889588.28125</v>
      </c>
      <c r="AD73" s="80">
        <f t="shared" si="15"/>
        <v>459759.4719570406</v>
      </c>
    </row>
    <row r="74" spans="1:44" s="80" customFormat="1" ht="17.25" customHeight="1">
      <c r="A74" s="547">
        <v>68</v>
      </c>
      <c r="B74" s="1008" t="s">
        <v>627</v>
      </c>
      <c r="C74" s="1009" t="s">
        <v>99</v>
      </c>
      <c r="D74" s="563" t="s">
        <v>152</v>
      </c>
      <c r="E74" s="999" t="s">
        <v>636</v>
      </c>
      <c r="F74" s="562" t="s">
        <v>34</v>
      </c>
      <c r="G74" s="547">
        <v>1</v>
      </c>
      <c r="H74" s="1000" t="s">
        <v>102</v>
      </c>
      <c r="I74" s="1000" t="s">
        <v>103</v>
      </c>
      <c r="J74" s="1001">
        <v>1</v>
      </c>
      <c r="K74" s="888">
        <v>17697</v>
      </c>
      <c r="L74" s="1010">
        <v>10</v>
      </c>
      <c r="M74" s="554">
        <f t="shared" si="18"/>
        <v>0.55555555555555558</v>
      </c>
      <c r="N74" s="1004" t="s">
        <v>152</v>
      </c>
      <c r="O74" s="1021">
        <v>4.75</v>
      </c>
      <c r="P74" s="607">
        <f t="shared" si="17"/>
        <v>46700.416666666672</v>
      </c>
      <c r="Q74" s="556">
        <f t="shared" si="9"/>
        <v>11675.104166666668</v>
      </c>
      <c r="R74" s="1011"/>
      <c r="S74" s="888"/>
      <c r="T74" s="605">
        <v>0.1</v>
      </c>
      <c r="U74" s="556">
        <f t="shared" si="10"/>
        <v>5837.5520833333348</v>
      </c>
      <c r="V74" s="1012"/>
      <c r="W74" s="888"/>
      <c r="X74" s="559">
        <f t="shared" si="11"/>
        <v>64213.072916666679</v>
      </c>
      <c r="Y74" s="980"/>
      <c r="Z74" s="980"/>
      <c r="AA74" s="81">
        <f t="shared" si="19"/>
        <v>770556.87500000012</v>
      </c>
      <c r="AB74" s="80">
        <f t="shared" si="13"/>
        <v>122602.52585521086</v>
      </c>
      <c r="AC74" s="80">
        <f t="shared" si="14"/>
        <v>963196.09375000012</v>
      </c>
      <c r="AD74" s="80">
        <f t="shared" si="15"/>
        <v>153253.15731901355</v>
      </c>
    </row>
    <row r="75" spans="1:44" s="80" customFormat="1" ht="17.25" customHeight="1">
      <c r="A75" s="290">
        <v>69</v>
      </c>
      <c r="B75" s="1120" t="s">
        <v>199</v>
      </c>
      <c r="C75" s="1121" t="s">
        <v>99</v>
      </c>
      <c r="D75" s="1061" t="s">
        <v>25</v>
      </c>
      <c r="E75" s="1081" t="s">
        <v>721</v>
      </c>
      <c r="F75" s="1056" t="s">
        <v>722</v>
      </c>
      <c r="G75" s="1036">
        <v>1</v>
      </c>
      <c r="H75" s="1061" t="s">
        <v>102</v>
      </c>
      <c r="I75" s="1061" t="s">
        <v>118</v>
      </c>
      <c r="J75" s="1074">
        <v>4</v>
      </c>
      <c r="K75" s="1126">
        <v>17697</v>
      </c>
      <c r="L75" s="1133">
        <v>13</v>
      </c>
      <c r="M75" s="1039">
        <f t="shared" si="18"/>
        <v>0.72222222222222221</v>
      </c>
      <c r="N75" s="1072" t="s">
        <v>112</v>
      </c>
      <c r="O75" s="1135">
        <v>3.41</v>
      </c>
      <c r="P75" s="1134">
        <f t="shared" si="17"/>
        <v>43583.778333333335</v>
      </c>
      <c r="Q75" s="328">
        <f t="shared" si="9"/>
        <v>10895.944583333334</v>
      </c>
      <c r="R75" s="1131"/>
      <c r="S75" s="1126"/>
      <c r="T75" s="1129">
        <v>0.1</v>
      </c>
      <c r="U75" s="328">
        <f t="shared" si="10"/>
        <v>5447.9722916666669</v>
      </c>
      <c r="V75" s="1136"/>
      <c r="W75" s="1126"/>
      <c r="X75" s="1040">
        <f t="shared" si="11"/>
        <v>59927.695208333331</v>
      </c>
      <c r="Y75" s="980"/>
      <c r="Z75" s="980"/>
      <c r="AA75" s="81">
        <f t="shared" si="19"/>
        <v>719132.34250000003</v>
      </c>
      <c r="AB75" s="80">
        <f t="shared" si="13"/>
        <v>114420.42044550518</v>
      </c>
      <c r="AC75" s="80">
        <f t="shared" si="14"/>
        <v>898915.42812500009</v>
      </c>
      <c r="AD75" s="80">
        <f t="shared" si="15"/>
        <v>143025.52555688148</v>
      </c>
    </row>
    <row r="76" spans="1:44" s="80" customFormat="1" ht="17.25" customHeight="1">
      <c r="A76" s="547">
        <v>70</v>
      </c>
      <c r="B76" s="1008" t="s">
        <v>630</v>
      </c>
      <c r="C76" s="1009" t="s">
        <v>99</v>
      </c>
      <c r="D76" s="563" t="s">
        <v>25</v>
      </c>
      <c r="E76" s="1000" t="s">
        <v>635</v>
      </c>
      <c r="F76" s="562" t="s">
        <v>77</v>
      </c>
      <c r="G76" s="547">
        <v>1</v>
      </c>
      <c r="H76" s="1000" t="s">
        <v>102</v>
      </c>
      <c r="I76" s="1000" t="s">
        <v>103</v>
      </c>
      <c r="J76" s="1001">
        <v>3</v>
      </c>
      <c r="K76" s="888">
        <v>17697</v>
      </c>
      <c r="L76" s="1010">
        <v>11</v>
      </c>
      <c r="M76" s="554">
        <f t="shared" si="18"/>
        <v>0.61111111111111116</v>
      </c>
      <c r="N76" s="997" t="s">
        <v>109</v>
      </c>
      <c r="O76" s="1016">
        <v>4</v>
      </c>
      <c r="P76" s="607">
        <f t="shared" si="17"/>
        <v>43259.333333333328</v>
      </c>
      <c r="Q76" s="556">
        <f t="shared" si="9"/>
        <v>10814.833333333332</v>
      </c>
      <c r="R76" s="608"/>
      <c r="S76" s="605"/>
      <c r="T76" s="605">
        <v>0.1</v>
      </c>
      <c r="U76" s="556">
        <f t="shared" si="10"/>
        <v>5407.4166666666661</v>
      </c>
      <c r="V76" s="609"/>
      <c r="W76" s="605"/>
      <c r="X76" s="559">
        <f t="shared" si="11"/>
        <v>59481.583333333321</v>
      </c>
      <c r="Y76" s="304">
        <f t="shared" si="20"/>
        <v>0</v>
      </c>
      <c r="Z76" s="304">
        <f t="shared" si="20"/>
        <v>0</v>
      </c>
      <c r="AA76" s="81">
        <f t="shared" si="19"/>
        <v>713778.99999999988</v>
      </c>
      <c r="AB76" s="80">
        <f t="shared" si="13"/>
        <v>113568.65552903737</v>
      </c>
      <c r="AC76" s="80">
        <f t="shared" si="14"/>
        <v>892223.74999999988</v>
      </c>
      <c r="AD76" s="80">
        <f t="shared" si="15"/>
        <v>141960.81941129672</v>
      </c>
    </row>
    <row r="77" spans="1:44" s="80" customFormat="1" ht="17.25" customHeight="1">
      <c r="A77" s="560">
        <v>71</v>
      </c>
      <c r="B77" s="1008" t="s">
        <v>439</v>
      </c>
      <c r="C77" s="1009" t="s">
        <v>99</v>
      </c>
      <c r="D77" s="563" t="s">
        <v>75</v>
      </c>
      <c r="E77" s="562" t="s">
        <v>612</v>
      </c>
      <c r="F77" s="562" t="s">
        <v>159</v>
      </c>
      <c r="G77" s="547">
        <v>1</v>
      </c>
      <c r="H77" s="580" t="s">
        <v>102</v>
      </c>
      <c r="I77" s="580" t="s">
        <v>118</v>
      </c>
      <c r="J77" s="574">
        <v>4</v>
      </c>
      <c r="K77" s="554">
        <v>17697</v>
      </c>
      <c r="L77" s="1010">
        <v>25</v>
      </c>
      <c r="M77" s="554">
        <f t="shared" si="18"/>
        <v>1.3888888888888888</v>
      </c>
      <c r="N77" s="574" t="s">
        <v>112</v>
      </c>
      <c r="O77" s="1016">
        <v>3.32</v>
      </c>
      <c r="P77" s="607">
        <f t="shared" si="17"/>
        <v>81602.833333333314</v>
      </c>
      <c r="Q77" s="556">
        <f t="shared" si="9"/>
        <v>20400.708333333328</v>
      </c>
      <c r="R77" s="608"/>
      <c r="S77" s="605"/>
      <c r="T77" s="605">
        <v>0.1</v>
      </c>
      <c r="U77" s="556">
        <f t="shared" si="10"/>
        <v>10200.354166666664</v>
      </c>
      <c r="V77" s="609"/>
      <c r="W77" s="605"/>
      <c r="X77" s="559">
        <f t="shared" si="11"/>
        <v>112203.89583333331</v>
      </c>
      <c r="Y77" s="304"/>
      <c r="Z77" s="304"/>
      <c r="AA77" s="81">
        <f t="shared" si="19"/>
        <v>1346446.7499999998</v>
      </c>
      <c r="AB77" s="80">
        <f t="shared" si="13"/>
        <v>214231.78202068413</v>
      </c>
      <c r="AC77" s="80">
        <f t="shared" si="14"/>
        <v>1683058.4374999998</v>
      </c>
      <c r="AD77" s="80">
        <f t="shared" si="15"/>
        <v>267789.72752585524</v>
      </c>
    </row>
    <row r="78" spans="1:44" s="80" customFormat="1" ht="17.25" customHeight="1">
      <c r="A78" s="547">
        <v>72</v>
      </c>
      <c r="B78" s="1008" t="s">
        <v>625</v>
      </c>
      <c r="C78" s="1009" t="s">
        <v>99</v>
      </c>
      <c r="D78" s="563" t="s">
        <v>25</v>
      </c>
      <c r="E78" s="1000" t="s">
        <v>637</v>
      </c>
      <c r="F78" s="562" t="s">
        <v>34</v>
      </c>
      <c r="G78" s="547">
        <v>1</v>
      </c>
      <c r="H78" s="1000" t="s">
        <v>102</v>
      </c>
      <c r="I78" s="1000" t="s">
        <v>103</v>
      </c>
      <c r="J78" s="1001">
        <v>2</v>
      </c>
      <c r="K78" s="554">
        <v>17697</v>
      </c>
      <c r="L78" s="1010">
        <v>19</v>
      </c>
      <c r="M78" s="700">
        <f t="shared" si="18"/>
        <v>1.0555555555555556</v>
      </c>
      <c r="N78" s="698" t="s">
        <v>104</v>
      </c>
      <c r="O78" s="1021">
        <v>4.51</v>
      </c>
      <c r="P78" s="1013">
        <f t="shared" si="17"/>
        <v>84247.551666666666</v>
      </c>
      <c r="Q78" s="556">
        <f t="shared" si="9"/>
        <v>21061.887916666667</v>
      </c>
      <c r="R78" s="1011"/>
      <c r="S78" s="888"/>
      <c r="T78" s="605">
        <v>0.1</v>
      </c>
      <c r="U78" s="556">
        <f t="shared" si="10"/>
        <v>10530.943958333333</v>
      </c>
      <c r="V78" s="1012"/>
      <c r="W78" s="888"/>
      <c r="X78" s="559">
        <f t="shared" si="11"/>
        <v>115840.38354166666</v>
      </c>
      <c r="Y78" s="981"/>
      <c r="Z78" s="981"/>
      <c r="AA78" s="81">
        <f t="shared" si="19"/>
        <v>1390084.6024999998</v>
      </c>
      <c r="AB78" s="80">
        <f t="shared" si="13"/>
        <v>221174.9566428003</v>
      </c>
      <c r="AC78" s="80">
        <f t="shared" si="14"/>
        <v>1737605.7531249998</v>
      </c>
      <c r="AD78" s="80">
        <f t="shared" si="15"/>
        <v>276468.69580350036</v>
      </c>
    </row>
    <row r="79" spans="1:44" s="377" customFormat="1" ht="17.25" customHeight="1">
      <c r="A79" s="423">
        <v>73</v>
      </c>
      <c r="B79" s="463" t="s">
        <v>202</v>
      </c>
      <c r="C79" s="1197" t="s">
        <v>99</v>
      </c>
      <c r="D79" s="1164" t="s">
        <v>75</v>
      </c>
      <c r="E79" s="508" t="s">
        <v>720</v>
      </c>
      <c r="F79" s="1198" t="s">
        <v>66</v>
      </c>
      <c r="G79" s="1209">
        <v>1</v>
      </c>
      <c r="H79" s="1164" t="s">
        <v>102</v>
      </c>
      <c r="I79" s="1164" t="s">
        <v>103</v>
      </c>
      <c r="J79" s="1210">
        <v>2</v>
      </c>
      <c r="K79" s="1166">
        <v>17697</v>
      </c>
      <c r="L79" s="1212">
        <v>33</v>
      </c>
      <c r="M79" s="1166">
        <f t="shared" si="18"/>
        <v>1.8333333333333333</v>
      </c>
      <c r="N79" s="1206" t="s">
        <v>742</v>
      </c>
      <c r="O79" s="1213">
        <v>4.37</v>
      </c>
      <c r="P79" s="1214">
        <f t="shared" si="17"/>
        <v>141782.465</v>
      </c>
      <c r="Q79" s="401">
        <f t="shared" si="9"/>
        <v>35445.616249999999</v>
      </c>
      <c r="R79" s="1215"/>
      <c r="S79" s="1216"/>
      <c r="T79" s="1216">
        <v>0.1</v>
      </c>
      <c r="U79" s="401">
        <f>(P79+Q79)*T79</f>
        <v>17722.808125</v>
      </c>
      <c r="V79" s="1217"/>
      <c r="W79" s="1216"/>
      <c r="X79" s="1208">
        <f t="shared" si="11"/>
        <v>194950.889375</v>
      </c>
      <c r="Y79" s="437"/>
      <c r="Z79" s="437"/>
      <c r="AA79" s="375">
        <f t="shared" si="19"/>
        <v>2339410.6724999999</v>
      </c>
      <c r="AB79" s="377">
        <f t="shared" si="13"/>
        <v>372221.26849642006</v>
      </c>
      <c r="AC79" s="377">
        <f t="shared" si="14"/>
        <v>2924263.3406249997</v>
      </c>
      <c r="AD79" s="377">
        <f t="shared" si="15"/>
        <v>465276.58562052506</v>
      </c>
    </row>
    <row r="80" spans="1:44" s="112" customFormat="1" ht="17.25" customHeight="1">
      <c r="A80" s="613"/>
      <c r="B80" s="250" t="s">
        <v>749</v>
      </c>
      <c r="C80" s="614"/>
      <c r="D80" s="615"/>
      <c r="E80" s="616"/>
      <c r="F80" s="616"/>
      <c r="G80" s="617"/>
      <c r="H80" s="615"/>
      <c r="I80" s="615"/>
      <c r="J80" s="618"/>
      <c r="K80" s="619"/>
      <c r="L80" s="620">
        <f>SUM(L26:L79)</f>
        <v>1135</v>
      </c>
      <c r="M80" s="619"/>
      <c r="N80" s="621"/>
      <c r="O80" s="622"/>
      <c r="P80" s="623"/>
      <c r="Q80" s="1030"/>
      <c r="R80" s="624"/>
      <c r="S80" s="619"/>
      <c r="T80" s="619"/>
      <c r="U80" s="623"/>
      <c r="V80" s="625"/>
      <c r="W80" s="619"/>
      <c r="X80" s="626"/>
      <c r="Y80" s="104"/>
      <c r="Z80" s="104"/>
      <c r="AA80" s="81">
        <f t="shared" si="19"/>
        <v>0</v>
      </c>
      <c r="AB80" s="80">
        <f t="shared" si="13"/>
        <v>0</v>
      </c>
      <c r="AC80" s="80">
        <f t="shared" si="14"/>
        <v>0</v>
      </c>
      <c r="AD80" s="80">
        <f t="shared" si="15"/>
        <v>0</v>
      </c>
      <c r="AE80" s="24"/>
      <c r="AF80" s="24"/>
      <c r="AG80" s="24"/>
      <c r="AH80" s="24"/>
      <c r="AI80" s="24"/>
      <c r="AJ80" s="24"/>
      <c r="AK80" s="22"/>
      <c r="AL80" s="24"/>
      <c r="AM80" s="24"/>
      <c r="AN80" s="24"/>
      <c r="AO80" s="24"/>
      <c r="AP80" s="24"/>
      <c r="AQ80" s="24"/>
      <c r="AR80" s="24"/>
    </row>
    <row r="81" spans="1:30" s="377" customFormat="1" ht="15.75">
      <c r="A81" s="423">
        <v>74</v>
      </c>
      <c r="B81" s="463" t="s">
        <v>215</v>
      </c>
      <c r="C81" s="1197" t="s">
        <v>99</v>
      </c>
      <c r="D81" s="1164" t="s">
        <v>25</v>
      </c>
      <c r="E81" s="1198" t="s">
        <v>653</v>
      </c>
      <c r="F81" s="1198" t="s">
        <v>217</v>
      </c>
      <c r="G81" s="1199">
        <v>1</v>
      </c>
      <c r="H81" s="1200" t="s">
        <v>102</v>
      </c>
      <c r="I81" s="1200" t="s">
        <v>103</v>
      </c>
      <c r="J81" s="1186">
        <v>1</v>
      </c>
      <c r="K81" s="1166">
        <v>17697</v>
      </c>
      <c r="L81" s="1201">
        <v>20</v>
      </c>
      <c r="M81" s="1166">
        <f>L81/18</f>
        <v>1.1111111111111112</v>
      </c>
      <c r="N81" s="1186" t="s">
        <v>152</v>
      </c>
      <c r="O81" s="1204">
        <v>4.6900000000000004</v>
      </c>
      <c r="P81" s="1171">
        <f t="shared" ref="P81:P107" si="21">O81*K81/18*L81</f>
        <v>92221.03333333334</v>
      </c>
      <c r="Q81" s="1168">
        <f>P81*25%</f>
        <v>23055.258333333335</v>
      </c>
      <c r="R81" s="1203"/>
      <c r="S81" s="1166"/>
      <c r="T81" s="1166">
        <v>0.1</v>
      </c>
      <c r="U81" s="1171">
        <f>(P81+Q81)*T81</f>
        <v>11527.629166666668</v>
      </c>
      <c r="V81" s="416"/>
      <c r="W81" s="1166"/>
      <c r="X81" s="1174">
        <f>P81+Q81+U81</f>
        <v>126803.92083333334</v>
      </c>
      <c r="Y81" s="406">
        <f t="shared" ref="Y81:Z99" si="22">V81+R81</f>
        <v>0</v>
      </c>
      <c r="Z81" s="406">
        <f t="shared" si="22"/>
        <v>0</v>
      </c>
      <c r="AA81" s="375">
        <f t="shared" si="19"/>
        <v>1521647.05</v>
      </c>
      <c r="AB81" s="377">
        <f t="shared" si="13"/>
        <v>242107.72474144792</v>
      </c>
      <c r="AC81" s="377">
        <f t="shared" si="14"/>
        <v>1902058.8125</v>
      </c>
      <c r="AD81" s="377">
        <f t="shared" si="15"/>
        <v>302634.65592680988</v>
      </c>
    </row>
    <row r="82" spans="1:30" s="377" customFormat="1" ht="15.75">
      <c r="A82" s="423">
        <v>75</v>
      </c>
      <c r="B82" s="463" t="s">
        <v>222</v>
      </c>
      <c r="C82" s="1197" t="s">
        <v>148</v>
      </c>
      <c r="D82" s="1164" t="s">
        <v>25</v>
      </c>
      <c r="E82" s="1198" t="s">
        <v>654</v>
      </c>
      <c r="F82" s="1198" t="s">
        <v>224</v>
      </c>
      <c r="G82" s="1199">
        <v>1</v>
      </c>
      <c r="H82" s="1200" t="s">
        <v>102</v>
      </c>
      <c r="I82" s="1200" t="s">
        <v>103</v>
      </c>
      <c r="J82" s="1186">
        <v>2</v>
      </c>
      <c r="K82" s="1166">
        <v>17697</v>
      </c>
      <c r="L82" s="1201">
        <v>35.5</v>
      </c>
      <c r="M82" s="1166">
        <f t="shared" ref="M82:M97" si="23">L82/18</f>
        <v>1.9722222222222223</v>
      </c>
      <c r="N82" s="1190" t="s">
        <v>104</v>
      </c>
      <c r="O82" s="1202">
        <v>4.16</v>
      </c>
      <c r="P82" s="1171">
        <f t="shared" si="21"/>
        <v>145194.05333333334</v>
      </c>
      <c r="Q82" s="1168">
        <f t="shared" ref="Q82:Q107" si="24">P82*25%</f>
        <v>36298.513333333336</v>
      </c>
      <c r="R82" s="1203"/>
      <c r="S82" s="1166"/>
      <c r="T82" s="1166">
        <v>0.1</v>
      </c>
      <c r="U82" s="1171">
        <f t="shared" ref="U82:U107" si="25">(P82+Q82)*T82</f>
        <v>18149.256666666668</v>
      </c>
      <c r="V82" s="416"/>
      <c r="W82" s="1166"/>
      <c r="X82" s="1174">
        <f t="shared" ref="X82:X107" si="26">P82+Q82+U82</f>
        <v>199641.82333333336</v>
      </c>
      <c r="Y82" s="406">
        <f t="shared" si="22"/>
        <v>0</v>
      </c>
      <c r="Z82" s="406">
        <f t="shared" si="22"/>
        <v>0</v>
      </c>
      <c r="AA82" s="375">
        <f t="shared" si="19"/>
        <v>2395701.8800000004</v>
      </c>
      <c r="AB82" s="377">
        <f t="shared" si="13"/>
        <v>381177.70564836921</v>
      </c>
      <c r="AC82" s="377">
        <f t="shared" si="14"/>
        <v>2994627.3500000006</v>
      </c>
      <c r="AD82" s="377">
        <f t="shared" si="15"/>
        <v>476472.1320604615</v>
      </c>
    </row>
    <row r="83" spans="1:30" s="80" customFormat="1" ht="17.25" customHeight="1">
      <c r="A83" s="560">
        <v>76</v>
      </c>
      <c r="B83" s="153" t="s">
        <v>124</v>
      </c>
      <c r="C83" s="561" t="s">
        <v>125</v>
      </c>
      <c r="D83" s="560" t="s">
        <v>75</v>
      </c>
      <c r="E83" s="582" t="s">
        <v>590</v>
      </c>
      <c r="F83" s="562" t="s">
        <v>108</v>
      </c>
      <c r="G83" s="560">
        <v>1</v>
      </c>
      <c r="H83" s="563" t="s">
        <v>102</v>
      </c>
      <c r="I83" s="563" t="s">
        <v>118</v>
      </c>
      <c r="J83" s="581">
        <v>3</v>
      </c>
      <c r="K83" s="554">
        <v>17697</v>
      </c>
      <c r="L83" s="565">
        <v>13</v>
      </c>
      <c r="M83" s="1166">
        <f t="shared" si="23"/>
        <v>0.72222222222222221</v>
      </c>
      <c r="N83" s="574" t="s">
        <v>109</v>
      </c>
      <c r="O83" s="565">
        <v>3.85</v>
      </c>
      <c r="P83" s="567">
        <f t="shared" si="21"/>
        <v>49207.491666666669</v>
      </c>
      <c r="Q83" s="697">
        <f t="shared" si="24"/>
        <v>12301.872916666667</v>
      </c>
      <c r="R83" s="568"/>
      <c r="S83" s="554"/>
      <c r="T83" s="554">
        <v>0.1</v>
      </c>
      <c r="U83" s="567">
        <f t="shared" si="25"/>
        <v>6150.9364583333336</v>
      </c>
      <c r="V83" s="19"/>
      <c r="W83" s="554"/>
      <c r="X83" s="570">
        <f t="shared" si="26"/>
        <v>67660.301041666666</v>
      </c>
      <c r="Y83" s="274">
        <f t="shared" si="22"/>
        <v>0</v>
      </c>
      <c r="Z83" s="274">
        <f t="shared" si="22"/>
        <v>0</v>
      </c>
      <c r="AA83" s="81">
        <f t="shared" si="19"/>
        <v>811923.61250000005</v>
      </c>
      <c r="AB83" s="80">
        <f t="shared" si="13"/>
        <v>129184.34566428003</v>
      </c>
      <c r="AC83" s="80">
        <f t="shared" si="14"/>
        <v>1014904.515625</v>
      </c>
      <c r="AD83" s="80">
        <f t="shared" si="15"/>
        <v>161480.43208035003</v>
      </c>
    </row>
    <row r="84" spans="1:30" s="80" customFormat="1" ht="17.25" customHeight="1">
      <c r="A84" s="290">
        <v>77</v>
      </c>
      <c r="B84" s="1060" t="s">
        <v>618</v>
      </c>
      <c r="C84" s="1055" t="s">
        <v>99</v>
      </c>
      <c r="D84" s="290" t="s">
        <v>25</v>
      </c>
      <c r="E84" s="1037" t="s">
        <v>659</v>
      </c>
      <c r="F84" s="1056" t="s">
        <v>224</v>
      </c>
      <c r="G84" s="290">
        <v>1</v>
      </c>
      <c r="H84" s="1068" t="s">
        <v>102</v>
      </c>
      <c r="I84" s="1068" t="s">
        <v>103</v>
      </c>
      <c r="J84" s="1054">
        <v>3</v>
      </c>
      <c r="K84" s="1039">
        <v>17697</v>
      </c>
      <c r="L84" s="1058">
        <v>12</v>
      </c>
      <c r="M84" s="1166">
        <f t="shared" si="23"/>
        <v>0.66666666666666663</v>
      </c>
      <c r="N84" s="1072" t="s">
        <v>109</v>
      </c>
      <c r="O84" s="1079">
        <v>4.1399999999999997</v>
      </c>
      <c r="P84" s="1049">
        <f t="shared" si="21"/>
        <v>48843.719999999994</v>
      </c>
      <c r="Q84" s="1070">
        <f t="shared" si="24"/>
        <v>12210.929999999998</v>
      </c>
      <c r="R84" s="1073"/>
      <c r="S84" s="1045"/>
      <c r="T84" s="1039">
        <v>0.1</v>
      </c>
      <c r="U84" s="1049">
        <f t="shared" si="25"/>
        <v>6105.4650000000001</v>
      </c>
      <c r="V84" s="283"/>
      <c r="W84" s="1039"/>
      <c r="X84" s="1071">
        <f t="shared" si="26"/>
        <v>67160.114999999991</v>
      </c>
      <c r="Y84" s="688"/>
      <c r="Z84" s="688"/>
      <c r="AA84" s="81">
        <f t="shared" si="19"/>
        <v>805921.37999999989</v>
      </c>
      <c r="AB84" s="80">
        <f t="shared" si="13"/>
        <v>128229.33651551313</v>
      </c>
      <c r="AC84" s="80">
        <f t="shared" si="14"/>
        <v>1007401.7249999999</v>
      </c>
      <c r="AD84" s="80">
        <f t="shared" si="15"/>
        <v>160286.67064439142</v>
      </c>
    </row>
    <row r="85" spans="1:30" s="377" customFormat="1" ht="17.25" customHeight="1">
      <c r="A85" s="423"/>
      <c r="B85" s="463" t="s">
        <v>219</v>
      </c>
      <c r="C85" s="1197" t="s">
        <v>751</v>
      </c>
      <c r="D85" s="423" t="s">
        <v>152</v>
      </c>
      <c r="E85" s="1231" t="s">
        <v>752</v>
      </c>
      <c r="F85" s="1198" t="s">
        <v>367</v>
      </c>
      <c r="G85" s="423">
        <v>1</v>
      </c>
      <c r="H85" s="1200" t="s">
        <v>102</v>
      </c>
      <c r="I85" s="1200" t="s">
        <v>103</v>
      </c>
      <c r="J85" s="1186">
        <v>1</v>
      </c>
      <c r="K85" s="1166">
        <v>17697</v>
      </c>
      <c r="L85" s="1205">
        <v>18</v>
      </c>
      <c r="M85" s="1166">
        <f t="shared" si="23"/>
        <v>1</v>
      </c>
      <c r="N85" s="1186" t="s">
        <v>152</v>
      </c>
      <c r="O85" s="1206">
        <v>4.62</v>
      </c>
      <c r="P85" s="1171">
        <f t="shared" si="21"/>
        <v>81760.139999999985</v>
      </c>
      <c r="Q85" s="1168">
        <f t="shared" si="24"/>
        <v>20440.034999999996</v>
      </c>
      <c r="R85" s="1203"/>
      <c r="S85" s="1166"/>
      <c r="T85" s="1166">
        <v>0.1</v>
      </c>
      <c r="U85" s="1171">
        <f t="shared" si="25"/>
        <v>10220.0175</v>
      </c>
      <c r="V85" s="416"/>
      <c r="W85" s="1166"/>
      <c r="X85" s="1174">
        <f t="shared" si="26"/>
        <v>112420.19249999999</v>
      </c>
      <c r="Y85" s="406"/>
      <c r="Z85" s="406"/>
      <c r="AA85" s="375"/>
    </row>
    <row r="86" spans="1:30" s="80" customFormat="1" ht="17.25" customHeight="1">
      <c r="A86" s="290">
        <v>78</v>
      </c>
      <c r="B86" s="1060" t="s">
        <v>116</v>
      </c>
      <c r="C86" s="1055" t="s">
        <v>99</v>
      </c>
      <c r="D86" s="290" t="s">
        <v>64</v>
      </c>
      <c r="E86" s="1052" t="s">
        <v>660</v>
      </c>
      <c r="F86" s="1056" t="s">
        <v>114</v>
      </c>
      <c r="G86" s="290">
        <v>1</v>
      </c>
      <c r="H86" s="1061" t="s">
        <v>102</v>
      </c>
      <c r="I86" s="1061" t="s">
        <v>118</v>
      </c>
      <c r="J86" s="1062">
        <v>1</v>
      </c>
      <c r="K86" s="1039">
        <v>17697</v>
      </c>
      <c r="L86" s="1058">
        <v>5</v>
      </c>
      <c r="M86" s="1166">
        <f t="shared" si="23"/>
        <v>0.27777777777777779</v>
      </c>
      <c r="N86" s="1054" t="s">
        <v>152</v>
      </c>
      <c r="O86" s="1048">
        <v>4.5199999999999996</v>
      </c>
      <c r="P86" s="1049">
        <f t="shared" si="21"/>
        <v>22219.566666666666</v>
      </c>
      <c r="Q86" s="1070">
        <f t="shared" si="24"/>
        <v>5554.8916666666664</v>
      </c>
      <c r="R86" s="1050"/>
      <c r="S86" s="1039"/>
      <c r="T86" s="1039">
        <v>0.1</v>
      </c>
      <c r="U86" s="1049">
        <f t="shared" si="25"/>
        <v>2777.4458333333332</v>
      </c>
      <c r="V86" s="283"/>
      <c r="W86" s="1039"/>
      <c r="X86" s="1071">
        <f t="shared" si="26"/>
        <v>30551.904166666667</v>
      </c>
      <c r="Y86" s="274">
        <f t="shared" si="22"/>
        <v>0</v>
      </c>
      <c r="Z86" s="274">
        <f t="shared" si="22"/>
        <v>0</v>
      </c>
      <c r="AA86" s="81">
        <f t="shared" si="19"/>
        <v>366622.85</v>
      </c>
      <c r="AB86" s="80">
        <f t="shared" si="13"/>
        <v>58332.991249005572</v>
      </c>
      <c r="AC86" s="80">
        <f t="shared" si="14"/>
        <v>458278.5625</v>
      </c>
      <c r="AD86" s="80">
        <f t="shared" si="15"/>
        <v>72916.239061256958</v>
      </c>
    </row>
    <row r="87" spans="1:30" s="80" customFormat="1" ht="17.25" customHeight="1">
      <c r="A87" s="290">
        <v>79</v>
      </c>
      <c r="B87" s="1060" t="s">
        <v>127</v>
      </c>
      <c r="C87" s="1055" t="s">
        <v>99</v>
      </c>
      <c r="D87" s="290" t="s">
        <v>25</v>
      </c>
      <c r="E87" s="1056" t="s">
        <v>661</v>
      </c>
      <c r="F87" s="1056" t="s">
        <v>34</v>
      </c>
      <c r="G87" s="290">
        <v>1</v>
      </c>
      <c r="H87" s="1061" t="s">
        <v>102</v>
      </c>
      <c r="I87" s="1061" t="s">
        <v>103</v>
      </c>
      <c r="J87" s="1062">
        <v>1</v>
      </c>
      <c r="K87" s="1039">
        <v>17697</v>
      </c>
      <c r="L87" s="1058">
        <v>6</v>
      </c>
      <c r="M87" s="1166">
        <f t="shared" si="23"/>
        <v>0.33333333333333331</v>
      </c>
      <c r="N87" s="1054" t="s">
        <v>152</v>
      </c>
      <c r="O87" s="1048">
        <v>4.75</v>
      </c>
      <c r="P87" s="1049">
        <f t="shared" si="21"/>
        <v>28020.25</v>
      </c>
      <c r="Q87" s="1070">
        <f t="shared" si="24"/>
        <v>7005.0625</v>
      </c>
      <c r="R87" s="1050"/>
      <c r="S87" s="1039"/>
      <c r="T87" s="1039">
        <v>0.1</v>
      </c>
      <c r="U87" s="1049">
        <f t="shared" si="25"/>
        <v>3502.53125</v>
      </c>
      <c r="V87" s="283"/>
      <c r="W87" s="1039"/>
      <c r="X87" s="1071">
        <f t="shared" si="26"/>
        <v>38527.84375</v>
      </c>
      <c r="Y87" s="274">
        <f t="shared" si="22"/>
        <v>0</v>
      </c>
      <c r="Z87" s="274">
        <f t="shared" si="22"/>
        <v>0</v>
      </c>
      <c r="AA87" s="81">
        <f t="shared" si="19"/>
        <v>462334.125</v>
      </c>
      <c r="AB87" s="80">
        <f t="shared" si="13"/>
        <v>73561.515513126491</v>
      </c>
      <c r="AC87" s="80">
        <f t="shared" si="14"/>
        <v>577917.65625</v>
      </c>
      <c r="AD87" s="80">
        <f t="shared" si="15"/>
        <v>91951.894391408117</v>
      </c>
    </row>
    <row r="88" spans="1:30" s="377" customFormat="1" ht="17.25" customHeight="1">
      <c r="A88" s="423">
        <v>80</v>
      </c>
      <c r="B88" s="463" t="s">
        <v>227</v>
      </c>
      <c r="C88" s="1197" t="s">
        <v>99</v>
      </c>
      <c r="D88" s="423" t="s">
        <v>25</v>
      </c>
      <c r="E88" s="1198" t="s">
        <v>741</v>
      </c>
      <c r="F88" s="1198" t="s">
        <v>669</v>
      </c>
      <c r="G88" s="1199">
        <v>1</v>
      </c>
      <c r="H88" s="1200" t="s">
        <v>102</v>
      </c>
      <c r="I88" s="1200" t="s">
        <v>103</v>
      </c>
      <c r="J88" s="1186">
        <v>2</v>
      </c>
      <c r="K88" s="1166">
        <v>17697</v>
      </c>
      <c r="L88" s="1201">
        <v>26</v>
      </c>
      <c r="M88" s="1166">
        <f t="shared" si="23"/>
        <v>1.4444444444444444</v>
      </c>
      <c r="N88" s="1190" t="s">
        <v>104</v>
      </c>
      <c r="O88" s="1204">
        <v>4.09</v>
      </c>
      <c r="P88" s="1171">
        <f t="shared" si="21"/>
        <v>104549.94333333333</v>
      </c>
      <c r="Q88" s="1168">
        <f t="shared" si="24"/>
        <v>26137.485833333332</v>
      </c>
      <c r="R88" s="1203"/>
      <c r="S88" s="1166"/>
      <c r="T88" s="1166">
        <v>0.1</v>
      </c>
      <c r="U88" s="1171">
        <f t="shared" si="25"/>
        <v>13068.742916666668</v>
      </c>
      <c r="V88" s="416"/>
      <c r="W88" s="1166"/>
      <c r="X88" s="1174">
        <f t="shared" si="26"/>
        <v>143756.17208333334</v>
      </c>
      <c r="Y88" s="406">
        <f t="shared" si="22"/>
        <v>0</v>
      </c>
      <c r="Z88" s="406">
        <f t="shared" si="22"/>
        <v>0</v>
      </c>
      <c r="AA88" s="375">
        <f t="shared" si="19"/>
        <v>1725074.0649999999</v>
      </c>
      <c r="AB88" s="377">
        <f t="shared" si="13"/>
        <v>274474.79156722355</v>
      </c>
      <c r="AC88" s="377">
        <f t="shared" si="14"/>
        <v>2156342.5812499998</v>
      </c>
      <c r="AD88" s="377">
        <f t="shared" si="15"/>
        <v>343093.48945902946</v>
      </c>
    </row>
    <row r="89" spans="1:30" s="80" customFormat="1" ht="17.25" customHeight="1">
      <c r="A89" s="290">
        <v>81</v>
      </c>
      <c r="B89" s="1060" t="s">
        <v>230</v>
      </c>
      <c r="C89" s="1055" t="s">
        <v>99</v>
      </c>
      <c r="D89" s="290" t="s">
        <v>25</v>
      </c>
      <c r="E89" s="291" t="s">
        <v>736</v>
      </c>
      <c r="F89" s="1056" t="s">
        <v>217</v>
      </c>
      <c r="G89" s="1083">
        <v>1</v>
      </c>
      <c r="H89" s="1068" t="s">
        <v>232</v>
      </c>
      <c r="I89" s="1068" t="s">
        <v>233</v>
      </c>
      <c r="J89" s="1054">
        <v>1</v>
      </c>
      <c r="K89" s="1039">
        <v>17697</v>
      </c>
      <c r="L89" s="1069">
        <v>36</v>
      </c>
      <c r="M89" s="1166">
        <f t="shared" si="23"/>
        <v>2</v>
      </c>
      <c r="N89" s="1054" t="s">
        <v>152</v>
      </c>
      <c r="O89" s="1048">
        <v>4.62</v>
      </c>
      <c r="P89" s="1049">
        <f t="shared" si="21"/>
        <v>163520.27999999997</v>
      </c>
      <c r="Q89" s="1070">
        <f t="shared" si="24"/>
        <v>40880.069999999992</v>
      </c>
      <c r="R89" s="1050"/>
      <c r="S89" s="1039"/>
      <c r="T89" s="1039">
        <v>0.1</v>
      </c>
      <c r="U89" s="1049">
        <f t="shared" si="25"/>
        <v>20440.035</v>
      </c>
      <c r="V89" s="283"/>
      <c r="W89" s="1039"/>
      <c r="X89" s="1071">
        <f t="shared" si="26"/>
        <v>224840.38499999998</v>
      </c>
      <c r="Y89" s="274">
        <f t="shared" si="22"/>
        <v>0</v>
      </c>
      <c r="Z89" s="274">
        <f t="shared" si="22"/>
        <v>0</v>
      </c>
      <c r="AA89" s="81">
        <f t="shared" si="19"/>
        <v>2698084.6199999996</v>
      </c>
      <c r="AB89" s="80">
        <f t="shared" si="13"/>
        <v>429289.51789976133</v>
      </c>
      <c r="AC89" s="80">
        <f t="shared" si="14"/>
        <v>3372605.7749999994</v>
      </c>
      <c r="AD89" s="80">
        <f t="shared" si="15"/>
        <v>536611.89737470157</v>
      </c>
    </row>
    <row r="90" spans="1:30" s="80" customFormat="1" ht="17.25" customHeight="1">
      <c r="A90" s="560">
        <v>82</v>
      </c>
      <c r="B90" s="153" t="s">
        <v>160</v>
      </c>
      <c r="C90" s="561" t="s">
        <v>148</v>
      </c>
      <c r="D90" s="563" t="s">
        <v>25</v>
      </c>
      <c r="E90" s="562" t="s">
        <v>591</v>
      </c>
      <c r="F90" s="562" t="s">
        <v>34</v>
      </c>
      <c r="G90" s="560">
        <v>1</v>
      </c>
      <c r="H90" s="563" t="s">
        <v>102</v>
      </c>
      <c r="I90" s="563" t="s">
        <v>103</v>
      </c>
      <c r="J90" s="564">
        <v>2</v>
      </c>
      <c r="K90" s="554">
        <v>17697</v>
      </c>
      <c r="L90" s="565">
        <v>11</v>
      </c>
      <c r="M90" s="1166">
        <f t="shared" si="23"/>
        <v>0.61111111111111116</v>
      </c>
      <c r="N90" s="566" t="s">
        <v>104</v>
      </c>
      <c r="O90" s="1014">
        <v>4.51</v>
      </c>
      <c r="P90" s="567">
        <f t="shared" si="21"/>
        <v>48774.898333333338</v>
      </c>
      <c r="Q90" s="697">
        <f t="shared" si="24"/>
        <v>12193.724583333335</v>
      </c>
      <c r="R90" s="568"/>
      <c r="S90" s="554"/>
      <c r="T90" s="554">
        <v>0.1</v>
      </c>
      <c r="U90" s="567">
        <f t="shared" si="25"/>
        <v>6096.8622916666682</v>
      </c>
      <c r="V90" s="19"/>
      <c r="W90" s="554"/>
      <c r="X90" s="570">
        <f t="shared" si="26"/>
        <v>67065.485208333339</v>
      </c>
      <c r="Y90" s="274">
        <f t="shared" si="22"/>
        <v>0</v>
      </c>
      <c r="Z90" s="274">
        <f t="shared" si="22"/>
        <v>0</v>
      </c>
      <c r="AA90" s="81">
        <f t="shared" si="19"/>
        <v>804785.82250000001</v>
      </c>
      <c r="AB90" s="80">
        <f t="shared" si="13"/>
        <v>128048.65910898968</v>
      </c>
      <c r="AC90" s="80">
        <f t="shared" si="14"/>
        <v>1005982.278125</v>
      </c>
      <c r="AD90" s="80">
        <f t="shared" si="15"/>
        <v>160060.82388623708</v>
      </c>
    </row>
    <row r="91" spans="1:30" s="80" customFormat="1" ht="15.75">
      <c r="A91" s="290">
        <v>83</v>
      </c>
      <c r="B91" s="1060" t="s">
        <v>360</v>
      </c>
      <c r="C91" s="1055" t="s">
        <v>99</v>
      </c>
      <c r="D91" s="1061" t="s">
        <v>25</v>
      </c>
      <c r="E91" s="1056" t="s">
        <v>683</v>
      </c>
      <c r="F91" s="1056" t="s">
        <v>362</v>
      </c>
      <c r="G91" s="1067">
        <v>1</v>
      </c>
      <c r="H91" s="1068" t="s">
        <v>102</v>
      </c>
      <c r="I91" s="1068" t="s">
        <v>103</v>
      </c>
      <c r="J91" s="1054">
        <v>1</v>
      </c>
      <c r="K91" s="1039">
        <v>17697</v>
      </c>
      <c r="L91" s="1069">
        <v>25</v>
      </c>
      <c r="M91" s="1166">
        <f t="shared" si="23"/>
        <v>1.3888888888888888</v>
      </c>
      <c r="N91" s="1047" t="s">
        <v>152</v>
      </c>
      <c r="O91" s="1082">
        <v>4.55</v>
      </c>
      <c r="P91" s="1049">
        <f t="shared" si="21"/>
        <v>111835.20833333331</v>
      </c>
      <c r="Q91" s="1070">
        <f t="shared" si="24"/>
        <v>27958.802083333328</v>
      </c>
      <c r="R91" s="1050"/>
      <c r="S91" s="1039"/>
      <c r="T91" s="1039">
        <v>0.1</v>
      </c>
      <c r="U91" s="1049">
        <f t="shared" si="25"/>
        <v>13979.401041666664</v>
      </c>
      <c r="V91" s="283"/>
      <c r="W91" s="1039"/>
      <c r="X91" s="1071">
        <f t="shared" si="26"/>
        <v>153773.41145833328</v>
      </c>
      <c r="Y91" s="274"/>
      <c r="Z91" s="274"/>
      <c r="AA91" s="81">
        <f t="shared" si="19"/>
        <v>1845280.9374999995</v>
      </c>
      <c r="AB91" s="80">
        <f t="shared" si="13"/>
        <v>293600.78560063639</v>
      </c>
      <c r="AC91" s="80">
        <f t="shared" si="14"/>
        <v>2306601.1718749995</v>
      </c>
      <c r="AD91" s="80">
        <f t="shared" si="15"/>
        <v>367000.98200079548</v>
      </c>
    </row>
    <row r="92" spans="1:30" s="80" customFormat="1" ht="17.25" customHeight="1">
      <c r="A92" s="560">
        <v>84</v>
      </c>
      <c r="B92" s="153" t="s">
        <v>162</v>
      </c>
      <c r="C92" s="561" t="s">
        <v>99</v>
      </c>
      <c r="D92" s="563" t="s">
        <v>25</v>
      </c>
      <c r="E92" s="582" t="s">
        <v>590</v>
      </c>
      <c r="F92" s="562" t="s">
        <v>77</v>
      </c>
      <c r="G92" s="560">
        <v>1</v>
      </c>
      <c r="H92" s="563" t="s">
        <v>102</v>
      </c>
      <c r="I92" s="580" t="s">
        <v>103</v>
      </c>
      <c r="J92" s="581">
        <v>4</v>
      </c>
      <c r="K92" s="554">
        <v>17697</v>
      </c>
      <c r="L92" s="565">
        <v>22</v>
      </c>
      <c r="M92" s="1166">
        <f t="shared" si="23"/>
        <v>1.2222222222222223</v>
      </c>
      <c r="N92" s="574" t="s">
        <v>112</v>
      </c>
      <c r="O92" s="1014">
        <v>3.71</v>
      </c>
      <c r="P92" s="567">
        <f t="shared" si="21"/>
        <v>80246.063333333324</v>
      </c>
      <c r="Q92" s="697">
        <f t="shared" si="24"/>
        <v>20061.515833333331</v>
      </c>
      <c r="R92" s="568"/>
      <c r="S92" s="554"/>
      <c r="T92" s="554">
        <v>0.1</v>
      </c>
      <c r="U92" s="567">
        <f t="shared" si="25"/>
        <v>10030.757916666667</v>
      </c>
      <c r="V92" s="19"/>
      <c r="W92" s="554"/>
      <c r="X92" s="570">
        <f t="shared" si="26"/>
        <v>110338.33708333333</v>
      </c>
      <c r="Y92" s="274">
        <f t="shared" si="22"/>
        <v>0</v>
      </c>
      <c r="Z92" s="274">
        <f t="shared" si="22"/>
        <v>0</v>
      </c>
      <c r="AA92" s="81">
        <f t="shared" si="19"/>
        <v>1324060.0449999999</v>
      </c>
      <c r="AB92" s="80">
        <f t="shared" si="13"/>
        <v>210669.85600636437</v>
      </c>
      <c r="AC92" s="80">
        <f t="shared" si="14"/>
        <v>1655075.0562499999</v>
      </c>
      <c r="AD92" s="80">
        <f t="shared" si="15"/>
        <v>263337.32000795548</v>
      </c>
    </row>
    <row r="93" spans="1:30" s="80" customFormat="1" ht="17.25" customHeight="1">
      <c r="A93" s="560">
        <v>85</v>
      </c>
      <c r="B93" s="153" t="s">
        <v>237</v>
      </c>
      <c r="C93" s="561" t="s">
        <v>99</v>
      </c>
      <c r="D93" s="563" t="s">
        <v>25</v>
      </c>
      <c r="E93" s="562" t="s">
        <v>588</v>
      </c>
      <c r="F93" s="562" t="s">
        <v>362</v>
      </c>
      <c r="G93" s="571">
        <v>1</v>
      </c>
      <c r="H93" s="580" t="s">
        <v>102</v>
      </c>
      <c r="I93" s="580" t="s">
        <v>103</v>
      </c>
      <c r="J93" s="574">
        <v>2</v>
      </c>
      <c r="K93" s="554">
        <v>17697</v>
      </c>
      <c r="L93" s="573">
        <v>25</v>
      </c>
      <c r="M93" s="1166">
        <f t="shared" si="23"/>
        <v>1.3888888888888888</v>
      </c>
      <c r="N93" s="566" t="s">
        <v>104</v>
      </c>
      <c r="O93" s="1015">
        <v>4.3</v>
      </c>
      <c r="P93" s="567">
        <f t="shared" si="21"/>
        <v>105690.41666666664</v>
      </c>
      <c r="Q93" s="697">
        <f t="shared" si="24"/>
        <v>26422.604166666661</v>
      </c>
      <c r="R93" s="568"/>
      <c r="S93" s="554"/>
      <c r="T93" s="554">
        <v>0.1</v>
      </c>
      <c r="U93" s="567">
        <f t="shared" si="25"/>
        <v>13211.302083333332</v>
      </c>
      <c r="V93" s="19"/>
      <c r="W93" s="554"/>
      <c r="X93" s="570">
        <f t="shared" si="26"/>
        <v>145324.32291666666</v>
      </c>
      <c r="Y93" s="274">
        <f t="shared" si="22"/>
        <v>0</v>
      </c>
      <c r="Z93" s="274">
        <f t="shared" si="22"/>
        <v>0</v>
      </c>
      <c r="AA93" s="81">
        <f t="shared" si="19"/>
        <v>1743891.875</v>
      </c>
      <c r="AB93" s="80">
        <f t="shared" si="13"/>
        <v>277468.87430389813</v>
      </c>
      <c r="AC93" s="80">
        <f t="shared" si="14"/>
        <v>2179864.84375</v>
      </c>
      <c r="AD93" s="80">
        <f t="shared" si="15"/>
        <v>346836.09287987277</v>
      </c>
    </row>
    <row r="94" spans="1:30" s="80" customFormat="1" ht="17.25" customHeight="1">
      <c r="A94" s="290">
        <v>86</v>
      </c>
      <c r="B94" s="1060" t="s">
        <v>281</v>
      </c>
      <c r="C94" s="1055" t="s">
        <v>99</v>
      </c>
      <c r="D94" s="1064" t="s">
        <v>25</v>
      </c>
      <c r="E94" s="1065" t="s">
        <v>698</v>
      </c>
      <c r="F94" s="1056" t="s">
        <v>40</v>
      </c>
      <c r="G94" s="290">
        <v>1</v>
      </c>
      <c r="H94" s="1061" t="s">
        <v>102</v>
      </c>
      <c r="I94" s="1061" t="s">
        <v>103</v>
      </c>
      <c r="J94" s="1066">
        <v>1</v>
      </c>
      <c r="K94" s="1039">
        <v>17697</v>
      </c>
      <c r="L94" s="1069">
        <v>12</v>
      </c>
      <c r="M94" s="1166">
        <f t="shared" si="23"/>
        <v>0.66666666666666663</v>
      </c>
      <c r="N94" s="1054" t="s">
        <v>152</v>
      </c>
      <c r="O94" s="1082">
        <v>4.75</v>
      </c>
      <c r="P94" s="1049">
        <f t="shared" si="21"/>
        <v>56040.5</v>
      </c>
      <c r="Q94" s="1070">
        <f t="shared" si="24"/>
        <v>14010.125</v>
      </c>
      <c r="R94" s="1050"/>
      <c r="S94" s="1039"/>
      <c r="T94" s="1039">
        <v>0.1</v>
      </c>
      <c r="U94" s="1049">
        <f t="shared" si="25"/>
        <v>7005.0625</v>
      </c>
      <c r="V94" s="283"/>
      <c r="W94" s="1039"/>
      <c r="X94" s="1071">
        <f t="shared" si="26"/>
        <v>77055.6875</v>
      </c>
      <c r="Y94" s="274">
        <f t="shared" si="22"/>
        <v>0</v>
      </c>
      <c r="Z94" s="274">
        <f t="shared" si="22"/>
        <v>0</v>
      </c>
      <c r="AA94" s="81">
        <f t="shared" si="19"/>
        <v>924668.25</v>
      </c>
      <c r="AB94" s="80">
        <f t="shared" ref="AB94:AB154" si="27">AA94/12/29.33*56</f>
        <v>147123.03102625298</v>
      </c>
      <c r="AC94" s="80">
        <f t="shared" ref="AC94:AC154" si="28">AA94*1.25</f>
        <v>1155835.3125</v>
      </c>
      <c r="AD94" s="80">
        <f t="shared" ref="AD94:AD154" si="29">AC94/12/29.33*56</f>
        <v>183903.78878281623</v>
      </c>
    </row>
    <row r="95" spans="1:30" s="377" customFormat="1" ht="17.25" customHeight="1">
      <c r="A95" s="423"/>
      <c r="B95" s="463" t="s">
        <v>743</v>
      </c>
      <c r="C95" s="1197" t="s">
        <v>744</v>
      </c>
      <c r="D95" s="1223" t="s">
        <v>25</v>
      </c>
      <c r="E95" s="1224" t="s">
        <v>745</v>
      </c>
      <c r="F95" s="1198" t="s">
        <v>403</v>
      </c>
      <c r="G95" s="423">
        <v>1</v>
      </c>
      <c r="H95" s="1164" t="s">
        <v>102</v>
      </c>
      <c r="I95" s="1164" t="s">
        <v>103</v>
      </c>
      <c r="J95" s="1225">
        <v>3</v>
      </c>
      <c r="K95" s="1166">
        <v>17697</v>
      </c>
      <c r="L95" s="1201">
        <v>18</v>
      </c>
      <c r="M95" s="1166">
        <f t="shared" si="23"/>
        <v>1</v>
      </c>
      <c r="N95" s="1186" t="s">
        <v>109</v>
      </c>
      <c r="O95" s="1204">
        <v>4.1399999999999997</v>
      </c>
      <c r="P95" s="1171">
        <f t="shared" si="21"/>
        <v>73265.579999999987</v>
      </c>
      <c r="Q95" s="1168">
        <f t="shared" si="24"/>
        <v>18316.394999999997</v>
      </c>
      <c r="R95" s="1203"/>
      <c r="S95" s="1166"/>
      <c r="T95" s="1166">
        <v>0.1</v>
      </c>
      <c r="U95" s="1171">
        <f t="shared" si="25"/>
        <v>9158.1974999999984</v>
      </c>
      <c r="V95" s="416"/>
      <c r="W95" s="1166"/>
      <c r="X95" s="1174">
        <f>P95+Q95+U95</f>
        <v>100740.17249999997</v>
      </c>
      <c r="Y95" s="406"/>
      <c r="Z95" s="406"/>
      <c r="AA95" s="375"/>
    </row>
    <row r="96" spans="1:30" s="377" customFormat="1" ht="17.25" customHeight="1">
      <c r="A96" s="423"/>
      <c r="B96" s="463" t="s">
        <v>746</v>
      </c>
      <c r="C96" s="1197" t="s">
        <v>99</v>
      </c>
      <c r="D96" s="1223" t="s">
        <v>25</v>
      </c>
      <c r="E96" s="1224" t="s">
        <v>747</v>
      </c>
      <c r="F96" s="1198" t="s">
        <v>403</v>
      </c>
      <c r="G96" s="423">
        <v>1</v>
      </c>
      <c r="H96" s="1164" t="s">
        <v>102</v>
      </c>
      <c r="I96" s="1164" t="s">
        <v>103</v>
      </c>
      <c r="J96" s="1225">
        <v>3</v>
      </c>
      <c r="K96" s="1166">
        <v>17697</v>
      </c>
      <c r="L96" s="1201">
        <v>18</v>
      </c>
      <c r="M96" s="1166">
        <f t="shared" si="23"/>
        <v>1</v>
      </c>
      <c r="N96" s="1186" t="s">
        <v>109</v>
      </c>
      <c r="O96" s="1204">
        <v>4.1399999999999997</v>
      </c>
      <c r="P96" s="1171">
        <f t="shared" si="21"/>
        <v>73265.579999999987</v>
      </c>
      <c r="Q96" s="1168">
        <f t="shared" si="24"/>
        <v>18316.394999999997</v>
      </c>
      <c r="R96" s="1203"/>
      <c r="S96" s="1166"/>
      <c r="T96" s="1166">
        <v>0.1</v>
      </c>
      <c r="U96" s="1171">
        <f t="shared" si="25"/>
        <v>9158.1974999999984</v>
      </c>
      <c r="V96" s="416"/>
      <c r="W96" s="1166"/>
      <c r="X96" s="1174">
        <f>P96+Q96+U96</f>
        <v>100740.17249999997</v>
      </c>
      <c r="Y96" s="406"/>
      <c r="Z96" s="406"/>
      <c r="AA96" s="375"/>
    </row>
    <row r="97" spans="1:37" s="377" customFormat="1" ht="17.25" customHeight="1">
      <c r="A97" s="423"/>
      <c r="B97" s="463"/>
      <c r="C97" s="1197"/>
      <c r="D97" s="1223"/>
      <c r="E97" s="1224"/>
      <c r="F97" s="1198"/>
      <c r="G97" s="423"/>
      <c r="H97" s="1164"/>
      <c r="I97" s="1164"/>
      <c r="J97" s="1225"/>
      <c r="K97" s="1166"/>
      <c r="L97" s="1201"/>
      <c r="M97" s="1166">
        <f t="shared" si="23"/>
        <v>0</v>
      </c>
      <c r="N97" s="1186"/>
      <c r="O97" s="1204"/>
      <c r="P97" s="1171"/>
      <c r="Q97" s="1171"/>
      <c r="R97" s="1203"/>
      <c r="S97" s="1166"/>
      <c r="T97" s="1166"/>
      <c r="U97" s="1171"/>
      <c r="V97" s="416"/>
      <c r="W97" s="1166"/>
      <c r="X97" s="1174"/>
      <c r="Y97" s="406"/>
      <c r="Z97" s="406"/>
      <c r="AA97" s="375"/>
    </row>
    <row r="98" spans="1:37" s="80" customFormat="1" ht="17.25" customHeight="1">
      <c r="A98" s="560">
        <v>87</v>
      </c>
      <c r="B98" s="647" t="s">
        <v>392</v>
      </c>
      <c r="C98" s="647" t="s">
        <v>99</v>
      </c>
      <c r="D98" s="563" t="s">
        <v>189</v>
      </c>
      <c r="E98" s="586" t="s">
        <v>615</v>
      </c>
      <c r="F98" s="582" t="s">
        <v>434</v>
      </c>
      <c r="G98" s="560">
        <v>1</v>
      </c>
      <c r="H98" s="563" t="s">
        <v>102</v>
      </c>
      <c r="I98" s="563" t="s">
        <v>103</v>
      </c>
      <c r="J98" s="572">
        <v>2</v>
      </c>
      <c r="K98" s="554">
        <v>17697</v>
      </c>
      <c r="L98" s="573">
        <v>4</v>
      </c>
      <c r="M98" s="554">
        <f t="shared" ref="M98:M107" si="30">L98/18</f>
        <v>0.22222222222222221</v>
      </c>
      <c r="N98" s="566" t="s">
        <v>104</v>
      </c>
      <c r="O98" s="1015">
        <v>4.4400000000000004</v>
      </c>
      <c r="P98" s="567">
        <f t="shared" si="21"/>
        <v>17461.04</v>
      </c>
      <c r="Q98" s="697">
        <f t="shared" si="24"/>
        <v>4365.26</v>
      </c>
      <c r="R98" s="568"/>
      <c r="S98" s="554"/>
      <c r="T98" s="554">
        <v>0.1</v>
      </c>
      <c r="U98" s="567">
        <f t="shared" si="25"/>
        <v>2182.6300000000006</v>
      </c>
      <c r="V98" s="19"/>
      <c r="W98" s="554"/>
      <c r="X98" s="570">
        <f t="shared" si="26"/>
        <v>24008.930000000004</v>
      </c>
      <c r="Y98" s="274"/>
      <c r="Z98" s="274"/>
      <c r="AA98" s="81">
        <f t="shared" si="19"/>
        <v>288107.16000000003</v>
      </c>
      <c r="AB98" s="80">
        <f t="shared" si="27"/>
        <v>45840.439140811468</v>
      </c>
      <c r="AC98" s="80">
        <f t="shared" si="28"/>
        <v>360133.95000000007</v>
      </c>
      <c r="AD98" s="80">
        <f t="shared" si="29"/>
        <v>57300.548926014337</v>
      </c>
    </row>
    <row r="99" spans="1:37" s="80" customFormat="1" ht="17.25" customHeight="1">
      <c r="A99" s="290">
        <v>88</v>
      </c>
      <c r="B99" s="1060" t="s">
        <v>243</v>
      </c>
      <c r="C99" s="1055" t="s">
        <v>99</v>
      </c>
      <c r="D99" s="1061" t="s">
        <v>25</v>
      </c>
      <c r="E99" s="1056" t="s">
        <v>705</v>
      </c>
      <c r="F99" s="1056" t="s">
        <v>239</v>
      </c>
      <c r="G99" s="1067">
        <v>1</v>
      </c>
      <c r="H99" s="1068" t="s">
        <v>102</v>
      </c>
      <c r="I99" s="1068" t="s">
        <v>103</v>
      </c>
      <c r="J99" s="1054">
        <v>2</v>
      </c>
      <c r="K99" s="1039">
        <v>17697</v>
      </c>
      <c r="L99" s="1069">
        <v>34</v>
      </c>
      <c r="M99" s="1039">
        <f t="shared" si="30"/>
        <v>1.8888888888888888</v>
      </c>
      <c r="N99" s="1047" t="s">
        <v>596</v>
      </c>
      <c r="O99" s="1082">
        <v>4.2300000000000004</v>
      </c>
      <c r="P99" s="1049">
        <f t="shared" si="21"/>
        <v>141399.03000000003</v>
      </c>
      <c r="Q99" s="1070">
        <f t="shared" si="24"/>
        <v>35349.757500000007</v>
      </c>
      <c r="R99" s="1050"/>
      <c r="S99" s="1039"/>
      <c r="T99" s="1039">
        <v>0.1</v>
      </c>
      <c r="U99" s="1049">
        <f t="shared" si="25"/>
        <v>17674.878750000003</v>
      </c>
      <c r="V99" s="283"/>
      <c r="W99" s="1039"/>
      <c r="X99" s="1071">
        <f t="shared" si="26"/>
        <v>194423.66625000004</v>
      </c>
      <c r="Y99" s="274">
        <f t="shared" si="22"/>
        <v>0</v>
      </c>
      <c r="Z99" s="274">
        <f t="shared" si="22"/>
        <v>0</v>
      </c>
      <c r="AA99" s="81">
        <f t="shared" si="19"/>
        <v>2333083.9950000006</v>
      </c>
      <c r="AB99" s="80">
        <f t="shared" si="27"/>
        <v>371214.63723150367</v>
      </c>
      <c r="AC99" s="80">
        <f t="shared" si="28"/>
        <v>2916354.9937500008</v>
      </c>
      <c r="AD99" s="80">
        <f t="shared" si="29"/>
        <v>464018.29653937963</v>
      </c>
    </row>
    <row r="100" spans="1:37" s="80" customFormat="1" ht="17.25" customHeight="1">
      <c r="A100" s="290">
        <v>89</v>
      </c>
      <c r="B100" s="1060" t="s">
        <v>245</v>
      </c>
      <c r="C100" s="1055" t="s">
        <v>99</v>
      </c>
      <c r="D100" s="1061" t="s">
        <v>25</v>
      </c>
      <c r="E100" s="1056" t="s">
        <v>461</v>
      </c>
      <c r="F100" s="1084" t="s">
        <v>40</v>
      </c>
      <c r="G100" s="1067">
        <v>1</v>
      </c>
      <c r="H100" s="1068" t="s">
        <v>102</v>
      </c>
      <c r="I100" s="1068" t="s">
        <v>103</v>
      </c>
      <c r="J100" s="1054">
        <v>1</v>
      </c>
      <c r="K100" s="1039">
        <v>17697</v>
      </c>
      <c r="L100" s="1069">
        <v>34</v>
      </c>
      <c r="M100" s="1039">
        <f t="shared" si="30"/>
        <v>1.8888888888888888</v>
      </c>
      <c r="N100" s="1054" t="s">
        <v>152</v>
      </c>
      <c r="O100" s="1101">
        <v>4.75</v>
      </c>
      <c r="P100" s="1049">
        <f t="shared" si="21"/>
        <v>158781.41666666669</v>
      </c>
      <c r="Q100" s="1070">
        <f t="shared" si="24"/>
        <v>39695.354166666672</v>
      </c>
      <c r="R100" s="1073"/>
      <c r="S100" s="1045"/>
      <c r="T100" s="1039">
        <v>0.1</v>
      </c>
      <c r="U100" s="1049">
        <f t="shared" si="25"/>
        <v>19847.677083333339</v>
      </c>
      <c r="V100" s="283"/>
      <c r="W100" s="1039"/>
      <c r="X100" s="1071">
        <f t="shared" si="26"/>
        <v>218324.44791666672</v>
      </c>
      <c r="Y100" s="688"/>
      <c r="Z100" s="688"/>
      <c r="AA100" s="81">
        <f t="shared" si="19"/>
        <v>2619893.3750000005</v>
      </c>
      <c r="AB100" s="80">
        <f t="shared" si="27"/>
        <v>416848.58790771686</v>
      </c>
      <c r="AC100" s="80">
        <f t="shared" si="28"/>
        <v>3274866.7187500005</v>
      </c>
      <c r="AD100" s="80">
        <f t="shared" si="29"/>
        <v>521060.73488464608</v>
      </c>
    </row>
    <row r="101" spans="1:37" s="80" customFormat="1" ht="17.25" customHeight="1">
      <c r="A101" s="290">
        <v>90</v>
      </c>
      <c r="B101" s="1060" t="s">
        <v>586</v>
      </c>
      <c r="C101" s="1055" t="s">
        <v>99</v>
      </c>
      <c r="D101" s="1061" t="s">
        <v>25</v>
      </c>
      <c r="E101" s="1119" t="s">
        <v>710</v>
      </c>
      <c r="F101" s="1056" t="s">
        <v>259</v>
      </c>
      <c r="G101" s="1067">
        <v>1</v>
      </c>
      <c r="H101" s="1068" t="s">
        <v>102</v>
      </c>
      <c r="I101" s="1068" t="s">
        <v>103</v>
      </c>
      <c r="J101" s="1054">
        <v>3</v>
      </c>
      <c r="K101" s="1039">
        <v>17697</v>
      </c>
      <c r="L101" s="1069">
        <v>33</v>
      </c>
      <c r="M101" s="1039">
        <f t="shared" si="30"/>
        <v>1.8333333333333333</v>
      </c>
      <c r="N101" s="1047" t="s">
        <v>109</v>
      </c>
      <c r="O101" s="1082">
        <v>4.1399999999999997</v>
      </c>
      <c r="P101" s="1049">
        <f t="shared" si="21"/>
        <v>134320.22999999998</v>
      </c>
      <c r="Q101" s="1070">
        <f t="shared" si="24"/>
        <v>33580.057499999995</v>
      </c>
      <c r="R101" s="1050"/>
      <c r="S101" s="1039"/>
      <c r="T101" s="1039">
        <v>0.1</v>
      </c>
      <c r="U101" s="1049">
        <f t="shared" si="25"/>
        <v>16790.028749999998</v>
      </c>
      <c r="V101" s="283"/>
      <c r="W101" s="1039"/>
      <c r="X101" s="1071">
        <f t="shared" si="26"/>
        <v>184690.31624999997</v>
      </c>
      <c r="Y101" s="274">
        <f t="shared" ref="Y101:Z118" si="31">V101+R101</f>
        <v>0</v>
      </c>
      <c r="Z101" s="274">
        <f t="shared" si="31"/>
        <v>0</v>
      </c>
      <c r="AA101" s="81">
        <f t="shared" si="19"/>
        <v>2216283.7949999999</v>
      </c>
      <c r="AB101" s="80">
        <f t="shared" si="27"/>
        <v>352630.67541766114</v>
      </c>
      <c r="AC101" s="80">
        <f t="shared" si="28"/>
        <v>2770354.7437499999</v>
      </c>
      <c r="AD101" s="80">
        <f t="shared" si="29"/>
        <v>440788.34427207639</v>
      </c>
    </row>
    <row r="102" spans="1:37" s="80" customFormat="1" ht="17.25" customHeight="1">
      <c r="A102" s="290">
        <v>91</v>
      </c>
      <c r="B102" s="1060" t="s">
        <v>253</v>
      </c>
      <c r="C102" s="1055" t="s">
        <v>148</v>
      </c>
      <c r="D102" s="1061" t="s">
        <v>25</v>
      </c>
      <c r="E102" s="1056" t="s">
        <v>712</v>
      </c>
      <c r="F102" s="1056" t="s">
        <v>40</v>
      </c>
      <c r="G102" s="1067">
        <v>1</v>
      </c>
      <c r="H102" s="1068" t="s">
        <v>102</v>
      </c>
      <c r="I102" s="1068" t="s">
        <v>103</v>
      </c>
      <c r="J102" s="1054">
        <v>1</v>
      </c>
      <c r="K102" s="1039">
        <v>17697</v>
      </c>
      <c r="L102" s="1069">
        <v>36</v>
      </c>
      <c r="M102" s="1039">
        <f t="shared" si="30"/>
        <v>2</v>
      </c>
      <c r="N102" s="1047" t="s">
        <v>152</v>
      </c>
      <c r="O102" s="1082">
        <v>4.75</v>
      </c>
      <c r="P102" s="1049">
        <f t="shared" si="21"/>
        <v>168121.5</v>
      </c>
      <c r="Q102" s="1070">
        <f t="shared" si="24"/>
        <v>42030.375</v>
      </c>
      <c r="R102" s="1050"/>
      <c r="S102" s="1039"/>
      <c r="T102" s="1039">
        <v>0.1</v>
      </c>
      <c r="U102" s="1049">
        <f t="shared" si="25"/>
        <v>21015.1875</v>
      </c>
      <c r="V102" s="283"/>
      <c r="W102" s="1039"/>
      <c r="X102" s="1071">
        <f t="shared" si="26"/>
        <v>231167.0625</v>
      </c>
      <c r="Y102" s="274">
        <f t="shared" si="31"/>
        <v>0</v>
      </c>
      <c r="Z102" s="274">
        <f t="shared" si="31"/>
        <v>0</v>
      </c>
      <c r="AA102" s="81">
        <f t="shared" si="19"/>
        <v>2774004.75</v>
      </c>
      <c r="AB102" s="80">
        <f t="shared" si="27"/>
        <v>441369.09307875898</v>
      </c>
      <c r="AC102" s="80">
        <f t="shared" si="28"/>
        <v>3467505.9375</v>
      </c>
      <c r="AD102" s="80">
        <f t="shared" si="29"/>
        <v>551711.36634844868</v>
      </c>
    </row>
    <row r="103" spans="1:37" s="80" customFormat="1" ht="16.5" customHeight="1">
      <c r="A103" s="290">
        <v>92</v>
      </c>
      <c r="B103" s="1120" t="s">
        <v>255</v>
      </c>
      <c r="C103" s="1121" t="s">
        <v>99</v>
      </c>
      <c r="D103" s="1122" t="s">
        <v>25</v>
      </c>
      <c r="E103" s="1084" t="s">
        <v>714</v>
      </c>
      <c r="F103" s="1084" t="s">
        <v>40</v>
      </c>
      <c r="G103" s="1123">
        <v>1</v>
      </c>
      <c r="H103" s="1124" t="s">
        <v>102</v>
      </c>
      <c r="I103" s="1124" t="s">
        <v>103</v>
      </c>
      <c r="J103" s="1125">
        <v>1</v>
      </c>
      <c r="K103" s="1126">
        <v>17697</v>
      </c>
      <c r="L103" s="1127">
        <v>34</v>
      </c>
      <c r="M103" s="1039">
        <f t="shared" si="30"/>
        <v>1.8888888888888888</v>
      </c>
      <c r="N103" s="1054" t="s">
        <v>152</v>
      </c>
      <c r="O103" s="1059">
        <v>4.75</v>
      </c>
      <c r="P103" s="1049">
        <f t="shared" si="21"/>
        <v>158781.41666666669</v>
      </c>
      <c r="Q103" s="1070">
        <f t="shared" si="24"/>
        <v>39695.354166666672</v>
      </c>
      <c r="R103" s="1128"/>
      <c r="S103" s="1129"/>
      <c r="T103" s="1129">
        <v>0.1</v>
      </c>
      <c r="U103" s="1049">
        <f t="shared" si="25"/>
        <v>19847.677083333339</v>
      </c>
      <c r="V103" s="283"/>
      <c r="W103" s="1039"/>
      <c r="X103" s="1071">
        <f t="shared" si="26"/>
        <v>218324.44791666672</v>
      </c>
      <c r="Y103" s="304">
        <f t="shared" si="31"/>
        <v>0</v>
      </c>
      <c r="Z103" s="304">
        <f t="shared" si="31"/>
        <v>0</v>
      </c>
      <c r="AA103" s="81">
        <f t="shared" si="19"/>
        <v>2619893.3750000005</v>
      </c>
      <c r="AB103" s="80">
        <f t="shared" si="27"/>
        <v>416848.58790771686</v>
      </c>
      <c r="AC103" s="80">
        <f t="shared" si="28"/>
        <v>3274866.7187500005</v>
      </c>
      <c r="AD103" s="80">
        <f t="shared" si="29"/>
        <v>521060.73488464608</v>
      </c>
    </row>
    <row r="104" spans="1:37" s="80" customFormat="1" ht="16.5" customHeight="1">
      <c r="A104" s="290">
        <v>93</v>
      </c>
      <c r="B104" s="1060" t="s">
        <v>257</v>
      </c>
      <c r="C104" s="1055" t="s">
        <v>99</v>
      </c>
      <c r="D104" s="1061" t="s">
        <v>25</v>
      </c>
      <c r="E104" s="1056" t="s">
        <v>715</v>
      </c>
      <c r="F104" s="1056" t="s">
        <v>239</v>
      </c>
      <c r="G104" s="1067">
        <v>1</v>
      </c>
      <c r="H104" s="1068" t="s">
        <v>102</v>
      </c>
      <c r="I104" s="1068" t="s">
        <v>103</v>
      </c>
      <c r="J104" s="1054">
        <v>2</v>
      </c>
      <c r="K104" s="1126">
        <v>17697</v>
      </c>
      <c r="L104" s="1127">
        <v>26</v>
      </c>
      <c r="M104" s="1039">
        <f t="shared" si="30"/>
        <v>1.4444444444444444</v>
      </c>
      <c r="N104" s="1078" t="s">
        <v>104</v>
      </c>
      <c r="O104" s="1130">
        <v>4.2300000000000004</v>
      </c>
      <c r="P104" s="1049">
        <f t="shared" si="21"/>
        <v>108128.67000000003</v>
      </c>
      <c r="Q104" s="1070">
        <f t="shared" si="24"/>
        <v>27032.167500000007</v>
      </c>
      <c r="R104" s="1131"/>
      <c r="S104" s="1126"/>
      <c r="T104" s="1129">
        <v>0.1</v>
      </c>
      <c r="U104" s="1049">
        <f t="shared" si="25"/>
        <v>13516.083750000003</v>
      </c>
      <c r="V104" s="283"/>
      <c r="W104" s="1039"/>
      <c r="X104" s="1071">
        <f t="shared" si="26"/>
        <v>148676.92125000001</v>
      </c>
      <c r="Y104" s="981"/>
      <c r="Z104" s="981"/>
      <c r="AA104" s="81">
        <f t="shared" si="19"/>
        <v>1784123.0550000002</v>
      </c>
      <c r="AB104" s="80">
        <f t="shared" si="27"/>
        <v>283870.01670644397</v>
      </c>
      <c r="AC104" s="80">
        <f t="shared" si="28"/>
        <v>2230153.8187500001</v>
      </c>
      <c r="AD104" s="80">
        <f t="shared" si="29"/>
        <v>354837.52088305494</v>
      </c>
    </row>
    <row r="105" spans="1:37" s="377" customFormat="1" ht="16.5" customHeight="1">
      <c r="A105" s="423"/>
      <c r="B105" s="463" t="s">
        <v>748</v>
      </c>
      <c r="C105" s="1197" t="s">
        <v>99</v>
      </c>
      <c r="D105" s="1164" t="s">
        <v>25</v>
      </c>
      <c r="E105" s="1198"/>
      <c r="F105" s="1198"/>
      <c r="G105" s="1199"/>
      <c r="H105" s="1200" t="s">
        <v>102</v>
      </c>
      <c r="I105" s="1200" t="s">
        <v>103</v>
      </c>
      <c r="J105" s="1186">
        <v>3</v>
      </c>
      <c r="K105" s="1216"/>
      <c r="L105" s="1226"/>
      <c r="M105" s="1166"/>
      <c r="N105" s="1206" t="s">
        <v>109</v>
      </c>
      <c r="O105" s="1227"/>
      <c r="P105" s="1171">
        <f t="shared" si="21"/>
        <v>0</v>
      </c>
      <c r="Q105" s="1168">
        <f t="shared" si="24"/>
        <v>0</v>
      </c>
      <c r="R105" s="1215"/>
      <c r="S105" s="1216"/>
      <c r="T105" s="1216">
        <v>0.1</v>
      </c>
      <c r="U105" s="1171">
        <f t="shared" si="25"/>
        <v>0</v>
      </c>
      <c r="V105" s="416"/>
      <c r="W105" s="1166"/>
      <c r="X105" s="1174">
        <f t="shared" si="26"/>
        <v>0</v>
      </c>
      <c r="Y105" s="437"/>
      <c r="Z105" s="1228"/>
      <c r="AA105" s="375"/>
    </row>
    <row r="106" spans="1:37" s="115" customFormat="1" ht="17.25" customHeight="1">
      <c r="A106" s="290">
        <v>94</v>
      </c>
      <c r="B106" s="1060" t="s">
        <v>388</v>
      </c>
      <c r="C106" s="1055" t="s">
        <v>99</v>
      </c>
      <c r="D106" s="1061" t="s">
        <v>189</v>
      </c>
      <c r="E106" s="1056" t="s">
        <v>718</v>
      </c>
      <c r="F106" s="1056" t="s">
        <v>34</v>
      </c>
      <c r="G106" s="1067">
        <v>1</v>
      </c>
      <c r="H106" s="1068" t="s">
        <v>102</v>
      </c>
      <c r="I106" s="1068" t="s">
        <v>103</v>
      </c>
      <c r="J106" s="1054">
        <v>1</v>
      </c>
      <c r="K106" s="1039">
        <v>17697</v>
      </c>
      <c r="L106" s="1069">
        <v>9</v>
      </c>
      <c r="M106" s="1039">
        <f t="shared" si="30"/>
        <v>0.5</v>
      </c>
      <c r="N106" s="1054" t="s">
        <v>152</v>
      </c>
      <c r="O106" s="1132">
        <v>4.75</v>
      </c>
      <c r="P106" s="1049">
        <f t="shared" si="21"/>
        <v>42030.375</v>
      </c>
      <c r="Q106" s="1070">
        <f t="shared" si="24"/>
        <v>10507.59375</v>
      </c>
      <c r="R106" s="1050"/>
      <c r="S106" s="1039"/>
      <c r="T106" s="1129">
        <v>0.1</v>
      </c>
      <c r="U106" s="1049">
        <f t="shared" si="25"/>
        <v>5253.796875</v>
      </c>
      <c r="V106" s="283"/>
      <c r="W106" s="1039"/>
      <c r="X106" s="1071">
        <f t="shared" si="26"/>
        <v>57791.765625</v>
      </c>
      <c r="Y106" s="274">
        <f t="shared" si="31"/>
        <v>0</v>
      </c>
      <c r="Z106" s="989">
        <f t="shared" si="31"/>
        <v>0</v>
      </c>
      <c r="AA106" s="81">
        <f t="shared" si="19"/>
        <v>693501.1875</v>
      </c>
      <c r="AB106" s="80">
        <f t="shared" si="27"/>
        <v>110342.27326968974</v>
      </c>
      <c r="AC106" s="80">
        <f t="shared" si="28"/>
        <v>866876.484375</v>
      </c>
      <c r="AD106" s="80">
        <f t="shared" si="29"/>
        <v>137927.84158711217</v>
      </c>
      <c r="AE106" s="81"/>
      <c r="AF106" s="81"/>
      <c r="AG106" s="81"/>
      <c r="AH106" s="81"/>
      <c r="AI106" s="81"/>
      <c r="AJ106" s="81"/>
      <c r="AK106" s="990"/>
    </row>
    <row r="107" spans="1:37" s="81" customFormat="1" ht="17.25" customHeight="1">
      <c r="A107" s="290">
        <v>95</v>
      </c>
      <c r="B107" s="1060" t="s">
        <v>199</v>
      </c>
      <c r="C107" s="1055" t="s">
        <v>99</v>
      </c>
      <c r="D107" s="1061" t="s">
        <v>25</v>
      </c>
      <c r="E107" s="1081" t="s">
        <v>719</v>
      </c>
      <c r="F107" s="1056" t="s">
        <v>108</v>
      </c>
      <c r="G107" s="290">
        <v>1</v>
      </c>
      <c r="H107" s="1061" t="s">
        <v>102</v>
      </c>
      <c r="I107" s="1061" t="s">
        <v>118</v>
      </c>
      <c r="J107" s="1062">
        <v>4</v>
      </c>
      <c r="K107" s="1039">
        <v>17697</v>
      </c>
      <c r="L107" s="1058">
        <v>12.5</v>
      </c>
      <c r="M107" s="1039">
        <f t="shared" si="30"/>
        <v>0.69444444444444442</v>
      </c>
      <c r="N107" s="1080" t="s">
        <v>112</v>
      </c>
      <c r="O107" s="1047">
        <v>3.41</v>
      </c>
      <c r="P107" s="1049">
        <f t="shared" si="21"/>
        <v>41907.479166666664</v>
      </c>
      <c r="Q107" s="1070">
        <f t="shared" si="24"/>
        <v>10476.869791666666</v>
      </c>
      <c r="R107" s="1050"/>
      <c r="S107" s="1039"/>
      <c r="T107" s="1039">
        <v>0.1</v>
      </c>
      <c r="U107" s="1049">
        <f t="shared" si="25"/>
        <v>5238.434895833333</v>
      </c>
      <c r="V107" s="283"/>
      <c r="W107" s="1039"/>
      <c r="X107" s="1071">
        <f t="shared" si="26"/>
        <v>57622.783854166664</v>
      </c>
      <c r="Y107" s="270"/>
      <c r="Z107" s="270"/>
      <c r="AA107" s="81">
        <f t="shared" si="19"/>
        <v>691473.40625</v>
      </c>
      <c r="AB107" s="80">
        <f t="shared" si="27"/>
        <v>110019.63504375498</v>
      </c>
      <c r="AC107" s="80">
        <f t="shared" si="28"/>
        <v>864341.7578125</v>
      </c>
      <c r="AD107" s="80">
        <f t="shared" si="29"/>
        <v>137524.54380469371</v>
      </c>
    </row>
    <row r="108" spans="1:37" s="979" customFormat="1" ht="17.25" customHeight="1">
      <c r="A108" s="966"/>
      <c r="B108" s="967"/>
      <c r="C108" s="968"/>
      <c r="D108" s="969"/>
      <c r="E108" s="970"/>
      <c r="F108" s="970"/>
      <c r="G108" s="971"/>
      <c r="H108" s="972"/>
      <c r="I108" s="972"/>
      <c r="J108" s="973"/>
      <c r="K108" s="974"/>
      <c r="L108" s="975">
        <f>SUM(L81:L107)</f>
        <v>525</v>
      </c>
      <c r="M108" s="974"/>
      <c r="N108" s="973"/>
      <c r="O108" s="976"/>
      <c r="P108" s="977"/>
      <c r="Q108" s="1031"/>
      <c r="R108" s="977"/>
      <c r="S108" s="977"/>
      <c r="T108" s="977"/>
      <c r="U108" s="977"/>
      <c r="V108" s="977"/>
      <c r="W108" s="977"/>
      <c r="X108" s="977"/>
      <c r="Y108" s="978"/>
      <c r="Z108" s="978"/>
      <c r="AA108" s="81">
        <f t="shared" si="19"/>
        <v>0</v>
      </c>
      <c r="AB108" s="80">
        <f t="shared" si="27"/>
        <v>0</v>
      </c>
      <c r="AC108" s="80">
        <f t="shared" si="28"/>
        <v>0</v>
      </c>
      <c r="AD108" s="80">
        <f t="shared" si="29"/>
        <v>0</v>
      </c>
    </row>
    <row r="109" spans="1:37" s="1305" customFormat="1" ht="17.25" customHeight="1">
      <c r="A109" s="1286">
        <v>1</v>
      </c>
      <c r="B109" s="1334" t="s">
        <v>36</v>
      </c>
      <c r="C109" s="1335" t="s">
        <v>99</v>
      </c>
      <c r="D109" s="1336" t="s">
        <v>25</v>
      </c>
      <c r="E109" s="1337" t="s">
        <v>649</v>
      </c>
      <c r="F109" s="1338" t="s">
        <v>40</v>
      </c>
      <c r="G109" s="1286">
        <v>1</v>
      </c>
      <c r="H109" s="1339" t="s">
        <v>102</v>
      </c>
      <c r="I109" s="1339" t="s">
        <v>103</v>
      </c>
      <c r="J109" s="1340">
        <v>1</v>
      </c>
      <c r="K109" s="1296">
        <v>17697</v>
      </c>
      <c r="L109" s="1295">
        <v>9</v>
      </c>
      <c r="M109" s="1296">
        <f t="shared" ref="M109:M136" si="32">L109/18</f>
        <v>0.5</v>
      </c>
      <c r="N109" s="1297" t="s">
        <v>152</v>
      </c>
      <c r="O109" s="1341">
        <v>4.75</v>
      </c>
      <c r="P109" s="1299">
        <f t="shared" ref="P109:P121" si="33">O109*K109/18*L109</f>
        <v>42030.375</v>
      </c>
      <c r="Q109" s="1299">
        <f>P109*25%</f>
        <v>10507.59375</v>
      </c>
      <c r="R109" s="1342"/>
      <c r="S109" s="1296"/>
      <c r="T109" s="1296">
        <v>0.1</v>
      </c>
      <c r="U109" s="1299">
        <f>(P109+Q109)*T109</f>
        <v>5253.796875</v>
      </c>
      <c r="V109" s="1301"/>
      <c r="W109" s="1296"/>
      <c r="X109" s="1302">
        <f>P109+Q109+U109</f>
        <v>57791.765625</v>
      </c>
      <c r="Y109" s="1343">
        <f t="shared" si="31"/>
        <v>0</v>
      </c>
      <c r="Z109" s="1343">
        <f t="shared" si="31"/>
        <v>0</v>
      </c>
      <c r="AA109" s="1304">
        <f t="shared" si="19"/>
        <v>693501.1875</v>
      </c>
      <c r="AB109" s="1305">
        <f t="shared" si="27"/>
        <v>110342.27326968974</v>
      </c>
      <c r="AC109" s="1305">
        <f t="shared" si="28"/>
        <v>866876.484375</v>
      </c>
      <c r="AD109" s="1305">
        <f t="shared" si="29"/>
        <v>137927.84158711217</v>
      </c>
    </row>
    <row r="110" spans="1:37" s="1305" customFormat="1" ht="17.25" customHeight="1">
      <c r="A110" s="1286">
        <v>2</v>
      </c>
      <c r="B110" s="1319" t="s">
        <v>261</v>
      </c>
      <c r="C110" s="1287" t="s">
        <v>99</v>
      </c>
      <c r="D110" s="1288" t="s">
        <v>25</v>
      </c>
      <c r="E110" s="1289" t="s">
        <v>652</v>
      </c>
      <c r="F110" s="1320" t="s">
        <v>614</v>
      </c>
      <c r="G110" s="1291">
        <v>1</v>
      </c>
      <c r="H110" s="1292" t="s">
        <v>102</v>
      </c>
      <c r="I110" s="1292" t="s">
        <v>103</v>
      </c>
      <c r="J110" s="1293">
        <v>1</v>
      </c>
      <c r="K110" s="1294">
        <v>17697</v>
      </c>
      <c r="L110" s="1295">
        <v>31</v>
      </c>
      <c r="M110" s="1296">
        <f t="shared" si="32"/>
        <v>1.7222222222222223</v>
      </c>
      <c r="N110" s="1297" t="s">
        <v>152</v>
      </c>
      <c r="O110" s="1298">
        <v>4.55</v>
      </c>
      <c r="P110" s="1299">
        <f t="shared" si="33"/>
        <v>138675.65833333333</v>
      </c>
      <c r="Q110" s="1299">
        <f t="shared" ref="Q110:Q121" si="34">P110*25%</f>
        <v>34668.914583333331</v>
      </c>
      <c r="R110" s="1300"/>
      <c r="S110" s="1294"/>
      <c r="T110" s="1294">
        <v>0.1</v>
      </c>
      <c r="U110" s="1299">
        <f t="shared" ref="U110:U121" si="35">(P110+Q110)*T110</f>
        <v>17334.457291666666</v>
      </c>
      <c r="V110" s="1301"/>
      <c r="W110" s="1296"/>
      <c r="X110" s="1302">
        <f t="shared" ref="X110:X121" si="36">P110+Q110+U110</f>
        <v>190679.03020833334</v>
      </c>
      <c r="Y110" s="1303">
        <f t="shared" si="31"/>
        <v>0</v>
      </c>
      <c r="Z110" s="1303">
        <f t="shared" si="31"/>
        <v>0</v>
      </c>
      <c r="AA110" s="1304">
        <f t="shared" si="19"/>
        <v>2288148.3624999998</v>
      </c>
      <c r="AB110" s="1305">
        <f t="shared" si="27"/>
        <v>364064.97414478916</v>
      </c>
      <c r="AC110" s="1305">
        <f t="shared" si="28"/>
        <v>2860185.453125</v>
      </c>
      <c r="AD110" s="1305">
        <f t="shared" si="29"/>
        <v>455081.21768098651</v>
      </c>
    </row>
    <row r="111" spans="1:37" s="1305" customFormat="1" ht="17.25" customHeight="1">
      <c r="A111" s="1286">
        <v>3</v>
      </c>
      <c r="B111" s="1332" t="s">
        <v>760</v>
      </c>
      <c r="C111" s="1308" t="s">
        <v>99</v>
      </c>
      <c r="D111" s="1333" t="s">
        <v>25</v>
      </c>
      <c r="E111" s="1310" t="s">
        <v>761</v>
      </c>
      <c r="F111" s="1328" t="s">
        <v>403</v>
      </c>
      <c r="G111" s="1291">
        <v>1</v>
      </c>
      <c r="H111" s="1292" t="s">
        <v>102</v>
      </c>
      <c r="I111" s="1292" t="s">
        <v>103</v>
      </c>
      <c r="J111" s="1293">
        <v>3</v>
      </c>
      <c r="K111" s="1294">
        <v>17697</v>
      </c>
      <c r="L111" s="1295">
        <v>26</v>
      </c>
      <c r="M111" s="1296">
        <f t="shared" si="32"/>
        <v>1.4444444444444444</v>
      </c>
      <c r="N111" s="1321" t="s">
        <v>109</v>
      </c>
      <c r="O111" s="1330">
        <v>4.1399999999999997</v>
      </c>
      <c r="P111" s="1299">
        <f t="shared" si="33"/>
        <v>105828.05999999998</v>
      </c>
      <c r="Q111" s="1299">
        <f t="shared" si="34"/>
        <v>26457.014999999996</v>
      </c>
      <c r="R111" s="1316"/>
      <c r="S111" s="1313"/>
      <c r="T111" s="1294">
        <v>0.1</v>
      </c>
      <c r="U111" s="1299">
        <f t="shared" si="35"/>
        <v>13228.5075</v>
      </c>
      <c r="V111" s="1317"/>
      <c r="W111" s="1296"/>
      <c r="X111" s="1302">
        <f t="shared" si="36"/>
        <v>145513.58249999999</v>
      </c>
      <c r="Y111" s="1318"/>
      <c r="Z111" s="1318"/>
      <c r="AA111" s="1304"/>
    </row>
    <row r="112" spans="1:37" s="1305" customFormat="1" ht="16.5" customHeight="1">
      <c r="A112" s="1286">
        <v>4</v>
      </c>
      <c r="B112" s="1287" t="s">
        <v>264</v>
      </c>
      <c r="C112" s="1287" t="s">
        <v>99</v>
      </c>
      <c r="D112" s="1288" t="s">
        <v>25</v>
      </c>
      <c r="E112" s="1289" t="s">
        <v>658</v>
      </c>
      <c r="F112" s="1320" t="s">
        <v>40</v>
      </c>
      <c r="G112" s="1291">
        <v>1</v>
      </c>
      <c r="H112" s="1292" t="s">
        <v>102</v>
      </c>
      <c r="I112" s="1292" t="s">
        <v>103</v>
      </c>
      <c r="J112" s="1293">
        <v>1</v>
      </c>
      <c r="K112" s="1294">
        <v>17697</v>
      </c>
      <c r="L112" s="1295">
        <v>32</v>
      </c>
      <c r="M112" s="1296">
        <f t="shared" si="32"/>
        <v>1.7777777777777777</v>
      </c>
      <c r="N112" s="1297" t="s">
        <v>152</v>
      </c>
      <c r="O112" s="1298">
        <v>4.75</v>
      </c>
      <c r="P112" s="1299">
        <f t="shared" si="33"/>
        <v>149441.33333333334</v>
      </c>
      <c r="Q112" s="1299">
        <f t="shared" si="34"/>
        <v>37360.333333333336</v>
      </c>
      <c r="R112" s="1300"/>
      <c r="S112" s="1294"/>
      <c r="T112" s="1294">
        <v>0.1</v>
      </c>
      <c r="U112" s="1299">
        <f t="shared" si="35"/>
        <v>18680.166666666668</v>
      </c>
      <c r="V112" s="1301"/>
      <c r="W112" s="1296"/>
      <c r="X112" s="1302">
        <f t="shared" si="36"/>
        <v>205481.83333333334</v>
      </c>
      <c r="Y112" s="1303">
        <f t="shared" si="31"/>
        <v>0</v>
      </c>
      <c r="Z112" s="1303">
        <f t="shared" si="31"/>
        <v>0</v>
      </c>
      <c r="AA112" s="1304">
        <f t="shared" si="19"/>
        <v>2465782</v>
      </c>
      <c r="AB112" s="1305">
        <f t="shared" si="27"/>
        <v>392328.0827366747</v>
      </c>
      <c r="AC112" s="1305">
        <f t="shared" si="28"/>
        <v>3082227.5</v>
      </c>
      <c r="AD112" s="1305">
        <f t="shared" si="29"/>
        <v>490410.10342084331</v>
      </c>
    </row>
    <row r="113" spans="1:30" s="1305" customFormat="1" ht="17.25" customHeight="1">
      <c r="A113" s="1286">
        <v>5</v>
      </c>
      <c r="B113" s="1287" t="s">
        <v>268</v>
      </c>
      <c r="C113" s="1287" t="s">
        <v>99</v>
      </c>
      <c r="D113" s="1288" t="s">
        <v>25</v>
      </c>
      <c r="E113" s="1289" t="s">
        <v>664</v>
      </c>
      <c r="F113" s="1320" t="s">
        <v>40</v>
      </c>
      <c r="G113" s="1291">
        <v>1</v>
      </c>
      <c r="H113" s="1292" t="s">
        <v>102</v>
      </c>
      <c r="I113" s="1292" t="s">
        <v>103</v>
      </c>
      <c r="J113" s="1293">
        <v>1</v>
      </c>
      <c r="K113" s="1294">
        <v>17697</v>
      </c>
      <c r="L113" s="1295">
        <v>32</v>
      </c>
      <c r="M113" s="1296">
        <f t="shared" si="32"/>
        <v>1.7777777777777777</v>
      </c>
      <c r="N113" s="1297" t="s">
        <v>152</v>
      </c>
      <c r="O113" s="1298">
        <v>4.75</v>
      </c>
      <c r="P113" s="1299">
        <f t="shared" si="33"/>
        <v>149441.33333333334</v>
      </c>
      <c r="Q113" s="1299">
        <f t="shared" si="34"/>
        <v>37360.333333333336</v>
      </c>
      <c r="R113" s="1300"/>
      <c r="S113" s="1294"/>
      <c r="T113" s="1294">
        <v>0.1</v>
      </c>
      <c r="U113" s="1299">
        <f t="shared" si="35"/>
        <v>18680.166666666668</v>
      </c>
      <c r="V113" s="1301"/>
      <c r="W113" s="1296"/>
      <c r="X113" s="1302">
        <f t="shared" si="36"/>
        <v>205481.83333333334</v>
      </c>
      <c r="Y113" s="1303">
        <f t="shared" si="31"/>
        <v>0</v>
      </c>
      <c r="Z113" s="1303">
        <f t="shared" si="31"/>
        <v>0</v>
      </c>
      <c r="AA113" s="1304">
        <f t="shared" si="19"/>
        <v>2465782</v>
      </c>
      <c r="AB113" s="1305">
        <f t="shared" si="27"/>
        <v>392328.0827366747</v>
      </c>
      <c r="AC113" s="1305">
        <f t="shared" si="28"/>
        <v>3082227.5</v>
      </c>
      <c r="AD113" s="1305">
        <f t="shared" si="29"/>
        <v>490410.10342084331</v>
      </c>
    </row>
    <row r="114" spans="1:30" s="1305" customFormat="1" ht="16.5" customHeight="1">
      <c r="A114" s="1286">
        <v>6</v>
      </c>
      <c r="B114" s="1287" t="s">
        <v>269</v>
      </c>
      <c r="C114" s="1287" t="s">
        <v>99</v>
      </c>
      <c r="D114" s="1288" t="s">
        <v>25</v>
      </c>
      <c r="E114" s="1289" t="s">
        <v>670</v>
      </c>
      <c r="F114" s="1290" t="s">
        <v>271</v>
      </c>
      <c r="G114" s="1291">
        <v>1</v>
      </c>
      <c r="H114" s="1292" t="s">
        <v>102</v>
      </c>
      <c r="I114" s="1292" t="s">
        <v>103</v>
      </c>
      <c r="J114" s="1293">
        <v>1</v>
      </c>
      <c r="K114" s="1294">
        <v>17697</v>
      </c>
      <c r="L114" s="1295">
        <v>34</v>
      </c>
      <c r="M114" s="1296">
        <f t="shared" si="32"/>
        <v>1.8888888888888888</v>
      </c>
      <c r="N114" s="1297" t="s">
        <v>152</v>
      </c>
      <c r="O114" s="1298">
        <v>4.62</v>
      </c>
      <c r="P114" s="1299">
        <f t="shared" si="33"/>
        <v>154435.81999999998</v>
      </c>
      <c r="Q114" s="1299">
        <f t="shared" si="34"/>
        <v>38608.954999999994</v>
      </c>
      <c r="R114" s="1300"/>
      <c r="S114" s="1294"/>
      <c r="T114" s="1294">
        <v>0.1</v>
      </c>
      <c r="U114" s="1299">
        <f t="shared" si="35"/>
        <v>19304.477499999997</v>
      </c>
      <c r="V114" s="1301"/>
      <c r="W114" s="1296"/>
      <c r="X114" s="1302">
        <f t="shared" si="36"/>
        <v>212349.25249999997</v>
      </c>
      <c r="Y114" s="1303">
        <f t="shared" si="31"/>
        <v>0</v>
      </c>
      <c r="Z114" s="1303">
        <f t="shared" si="31"/>
        <v>0</v>
      </c>
      <c r="AA114" s="1304">
        <f t="shared" si="19"/>
        <v>2548191.0299999998</v>
      </c>
      <c r="AB114" s="1305">
        <f t="shared" si="27"/>
        <v>405440.10023866349</v>
      </c>
      <c r="AC114" s="1305">
        <f t="shared" si="28"/>
        <v>3185238.7874999996</v>
      </c>
      <c r="AD114" s="1305">
        <f t="shared" si="29"/>
        <v>506800.1252983294</v>
      </c>
    </row>
    <row r="115" spans="1:30" s="1305" customFormat="1" ht="17.25" customHeight="1">
      <c r="A115" s="1286">
        <v>7</v>
      </c>
      <c r="B115" s="1287" t="s">
        <v>272</v>
      </c>
      <c r="C115" s="1287" t="s">
        <v>617</v>
      </c>
      <c r="D115" s="1288" t="s">
        <v>25</v>
      </c>
      <c r="E115" s="1289" t="s">
        <v>685</v>
      </c>
      <c r="F115" s="1290" t="s">
        <v>434</v>
      </c>
      <c r="G115" s="1291">
        <v>1</v>
      </c>
      <c r="H115" s="1292" t="s">
        <v>102</v>
      </c>
      <c r="I115" s="1292" t="s">
        <v>103</v>
      </c>
      <c r="J115" s="1293">
        <v>1</v>
      </c>
      <c r="K115" s="1294">
        <v>17697</v>
      </c>
      <c r="L115" s="1295">
        <v>32</v>
      </c>
      <c r="M115" s="1296">
        <f t="shared" si="32"/>
        <v>1.7777777777777777</v>
      </c>
      <c r="N115" s="1297" t="s">
        <v>152</v>
      </c>
      <c r="O115" s="1298">
        <v>4.6900000000000004</v>
      </c>
      <c r="P115" s="1299">
        <f t="shared" si="33"/>
        <v>147553.65333333335</v>
      </c>
      <c r="Q115" s="1299">
        <f t="shared" si="34"/>
        <v>36888.413333333338</v>
      </c>
      <c r="R115" s="1300"/>
      <c r="S115" s="1294"/>
      <c r="T115" s="1294">
        <v>0.1</v>
      </c>
      <c r="U115" s="1299">
        <f t="shared" si="35"/>
        <v>18444.206666666669</v>
      </c>
      <c r="V115" s="1301"/>
      <c r="W115" s="1296"/>
      <c r="X115" s="1302">
        <f t="shared" si="36"/>
        <v>202886.27333333335</v>
      </c>
      <c r="Y115" s="1303"/>
      <c r="Z115" s="1303"/>
      <c r="AA115" s="1304">
        <f t="shared" si="19"/>
        <v>2434635.2800000003</v>
      </c>
      <c r="AB115" s="1305">
        <f t="shared" si="27"/>
        <v>387372.35958631668</v>
      </c>
      <c r="AC115" s="1305">
        <f t="shared" si="28"/>
        <v>3043294.1000000006</v>
      </c>
      <c r="AD115" s="1305">
        <f t="shared" si="29"/>
        <v>484215.4494828959</v>
      </c>
    </row>
    <row r="116" spans="1:30" s="1305" customFormat="1" ht="17.25" customHeight="1">
      <c r="A116" s="1286">
        <v>8</v>
      </c>
      <c r="B116" s="1322" t="s">
        <v>175</v>
      </c>
      <c r="C116" s="1287" t="s">
        <v>617</v>
      </c>
      <c r="D116" s="1292" t="s">
        <v>25</v>
      </c>
      <c r="E116" s="1320" t="s">
        <v>737</v>
      </c>
      <c r="F116" s="1320" t="s">
        <v>114</v>
      </c>
      <c r="G116" s="1291">
        <v>1</v>
      </c>
      <c r="H116" s="1292" t="s">
        <v>102</v>
      </c>
      <c r="I116" s="1292" t="s">
        <v>103</v>
      </c>
      <c r="J116" s="1323">
        <v>1</v>
      </c>
      <c r="K116" s="1294">
        <v>17697</v>
      </c>
      <c r="L116" s="1295">
        <v>6</v>
      </c>
      <c r="M116" s="1296">
        <f t="shared" si="32"/>
        <v>0.33333333333333331</v>
      </c>
      <c r="N116" s="1297" t="s">
        <v>152</v>
      </c>
      <c r="O116" s="1324">
        <v>4.75</v>
      </c>
      <c r="P116" s="1299">
        <f t="shared" si="33"/>
        <v>28020.25</v>
      </c>
      <c r="Q116" s="1299">
        <f t="shared" si="34"/>
        <v>7005.0625</v>
      </c>
      <c r="R116" s="1300"/>
      <c r="S116" s="1294"/>
      <c r="T116" s="1294">
        <v>0.1</v>
      </c>
      <c r="U116" s="1299">
        <f t="shared" si="35"/>
        <v>3502.53125</v>
      </c>
      <c r="V116" s="1301"/>
      <c r="W116" s="1296"/>
      <c r="X116" s="1302">
        <f t="shared" si="36"/>
        <v>38527.84375</v>
      </c>
      <c r="Y116" s="1325">
        <f t="shared" si="31"/>
        <v>0</v>
      </c>
      <c r="Z116" s="1325">
        <f t="shared" si="31"/>
        <v>0</v>
      </c>
      <c r="AA116" s="1304">
        <f t="shared" si="19"/>
        <v>462334.125</v>
      </c>
      <c r="AB116" s="1305">
        <f t="shared" si="27"/>
        <v>73561.515513126491</v>
      </c>
      <c r="AC116" s="1305">
        <f t="shared" si="28"/>
        <v>577917.65625</v>
      </c>
      <c r="AD116" s="1305">
        <f t="shared" si="29"/>
        <v>91951.894391408117</v>
      </c>
    </row>
    <row r="117" spans="1:30" s="1305" customFormat="1" ht="17.25" customHeight="1">
      <c r="A117" s="1286">
        <v>9</v>
      </c>
      <c r="B117" s="1287" t="s">
        <v>281</v>
      </c>
      <c r="C117" s="1287" t="s">
        <v>99</v>
      </c>
      <c r="D117" s="1288" t="s">
        <v>25</v>
      </c>
      <c r="E117" s="1289" t="s">
        <v>694</v>
      </c>
      <c r="F117" s="1320" t="s">
        <v>40</v>
      </c>
      <c r="G117" s="1291">
        <v>1</v>
      </c>
      <c r="H117" s="1292" t="s">
        <v>102</v>
      </c>
      <c r="I117" s="1292" t="s">
        <v>103</v>
      </c>
      <c r="J117" s="1326">
        <v>1</v>
      </c>
      <c r="K117" s="1294">
        <v>17697</v>
      </c>
      <c r="L117" s="1295">
        <v>18</v>
      </c>
      <c r="M117" s="1296">
        <f t="shared" si="32"/>
        <v>1</v>
      </c>
      <c r="N117" s="1297" t="s">
        <v>152</v>
      </c>
      <c r="O117" s="1298">
        <v>4.75</v>
      </c>
      <c r="P117" s="1299">
        <f t="shared" si="33"/>
        <v>84060.75</v>
      </c>
      <c r="Q117" s="1299">
        <f t="shared" si="34"/>
        <v>21015.1875</v>
      </c>
      <c r="R117" s="1300"/>
      <c r="S117" s="1294"/>
      <c r="T117" s="1294">
        <v>0.1</v>
      </c>
      <c r="U117" s="1299">
        <f t="shared" si="35"/>
        <v>10507.59375</v>
      </c>
      <c r="V117" s="1301"/>
      <c r="W117" s="1296"/>
      <c r="X117" s="1302">
        <f t="shared" si="36"/>
        <v>115583.53125</v>
      </c>
      <c r="Y117" s="1325"/>
      <c r="Z117" s="1325"/>
      <c r="AA117" s="1304">
        <f t="shared" si="19"/>
        <v>1387002.375</v>
      </c>
      <c r="AB117" s="1305">
        <f t="shared" si="27"/>
        <v>220684.54653937949</v>
      </c>
      <c r="AC117" s="1305">
        <f t="shared" si="28"/>
        <v>1733752.96875</v>
      </c>
      <c r="AD117" s="1305">
        <f t="shared" si="29"/>
        <v>275855.68317422434</v>
      </c>
    </row>
    <row r="118" spans="1:30" s="1305" customFormat="1" ht="16.5" customHeight="1">
      <c r="A118" s="1286">
        <v>10</v>
      </c>
      <c r="B118" s="1287" t="s">
        <v>282</v>
      </c>
      <c r="C118" s="1287" t="s">
        <v>617</v>
      </c>
      <c r="D118" s="1288" t="s">
        <v>25</v>
      </c>
      <c r="E118" s="1289" t="s">
        <v>699</v>
      </c>
      <c r="F118" s="1320" t="s">
        <v>40</v>
      </c>
      <c r="G118" s="1291">
        <v>1</v>
      </c>
      <c r="H118" s="1292" t="s">
        <v>102</v>
      </c>
      <c r="I118" s="1292" t="s">
        <v>103</v>
      </c>
      <c r="J118" s="1326">
        <v>1</v>
      </c>
      <c r="K118" s="1294">
        <v>17697</v>
      </c>
      <c r="L118" s="1295">
        <v>34</v>
      </c>
      <c r="M118" s="1296">
        <f t="shared" si="32"/>
        <v>1.8888888888888888</v>
      </c>
      <c r="N118" s="1297" t="s">
        <v>152</v>
      </c>
      <c r="O118" s="1298">
        <v>4.75</v>
      </c>
      <c r="P118" s="1299">
        <f t="shared" si="33"/>
        <v>158781.41666666669</v>
      </c>
      <c r="Q118" s="1299">
        <f t="shared" si="34"/>
        <v>39695.354166666672</v>
      </c>
      <c r="R118" s="1300"/>
      <c r="S118" s="1294"/>
      <c r="T118" s="1294">
        <v>0.1</v>
      </c>
      <c r="U118" s="1299">
        <f t="shared" si="35"/>
        <v>19847.677083333339</v>
      </c>
      <c r="V118" s="1301"/>
      <c r="W118" s="1296"/>
      <c r="X118" s="1302">
        <f t="shared" si="36"/>
        <v>218324.44791666672</v>
      </c>
      <c r="Y118" s="1325">
        <f t="shared" si="31"/>
        <v>0</v>
      </c>
      <c r="Z118" s="1325">
        <f t="shared" si="31"/>
        <v>0</v>
      </c>
      <c r="AA118" s="1304">
        <f t="shared" si="19"/>
        <v>2619893.3750000005</v>
      </c>
      <c r="AB118" s="1305">
        <f t="shared" si="27"/>
        <v>416848.58790771686</v>
      </c>
      <c r="AC118" s="1305">
        <f t="shared" si="28"/>
        <v>3274866.7187500005</v>
      </c>
      <c r="AD118" s="1305">
        <f t="shared" si="29"/>
        <v>521060.73488464608</v>
      </c>
    </row>
    <row r="119" spans="1:30" s="1305" customFormat="1" ht="17.25" customHeight="1">
      <c r="A119" s="1286">
        <v>11</v>
      </c>
      <c r="B119" s="1287" t="s">
        <v>184</v>
      </c>
      <c r="C119" s="1287" t="s">
        <v>99</v>
      </c>
      <c r="D119" s="1288" t="s">
        <v>25</v>
      </c>
      <c r="E119" s="1289" t="s">
        <v>265</v>
      </c>
      <c r="F119" s="1320" t="s">
        <v>40</v>
      </c>
      <c r="G119" s="1291">
        <v>1</v>
      </c>
      <c r="H119" s="1292" t="s">
        <v>102</v>
      </c>
      <c r="I119" s="1292" t="s">
        <v>103</v>
      </c>
      <c r="J119" s="1293">
        <v>1</v>
      </c>
      <c r="K119" s="1294">
        <v>17697</v>
      </c>
      <c r="L119" s="1295">
        <v>4</v>
      </c>
      <c r="M119" s="1296">
        <f t="shared" si="32"/>
        <v>0.22222222222222221</v>
      </c>
      <c r="N119" s="1297" t="s">
        <v>152</v>
      </c>
      <c r="O119" s="1330">
        <v>4.75</v>
      </c>
      <c r="P119" s="1299">
        <f t="shared" si="33"/>
        <v>18680.166666666668</v>
      </c>
      <c r="Q119" s="1299">
        <f t="shared" si="34"/>
        <v>4670.041666666667</v>
      </c>
      <c r="R119" s="1316"/>
      <c r="S119" s="1313"/>
      <c r="T119" s="1313">
        <v>0.1</v>
      </c>
      <c r="U119" s="1299">
        <f t="shared" si="35"/>
        <v>2335.0208333333335</v>
      </c>
      <c r="V119" s="1317"/>
      <c r="W119" s="1296"/>
      <c r="X119" s="1302">
        <f t="shared" si="36"/>
        <v>25685.229166666668</v>
      </c>
      <c r="Y119" s="1331"/>
      <c r="Z119" s="1331"/>
      <c r="AA119" s="1304">
        <f t="shared" si="19"/>
        <v>308222.75</v>
      </c>
      <c r="AB119" s="1305">
        <f t="shared" si="27"/>
        <v>49041.010342084337</v>
      </c>
      <c r="AC119" s="1305">
        <f t="shared" si="28"/>
        <v>385278.4375</v>
      </c>
      <c r="AD119" s="1305">
        <f t="shared" si="29"/>
        <v>61301.262927605414</v>
      </c>
    </row>
    <row r="120" spans="1:30" s="1305" customFormat="1" ht="17.25" customHeight="1">
      <c r="A120" s="1286">
        <v>12</v>
      </c>
      <c r="B120" s="1287" t="s">
        <v>616</v>
      </c>
      <c r="C120" s="1287" t="s">
        <v>99</v>
      </c>
      <c r="D120" s="1292" t="s">
        <v>25</v>
      </c>
      <c r="E120" s="1289" t="s">
        <v>704</v>
      </c>
      <c r="F120" s="1320" t="s">
        <v>40</v>
      </c>
      <c r="G120" s="1291">
        <v>1</v>
      </c>
      <c r="H120" s="1292" t="s">
        <v>102</v>
      </c>
      <c r="I120" s="1292" t="s">
        <v>103</v>
      </c>
      <c r="J120" s="1326">
        <v>1</v>
      </c>
      <c r="K120" s="1294">
        <v>17697</v>
      </c>
      <c r="L120" s="1295">
        <v>16</v>
      </c>
      <c r="M120" s="1296">
        <f t="shared" si="32"/>
        <v>0.88888888888888884</v>
      </c>
      <c r="N120" s="1297" t="s">
        <v>152</v>
      </c>
      <c r="O120" s="1307">
        <v>4.75</v>
      </c>
      <c r="P120" s="1299">
        <f t="shared" si="33"/>
        <v>74720.666666666672</v>
      </c>
      <c r="Q120" s="1299">
        <f t="shared" si="34"/>
        <v>18680.166666666668</v>
      </c>
      <c r="R120" s="1300"/>
      <c r="S120" s="1294"/>
      <c r="T120" s="1294">
        <v>0.1</v>
      </c>
      <c r="U120" s="1299">
        <f t="shared" si="35"/>
        <v>9340.0833333333339</v>
      </c>
      <c r="V120" s="1301"/>
      <c r="W120" s="1296"/>
      <c r="X120" s="1302">
        <f t="shared" si="36"/>
        <v>102740.91666666667</v>
      </c>
      <c r="Y120" s="1303">
        <f t="shared" ref="Y120:Z121" si="37">V120+R120</f>
        <v>0</v>
      </c>
      <c r="Z120" s="1303">
        <f t="shared" si="37"/>
        <v>0</v>
      </c>
      <c r="AA120" s="1304">
        <f t="shared" si="19"/>
        <v>1232891</v>
      </c>
      <c r="AB120" s="1305">
        <f t="shared" si="27"/>
        <v>196164.04136833735</v>
      </c>
      <c r="AC120" s="1305">
        <f t="shared" si="28"/>
        <v>1541113.75</v>
      </c>
      <c r="AD120" s="1305">
        <f t="shared" si="29"/>
        <v>245205.05171042166</v>
      </c>
    </row>
    <row r="121" spans="1:30" s="1305" customFormat="1" ht="17.25" customHeight="1">
      <c r="A121" s="1286">
        <v>13</v>
      </c>
      <c r="B121" s="1287" t="s">
        <v>287</v>
      </c>
      <c r="C121" s="1287" t="s">
        <v>99</v>
      </c>
      <c r="D121" s="1288" t="s">
        <v>25</v>
      </c>
      <c r="E121" s="1289" t="s">
        <v>711</v>
      </c>
      <c r="F121" s="1320" t="s">
        <v>40</v>
      </c>
      <c r="G121" s="1291">
        <v>1</v>
      </c>
      <c r="H121" s="1292" t="s">
        <v>102</v>
      </c>
      <c r="I121" s="1292" t="s">
        <v>103</v>
      </c>
      <c r="J121" s="1326">
        <v>1</v>
      </c>
      <c r="K121" s="1294">
        <v>17697</v>
      </c>
      <c r="L121" s="1295">
        <v>25</v>
      </c>
      <c r="M121" s="1296">
        <f t="shared" si="32"/>
        <v>1.3888888888888888</v>
      </c>
      <c r="N121" s="1297" t="s">
        <v>152</v>
      </c>
      <c r="O121" s="1298">
        <v>4.75</v>
      </c>
      <c r="P121" s="1299">
        <f t="shared" si="33"/>
        <v>116751.04166666667</v>
      </c>
      <c r="Q121" s="1299">
        <f t="shared" si="34"/>
        <v>29187.760416666668</v>
      </c>
      <c r="R121" s="1300"/>
      <c r="S121" s="1294"/>
      <c r="T121" s="1294">
        <v>0.1</v>
      </c>
      <c r="U121" s="1299">
        <f t="shared" si="35"/>
        <v>14593.880208333336</v>
      </c>
      <c r="V121" s="1301"/>
      <c r="W121" s="1296"/>
      <c r="X121" s="1302">
        <f t="shared" si="36"/>
        <v>160532.68229166669</v>
      </c>
      <c r="Y121" s="1325">
        <f t="shared" si="37"/>
        <v>0</v>
      </c>
      <c r="Z121" s="1325">
        <f t="shared" si="37"/>
        <v>0</v>
      </c>
      <c r="AA121" s="1304">
        <f t="shared" si="19"/>
        <v>1926392.1875000002</v>
      </c>
      <c r="AB121" s="1305">
        <f t="shared" si="27"/>
        <v>306506.31463802711</v>
      </c>
      <c r="AC121" s="1305">
        <f t="shared" si="28"/>
        <v>2407990.2343750005</v>
      </c>
      <c r="AD121" s="1305">
        <f t="shared" si="29"/>
        <v>383132.89329753391</v>
      </c>
    </row>
    <row r="122" spans="1:30" s="1305" customFormat="1" ht="17.25" customHeight="1">
      <c r="A122" s="1286">
        <v>14</v>
      </c>
      <c r="B122" s="1319" t="s">
        <v>420</v>
      </c>
      <c r="C122" s="1287" t="s">
        <v>99</v>
      </c>
      <c r="D122" s="1288" t="s">
        <v>25</v>
      </c>
      <c r="E122" s="1289" t="s">
        <v>687</v>
      </c>
      <c r="F122" s="1320" t="s">
        <v>239</v>
      </c>
      <c r="G122" s="1291">
        <v>1</v>
      </c>
      <c r="H122" s="1292" t="s">
        <v>102</v>
      </c>
      <c r="I122" s="1292" t="s">
        <v>103</v>
      </c>
      <c r="J122" s="1293">
        <v>3</v>
      </c>
      <c r="K122" s="1294">
        <v>17697</v>
      </c>
      <c r="L122" s="1295">
        <v>20</v>
      </c>
      <c r="M122" s="1296">
        <f t="shared" si="32"/>
        <v>1.1111111111111112</v>
      </c>
      <c r="N122" s="1306" t="s">
        <v>109</v>
      </c>
      <c r="O122" s="1298">
        <v>4.21</v>
      </c>
      <c r="P122" s="1299">
        <f t="shared" ref="P122:P136" si="38">O122*K122/18*L122</f>
        <v>82782.633333333331</v>
      </c>
      <c r="Q122" s="1299">
        <f t="shared" ref="Q122:Q136" si="39">P122*25%</f>
        <v>20695.658333333333</v>
      </c>
      <c r="R122" s="1300"/>
      <c r="S122" s="1294"/>
      <c r="T122" s="1294">
        <v>0.1</v>
      </c>
      <c r="U122" s="1299">
        <f t="shared" ref="U122:U136" si="40">(P122+Q122)*T122</f>
        <v>10347.829166666666</v>
      </c>
      <c r="V122" s="1301"/>
      <c r="W122" s="1296"/>
      <c r="X122" s="1302">
        <f t="shared" ref="X122:X133" si="41">P122+Q122+U122</f>
        <v>113826.12083333332</v>
      </c>
      <c r="Y122" s="1303">
        <f>V122+R122</f>
        <v>0</v>
      </c>
      <c r="Z122" s="1303">
        <f>W122+S122</f>
        <v>0</v>
      </c>
      <c r="AA122" s="1304">
        <f>X122*12</f>
        <v>1365913.4499999997</v>
      </c>
      <c r="AB122" s="1305">
        <f>AA122/12/29.33*56</f>
        <v>217329.10898965786</v>
      </c>
      <c r="AC122" s="1305">
        <f>AA122*1.25</f>
        <v>1707391.8124999995</v>
      </c>
      <c r="AD122" s="1305">
        <f>AC122/12/29.33*56</f>
        <v>271661.38623707235</v>
      </c>
    </row>
    <row r="123" spans="1:30" s="1154" customFormat="1" ht="17.25" customHeight="1">
      <c r="A123" s="1286">
        <v>15</v>
      </c>
      <c r="B123" s="1177" t="s">
        <v>180</v>
      </c>
      <c r="C123" s="1177" t="s">
        <v>284</v>
      </c>
      <c r="D123" s="1223" t="s">
        <v>25</v>
      </c>
      <c r="E123" s="1224" t="s">
        <v>696</v>
      </c>
      <c r="F123" s="1198" t="s">
        <v>40</v>
      </c>
      <c r="G123" s="423">
        <v>1</v>
      </c>
      <c r="H123" s="1164" t="s">
        <v>102</v>
      </c>
      <c r="I123" s="1164" t="s">
        <v>103</v>
      </c>
      <c r="J123" s="1247">
        <v>3</v>
      </c>
      <c r="K123" s="1166">
        <v>17697</v>
      </c>
      <c r="L123" s="1245">
        <v>18</v>
      </c>
      <c r="M123" s="1296">
        <f t="shared" si="32"/>
        <v>1</v>
      </c>
      <c r="N123" s="1250" t="s">
        <v>109</v>
      </c>
      <c r="O123" s="1246">
        <v>4.5</v>
      </c>
      <c r="P123" s="401">
        <f t="shared" si="38"/>
        <v>79636.5</v>
      </c>
      <c r="Q123" s="401">
        <f t="shared" si="39"/>
        <v>19909.125</v>
      </c>
      <c r="R123" s="1203"/>
      <c r="S123" s="1166"/>
      <c r="T123" s="1166">
        <v>0.1</v>
      </c>
      <c r="U123" s="401">
        <f t="shared" si="40"/>
        <v>9954.5625</v>
      </c>
      <c r="V123" s="416"/>
      <c r="W123" s="1232"/>
      <c r="X123" s="1232">
        <f t="shared" si="41"/>
        <v>109500.1875</v>
      </c>
      <c r="Y123" s="1155"/>
      <c r="Z123" s="1155"/>
      <c r="AA123" s="1153">
        <f>X123*12</f>
        <v>1314002.25</v>
      </c>
      <c r="AB123" s="1154">
        <f>AA123/12/29.33*56</f>
        <v>209069.57040572795</v>
      </c>
      <c r="AC123" s="1154">
        <f>AA123*1.25</f>
        <v>1642502.8125</v>
      </c>
      <c r="AD123" s="1154">
        <f>AC123/12/29.33*56</f>
        <v>261336.96300715994</v>
      </c>
    </row>
    <row r="124" spans="1:30" s="1305" customFormat="1" ht="17.25" customHeight="1">
      <c r="A124" s="1286">
        <v>16</v>
      </c>
      <c r="B124" s="1332" t="s">
        <v>263</v>
      </c>
      <c r="C124" s="1308" t="s">
        <v>99</v>
      </c>
      <c r="D124" s="1333" t="s">
        <v>25</v>
      </c>
      <c r="E124" s="1310" t="s">
        <v>655</v>
      </c>
      <c r="F124" s="1290" t="s">
        <v>271</v>
      </c>
      <c r="G124" s="1312">
        <v>1</v>
      </c>
      <c r="H124" s="1292" t="s">
        <v>102</v>
      </c>
      <c r="I124" s="1292" t="s">
        <v>103</v>
      </c>
      <c r="J124" s="1293">
        <v>2</v>
      </c>
      <c r="K124" s="1294">
        <v>17697</v>
      </c>
      <c r="L124" s="1295">
        <v>18</v>
      </c>
      <c r="M124" s="1296">
        <f t="shared" si="32"/>
        <v>1</v>
      </c>
      <c r="N124" s="1321" t="s">
        <v>104</v>
      </c>
      <c r="O124" s="1330">
        <v>4.37</v>
      </c>
      <c r="P124" s="1299">
        <f t="shared" si="38"/>
        <v>77335.89</v>
      </c>
      <c r="Q124" s="1299">
        <f t="shared" si="39"/>
        <v>19333.9725</v>
      </c>
      <c r="R124" s="1316"/>
      <c r="S124" s="1313"/>
      <c r="T124" s="1294">
        <v>0.1</v>
      </c>
      <c r="U124" s="1299">
        <f t="shared" si="40"/>
        <v>9666.9862499999999</v>
      </c>
      <c r="V124" s="1317"/>
      <c r="W124" s="1296"/>
      <c r="X124" s="1302">
        <f t="shared" si="41"/>
        <v>106336.84875</v>
      </c>
      <c r="Y124" s="1318"/>
      <c r="Z124" s="1318"/>
      <c r="AA124" s="1304"/>
    </row>
    <row r="125" spans="1:30" s="1305" customFormat="1" ht="17.25" customHeight="1">
      <c r="A125" s="1286">
        <v>17</v>
      </c>
      <c r="B125" s="1319" t="s">
        <v>274</v>
      </c>
      <c r="C125" s="1287" t="s">
        <v>99</v>
      </c>
      <c r="D125" s="1288" t="s">
        <v>25</v>
      </c>
      <c r="E125" s="1289" t="s">
        <v>686</v>
      </c>
      <c r="F125" s="1320" t="s">
        <v>239</v>
      </c>
      <c r="G125" s="1291">
        <v>1</v>
      </c>
      <c r="H125" s="1292" t="s">
        <v>102</v>
      </c>
      <c r="I125" s="1292" t="s">
        <v>103</v>
      </c>
      <c r="J125" s="1293">
        <v>2</v>
      </c>
      <c r="K125" s="1294">
        <v>17697</v>
      </c>
      <c r="L125" s="1295">
        <v>23</v>
      </c>
      <c r="M125" s="1296">
        <f t="shared" si="32"/>
        <v>1.2777777777777777</v>
      </c>
      <c r="N125" s="1321" t="s">
        <v>104</v>
      </c>
      <c r="O125" s="1298">
        <v>4.16</v>
      </c>
      <c r="P125" s="1299">
        <f t="shared" si="38"/>
        <v>94069.386666666673</v>
      </c>
      <c r="Q125" s="1299">
        <f t="shared" si="39"/>
        <v>23517.346666666668</v>
      </c>
      <c r="R125" s="1300"/>
      <c r="S125" s="1294"/>
      <c r="T125" s="1294">
        <v>0.1</v>
      </c>
      <c r="U125" s="1299">
        <f t="shared" si="40"/>
        <v>11758.673333333334</v>
      </c>
      <c r="V125" s="1301"/>
      <c r="W125" s="1296"/>
      <c r="X125" s="1302">
        <f t="shared" si="41"/>
        <v>129345.40666666668</v>
      </c>
      <c r="Y125" s="1303">
        <f t="shared" ref="Y125:Z127" si="42">V125+R125</f>
        <v>0</v>
      </c>
      <c r="Z125" s="1303">
        <f t="shared" si="42"/>
        <v>0</v>
      </c>
      <c r="AA125" s="1304">
        <f>X125*12</f>
        <v>1552144.8800000001</v>
      </c>
      <c r="AB125" s="1305">
        <f>AA125/12/29.33*56</f>
        <v>246960.20365950681</v>
      </c>
      <c r="AC125" s="1305">
        <f>AA125*1.25</f>
        <v>1940181.1</v>
      </c>
      <c r="AD125" s="1305">
        <f>AC125/12/29.33*56</f>
        <v>308700.25457438349</v>
      </c>
    </row>
    <row r="126" spans="1:30" s="1305" customFormat="1" ht="17.25" customHeight="1">
      <c r="A126" s="1286">
        <v>18</v>
      </c>
      <c r="B126" s="1287" t="s">
        <v>392</v>
      </c>
      <c r="C126" s="1287" t="s">
        <v>99</v>
      </c>
      <c r="D126" s="1288" t="s">
        <v>25</v>
      </c>
      <c r="E126" s="1289" t="s">
        <v>700</v>
      </c>
      <c r="F126" s="1290" t="s">
        <v>434</v>
      </c>
      <c r="G126" s="1291">
        <v>1</v>
      </c>
      <c r="H126" s="1292" t="s">
        <v>102</v>
      </c>
      <c r="I126" s="1292" t="s">
        <v>103</v>
      </c>
      <c r="J126" s="1329">
        <v>2</v>
      </c>
      <c r="K126" s="1294">
        <v>17697</v>
      </c>
      <c r="L126" s="1295">
        <v>24</v>
      </c>
      <c r="M126" s="1296">
        <f t="shared" si="32"/>
        <v>1.3333333333333333</v>
      </c>
      <c r="N126" s="1321" t="s">
        <v>104</v>
      </c>
      <c r="O126" s="1307">
        <v>4.4400000000000004</v>
      </c>
      <c r="P126" s="1299">
        <f t="shared" si="38"/>
        <v>104766.24</v>
      </c>
      <c r="Q126" s="1299">
        <f t="shared" si="39"/>
        <v>26191.56</v>
      </c>
      <c r="R126" s="1300"/>
      <c r="S126" s="1294"/>
      <c r="T126" s="1294">
        <v>0.1</v>
      </c>
      <c r="U126" s="1299">
        <f t="shared" si="40"/>
        <v>13095.78</v>
      </c>
      <c r="V126" s="1301"/>
      <c r="W126" s="1296"/>
      <c r="X126" s="1302">
        <f t="shared" si="41"/>
        <v>144053.58000000002</v>
      </c>
      <c r="Y126" s="1325">
        <f t="shared" si="42"/>
        <v>0</v>
      </c>
      <c r="Z126" s="1325">
        <f t="shared" si="42"/>
        <v>0</v>
      </c>
      <c r="AA126" s="1304">
        <f>X126*12</f>
        <v>1728642.9600000002</v>
      </c>
      <c r="AB126" s="1305">
        <f>AA126/12/29.33*56</f>
        <v>275042.63484486873</v>
      </c>
      <c r="AC126" s="1305">
        <f>AA126*1.25</f>
        <v>2160803.7000000002</v>
      </c>
      <c r="AD126" s="1305">
        <f>AC126/12/29.33*56</f>
        <v>343803.2935560859</v>
      </c>
    </row>
    <row r="127" spans="1:30" s="1305" customFormat="1" ht="17.25" customHeight="1">
      <c r="A127" s="1286">
        <v>19</v>
      </c>
      <c r="B127" s="1287" t="s">
        <v>391</v>
      </c>
      <c r="C127" s="1287" t="s">
        <v>99</v>
      </c>
      <c r="D127" s="1292" t="s">
        <v>25</v>
      </c>
      <c r="E127" s="1289" t="s">
        <v>673</v>
      </c>
      <c r="F127" s="1290" t="s">
        <v>77</v>
      </c>
      <c r="G127" s="1291">
        <v>1</v>
      </c>
      <c r="H127" s="1292" t="s">
        <v>102</v>
      </c>
      <c r="I127" s="1292" t="s">
        <v>103</v>
      </c>
      <c r="J127" s="1293">
        <v>4</v>
      </c>
      <c r="K127" s="1294">
        <v>17697</v>
      </c>
      <c r="L127" s="1295">
        <v>24</v>
      </c>
      <c r="M127" s="1296">
        <f t="shared" si="32"/>
        <v>1.3333333333333333</v>
      </c>
      <c r="N127" s="1306" t="s">
        <v>112</v>
      </c>
      <c r="O127" s="1307">
        <v>3.71</v>
      </c>
      <c r="P127" s="1299">
        <f t="shared" si="38"/>
        <v>87541.16</v>
      </c>
      <c r="Q127" s="1299">
        <f t="shared" si="39"/>
        <v>21885.29</v>
      </c>
      <c r="R127" s="1300"/>
      <c r="S127" s="1294"/>
      <c r="T127" s="1294">
        <v>0.1</v>
      </c>
      <c r="U127" s="1299">
        <f t="shared" si="40"/>
        <v>10942.645000000002</v>
      </c>
      <c r="V127" s="1301"/>
      <c r="W127" s="1296"/>
      <c r="X127" s="1302">
        <f t="shared" si="41"/>
        <v>120369.09500000002</v>
      </c>
      <c r="Y127" s="1303">
        <f t="shared" si="42"/>
        <v>0</v>
      </c>
      <c r="Z127" s="1303">
        <f t="shared" si="42"/>
        <v>0</v>
      </c>
      <c r="AA127" s="1304">
        <f>X127*12</f>
        <v>1444429.1400000001</v>
      </c>
      <c r="AB127" s="1305">
        <f>AA127/12/29.33*56</f>
        <v>229821.66109785208</v>
      </c>
      <c r="AC127" s="1305">
        <f>AA127*1.25</f>
        <v>1805536.4250000003</v>
      </c>
      <c r="AD127" s="1305">
        <f>AC127/12/29.33*56</f>
        <v>287277.07637231506</v>
      </c>
    </row>
    <row r="128" spans="1:30" s="1305" customFormat="1" ht="17.25" customHeight="1">
      <c r="A128" s="1286">
        <v>20</v>
      </c>
      <c r="B128" s="1308" t="s">
        <v>272</v>
      </c>
      <c r="C128" s="1308" t="s">
        <v>99</v>
      </c>
      <c r="D128" s="1309"/>
      <c r="E128" s="1310"/>
      <c r="F128" s="1311"/>
      <c r="G128" s="423">
        <v>1</v>
      </c>
      <c r="H128" s="1164" t="s">
        <v>102</v>
      </c>
      <c r="I128" s="1164" t="s">
        <v>103</v>
      </c>
      <c r="J128" s="1247">
        <v>1</v>
      </c>
      <c r="K128" s="1294">
        <v>17697</v>
      </c>
      <c r="L128" s="1295">
        <v>32</v>
      </c>
      <c r="M128" s="1296">
        <f t="shared" si="32"/>
        <v>1.7777777777777777</v>
      </c>
      <c r="N128" s="1314" t="s">
        <v>152</v>
      </c>
      <c r="O128" s="1315">
        <v>4.6900000000000004</v>
      </c>
      <c r="P128" s="1299">
        <f t="shared" si="38"/>
        <v>147553.65333333335</v>
      </c>
      <c r="Q128" s="1299">
        <f t="shared" si="39"/>
        <v>36888.413333333338</v>
      </c>
      <c r="R128" s="1316"/>
      <c r="S128" s="1313"/>
      <c r="T128" s="1294">
        <v>0.1</v>
      </c>
      <c r="U128" s="1299">
        <f t="shared" si="40"/>
        <v>18444.206666666669</v>
      </c>
      <c r="V128" s="1317"/>
      <c r="W128" s="1296"/>
      <c r="X128" s="1302">
        <f t="shared" si="41"/>
        <v>202886.27333333335</v>
      </c>
      <c r="Y128" s="1318"/>
      <c r="Z128" s="1318"/>
      <c r="AA128" s="1304"/>
    </row>
    <row r="129" spans="1:30" s="1305" customFormat="1" ht="17.25" customHeight="1">
      <c r="A129" s="1286">
        <v>21</v>
      </c>
      <c r="B129" s="1308" t="s">
        <v>706</v>
      </c>
      <c r="C129" s="1308" t="s">
        <v>99</v>
      </c>
      <c r="D129" s="1309" t="s">
        <v>75</v>
      </c>
      <c r="E129" s="1310" t="s">
        <v>707</v>
      </c>
      <c r="F129" s="1328" t="s">
        <v>159</v>
      </c>
      <c r="G129" s="1312">
        <v>1</v>
      </c>
      <c r="H129" s="1309" t="s">
        <v>102</v>
      </c>
      <c r="I129" s="1292" t="s">
        <v>118</v>
      </c>
      <c r="J129" s="1326">
        <v>4</v>
      </c>
      <c r="K129" s="1294">
        <v>17697</v>
      </c>
      <c r="L129" s="1295">
        <v>15</v>
      </c>
      <c r="M129" s="1296">
        <f t="shared" si="32"/>
        <v>0.83333333333333337</v>
      </c>
      <c r="N129" s="1306" t="s">
        <v>112</v>
      </c>
      <c r="O129" s="1315">
        <v>3.32</v>
      </c>
      <c r="P129" s="1299">
        <f t="shared" si="38"/>
        <v>48961.69999999999</v>
      </c>
      <c r="Q129" s="1299">
        <f t="shared" si="39"/>
        <v>12240.424999999997</v>
      </c>
      <c r="R129" s="1316"/>
      <c r="S129" s="1313"/>
      <c r="T129" s="1294">
        <v>0.1</v>
      </c>
      <c r="U129" s="1299">
        <f t="shared" si="40"/>
        <v>6120.2124999999987</v>
      </c>
      <c r="V129" s="1317"/>
      <c r="W129" s="1296"/>
      <c r="X129" s="1302">
        <f t="shared" si="41"/>
        <v>67322.33749999998</v>
      </c>
      <c r="Y129" s="1318"/>
      <c r="Z129" s="1318"/>
      <c r="AA129" s="1304"/>
    </row>
    <row r="130" spans="1:30" s="1305" customFormat="1" ht="17.25" customHeight="1">
      <c r="A130" s="1286">
        <v>22</v>
      </c>
      <c r="B130" s="1308" t="s">
        <v>762</v>
      </c>
      <c r="C130" s="1308" t="s">
        <v>763</v>
      </c>
      <c r="D130" s="1309" t="s">
        <v>152</v>
      </c>
      <c r="E130" s="1310" t="s">
        <v>764</v>
      </c>
      <c r="F130" s="1328" t="s">
        <v>367</v>
      </c>
      <c r="G130" s="1312"/>
      <c r="H130" s="1292" t="s">
        <v>102</v>
      </c>
      <c r="I130" s="1292" t="s">
        <v>103</v>
      </c>
      <c r="J130" s="1326">
        <v>3</v>
      </c>
      <c r="K130" s="1294">
        <v>17697</v>
      </c>
      <c r="L130" s="1295">
        <v>26</v>
      </c>
      <c r="M130" s="1296">
        <f t="shared" si="32"/>
        <v>1.4444444444444444</v>
      </c>
      <c r="N130" s="1314" t="s">
        <v>109</v>
      </c>
      <c r="O130" s="1315">
        <v>4.3600000000000003</v>
      </c>
      <c r="P130" s="1299">
        <f t="shared" si="38"/>
        <v>111451.77333333336</v>
      </c>
      <c r="Q130" s="1299">
        <f t="shared" si="39"/>
        <v>27862.94333333334</v>
      </c>
      <c r="R130" s="1316"/>
      <c r="S130" s="1313"/>
      <c r="T130" s="1166">
        <v>0.1</v>
      </c>
      <c r="U130" s="401">
        <f t="shared" si="40"/>
        <v>13931.471666666672</v>
      </c>
      <c r="V130" s="1317"/>
      <c r="W130" s="1296"/>
      <c r="X130" s="1302"/>
      <c r="Y130" s="1318"/>
      <c r="Z130" s="1318"/>
      <c r="AA130" s="1304"/>
    </row>
    <row r="131" spans="1:30" s="1305" customFormat="1" ht="17.25" customHeight="1">
      <c r="A131" s="1286">
        <v>23</v>
      </c>
      <c r="B131" s="1287" t="s">
        <v>289</v>
      </c>
      <c r="C131" s="1287" t="s">
        <v>99</v>
      </c>
      <c r="D131" s="1292" t="s">
        <v>64</v>
      </c>
      <c r="E131" s="1289" t="s">
        <v>713</v>
      </c>
      <c r="F131" s="1290" t="s">
        <v>77</v>
      </c>
      <c r="G131" s="1291">
        <v>1</v>
      </c>
      <c r="H131" s="1292" t="s">
        <v>102</v>
      </c>
      <c r="I131" s="1292" t="s">
        <v>118</v>
      </c>
      <c r="J131" s="1326">
        <v>4</v>
      </c>
      <c r="K131" s="1294">
        <v>17697</v>
      </c>
      <c r="L131" s="1295">
        <v>18</v>
      </c>
      <c r="M131" s="1296">
        <f t="shared" si="32"/>
        <v>1</v>
      </c>
      <c r="N131" s="1306" t="s">
        <v>112</v>
      </c>
      <c r="O131" s="1307">
        <v>3.45</v>
      </c>
      <c r="P131" s="1299">
        <f t="shared" si="38"/>
        <v>61054.65</v>
      </c>
      <c r="Q131" s="1299">
        <f t="shared" si="39"/>
        <v>15263.6625</v>
      </c>
      <c r="R131" s="1300"/>
      <c r="S131" s="1294"/>
      <c r="T131" s="1294">
        <v>0.1</v>
      </c>
      <c r="U131" s="1299">
        <f t="shared" si="40"/>
        <v>7631.8312500000002</v>
      </c>
      <c r="V131" s="1301"/>
      <c r="W131" s="1296"/>
      <c r="X131" s="1302">
        <f t="shared" si="41"/>
        <v>83950.143750000003</v>
      </c>
      <c r="Y131" s="1325">
        <f>V131+R131</f>
        <v>0</v>
      </c>
      <c r="Z131" s="1325">
        <f>W131+S131</f>
        <v>0</v>
      </c>
      <c r="AA131" s="1304">
        <f>X131*12</f>
        <v>1007401.7250000001</v>
      </c>
      <c r="AB131" s="1305">
        <f>AA131/12/29.33*56</f>
        <v>160286.67064439144</v>
      </c>
      <c r="AC131" s="1305">
        <f>AA131*1.25</f>
        <v>1259252.15625</v>
      </c>
      <c r="AD131" s="1305">
        <f>AC131/12/29.33*56</f>
        <v>200358.33830548928</v>
      </c>
    </row>
    <row r="132" spans="1:30" s="1305" customFormat="1" ht="17.25" customHeight="1">
      <c r="A132" s="1286" t="s">
        <v>754</v>
      </c>
      <c r="B132" s="1287" t="s">
        <v>753</v>
      </c>
      <c r="C132" s="1287" t="s">
        <v>99</v>
      </c>
      <c r="D132" s="1292" t="s">
        <v>75</v>
      </c>
      <c r="E132" s="1289" t="s">
        <v>680</v>
      </c>
      <c r="F132" s="1320" t="s">
        <v>40</v>
      </c>
      <c r="G132" s="1291">
        <v>1</v>
      </c>
      <c r="H132" s="1292" t="s">
        <v>102</v>
      </c>
      <c r="I132" s="1292" t="s">
        <v>118</v>
      </c>
      <c r="J132" s="1326">
        <v>1</v>
      </c>
      <c r="K132" s="1294">
        <v>17697</v>
      </c>
      <c r="L132" s="1295">
        <v>12</v>
      </c>
      <c r="M132" s="1296">
        <f t="shared" si="32"/>
        <v>0.66666666666666663</v>
      </c>
      <c r="N132" s="1297" t="s">
        <v>152</v>
      </c>
      <c r="O132" s="1307">
        <v>4.5199999999999996</v>
      </c>
      <c r="P132" s="1299">
        <f t="shared" si="38"/>
        <v>53326.959999999992</v>
      </c>
      <c r="Q132" s="1299">
        <f t="shared" si="39"/>
        <v>13331.739999999998</v>
      </c>
      <c r="R132" s="1300"/>
      <c r="S132" s="1294"/>
      <c r="T132" s="1294">
        <v>0.1</v>
      </c>
      <c r="U132" s="1299">
        <f t="shared" si="40"/>
        <v>6665.869999999999</v>
      </c>
      <c r="V132" s="1301"/>
      <c r="W132" s="1296"/>
      <c r="X132" s="1302">
        <f t="shared" si="41"/>
        <v>73324.569999999978</v>
      </c>
      <c r="Y132" s="1303"/>
      <c r="Z132" s="1303"/>
      <c r="AA132" s="1304"/>
    </row>
    <row r="133" spans="1:30" s="1154" customFormat="1" ht="17.25" customHeight="1">
      <c r="A133" s="1209" t="s">
        <v>754</v>
      </c>
      <c r="B133" s="1177" t="s">
        <v>755</v>
      </c>
      <c r="C133" s="1177" t="s">
        <v>99</v>
      </c>
      <c r="D133" s="1164" t="s">
        <v>75</v>
      </c>
      <c r="E133" s="1224" t="s">
        <v>756</v>
      </c>
      <c r="F133" s="1198" t="s">
        <v>40</v>
      </c>
      <c r="G133" s="423">
        <v>1</v>
      </c>
      <c r="H133" s="1164" t="s">
        <v>102</v>
      </c>
      <c r="I133" s="1164" t="s">
        <v>118</v>
      </c>
      <c r="J133" s="1247">
        <v>1</v>
      </c>
      <c r="K133" s="1166">
        <v>17697</v>
      </c>
      <c r="L133" s="1245">
        <v>18</v>
      </c>
      <c r="M133" s="1296">
        <f t="shared" si="32"/>
        <v>1</v>
      </c>
      <c r="N133" s="1250" t="s">
        <v>152</v>
      </c>
      <c r="O133" s="1249">
        <v>4.5199999999999996</v>
      </c>
      <c r="P133" s="401">
        <f t="shared" si="38"/>
        <v>79990.439999999988</v>
      </c>
      <c r="Q133" s="401">
        <f t="shared" si="39"/>
        <v>19997.609999999997</v>
      </c>
      <c r="R133" s="1203"/>
      <c r="S133" s="1166"/>
      <c r="T133" s="1166">
        <v>0.1</v>
      </c>
      <c r="U133" s="401">
        <f t="shared" si="40"/>
        <v>9998.8050000000003</v>
      </c>
      <c r="V133" s="416"/>
      <c r="W133" s="1232"/>
      <c r="X133" s="1208">
        <f t="shared" si="41"/>
        <v>109986.85499999998</v>
      </c>
      <c r="Y133" s="1155"/>
      <c r="Z133" s="1155"/>
      <c r="AA133" s="1153"/>
    </row>
    <row r="134" spans="1:30" s="1154" customFormat="1" ht="17.25" customHeight="1">
      <c r="A134" s="1209" t="s">
        <v>754</v>
      </c>
      <c r="B134" s="1177" t="s">
        <v>757</v>
      </c>
      <c r="C134" s="1177" t="s">
        <v>99</v>
      </c>
      <c r="D134" s="1164" t="s">
        <v>25</v>
      </c>
      <c r="E134" s="1224" t="s">
        <v>432</v>
      </c>
      <c r="F134" s="1198" t="s">
        <v>40</v>
      </c>
      <c r="G134" s="423">
        <v>1</v>
      </c>
      <c r="H134" s="1164" t="s">
        <v>102</v>
      </c>
      <c r="I134" s="1164" t="s">
        <v>103</v>
      </c>
      <c r="J134" s="1247">
        <v>1</v>
      </c>
      <c r="K134" s="1166">
        <v>17697</v>
      </c>
      <c r="L134" s="1245">
        <v>18</v>
      </c>
      <c r="M134" s="1296">
        <f t="shared" si="32"/>
        <v>1</v>
      </c>
      <c r="N134" s="1250" t="s">
        <v>152</v>
      </c>
      <c r="O134" s="1249">
        <v>4.75</v>
      </c>
      <c r="P134" s="401">
        <f t="shared" si="38"/>
        <v>84060.75</v>
      </c>
      <c r="Q134" s="401">
        <f t="shared" si="39"/>
        <v>21015.1875</v>
      </c>
      <c r="R134" s="1203"/>
      <c r="S134" s="1166"/>
      <c r="T134" s="1166">
        <v>0.1</v>
      </c>
      <c r="U134" s="401">
        <f t="shared" si="40"/>
        <v>10507.59375</v>
      </c>
      <c r="V134" s="416"/>
      <c r="W134" s="1232"/>
      <c r="X134" s="1208">
        <f t="shared" ref="X134:X135" si="43">P134+Q134+U134</f>
        <v>115583.53125</v>
      </c>
      <c r="Y134" s="1155"/>
      <c r="Z134" s="1155"/>
      <c r="AA134" s="1153"/>
    </row>
    <row r="135" spans="1:30" s="1154" customFormat="1" ht="17.25" customHeight="1">
      <c r="A135" s="1209" t="s">
        <v>754</v>
      </c>
      <c r="B135" s="1177" t="s">
        <v>758</v>
      </c>
      <c r="C135" s="1177" t="s">
        <v>99</v>
      </c>
      <c r="D135" s="1164" t="s">
        <v>25</v>
      </c>
      <c r="E135" s="1224" t="s">
        <v>759</v>
      </c>
      <c r="F135" s="424" t="s">
        <v>366</v>
      </c>
      <c r="G135" s="423">
        <v>1</v>
      </c>
      <c r="H135" s="1164" t="s">
        <v>102</v>
      </c>
      <c r="I135" s="1164" t="s">
        <v>103</v>
      </c>
      <c r="J135" s="1225">
        <v>4</v>
      </c>
      <c r="K135" s="1166">
        <v>17697</v>
      </c>
      <c r="L135" s="1245">
        <v>18</v>
      </c>
      <c r="M135" s="1296">
        <f t="shared" si="32"/>
        <v>1</v>
      </c>
      <c r="N135" s="1250" t="s">
        <v>112</v>
      </c>
      <c r="O135" s="1249">
        <v>4.12</v>
      </c>
      <c r="P135" s="401">
        <f t="shared" si="38"/>
        <v>72911.64</v>
      </c>
      <c r="Q135" s="401">
        <f t="shared" si="39"/>
        <v>18227.91</v>
      </c>
      <c r="R135" s="1203"/>
      <c r="S135" s="1166"/>
      <c r="T135" s="1166">
        <v>0.1</v>
      </c>
      <c r="U135" s="401">
        <f t="shared" si="40"/>
        <v>9113.9549999999999</v>
      </c>
      <c r="V135" s="416"/>
      <c r="W135" s="1232"/>
      <c r="X135" s="1208">
        <f t="shared" si="43"/>
        <v>100253.505</v>
      </c>
      <c r="Y135" s="1155"/>
      <c r="Z135" s="1155"/>
      <c r="AA135" s="1153"/>
    </row>
    <row r="136" spans="1:30" s="1154" customFormat="1" ht="17.25" customHeight="1">
      <c r="A136" s="1209"/>
      <c r="B136" s="1160" t="s">
        <v>363</v>
      </c>
      <c r="C136" s="1160" t="s">
        <v>99</v>
      </c>
      <c r="D136" s="1242" t="s">
        <v>25</v>
      </c>
      <c r="E136" s="1251" t="s">
        <v>765</v>
      </c>
      <c r="F136" s="1344"/>
      <c r="G136" s="1158"/>
      <c r="H136" s="1292" t="s">
        <v>102</v>
      </c>
      <c r="I136" s="1292" t="s">
        <v>103</v>
      </c>
      <c r="J136" s="1326">
        <v>3</v>
      </c>
      <c r="K136" s="1166">
        <v>17697</v>
      </c>
      <c r="L136" s="1245">
        <v>4</v>
      </c>
      <c r="M136" s="1296">
        <f t="shared" si="32"/>
        <v>0.22222222222222221</v>
      </c>
      <c r="N136" s="1327" t="s">
        <v>109</v>
      </c>
      <c r="O136" s="1252">
        <v>4.07</v>
      </c>
      <c r="P136" s="401">
        <f t="shared" si="38"/>
        <v>16005.953333333335</v>
      </c>
      <c r="Q136" s="401">
        <f t="shared" si="39"/>
        <v>4001.4883333333337</v>
      </c>
      <c r="R136" s="1248"/>
      <c r="S136" s="1173"/>
      <c r="T136" s="1166">
        <v>0.1</v>
      </c>
      <c r="U136" s="401">
        <f t="shared" si="40"/>
        <v>2000.7441666666671</v>
      </c>
      <c r="V136" s="1172"/>
      <c r="W136" s="1232"/>
      <c r="X136" s="1208">
        <f>P136+Q136+U136</f>
        <v>22008.185833333337</v>
      </c>
      <c r="Y136" s="1156"/>
      <c r="Z136" s="1156"/>
      <c r="AA136" s="1153"/>
    </row>
    <row r="137" spans="1:30" s="24" customFormat="1" ht="17.25" customHeight="1">
      <c r="A137" s="651"/>
      <c r="B137" s="652"/>
      <c r="C137" s="652"/>
      <c r="D137" s="653"/>
      <c r="E137" s="654"/>
      <c r="F137" s="655"/>
      <c r="G137" s="656"/>
      <c r="H137" s="653"/>
      <c r="I137" s="653"/>
      <c r="J137" s="657"/>
      <c r="K137" s="658"/>
      <c r="L137" s="659">
        <f>SUM(L109:L136)</f>
        <v>587</v>
      </c>
      <c r="M137" s="659"/>
      <c r="N137" s="659"/>
      <c r="O137" s="660"/>
      <c r="P137" s="659"/>
      <c r="Q137" s="890"/>
      <c r="R137" s="659"/>
      <c r="S137" s="659"/>
      <c r="T137" s="659"/>
      <c r="U137" s="659"/>
      <c r="V137" s="659"/>
      <c r="W137" s="659"/>
      <c r="X137" s="1033"/>
      <c r="Y137" s="98"/>
      <c r="Z137" s="98"/>
      <c r="AA137" s="81">
        <f t="shared" si="19"/>
        <v>0</v>
      </c>
      <c r="AB137" s="80">
        <f t="shared" si="27"/>
        <v>0</v>
      </c>
      <c r="AC137" s="80">
        <f t="shared" si="28"/>
        <v>0</v>
      </c>
      <c r="AD137" s="80">
        <f t="shared" si="29"/>
        <v>0</v>
      </c>
    </row>
    <row r="138" spans="1:30" s="986" customFormat="1" ht="17.25" customHeight="1">
      <c r="A138" s="560">
        <v>115</v>
      </c>
      <c r="B138" s="661" t="s">
        <v>291</v>
      </c>
      <c r="C138" s="647" t="s">
        <v>99</v>
      </c>
      <c r="D138" s="663" t="s">
        <v>25</v>
      </c>
      <c r="E138" s="664" t="s">
        <v>592</v>
      </c>
      <c r="F138" s="664" t="s">
        <v>40</v>
      </c>
      <c r="G138" s="177">
        <v>1</v>
      </c>
      <c r="H138" s="177" t="s">
        <v>102</v>
      </c>
      <c r="I138" s="177" t="s">
        <v>103</v>
      </c>
      <c r="J138" s="178">
        <v>1</v>
      </c>
      <c r="K138" s="554">
        <v>17697</v>
      </c>
      <c r="L138" s="665">
        <v>31</v>
      </c>
      <c r="M138" s="567">
        <f t="shared" ref="M138:M154" si="44">L138/18</f>
        <v>1.7222222222222223</v>
      </c>
      <c r="N138" s="574" t="s">
        <v>152</v>
      </c>
      <c r="O138" s="567">
        <v>4.75</v>
      </c>
      <c r="P138" s="567">
        <f t="shared" ref="P138:P154" si="45">K138*O138/18*L138</f>
        <v>144771.29166666669</v>
      </c>
      <c r="Q138" s="697">
        <f>P138*25%</f>
        <v>36192.822916666672</v>
      </c>
      <c r="R138" s="666">
        <v>0.25</v>
      </c>
      <c r="S138" s="554">
        <f>(P138+Q138)*R138</f>
        <v>45241.028645833343</v>
      </c>
      <c r="T138" s="554">
        <v>0.1</v>
      </c>
      <c r="U138" s="567">
        <v>22325.27</v>
      </c>
      <c r="V138" s="19"/>
      <c r="W138" s="554"/>
      <c r="X138" s="570">
        <f>P138+Q138+S138+U138</f>
        <v>248530.4132291667</v>
      </c>
      <c r="Y138" s="985">
        <f>V138+T138+R138</f>
        <v>0.35</v>
      </c>
      <c r="Z138" s="985">
        <f>W138+U138+S138</f>
        <v>67566.298645833347</v>
      </c>
      <c r="AA138" s="81">
        <f t="shared" si="19"/>
        <v>2982364.9587500002</v>
      </c>
      <c r="AB138" s="80">
        <f t="shared" si="27"/>
        <v>474521.07537788397</v>
      </c>
      <c r="AC138" s="80">
        <f t="shared" si="28"/>
        <v>3727956.1984375003</v>
      </c>
      <c r="AD138" s="80">
        <f t="shared" si="29"/>
        <v>593151.34422235494</v>
      </c>
    </row>
    <row r="139" spans="1:30" s="986" customFormat="1" ht="17.25" customHeight="1">
      <c r="A139" s="560">
        <v>116</v>
      </c>
      <c r="B139" s="1017" t="s">
        <v>517</v>
      </c>
      <c r="C139" s="647" t="s">
        <v>99</v>
      </c>
      <c r="D139" s="663" t="s">
        <v>25</v>
      </c>
      <c r="E139" s="664" t="s">
        <v>593</v>
      </c>
      <c r="F139" s="664" t="s">
        <v>366</v>
      </c>
      <c r="G139" s="177">
        <v>1</v>
      </c>
      <c r="H139" s="177" t="s">
        <v>102</v>
      </c>
      <c r="I139" s="177" t="s">
        <v>103</v>
      </c>
      <c r="J139" s="178">
        <v>1</v>
      </c>
      <c r="K139" s="554">
        <v>17697</v>
      </c>
      <c r="L139" s="665">
        <v>5</v>
      </c>
      <c r="M139" s="567">
        <f t="shared" si="44"/>
        <v>0.27777777777777779</v>
      </c>
      <c r="N139" s="574" t="s">
        <v>152</v>
      </c>
      <c r="O139" s="567">
        <v>4.6900000000000004</v>
      </c>
      <c r="P139" s="567">
        <f t="shared" si="45"/>
        <v>23055.258333333335</v>
      </c>
      <c r="Q139" s="697">
        <f t="shared" ref="Q139:Q154" si="46">P139*25%</f>
        <v>5763.8145833333338</v>
      </c>
      <c r="R139" s="666">
        <v>0.25</v>
      </c>
      <c r="S139" s="554">
        <f t="shared" ref="S139:S154" si="47">(P139+Q139)*R139</f>
        <v>7204.768229166667</v>
      </c>
      <c r="T139" s="554">
        <v>0.1</v>
      </c>
      <c r="U139" s="567">
        <f t="shared" ref="U139:U154" si="48">(P139+Q139+S139)*T139</f>
        <v>3602.3841145833339</v>
      </c>
      <c r="V139" s="19"/>
      <c r="W139" s="554"/>
      <c r="X139" s="570">
        <f t="shared" ref="X139:X153" si="49">P139+Q139+S139+U139</f>
        <v>39626.225260416672</v>
      </c>
      <c r="Y139" s="985"/>
      <c r="Z139" s="985"/>
      <c r="AA139" s="81">
        <f t="shared" si="19"/>
        <v>475514.70312500006</v>
      </c>
      <c r="AB139" s="80">
        <f t="shared" si="27"/>
        <v>75658.663981702484</v>
      </c>
      <c r="AC139" s="80">
        <f t="shared" si="28"/>
        <v>594393.37890625012</v>
      </c>
      <c r="AD139" s="80">
        <f t="shared" si="29"/>
        <v>94573.329977128116</v>
      </c>
    </row>
    <row r="140" spans="1:30" s="377" customFormat="1" ht="17.25" customHeight="1">
      <c r="A140" s="423">
        <v>117</v>
      </c>
      <c r="B140" s="1176" t="s">
        <v>516</v>
      </c>
      <c r="C140" s="1177" t="s">
        <v>99</v>
      </c>
      <c r="D140" s="1178" t="s">
        <v>25</v>
      </c>
      <c r="E140" s="1196" t="s">
        <v>594</v>
      </c>
      <c r="F140" s="1179" t="s">
        <v>40</v>
      </c>
      <c r="G140" s="1180">
        <v>1</v>
      </c>
      <c r="H140" s="1180" t="s">
        <v>102</v>
      </c>
      <c r="I140" s="1180" t="s">
        <v>103</v>
      </c>
      <c r="J140" s="1181">
        <v>1</v>
      </c>
      <c r="K140" s="1166">
        <v>17697</v>
      </c>
      <c r="L140" s="1182">
        <v>18</v>
      </c>
      <c r="M140" s="1171">
        <f t="shared" si="44"/>
        <v>1</v>
      </c>
      <c r="N140" s="1186" t="s">
        <v>152</v>
      </c>
      <c r="O140" s="1184">
        <v>4.75</v>
      </c>
      <c r="P140" s="1171">
        <f t="shared" si="45"/>
        <v>84060.75</v>
      </c>
      <c r="Q140" s="1168">
        <f t="shared" si="46"/>
        <v>21015.1875</v>
      </c>
      <c r="R140" s="1170">
        <v>0.25</v>
      </c>
      <c r="S140" s="1166">
        <f t="shared" si="47"/>
        <v>26268.984375</v>
      </c>
      <c r="T140" s="1166">
        <v>0.1</v>
      </c>
      <c r="U140" s="1171">
        <f t="shared" si="48"/>
        <v>13134.4921875</v>
      </c>
      <c r="V140" s="416"/>
      <c r="W140" s="1166"/>
      <c r="X140" s="1174">
        <f t="shared" si="49"/>
        <v>144479.4140625</v>
      </c>
      <c r="Y140" s="406"/>
      <c r="Z140" s="406"/>
      <c r="AA140" s="375">
        <f t="shared" si="19"/>
        <v>1733752.96875</v>
      </c>
      <c r="AB140" s="377">
        <f t="shared" si="27"/>
        <v>275855.68317422434</v>
      </c>
      <c r="AC140" s="377">
        <f t="shared" si="28"/>
        <v>2167191.2109375</v>
      </c>
      <c r="AD140" s="377">
        <f t="shared" si="29"/>
        <v>344819.60396778048</v>
      </c>
    </row>
    <row r="141" spans="1:30" s="377" customFormat="1" ht="17.25" customHeight="1">
      <c r="A141" s="423">
        <v>118</v>
      </c>
      <c r="B141" s="1187" t="s">
        <v>298</v>
      </c>
      <c r="C141" s="1177" t="s">
        <v>99</v>
      </c>
      <c r="D141" s="1178" t="s">
        <v>300</v>
      </c>
      <c r="E141" s="1196" t="s">
        <v>740</v>
      </c>
      <c r="F141" s="1179" t="s">
        <v>40</v>
      </c>
      <c r="G141" s="1180">
        <v>1</v>
      </c>
      <c r="H141" s="1180" t="s">
        <v>102</v>
      </c>
      <c r="I141" s="1180" t="s">
        <v>118</v>
      </c>
      <c r="J141" s="1181">
        <v>2</v>
      </c>
      <c r="K141" s="1166">
        <v>17697</v>
      </c>
      <c r="L141" s="1182">
        <v>9</v>
      </c>
      <c r="M141" s="1171">
        <f t="shared" si="44"/>
        <v>0.5</v>
      </c>
      <c r="N141" s="1190" t="s">
        <v>104</v>
      </c>
      <c r="O141" s="1191">
        <v>4.3899999999999997</v>
      </c>
      <c r="P141" s="1171">
        <f t="shared" si="45"/>
        <v>38844.914999999994</v>
      </c>
      <c r="Q141" s="1168">
        <f t="shared" si="46"/>
        <v>9711.2287499999984</v>
      </c>
      <c r="R141" s="1170">
        <v>0.25</v>
      </c>
      <c r="S141" s="1166">
        <f t="shared" si="47"/>
        <v>12139.035937499997</v>
      </c>
      <c r="T141" s="1166">
        <v>0.1</v>
      </c>
      <c r="U141" s="1171">
        <f t="shared" si="48"/>
        <v>6069.5179687499985</v>
      </c>
      <c r="V141" s="416"/>
      <c r="W141" s="1166"/>
      <c r="X141" s="1174">
        <f t="shared" si="49"/>
        <v>66764.697656249977</v>
      </c>
      <c r="Y141" s="406"/>
      <c r="Z141" s="406"/>
      <c r="AA141" s="375">
        <f t="shared" si="19"/>
        <v>801176.37187499972</v>
      </c>
      <c r="AB141" s="377">
        <f t="shared" si="27"/>
        <v>127474.36306682572</v>
      </c>
      <c r="AC141" s="377">
        <f t="shared" si="28"/>
        <v>1001470.4648437497</v>
      </c>
      <c r="AD141" s="377">
        <f t="shared" si="29"/>
        <v>159342.95383353217</v>
      </c>
    </row>
    <row r="142" spans="1:30" s="80" customFormat="1" ht="17.25" customHeight="1">
      <c r="A142" s="560">
        <v>119</v>
      </c>
      <c r="B142" s="153" t="s">
        <v>624</v>
      </c>
      <c r="C142" s="561" t="s">
        <v>99</v>
      </c>
      <c r="D142" s="560" t="s">
        <v>64</v>
      </c>
      <c r="E142" s="583" t="s">
        <v>660</v>
      </c>
      <c r="F142" s="562" t="s">
        <v>114</v>
      </c>
      <c r="G142" s="560">
        <v>1</v>
      </c>
      <c r="H142" s="563" t="s">
        <v>102</v>
      </c>
      <c r="I142" s="563" t="s">
        <v>118</v>
      </c>
      <c r="J142" s="564">
        <v>1</v>
      </c>
      <c r="K142" s="554">
        <v>17697</v>
      </c>
      <c r="L142" s="565">
        <v>12</v>
      </c>
      <c r="M142" s="567">
        <f t="shared" si="44"/>
        <v>0.66666666666666663</v>
      </c>
      <c r="N142" s="698" t="s">
        <v>152</v>
      </c>
      <c r="O142" s="1157">
        <v>4.5199999999999996</v>
      </c>
      <c r="P142" s="567">
        <f t="shared" si="45"/>
        <v>53326.959999999992</v>
      </c>
      <c r="Q142" s="697">
        <f t="shared" si="46"/>
        <v>13331.739999999998</v>
      </c>
      <c r="R142" s="666">
        <v>0.25</v>
      </c>
      <c r="S142" s="554">
        <f t="shared" si="47"/>
        <v>16664.674999999996</v>
      </c>
      <c r="T142" s="554">
        <v>0.1</v>
      </c>
      <c r="U142" s="567">
        <f t="shared" si="48"/>
        <v>8332.3374999999978</v>
      </c>
      <c r="V142" s="19"/>
      <c r="W142" s="554"/>
      <c r="X142" s="570">
        <f t="shared" si="49"/>
        <v>91655.712499999965</v>
      </c>
      <c r="Y142" s="688"/>
      <c r="Z142" s="688"/>
      <c r="AA142" s="81">
        <f t="shared" si="19"/>
        <v>1099868.5499999996</v>
      </c>
      <c r="AB142" s="80">
        <f t="shared" si="27"/>
        <v>174998.97374701663</v>
      </c>
      <c r="AC142" s="80">
        <f t="shared" si="28"/>
        <v>1374835.6874999995</v>
      </c>
      <c r="AD142" s="80">
        <f t="shared" si="29"/>
        <v>218748.71718377082</v>
      </c>
    </row>
    <row r="143" spans="1:30" s="377" customFormat="1" ht="15.75">
      <c r="A143" s="423">
        <v>120</v>
      </c>
      <c r="B143" s="1176" t="s">
        <v>38</v>
      </c>
      <c r="C143" s="1177" t="s">
        <v>99</v>
      </c>
      <c r="D143" s="1178" t="s">
        <v>25</v>
      </c>
      <c r="E143" s="1179" t="s">
        <v>663</v>
      </c>
      <c r="F143" s="1179" t="s">
        <v>40</v>
      </c>
      <c r="G143" s="1180">
        <v>1</v>
      </c>
      <c r="H143" s="1180" t="s">
        <v>102</v>
      </c>
      <c r="I143" s="1180" t="s">
        <v>103</v>
      </c>
      <c r="J143" s="1181">
        <v>1</v>
      </c>
      <c r="K143" s="1166">
        <v>17697</v>
      </c>
      <c r="L143" s="1182">
        <v>9</v>
      </c>
      <c r="M143" s="1171">
        <f t="shared" si="44"/>
        <v>0.5</v>
      </c>
      <c r="N143" s="1183" t="s">
        <v>152</v>
      </c>
      <c r="O143" s="1184">
        <v>4.75</v>
      </c>
      <c r="P143" s="1171">
        <f t="shared" si="45"/>
        <v>42030.375</v>
      </c>
      <c r="Q143" s="1168">
        <f t="shared" si="46"/>
        <v>10507.59375</v>
      </c>
      <c r="R143" s="1170">
        <v>0.25</v>
      </c>
      <c r="S143" s="1166">
        <f t="shared" si="47"/>
        <v>13134.4921875</v>
      </c>
      <c r="T143" s="1166">
        <v>0.1</v>
      </c>
      <c r="U143" s="1171">
        <f t="shared" si="48"/>
        <v>6567.24609375</v>
      </c>
      <c r="V143" s="416"/>
      <c r="W143" s="1166"/>
      <c r="X143" s="1174">
        <f t="shared" si="49"/>
        <v>72239.70703125</v>
      </c>
      <c r="Y143" s="406">
        <f t="shared" ref="Y143:Z154" si="50">V143+T143+R143</f>
        <v>0.35</v>
      </c>
      <c r="Z143" s="406">
        <f t="shared" si="50"/>
        <v>19701.73828125</v>
      </c>
      <c r="AA143" s="375">
        <f t="shared" si="19"/>
        <v>866876.484375</v>
      </c>
      <c r="AB143" s="377">
        <f t="shared" si="27"/>
        <v>137927.84158711217</v>
      </c>
      <c r="AC143" s="377">
        <f t="shared" si="28"/>
        <v>1083595.60546875</v>
      </c>
      <c r="AD143" s="377">
        <f t="shared" si="29"/>
        <v>172409.80198389024</v>
      </c>
    </row>
    <row r="144" spans="1:30" s="377" customFormat="1" ht="17.25" customHeight="1">
      <c r="A144" s="423">
        <v>121</v>
      </c>
      <c r="B144" s="1193" t="s">
        <v>306</v>
      </c>
      <c r="C144" s="1177" t="s">
        <v>99</v>
      </c>
      <c r="D144" s="1178" t="s">
        <v>25</v>
      </c>
      <c r="E144" s="1194" t="s">
        <v>666</v>
      </c>
      <c r="F144" s="1195" t="s">
        <v>68</v>
      </c>
      <c r="G144" s="1192">
        <v>1</v>
      </c>
      <c r="H144" s="1180" t="s">
        <v>102</v>
      </c>
      <c r="I144" s="1180" t="s">
        <v>103</v>
      </c>
      <c r="J144" s="1192">
        <v>4</v>
      </c>
      <c r="K144" s="1166">
        <v>17697</v>
      </c>
      <c r="L144" s="1182">
        <v>20</v>
      </c>
      <c r="M144" s="1171">
        <f t="shared" si="44"/>
        <v>1.1111111111111112</v>
      </c>
      <c r="N144" s="1183" t="s">
        <v>112</v>
      </c>
      <c r="O144" s="1191">
        <v>3.41</v>
      </c>
      <c r="P144" s="1171">
        <f t="shared" si="45"/>
        <v>67051.966666666674</v>
      </c>
      <c r="Q144" s="1168">
        <f t="shared" si="46"/>
        <v>16762.991666666669</v>
      </c>
      <c r="R144" s="1170">
        <v>0.25</v>
      </c>
      <c r="S144" s="1166">
        <f t="shared" si="47"/>
        <v>20953.739583333336</v>
      </c>
      <c r="T144" s="1166">
        <v>0.1</v>
      </c>
      <c r="U144" s="1171">
        <f t="shared" si="48"/>
        <v>10476.86979166667</v>
      </c>
      <c r="V144" s="416"/>
      <c r="W144" s="1166"/>
      <c r="X144" s="1174">
        <f t="shared" si="49"/>
        <v>115245.56770833336</v>
      </c>
      <c r="Y144" s="406">
        <f>V144+R144</f>
        <v>0.25</v>
      </c>
      <c r="Z144" s="406">
        <f>W144+S144</f>
        <v>20953.739583333336</v>
      </c>
      <c r="AA144" s="375">
        <f t="shared" si="19"/>
        <v>1382946.8125000002</v>
      </c>
      <c r="AB144" s="377">
        <f t="shared" si="27"/>
        <v>220039.27008751</v>
      </c>
      <c r="AC144" s="377">
        <f t="shared" si="28"/>
        <v>1728683.5156250002</v>
      </c>
      <c r="AD144" s="377">
        <f t="shared" si="29"/>
        <v>275049.08760938753</v>
      </c>
    </row>
    <row r="145" spans="1:40" s="377" customFormat="1" ht="17.25" customHeight="1">
      <c r="A145" s="423">
        <v>122</v>
      </c>
      <c r="B145" s="1176" t="s">
        <v>309</v>
      </c>
      <c r="C145" s="1177" t="s">
        <v>99</v>
      </c>
      <c r="D145" s="1178" t="s">
        <v>25</v>
      </c>
      <c r="E145" s="1179" t="s">
        <v>668</v>
      </c>
      <c r="F145" s="1179" t="s">
        <v>40</v>
      </c>
      <c r="G145" s="1180">
        <v>1</v>
      </c>
      <c r="H145" s="1180" t="s">
        <v>102</v>
      </c>
      <c r="I145" s="1180" t="s">
        <v>103</v>
      </c>
      <c r="J145" s="1181">
        <v>1</v>
      </c>
      <c r="K145" s="1166">
        <v>17697</v>
      </c>
      <c r="L145" s="1182">
        <v>26</v>
      </c>
      <c r="M145" s="1171">
        <f t="shared" si="44"/>
        <v>1.4444444444444444</v>
      </c>
      <c r="N145" s="1183" t="s">
        <v>152</v>
      </c>
      <c r="O145" s="1184">
        <v>4.75</v>
      </c>
      <c r="P145" s="1171">
        <f t="shared" si="45"/>
        <v>121421.08333333334</v>
      </c>
      <c r="Q145" s="1168">
        <f t="shared" si="46"/>
        <v>30355.270833333336</v>
      </c>
      <c r="R145" s="1170">
        <v>0.25</v>
      </c>
      <c r="S145" s="1166">
        <f t="shared" si="47"/>
        <v>37944.088541666672</v>
      </c>
      <c r="T145" s="1166">
        <v>0.1</v>
      </c>
      <c r="U145" s="1171">
        <f t="shared" si="48"/>
        <v>18972.044270833339</v>
      </c>
      <c r="V145" s="416"/>
      <c r="W145" s="1166"/>
      <c r="X145" s="1174">
        <f t="shared" si="49"/>
        <v>208692.48697916672</v>
      </c>
      <c r="Y145" s="359">
        <f t="shared" si="50"/>
        <v>0.35</v>
      </c>
      <c r="Z145" s="359">
        <f t="shared" si="50"/>
        <v>56916.132812500015</v>
      </c>
      <c r="AA145" s="375">
        <f t="shared" si="19"/>
        <v>2504309.8437500005</v>
      </c>
      <c r="AB145" s="377">
        <f t="shared" si="27"/>
        <v>398458.20902943524</v>
      </c>
      <c r="AC145" s="377">
        <f t="shared" si="28"/>
        <v>3130387.3046875005</v>
      </c>
      <c r="AD145" s="377">
        <f t="shared" si="29"/>
        <v>498072.76128679409</v>
      </c>
    </row>
    <row r="146" spans="1:40" s="986" customFormat="1" ht="17.25" customHeight="1">
      <c r="A146" s="560">
        <v>123</v>
      </c>
      <c r="B146" s="153" t="s">
        <v>623</v>
      </c>
      <c r="C146" s="561" t="s">
        <v>99</v>
      </c>
      <c r="D146" s="563" t="s">
        <v>25</v>
      </c>
      <c r="E146" s="562" t="s">
        <v>609</v>
      </c>
      <c r="F146" s="562" t="s">
        <v>476</v>
      </c>
      <c r="G146" s="560">
        <v>1</v>
      </c>
      <c r="H146" s="563" t="s">
        <v>102</v>
      </c>
      <c r="I146" s="563" t="s">
        <v>103</v>
      </c>
      <c r="J146" s="581">
        <v>4</v>
      </c>
      <c r="K146" s="554">
        <v>17697</v>
      </c>
      <c r="L146" s="665">
        <v>10</v>
      </c>
      <c r="M146" s="567">
        <f t="shared" si="44"/>
        <v>0.55555555555555558</v>
      </c>
      <c r="N146" s="574" t="s">
        <v>385</v>
      </c>
      <c r="O146" s="567">
        <v>3.78</v>
      </c>
      <c r="P146" s="567">
        <f t="shared" si="45"/>
        <v>37163.700000000004</v>
      </c>
      <c r="Q146" s="697">
        <f t="shared" si="46"/>
        <v>9290.9250000000011</v>
      </c>
      <c r="R146" s="666">
        <v>0.25</v>
      </c>
      <c r="S146" s="554">
        <f t="shared" si="47"/>
        <v>11613.656250000002</v>
      </c>
      <c r="T146" s="554">
        <v>0.1</v>
      </c>
      <c r="U146" s="567">
        <f t="shared" si="48"/>
        <v>5806.8281250000009</v>
      </c>
      <c r="V146" s="19"/>
      <c r="W146" s="554"/>
      <c r="X146" s="570">
        <f t="shared" si="49"/>
        <v>63875.109375000007</v>
      </c>
      <c r="Y146" s="984">
        <f t="shared" si="50"/>
        <v>0.35</v>
      </c>
      <c r="Z146" s="984">
        <f t="shared" si="50"/>
        <v>17420.484375000004</v>
      </c>
      <c r="AA146" s="81">
        <f t="shared" si="19"/>
        <v>766501.31250000012</v>
      </c>
      <c r="AB146" s="80">
        <f t="shared" si="27"/>
        <v>121957.24940334131</v>
      </c>
      <c r="AC146" s="80">
        <f t="shared" si="28"/>
        <v>958126.64062500012</v>
      </c>
      <c r="AD146" s="80">
        <f t="shared" si="29"/>
        <v>152446.56175417666</v>
      </c>
    </row>
    <row r="147" spans="1:40" s="377" customFormat="1" ht="17.25" customHeight="1">
      <c r="A147" s="423">
        <v>124</v>
      </c>
      <c r="B147" s="492" t="s">
        <v>447</v>
      </c>
      <c r="C147" s="1177" t="s">
        <v>99</v>
      </c>
      <c r="D147" s="1178" t="s">
        <v>300</v>
      </c>
      <c r="E147" s="1179" t="s">
        <v>738</v>
      </c>
      <c r="F147" s="1179" t="s">
        <v>602</v>
      </c>
      <c r="G147" s="1180">
        <v>1</v>
      </c>
      <c r="H147" s="1180" t="s">
        <v>102</v>
      </c>
      <c r="I147" s="1180" t="s">
        <v>118</v>
      </c>
      <c r="J147" s="1181">
        <v>4</v>
      </c>
      <c r="K147" s="1166">
        <v>17697</v>
      </c>
      <c r="L147" s="1182">
        <v>19</v>
      </c>
      <c r="M147" s="1171">
        <f t="shared" si="44"/>
        <v>1.0555555555555556</v>
      </c>
      <c r="N147" s="1183" t="s">
        <v>112</v>
      </c>
      <c r="O147" s="1184">
        <v>3.36</v>
      </c>
      <c r="P147" s="1171">
        <f t="shared" si="45"/>
        <v>62765.36</v>
      </c>
      <c r="Q147" s="1168">
        <f t="shared" si="46"/>
        <v>15691.34</v>
      </c>
      <c r="R147" s="1170">
        <v>0.25</v>
      </c>
      <c r="S147" s="1166">
        <f t="shared" si="47"/>
        <v>19614.174999999999</v>
      </c>
      <c r="T147" s="1166">
        <v>0.1</v>
      </c>
      <c r="U147" s="1171">
        <f t="shared" si="48"/>
        <v>9807.0874999999996</v>
      </c>
      <c r="V147" s="416"/>
      <c r="W147" s="1166"/>
      <c r="X147" s="1174">
        <f t="shared" si="49"/>
        <v>107877.96249999999</v>
      </c>
      <c r="Y147" s="359">
        <f t="shared" si="50"/>
        <v>0.35</v>
      </c>
      <c r="Z147" s="359">
        <f t="shared" si="50"/>
        <v>29421.262499999997</v>
      </c>
      <c r="AA147" s="375">
        <f t="shared" si="19"/>
        <v>1294535.5499999998</v>
      </c>
      <c r="AB147" s="377">
        <f t="shared" si="27"/>
        <v>205972.24343675413</v>
      </c>
      <c r="AC147" s="377">
        <f t="shared" si="28"/>
        <v>1618169.4374999998</v>
      </c>
      <c r="AD147" s="377">
        <f t="shared" si="29"/>
        <v>257465.30429594265</v>
      </c>
    </row>
    <row r="148" spans="1:40" s="377" customFormat="1" ht="17.25" customHeight="1">
      <c r="A148" s="423">
        <v>125</v>
      </c>
      <c r="B148" s="1187" t="s">
        <v>319</v>
      </c>
      <c r="C148" s="1177" t="s">
        <v>99</v>
      </c>
      <c r="D148" s="1178" t="s">
        <v>25</v>
      </c>
      <c r="E148" s="1179" t="s">
        <v>684</v>
      </c>
      <c r="F148" s="1179" t="s">
        <v>239</v>
      </c>
      <c r="G148" s="1180">
        <v>1</v>
      </c>
      <c r="H148" s="1180" t="s">
        <v>232</v>
      </c>
      <c r="I148" s="1180" t="s">
        <v>233</v>
      </c>
      <c r="J148" s="1181">
        <v>3</v>
      </c>
      <c r="K148" s="1166">
        <v>17697</v>
      </c>
      <c r="L148" s="1182">
        <v>27</v>
      </c>
      <c r="M148" s="1171">
        <f t="shared" si="44"/>
        <v>1.5</v>
      </c>
      <c r="N148" s="1188" t="s">
        <v>109</v>
      </c>
      <c r="O148" s="1189">
        <v>4.21</v>
      </c>
      <c r="P148" s="1171">
        <f t="shared" si="45"/>
        <v>111756.55499999999</v>
      </c>
      <c r="Q148" s="1168">
        <f t="shared" si="46"/>
        <v>27939.138749999998</v>
      </c>
      <c r="R148" s="1170">
        <v>0.25</v>
      </c>
      <c r="S148" s="1166">
        <f t="shared" si="47"/>
        <v>34923.923437499994</v>
      </c>
      <c r="T148" s="1166">
        <v>0.1</v>
      </c>
      <c r="U148" s="1171">
        <f t="shared" si="48"/>
        <v>17461.961718749997</v>
      </c>
      <c r="V148" s="416"/>
      <c r="W148" s="1166"/>
      <c r="X148" s="1174">
        <f t="shared" si="49"/>
        <v>192081.57890624995</v>
      </c>
      <c r="Y148" s="919"/>
      <c r="Z148" s="919"/>
      <c r="AA148" s="375">
        <f t="shared" si="19"/>
        <v>2304978.9468749994</v>
      </c>
      <c r="AB148" s="377">
        <f t="shared" si="27"/>
        <v>366742.87142004771</v>
      </c>
      <c r="AC148" s="377">
        <f t="shared" si="28"/>
        <v>2881223.6835937491</v>
      </c>
      <c r="AD148" s="377">
        <f t="shared" si="29"/>
        <v>458428.58927505952</v>
      </c>
    </row>
    <row r="149" spans="1:40" s="377" customFormat="1" ht="17.25" customHeight="1">
      <c r="A149" s="423"/>
      <c r="B149" s="1187" t="s">
        <v>739</v>
      </c>
      <c r="C149" s="1177" t="s">
        <v>99</v>
      </c>
      <c r="D149" s="1178" t="s">
        <v>25</v>
      </c>
      <c r="E149" s="1179" t="s">
        <v>503</v>
      </c>
      <c r="F149" s="1179" t="s">
        <v>77</v>
      </c>
      <c r="G149" s="1180">
        <v>1</v>
      </c>
      <c r="H149" s="1180" t="s">
        <v>102</v>
      </c>
      <c r="I149" s="1180" t="s">
        <v>103</v>
      </c>
      <c r="J149" s="1192">
        <v>4</v>
      </c>
      <c r="K149" s="1166">
        <v>17697</v>
      </c>
      <c r="L149" s="1182">
        <v>18</v>
      </c>
      <c r="M149" s="1171">
        <v>1</v>
      </c>
      <c r="N149" s="1183" t="s">
        <v>112</v>
      </c>
      <c r="O149" s="1191">
        <v>3.71</v>
      </c>
      <c r="P149" s="1171">
        <f t="shared" si="45"/>
        <v>65655.87</v>
      </c>
      <c r="Q149" s="1168">
        <f t="shared" si="46"/>
        <v>16413.967499999999</v>
      </c>
      <c r="R149" s="1170">
        <v>0.25</v>
      </c>
      <c r="S149" s="1166">
        <f t="shared" si="47"/>
        <v>20517.459374999999</v>
      </c>
      <c r="T149" s="1166">
        <v>0.1</v>
      </c>
      <c r="U149" s="1171">
        <f t="shared" si="48"/>
        <v>10258.729687500001</v>
      </c>
      <c r="V149" s="416"/>
      <c r="W149" s="1166"/>
      <c r="X149" s="1174">
        <f t="shared" si="49"/>
        <v>112846.0265625</v>
      </c>
      <c r="Y149" s="406"/>
      <c r="Z149" s="406"/>
      <c r="AA149" s="375"/>
    </row>
    <row r="150" spans="1:40" s="80" customFormat="1" ht="17.25" customHeight="1">
      <c r="A150" s="560">
        <v>126</v>
      </c>
      <c r="B150" s="153" t="s">
        <v>274</v>
      </c>
      <c r="C150" s="647" t="s">
        <v>136</v>
      </c>
      <c r="D150" s="663" t="s">
        <v>25</v>
      </c>
      <c r="E150" s="586" t="s">
        <v>686</v>
      </c>
      <c r="F150" s="562" t="s">
        <v>239</v>
      </c>
      <c r="G150" s="177">
        <v>1</v>
      </c>
      <c r="H150" s="177" t="s">
        <v>102</v>
      </c>
      <c r="I150" s="177" t="s">
        <v>103</v>
      </c>
      <c r="J150" s="178">
        <v>2</v>
      </c>
      <c r="K150" s="554">
        <v>17697</v>
      </c>
      <c r="L150" s="665">
        <v>10</v>
      </c>
      <c r="M150" s="567">
        <f t="shared" si="44"/>
        <v>0.55555555555555558</v>
      </c>
      <c r="N150" s="698" t="s">
        <v>104</v>
      </c>
      <c r="O150" s="696">
        <v>4.2300000000000004</v>
      </c>
      <c r="P150" s="567">
        <f t="shared" si="45"/>
        <v>41587.950000000012</v>
      </c>
      <c r="Q150" s="697">
        <f>P150*25%</f>
        <v>10396.987500000003</v>
      </c>
      <c r="R150" s="666">
        <v>0.25</v>
      </c>
      <c r="S150" s="554">
        <f t="shared" si="47"/>
        <v>12996.234375000004</v>
      </c>
      <c r="T150" s="554">
        <v>0.1</v>
      </c>
      <c r="U150" s="567">
        <f t="shared" si="48"/>
        <v>6498.1171875000018</v>
      </c>
      <c r="V150" s="19"/>
      <c r="W150" s="554"/>
      <c r="X150" s="570">
        <f t="shared" si="49"/>
        <v>71479.289062500015</v>
      </c>
      <c r="Y150" s="688"/>
      <c r="Z150" s="688"/>
      <c r="AA150" s="81">
        <f t="shared" ref="AA150:AA181" si="51">X150*12</f>
        <v>857751.46875000023</v>
      </c>
      <c r="AB150" s="80">
        <f t="shared" si="27"/>
        <v>136475.96957040575</v>
      </c>
      <c r="AC150" s="80">
        <f t="shared" si="28"/>
        <v>1072189.3359375002</v>
      </c>
      <c r="AD150" s="80">
        <f t="shared" si="29"/>
        <v>170594.9619630072</v>
      </c>
    </row>
    <row r="151" spans="1:40" s="986" customFormat="1" ht="17.25" customHeight="1">
      <c r="A151" s="560">
        <v>127</v>
      </c>
      <c r="B151" s="1018" t="s">
        <v>519</v>
      </c>
      <c r="C151" s="647" t="s">
        <v>99</v>
      </c>
      <c r="D151" s="663" t="s">
        <v>25</v>
      </c>
      <c r="E151" s="664" t="s">
        <v>288</v>
      </c>
      <c r="F151" s="664" t="s">
        <v>366</v>
      </c>
      <c r="G151" s="177">
        <v>1</v>
      </c>
      <c r="H151" s="177" t="s">
        <v>102</v>
      </c>
      <c r="I151" s="177" t="s">
        <v>103</v>
      </c>
      <c r="J151" s="178">
        <v>1</v>
      </c>
      <c r="K151" s="554">
        <v>17697</v>
      </c>
      <c r="L151" s="665">
        <v>18</v>
      </c>
      <c r="M151" s="567">
        <f t="shared" si="44"/>
        <v>1</v>
      </c>
      <c r="N151" s="698" t="s">
        <v>152</v>
      </c>
      <c r="O151" s="697">
        <v>4.75</v>
      </c>
      <c r="P151" s="567">
        <f t="shared" si="45"/>
        <v>84060.75</v>
      </c>
      <c r="Q151" s="697">
        <f t="shared" si="46"/>
        <v>21015.1875</v>
      </c>
      <c r="R151" s="666">
        <v>0.25</v>
      </c>
      <c r="S151" s="554">
        <f t="shared" si="47"/>
        <v>26268.984375</v>
      </c>
      <c r="T151" s="554">
        <v>0.1</v>
      </c>
      <c r="U151" s="567">
        <f t="shared" si="48"/>
        <v>13134.4921875</v>
      </c>
      <c r="V151" s="19"/>
      <c r="W151" s="554"/>
      <c r="X151" s="570">
        <f t="shared" si="49"/>
        <v>144479.4140625</v>
      </c>
      <c r="Y151" s="988"/>
      <c r="Z151" s="988"/>
      <c r="AA151" s="81">
        <f t="shared" si="51"/>
        <v>1733752.96875</v>
      </c>
      <c r="AB151" s="80">
        <f t="shared" si="27"/>
        <v>275855.68317422434</v>
      </c>
      <c r="AC151" s="80">
        <f t="shared" si="28"/>
        <v>2167191.2109375</v>
      </c>
      <c r="AD151" s="80">
        <f t="shared" si="29"/>
        <v>344819.60396778048</v>
      </c>
    </row>
    <row r="152" spans="1:40" s="377" customFormat="1" ht="17.25" customHeight="1">
      <c r="A152" s="1158"/>
      <c r="B152" s="1159" t="s">
        <v>329</v>
      </c>
      <c r="C152" s="1160" t="s">
        <v>99</v>
      </c>
      <c r="D152" s="1161" t="s">
        <v>75</v>
      </c>
      <c r="E152" s="1162" t="s">
        <v>684</v>
      </c>
      <c r="F152" s="1162" t="s">
        <v>239</v>
      </c>
      <c r="G152" s="1163">
        <v>1</v>
      </c>
      <c r="H152" s="1164" t="s">
        <v>102</v>
      </c>
      <c r="I152" s="1164" t="s">
        <v>118</v>
      </c>
      <c r="J152" s="1165">
        <v>3</v>
      </c>
      <c r="K152" s="1166">
        <v>17697</v>
      </c>
      <c r="L152" s="1167">
        <v>18</v>
      </c>
      <c r="M152" s="1168">
        <v>1</v>
      </c>
      <c r="N152" s="1169" t="s">
        <v>109</v>
      </c>
      <c r="O152" s="1185">
        <v>4.03</v>
      </c>
      <c r="P152" s="1168">
        <f t="shared" si="45"/>
        <v>71318.91</v>
      </c>
      <c r="Q152" s="1168">
        <f t="shared" si="46"/>
        <v>17829.727500000001</v>
      </c>
      <c r="R152" s="1170">
        <v>0.25</v>
      </c>
      <c r="S152" s="1166">
        <f>(P152+Q152)*R152</f>
        <v>22287.159375000003</v>
      </c>
      <c r="T152" s="1166">
        <v>0.1</v>
      </c>
      <c r="U152" s="1171">
        <f t="shared" si="48"/>
        <v>11143.579687500001</v>
      </c>
      <c r="V152" s="1172"/>
      <c r="W152" s="1173"/>
      <c r="X152" s="1174">
        <f>P152+Q152+S152+U152</f>
        <v>122579.37656250002</v>
      </c>
      <c r="Y152" s="1175"/>
      <c r="Z152" s="1175"/>
      <c r="AA152" s="375"/>
    </row>
    <row r="153" spans="1:40" s="986" customFormat="1" ht="17.25" customHeight="1">
      <c r="A153" s="560">
        <v>128</v>
      </c>
      <c r="B153" s="661" t="s">
        <v>324</v>
      </c>
      <c r="C153" s="647" t="s">
        <v>99</v>
      </c>
      <c r="D153" s="663" t="s">
        <v>25</v>
      </c>
      <c r="E153" s="664" t="s">
        <v>613</v>
      </c>
      <c r="F153" s="664" t="s">
        <v>40</v>
      </c>
      <c r="G153" s="177">
        <v>1</v>
      </c>
      <c r="H153" s="177" t="s">
        <v>102</v>
      </c>
      <c r="I153" s="177" t="s">
        <v>103</v>
      </c>
      <c r="J153" s="178">
        <v>1</v>
      </c>
      <c r="K153" s="554">
        <v>17697</v>
      </c>
      <c r="L153" s="665">
        <v>14</v>
      </c>
      <c r="M153" s="567">
        <f t="shared" si="44"/>
        <v>0.77777777777777779</v>
      </c>
      <c r="N153" s="574" t="s">
        <v>152</v>
      </c>
      <c r="O153" s="567">
        <v>4.75</v>
      </c>
      <c r="P153" s="567">
        <f t="shared" si="45"/>
        <v>65380.583333333336</v>
      </c>
      <c r="Q153" s="697">
        <f t="shared" si="46"/>
        <v>16345.145833333334</v>
      </c>
      <c r="R153" s="666">
        <v>0.25</v>
      </c>
      <c r="S153" s="554">
        <f t="shared" si="47"/>
        <v>20431.432291666668</v>
      </c>
      <c r="T153" s="554">
        <v>0.1</v>
      </c>
      <c r="U153" s="567">
        <f t="shared" si="48"/>
        <v>10215.716145833336</v>
      </c>
      <c r="V153" s="19"/>
      <c r="W153" s="554"/>
      <c r="X153" s="570">
        <f t="shared" si="49"/>
        <v>112372.87760416669</v>
      </c>
      <c r="Y153" s="984">
        <f t="shared" si="50"/>
        <v>0.35</v>
      </c>
      <c r="Z153" s="984">
        <f t="shared" si="50"/>
        <v>30647.148437500004</v>
      </c>
      <c r="AA153" s="81">
        <f t="shared" si="51"/>
        <v>1348474.5312500002</v>
      </c>
      <c r="AB153" s="80">
        <f t="shared" si="27"/>
        <v>214554.42024661897</v>
      </c>
      <c r="AC153" s="80">
        <f t="shared" si="28"/>
        <v>1685593.1640625002</v>
      </c>
      <c r="AD153" s="80">
        <f t="shared" si="29"/>
        <v>268193.02530827373</v>
      </c>
    </row>
    <row r="154" spans="1:40" s="986" customFormat="1" ht="17.25" customHeight="1">
      <c r="A154" s="560">
        <v>129</v>
      </c>
      <c r="B154" s="662" t="s">
        <v>524</v>
      </c>
      <c r="C154" s="647" t="s">
        <v>525</v>
      </c>
      <c r="D154" s="663" t="s">
        <v>25</v>
      </c>
      <c r="E154" s="664" t="s">
        <v>595</v>
      </c>
      <c r="F154" s="664" t="s">
        <v>366</v>
      </c>
      <c r="G154" s="177">
        <v>1</v>
      </c>
      <c r="H154" s="177" t="s">
        <v>102</v>
      </c>
      <c r="I154" s="177" t="s">
        <v>103</v>
      </c>
      <c r="J154" s="178">
        <v>1</v>
      </c>
      <c r="K154" s="554">
        <v>17697</v>
      </c>
      <c r="L154" s="665">
        <v>18</v>
      </c>
      <c r="M154" s="567">
        <f t="shared" si="44"/>
        <v>1</v>
      </c>
      <c r="N154" s="997" t="s">
        <v>152</v>
      </c>
      <c r="O154" s="567">
        <v>4.6900000000000004</v>
      </c>
      <c r="P154" s="567">
        <f t="shared" si="45"/>
        <v>82998.930000000008</v>
      </c>
      <c r="Q154" s="697">
        <f t="shared" si="46"/>
        <v>20749.732500000002</v>
      </c>
      <c r="R154" s="666">
        <v>0.25</v>
      </c>
      <c r="S154" s="554">
        <f t="shared" si="47"/>
        <v>25937.165625000001</v>
      </c>
      <c r="T154" s="554">
        <v>0.1</v>
      </c>
      <c r="U154" s="567">
        <f t="shared" si="48"/>
        <v>12968.582812500001</v>
      </c>
      <c r="V154" s="19"/>
      <c r="W154" s="554"/>
      <c r="X154" s="570">
        <f>P154+Q154+S154+U154</f>
        <v>142654.41093750001</v>
      </c>
      <c r="Y154" s="985">
        <f t="shared" si="50"/>
        <v>0.35</v>
      </c>
      <c r="Z154" s="985">
        <f t="shared" si="50"/>
        <v>38905.748437500006</v>
      </c>
      <c r="AA154" s="81">
        <f t="shared" si="51"/>
        <v>1711852.9312500001</v>
      </c>
      <c r="AB154" s="80">
        <f t="shared" si="27"/>
        <v>272371.19033412891</v>
      </c>
      <c r="AC154" s="80">
        <f t="shared" si="28"/>
        <v>2139816.1640625</v>
      </c>
      <c r="AD154" s="80">
        <f t="shared" si="29"/>
        <v>340463.98791766108</v>
      </c>
    </row>
    <row r="155" spans="1:40" s="24" customFormat="1" ht="17.25" customHeight="1">
      <c r="A155" s="941"/>
      <c r="B155" s="672"/>
      <c r="C155" s="672"/>
      <c r="D155" s="673"/>
      <c r="E155" s="673"/>
      <c r="F155" s="672"/>
      <c r="G155" s="119"/>
      <c r="H155" s="119"/>
      <c r="I155" s="119"/>
      <c r="J155" s="120"/>
      <c r="K155" s="619"/>
      <c r="L155" s="987">
        <f>SUM(L138:L154)</f>
        <v>282</v>
      </c>
      <c r="M155" s="623"/>
      <c r="N155" s="675"/>
      <c r="O155" s="668"/>
      <c r="P155" s="623"/>
      <c r="Q155" s="1030"/>
      <c r="R155" s="676"/>
      <c r="S155" s="619"/>
      <c r="T155" s="619"/>
      <c r="U155" s="623"/>
      <c r="V155" s="625"/>
      <c r="W155" s="619"/>
      <c r="X155" s="626"/>
      <c r="Y155" s="104"/>
      <c r="Z155" s="104"/>
      <c r="AA155" s="81">
        <f>SUM(AA26:AA154)</f>
        <v>162662351.71625003</v>
      </c>
      <c r="AC155" s="24">
        <f>SUM(AC26:AC154)</f>
        <v>203327939.64531252</v>
      </c>
      <c r="AD155" s="24">
        <f>SUM(AD26:AD154)</f>
        <v>32351303.046191324</v>
      </c>
    </row>
    <row r="156" spans="1:40" s="390" customFormat="1" ht="18" customHeight="1">
      <c r="A156" s="703">
        <v>130</v>
      </c>
      <c r="B156" s="548" t="s">
        <v>605</v>
      </c>
      <c r="C156" s="647" t="s">
        <v>338</v>
      </c>
      <c r="D156" s="547" t="s">
        <v>64</v>
      </c>
      <c r="E156" s="704"/>
      <c r="F156" s="705"/>
      <c r="G156" s="1019">
        <v>1.5</v>
      </c>
      <c r="H156" s="577"/>
      <c r="I156" s="707"/>
      <c r="J156" s="577">
        <v>2</v>
      </c>
      <c r="K156" s="552">
        <v>17697</v>
      </c>
      <c r="L156" s="552"/>
      <c r="M156" s="556">
        <v>1.5</v>
      </c>
      <c r="N156" s="552"/>
      <c r="O156" s="552">
        <v>2.81</v>
      </c>
      <c r="P156" s="567">
        <f>K156*O156*M156</f>
        <v>74592.854999999996</v>
      </c>
      <c r="Q156" s="556"/>
      <c r="R156" s="552">
        <f>K156*P157*N156</f>
        <v>0</v>
      </c>
      <c r="S156" s="557"/>
      <c r="T156" s="708">
        <v>0.1</v>
      </c>
      <c r="U156" s="552">
        <f t="shared" ref="U156:U181" si="52">T156*P156</f>
        <v>7459.2855</v>
      </c>
      <c r="V156" s="552"/>
      <c r="W156" s="558"/>
      <c r="X156" s="559">
        <f t="shared" ref="X156:X181" si="53">P156+U156+W156</f>
        <v>82052.140499999994</v>
      </c>
      <c r="Y156" s="363">
        <f t="shared" ref="Y156:Z170" si="54">R156+V156+X156</f>
        <v>82052.140499999994</v>
      </c>
      <c r="Z156" s="363">
        <f t="shared" si="54"/>
        <v>82052.140499999994</v>
      </c>
      <c r="AA156" s="81">
        <f t="shared" si="51"/>
        <v>984625.68599999999</v>
      </c>
      <c r="AB156" s="389">
        <f>AA156/12/29.33*24</f>
        <v>67141.199181725198</v>
      </c>
      <c r="AC156" s="389"/>
      <c r="AD156" s="389"/>
      <c r="AE156" s="389"/>
      <c r="AF156" s="389"/>
      <c r="AG156" s="389"/>
      <c r="AH156" s="389"/>
      <c r="AI156" s="389"/>
      <c r="AJ156" s="389"/>
      <c r="AK156" s="389"/>
      <c r="AL156" s="389"/>
      <c r="AM156" s="389"/>
      <c r="AN156" s="389"/>
    </row>
    <row r="157" spans="1:40" s="390" customFormat="1" ht="15.75" customHeight="1">
      <c r="A157" s="709">
        <v>131</v>
      </c>
      <c r="B157" s="153" t="s">
        <v>332</v>
      </c>
      <c r="C157" s="647" t="s">
        <v>338</v>
      </c>
      <c r="D157" s="560" t="s">
        <v>64</v>
      </c>
      <c r="E157" s="710"/>
      <c r="F157" s="711"/>
      <c r="G157" s="717">
        <v>0.5</v>
      </c>
      <c r="H157" s="563"/>
      <c r="I157" s="689"/>
      <c r="J157" s="563">
        <v>2</v>
      </c>
      <c r="K157" s="554">
        <v>17697</v>
      </c>
      <c r="L157" s="554"/>
      <c r="M157" s="552">
        <v>0.5</v>
      </c>
      <c r="N157" s="554"/>
      <c r="O157" s="552">
        <v>2.81</v>
      </c>
      <c r="P157" s="567">
        <f t="shared" ref="P157:P181" si="55">K157*O157*M157</f>
        <v>24864.285</v>
      </c>
      <c r="Q157" s="556"/>
      <c r="R157" s="552">
        <f>K157*P158*N157</f>
        <v>0</v>
      </c>
      <c r="S157" s="568"/>
      <c r="T157" s="708">
        <v>0.1</v>
      </c>
      <c r="U157" s="552">
        <f t="shared" si="52"/>
        <v>2486.4285</v>
      </c>
      <c r="V157" s="554"/>
      <c r="W157" s="554"/>
      <c r="X157" s="559">
        <f t="shared" si="53"/>
        <v>27350.713499999998</v>
      </c>
      <c r="Y157" s="363">
        <f t="shared" si="54"/>
        <v>27350.713499999998</v>
      </c>
      <c r="Z157" s="363">
        <f t="shared" si="54"/>
        <v>27350.713499999998</v>
      </c>
      <c r="AA157" s="81">
        <f t="shared" si="51"/>
        <v>328208.56199999998</v>
      </c>
      <c r="AB157" s="389">
        <f t="shared" ref="AB157:AB181" si="56">AA157/12/29.33*24</f>
        <v>22380.399727241733</v>
      </c>
      <c r="AC157" s="389"/>
      <c r="AD157" s="389"/>
      <c r="AE157" s="389"/>
      <c r="AF157" s="389"/>
      <c r="AG157" s="389"/>
      <c r="AH157" s="389"/>
      <c r="AI157" s="389"/>
      <c r="AJ157" s="389"/>
      <c r="AK157" s="389"/>
      <c r="AL157" s="389"/>
      <c r="AM157" s="389"/>
      <c r="AN157" s="389"/>
    </row>
    <row r="158" spans="1:40" s="377" customFormat="1" ht="15.75">
      <c r="A158" s="703">
        <v>132</v>
      </c>
      <c r="B158" s="153" t="s">
        <v>735</v>
      </c>
      <c r="C158" s="647" t="s">
        <v>338</v>
      </c>
      <c r="D158" s="560" t="s">
        <v>64</v>
      </c>
      <c r="E158" s="710"/>
      <c r="F158" s="560"/>
      <c r="G158" s="717">
        <v>0.5</v>
      </c>
      <c r="H158" s="563"/>
      <c r="I158" s="689"/>
      <c r="J158" s="563">
        <v>2</v>
      </c>
      <c r="K158" s="554">
        <v>17697</v>
      </c>
      <c r="L158" s="554"/>
      <c r="M158" s="554">
        <v>0.5</v>
      </c>
      <c r="N158" s="554"/>
      <c r="O158" s="554">
        <v>2.81</v>
      </c>
      <c r="P158" s="567">
        <f t="shared" si="55"/>
        <v>24864.285</v>
      </c>
      <c r="Q158" s="556"/>
      <c r="R158" s="552">
        <f>K158*P159*N158</f>
        <v>0</v>
      </c>
      <c r="S158" s="554"/>
      <c r="T158" s="708">
        <v>0.1</v>
      </c>
      <c r="U158" s="552">
        <f t="shared" si="52"/>
        <v>2486.4285</v>
      </c>
      <c r="V158" s="554"/>
      <c r="W158" s="554"/>
      <c r="X158" s="559">
        <f t="shared" si="53"/>
        <v>27350.713499999998</v>
      </c>
      <c r="Y158" s="363">
        <f t="shared" si="54"/>
        <v>27350.713499999998</v>
      </c>
      <c r="Z158" s="363">
        <f t="shared" si="54"/>
        <v>27350.713499999998</v>
      </c>
      <c r="AA158" s="81">
        <f t="shared" si="51"/>
        <v>328208.56199999998</v>
      </c>
      <c r="AB158" s="389">
        <f t="shared" si="56"/>
        <v>22380.399727241733</v>
      </c>
    </row>
    <row r="159" spans="1:40" s="377" customFormat="1" ht="15.75">
      <c r="A159" s="709">
        <v>133</v>
      </c>
      <c r="B159" s="153" t="s">
        <v>335</v>
      </c>
      <c r="C159" s="561" t="s">
        <v>336</v>
      </c>
      <c r="D159" s="560" t="s">
        <v>64</v>
      </c>
      <c r="E159" s="710"/>
      <c r="F159" s="560"/>
      <c r="G159" s="717">
        <v>1.5</v>
      </c>
      <c r="H159" s="563"/>
      <c r="I159" s="689"/>
      <c r="J159" s="563">
        <v>4</v>
      </c>
      <c r="K159" s="554">
        <v>17697</v>
      </c>
      <c r="L159" s="554"/>
      <c r="M159" s="554">
        <v>1.5</v>
      </c>
      <c r="N159" s="554"/>
      <c r="O159" s="554">
        <v>2.89</v>
      </c>
      <c r="P159" s="567">
        <f t="shared" si="55"/>
        <v>76716.494999999995</v>
      </c>
      <c r="Q159" s="556"/>
      <c r="R159" s="552">
        <f>K159*P160*N159</f>
        <v>0</v>
      </c>
      <c r="S159" s="554"/>
      <c r="T159" s="708">
        <v>0.1</v>
      </c>
      <c r="U159" s="552">
        <f t="shared" si="52"/>
        <v>7671.6494999999995</v>
      </c>
      <c r="V159" s="554"/>
      <c r="W159" s="554"/>
      <c r="X159" s="559">
        <f t="shared" si="53"/>
        <v>84388.144499999995</v>
      </c>
      <c r="Y159" s="363">
        <f t="shared" si="54"/>
        <v>84388.144499999995</v>
      </c>
      <c r="Z159" s="363">
        <f t="shared" si="54"/>
        <v>84388.144499999995</v>
      </c>
      <c r="AA159" s="81">
        <f t="shared" si="51"/>
        <v>1012657.7339999999</v>
      </c>
      <c r="AB159" s="389">
        <f t="shared" si="56"/>
        <v>69052.692396863276</v>
      </c>
    </row>
    <row r="160" spans="1:40" s="364" customFormat="1" ht="15.75">
      <c r="A160" s="703">
        <v>134</v>
      </c>
      <c r="B160" s="646" t="s">
        <v>337</v>
      </c>
      <c r="C160" s="647" t="s">
        <v>338</v>
      </c>
      <c r="D160" s="628" t="s">
        <v>64</v>
      </c>
      <c r="E160" s="713"/>
      <c r="F160" s="628"/>
      <c r="G160" s="628">
        <v>0.5</v>
      </c>
      <c r="H160" s="714"/>
      <c r="I160" s="715"/>
      <c r="J160" s="628">
        <v>2</v>
      </c>
      <c r="K160" s="715">
        <v>17697</v>
      </c>
      <c r="L160" s="715"/>
      <c r="M160" s="554">
        <v>0.5</v>
      </c>
      <c r="N160" s="554"/>
      <c r="O160" s="552">
        <v>2.81</v>
      </c>
      <c r="P160" s="567">
        <f t="shared" si="55"/>
        <v>24864.285</v>
      </c>
      <c r="Q160" s="556"/>
      <c r="R160" s="552">
        <f>K160*P161*N160</f>
        <v>0</v>
      </c>
      <c r="S160" s="554"/>
      <c r="T160" s="708">
        <v>0.1</v>
      </c>
      <c r="U160" s="552">
        <f t="shared" si="52"/>
        <v>2486.4285</v>
      </c>
      <c r="V160" s="554"/>
      <c r="W160" s="554"/>
      <c r="X160" s="559">
        <f t="shared" si="53"/>
        <v>27350.713499999998</v>
      </c>
      <c r="Y160" s="363">
        <f t="shared" si="54"/>
        <v>27350.713499999998</v>
      </c>
      <c r="Z160" s="363">
        <f t="shared" si="54"/>
        <v>27350.713499999998</v>
      </c>
      <c r="AA160" s="81">
        <f t="shared" si="51"/>
        <v>328208.56199999998</v>
      </c>
      <c r="AB160" s="389">
        <f t="shared" si="56"/>
        <v>22380.399727241733</v>
      </c>
    </row>
    <row r="161" spans="1:40" s="364" customFormat="1" ht="15.75">
      <c r="A161" s="709">
        <v>135</v>
      </c>
      <c r="B161" s="646" t="s">
        <v>382</v>
      </c>
      <c r="C161" s="647" t="s">
        <v>338</v>
      </c>
      <c r="D161" s="560" t="s">
        <v>64</v>
      </c>
      <c r="E161" s="713"/>
      <c r="F161" s="646"/>
      <c r="G161" s="628">
        <v>0.5</v>
      </c>
      <c r="H161" s="714"/>
      <c r="I161" s="715"/>
      <c r="J161" s="628">
        <v>2</v>
      </c>
      <c r="K161" s="715">
        <v>17697</v>
      </c>
      <c r="L161" s="715"/>
      <c r="M161" s="554">
        <v>0.5</v>
      </c>
      <c r="N161" s="554"/>
      <c r="O161" s="552">
        <v>2.81</v>
      </c>
      <c r="P161" s="567">
        <f t="shared" si="55"/>
        <v>24864.285</v>
      </c>
      <c r="Q161" s="556"/>
      <c r="R161" s="552">
        <f>K161*P163*N161</f>
        <v>0</v>
      </c>
      <c r="S161" s="554"/>
      <c r="T161" s="708">
        <v>0.1</v>
      </c>
      <c r="U161" s="552">
        <f t="shared" si="52"/>
        <v>2486.4285</v>
      </c>
      <c r="V161" s="554"/>
      <c r="W161" s="554"/>
      <c r="X161" s="559">
        <f t="shared" si="53"/>
        <v>27350.713499999998</v>
      </c>
      <c r="Y161" s="363">
        <f t="shared" si="54"/>
        <v>27350.713499999998</v>
      </c>
      <c r="Z161" s="363">
        <f t="shared" si="54"/>
        <v>27350.713499999998</v>
      </c>
      <c r="AA161" s="81">
        <f t="shared" si="51"/>
        <v>328208.56199999998</v>
      </c>
      <c r="AB161" s="389">
        <f t="shared" si="56"/>
        <v>22380.399727241733</v>
      </c>
    </row>
    <row r="162" spans="1:40" s="364" customFormat="1" ht="15.75">
      <c r="A162" s="703">
        <v>136</v>
      </c>
      <c r="B162" s="646" t="s">
        <v>383</v>
      </c>
      <c r="C162" s="647" t="s">
        <v>338</v>
      </c>
      <c r="D162" s="560" t="s">
        <v>75</v>
      </c>
      <c r="E162" s="713"/>
      <c r="F162" s="716"/>
      <c r="G162" s="628">
        <v>1</v>
      </c>
      <c r="H162" s="714"/>
      <c r="I162" s="715"/>
      <c r="J162" s="628">
        <v>2</v>
      </c>
      <c r="K162" s="715">
        <v>17697</v>
      </c>
      <c r="L162" s="715"/>
      <c r="M162" s="554">
        <v>1</v>
      </c>
      <c r="N162" s="554"/>
      <c r="O162" s="552">
        <v>2.81</v>
      </c>
      <c r="P162" s="567">
        <f t="shared" si="55"/>
        <v>49728.57</v>
      </c>
      <c r="Q162" s="556"/>
      <c r="R162" s="552">
        <f>K162*P164*N162</f>
        <v>0</v>
      </c>
      <c r="S162" s="554"/>
      <c r="T162" s="708">
        <v>0.1</v>
      </c>
      <c r="U162" s="552">
        <f t="shared" si="52"/>
        <v>4972.857</v>
      </c>
      <c r="V162" s="554"/>
      <c r="W162" s="554"/>
      <c r="X162" s="559">
        <f t="shared" si="53"/>
        <v>54701.426999999996</v>
      </c>
      <c r="Y162" s="363">
        <f>R162+V162+X162</f>
        <v>54701.426999999996</v>
      </c>
      <c r="Z162" s="363">
        <f>S162+W162+Y162</f>
        <v>54701.426999999996</v>
      </c>
      <c r="AA162" s="81">
        <f t="shared" si="51"/>
        <v>656417.12399999995</v>
      </c>
      <c r="AB162" s="389">
        <f t="shared" si="56"/>
        <v>44760.799454483466</v>
      </c>
    </row>
    <row r="163" spans="1:40" s="390" customFormat="1" ht="15.75">
      <c r="A163" s="709">
        <v>137</v>
      </c>
      <c r="B163" s="153" t="s">
        <v>339</v>
      </c>
      <c r="C163" s="647" t="s">
        <v>340</v>
      </c>
      <c r="D163" s="560" t="s">
        <v>64</v>
      </c>
      <c r="E163" s="563"/>
      <c r="F163" s="711"/>
      <c r="G163" s="712">
        <v>1</v>
      </c>
      <c r="H163" s="563"/>
      <c r="I163" s="689"/>
      <c r="J163" s="563">
        <v>2</v>
      </c>
      <c r="K163" s="554">
        <v>17697</v>
      </c>
      <c r="L163" s="554"/>
      <c r="M163" s="554">
        <v>1</v>
      </c>
      <c r="N163" s="554"/>
      <c r="O163" s="552">
        <v>2.81</v>
      </c>
      <c r="P163" s="567">
        <f t="shared" si="55"/>
        <v>49728.57</v>
      </c>
      <c r="Q163" s="556"/>
      <c r="R163" s="552">
        <f t="shared" ref="R163:R181" si="57">K163*P164*N163</f>
        <v>0</v>
      </c>
      <c r="S163" s="568"/>
      <c r="T163" s="708">
        <v>0.1</v>
      </c>
      <c r="U163" s="552">
        <f t="shared" si="52"/>
        <v>4972.857</v>
      </c>
      <c r="V163" s="569">
        <v>0.3</v>
      </c>
      <c r="W163" s="554">
        <f t="shared" ref="W163:W166" si="58">V163*K163</f>
        <v>5309.0999999999995</v>
      </c>
      <c r="X163" s="559">
        <f t="shared" si="53"/>
        <v>60010.526999999995</v>
      </c>
      <c r="Y163" s="363">
        <f t="shared" si="54"/>
        <v>60010.826999999997</v>
      </c>
      <c r="Z163" s="363">
        <f t="shared" si="54"/>
        <v>65319.926999999996</v>
      </c>
      <c r="AA163" s="81">
        <f t="shared" si="51"/>
        <v>720126.32399999991</v>
      </c>
      <c r="AB163" s="389">
        <f t="shared" si="56"/>
        <v>49105.102216160922</v>
      </c>
      <c r="AC163" s="389"/>
      <c r="AD163" s="389"/>
      <c r="AE163" s="389"/>
      <c r="AF163" s="389"/>
      <c r="AG163" s="389"/>
      <c r="AH163" s="389"/>
      <c r="AI163" s="389"/>
      <c r="AJ163" s="389"/>
      <c r="AK163" s="389"/>
      <c r="AL163" s="389"/>
      <c r="AM163" s="389"/>
      <c r="AN163" s="389"/>
    </row>
    <row r="164" spans="1:40" s="390" customFormat="1" ht="15.75">
      <c r="A164" s="703">
        <v>138</v>
      </c>
      <c r="B164" s="153" t="s">
        <v>341</v>
      </c>
      <c r="C164" s="647" t="s">
        <v>340</v>
      </c>
      <c r="D164" s="560" t="s">
        <v>64</v>
      </c>
      <c r="E164" s="563"/>
      <c r="F164" s="711"/>
      <c r="G164" s="712">
        <v>1</v>
      </c>
      <c r="H164" s="563"/>
      <c r="I164" s="689"/>
      <c r="J164" s="563">
        <v>2</v>
      </c>
      <c r="K164" s="554">
        <v>17697</v>
      </c>
      <c r="L164" s="554"/>
      <c r="M164" s="554">
        <v>1</v>
      </c>
      <c r="N164" s="554"/>
      <c r="O164" s="552">
        <v>2.81</v>
      </c>
      <c r="P164" s="567">
        <f t="shared" si="55"/>
        <v>49728.57</v>
      </c>
      <c r="Q164" s="556"/>
      <c r="R164" s="552">
        <f t="shared" si="57"/>
        <v>0</v>
      </c>
      <c r="S164" s="568"/>
      <c r="T164" s="708">
        <v>0.1</v>
      </c>
      <c r="U164" s="552">
        <f t="shared" si="52"/>
        <v>4972.857</v>
      </c>
      <c r="V164" s="569">
        <v>0.3</v>
      </c>
      <c r="W164" s="554">
        <f t="shared" si="58"/>
        <v>5309.0999999999995</v>
      </c>
      <c r="X164" s="559">
        <f t="shared" si="53"/>
        <v>60010.526999999995</v>
      </c>
      <c r="Y164" s="363">
        <f t="shared" si="54"/>
        <v>60010.826999999997</v>
      </c>
      <c r="Z164" s="363">
        <f t="shared" si="54"/>
        <v>65319.926999999996</v>
      </c>
      <c r="AA164" s="81">
        <f t="shared" si="51"/>
        <v>720126.32399999991</v>
      </c>
      <c r="AB164" s="389">
        <f t="shared" si="56"/>
        <v>49105.102216160922</v>
      </c>
      <c r="AC164" s="389"/>
      <c r="AD164" s="389"/>
      <c r="AE164" s="389"/>
      <c r="AF164" s="389"/>
      <c r="AG164" s="389"/>
      <c r="AH164" s="389"/>
      <c r="AI164" s="389"/>
      <c r="AJ164" s="389"/>
      <c r="AK164" s="389"/>
      <c r="AL164" s="389"/>
      <c r="AM164" s="389"/>
      <c r="AN164" s="389"/>
    </row>
    <row r="165" spans="1:40" s="390" customFormat="1" ht="15.75">
      <c r="A165" s="709">
        <v>139</v>
      </c>
      <c r="B165" s="153" t="s">
        <v>342</v>
      </c>
      <c r="C165" s="647" t="s">
        <v>340</v>
      </c>
      <c r="D165" s="560" t="s">
        <v>64</v>
      </c>
      <c r="E165" s="563"/>
      <c r="F165" s="711"/>
      <c r="G165" s="712">
        <v>1</v>
      </c>
      <c r="H165" s="563"/>
      <c r="I165" s="689"/>
      <c r="J165" s="563">
        <v>2</v>
      </c>
      <c r="K165" s="554">
        <v>17697</v>
      </c>
      <c r="L165" s="554"/>
      <c r="M165" s="554">
        <v>1</v>
      </c>
      <c r="N165" s="554"/>
      <c r="O165" s="552">
        <v>2.81</v>
      </c>
      <c r="P165" s="567">
        <f t="shared" si="55"/>
        <v>49728.57</v>
      </c>
      <c r="Q165" s="556"/>
      <c r="R165" s="552">
        <f t="shared" si="57"/>
        <v>0</v>
      </c>
      <c r="S165" s="568"/>
      <c r="T165" s="708">
        <v>0.1</v>
      </c>
      <c r="U165" s="552">
        <f t="shared" si="52"/>
        <v>4972.857</v>
      </c>
      <c r="V165" s="569">
        <v>0.3</v>
      </c>
      <c r="W165" s="554">
        <f t="shared" si="58"/>
        <v>5309.0999999999995</v>
      </c>
      <c r="X165" s="559">
        <f t="shared" si="53"/>
        <v>60010.526999999995</v>
      </c>
      <c r="Y165" s="363">
        <f t="shared" si="54"/>
        <v>60010.826999999997</v>
      </c>
      <c r="Z165" s="363">
        <f t="shared" si="54"/>
        <v>65319.926999999996</v>
      </c>
      <c r="AA165" s="81">
        <f t="shared" si="51"/>
        <v>720126.32399999991</v>
      </c>
      <c r="AB165" s="389">
        <f t="shared" si="56"/>
        <v>49105.102216160922</v>
      </c>
      <c r="AC165" s="389"/>
      <c r="AD165" s="389"/>
      <c r="AE165" s="389"/>
      <c r="AF165" s="389"/>
      <c r="AG165" s="389"/>
      <c r="AH165" s="389"/>
      <c r="AI165" s="389"/>
      <c r="AJ165" s="389"/>
      <c r="AK165" s="389"/>
      <c r="AL165" s="389"/>
      <c r="AM165" s="389"/>
      <c r="AN165" s="389"/>
    </row>
    <row r="166" spans="1:40" s="390" customFormat="1" ht="15.75">
      <c r="A166" s="703">
        <v>140</v>
      </c>
      <c r="B166" s="153" t="s">
        <v>343</v>
      </c>
      <c r="C166" s="647" t="s">
        <v>340</v>
      </c>
      <c r="D166" s="560" t="s">
        <v>64</v>
      </c>
      <c r="E166" s="563"/>
      <c r="F166" s="711"/>
      <c r="G166" s="712">
        <v>1</v>
      </c>
      <c r="H166" s="563"/>
      <c r="I166" s="689"/>
      <c r="J166" s="563">
        <v>2</v>
      </c>
      <c r="K166" s="554">
        <v>17697</v>
      </c>
      <c r="L166" s="554"/>
      <c r="M166" s="554">
        <v>1</v>
      </c>
      <c r="N166" s="554"/>
      <c r="O166" s="552">
        <v>2.81</v>
      </c>
      <c r="P166" s="567">
        <f t="shared" si="55"/>
        <v>49728.57</v>
      </c>
      <c r="Q166" s="556"/>
      <c r="R166" s="552">
        <f t="shared" si="57"/>
        <v>0</v>
      </c>
      <c r="S166" s="568"/>
      <c r="T166" s="708">
        <v>0.1</v>
      </c>
      <c r="U166" s="552">
        <f t="shared" si="52"/>
        <v>4972.857</v>
      </c>
      <c r="V166" s="569">
        <v>0.3</v>
      </c>
      <c r="W166" s="554">
        <f t="shared" si="58"/>
        <v>5309.0999999999995</v>
      </c>
      <c r="X166" s="559">
        <f t="shared" si="53"/>
        <v>60010.526999999995</v>
      </c>
      <c r="Y166" s="363">
        <f t="shared" si="54"/>
        <v>60010.826999999997</v>
      </c>
      <c r="Z166" s="363">
        <f t="shared" si="54"/>
        <v>65319.926999999996</v>
      </c>
      <c r="AA166" s="81">
        <f t="shared" si="51"/>
        <v>720126.32399999991</v>
      </c>
      <c r="AB166" s="389">
        <f t="shared" si="56"/>
        <v>49105.102216160922</v>
      </c>
      <c r="AC166" s="389"/>
      <c r="AD166" s="389"/>
      <c r="AE166" s="389"/>
      <c r="AF166" s="389"/>
      <c r="AG166" s="389"/>
      <c r="AH166" s="389"/>
      <c r="AI166" s="389"/>
      <c r="AJ166" s="389"/>
      <c r="AK166" s="389"/>
      <c r="AL166" s="389"/>
      <c r="AM166" s="389"/>
      <c r="AN166" s="389"/>
    </row>
    <row r="167" spans="1:40" s="80" customFormat="1" ht="15.75">
      <c r="A167" s="1145">
        <v>141</v>
      </c>
      <c r="B167" s="1060" t="s">
        <v>734</v>
      </c>
      <c r="C167" s="1063" t="s">
        <v>340</v>
      </c>
      <c r="D167" s="290" t="s">
        <v>64</v>
      </c>
      <c r="E167" s="1061"/>
      <c r="F167" s="1146"/>
      <c r="G167" s="1119" t="s">
        <v>409</v>
      </c>
      <c r="H167" s="1061"/>
      <c r="I167" s="1147"/>
      <c r="J167" s="1061">
        <v>2</v>
      </c>
      <c r="K167" s="1039">
        <v>17697</v>
      </c>
      <c r="L167" s="1039"/>
      <c r="M167" s="1039">
        <v>1</v>
      </c>
      <c r="N167" s="1039"/>
      <c r="O167" s="1038">
        <v>2.81</v>
      </c>
      <c r="P167" s="1049">
        <f>K167*O167*M167*G167</f>
        <v>74592.854999999996</v>
      </c>
      <c r="Q167" s="328"/>
      <c r="R167" s="552">
        <f t="shared" si="57"/>
        <v>0</v>
      </c>
      <c r="S167" s="1039"/>
      <c r="T167" s="1148">
        <v>0.1</v>
      </c>
      <c r="U167" s="1038">
        <f t="shared" si="52"/>
        <v>7459.2855</v>
      </c>
      <c r="V167" s="1051">
        <v>0.3</v>
      </c>
      <c r="W167" s="1039">
        <f>V167*K167*1.5</f>
        <v>7963.65</v>
      </c>
      <c r="X167" s="1040">
        <f>P167+U167+W167</f>
        <v>90015.790499999988</v>
      </c>
      <c r="Y167" s="319">
        <f t="shared" si="54"/>
        <v>90016.090499999991</v>
      </c>
      <c r="Z167" s="319">
        <f t="shared" si="54"/>
        <v>97979.740499999985</v>
      </c>
      <c r="AA167" s="81">
        <f t="shared" si="51"/>
        <v>1080189.4859999998</v>
      </c>
      <c r="AB167" s="79">
        <f t="shared" si="56"/>
        <v>73657.653324241386</v>
      </c>
    </row>
    <row r="168" spans="1:40" s="80" customFormat="1" ht="15.75">
      <c r="A168" s="1145">
        <v>143</v>
      </c>
      <c r="B168" s="1060" t="s">
        <v>506</v>
      </c>
      <c r="C168" s="1063" t="s">
        <v>340</v>
      </c>
      <c r="D168" s="290" t="s">
        <v>64</v>
      </c>
      <c r="E168" s="1061"/>
      <c r="F168" s="1149"/>
      <c r="G168" s="1119" t="s">
        <v>409</v>
      </c>
      <c r="H168" s="1061"/>
      <c r="I168" s="1147"/>
      <c r="J168" s="1061">
        <v>2</v>
      </c>
      <c r="K168" s="1039">
        <v>17697</v>
      </c>
      <c r="L168" s="1039"/>
      <c r="M168" s="1039">
        <v>1</v>
      </c>
      <c r="N168" s="1039"/>
      <c r="O168" s="1038">
        <v>2.81</v>
      </c>
      <c r="P168" s="1049">
        <f>K168*O168*M168*G168</f>
        <v>74592.854999999996</v>
      </c>
      <c r="Q168" s="328"/>
      <c r="R168" s="552">
        <f t="shared" si="57"/>
        <v>0</v>
      </c>
      <c r="S168" s="1039"/>
      <c r="T168" s="1148">
        <v>0.1</v>
      </c>
      <c r="U168" s="1038">
        <f t="shared" si="52"/>
        <v>7459.2855</v>
      </c>
      <c r="V168" s="1051">
        <v>0.3</v>
      </c>
      <c r="W168" s="1039">
        <f>V168*K168*1.5</f>
        <v>7963.65</v>
      </c>
      <c r="X168" s="1040">
        <f t="shared" si="53"/>
        <v>90015.790499999988</v>
      </c>
      <c r="Y168" s="319">
        <f t="shared" si="54"/>
        <v>90016.090499999991</v>
      </c>
      <c r="Z168" s="319">
        <f t="shared" si="54"/>
        <v>97979.740499999985</v>
      </c>
      <c r="AA168" s="81">
        <f t="shared" si="51"/>
        <v>1080189.4859999998</v>
      </c>
      <c r="AB168" s="79">
        <f t="shared" si="56"/>
        <v>73657.653324241386</v>
      </c>
    </row>
    <row r="169" spans="1:40" s="364" customFormat="1" ht="15.75">
      <c r="A169" s="703">
        <v>144</v>
      </c>
      <c r="B169" s="646" t="s">
        <v>507</v>
      </c>
      <c r="C169" s="647" t="s">
        <v>340</v>
      </c>
      <c r="D169" s="560" t="s">
        <v>64</v>
      </c>
      <c r="E169" s="713"/>
      <c r="F169" s="628"/>
      <c r="G169" s="712" t="s">
        <v>563</v>
      </c>
      <c r="H169" s="714"/>
      <c r="I169" s="715"/>
      <c r="J169" s="563">
        <v>2</v>
      </c>
      <c r="K169" s="715">
        <v>17697</v>
      </c>
      <c r="L169" s="715"/>
      <c r="M169" s="554">
        <v>1.3</v>
      </c>
      <c r="N169" s="554"/>
      <c r="O169" s="552">
        <v>2.81</v>
      </c>
      <c r="P169" s="567">
        <f t="shared" si="55"/>
        <v>64647.141000000003</v>
      </c>
      <c r="Q169" s="556"/>
      <c r="R169" s="552">
        <f t="shared" si="57"/>
        <v>0</v>
      </c>
      <c r="S169" s="554"/>
      <c r="T169" s="708">
        <v>0.1</v>
      </c>
      <c r="U169" s="552">
        <f t="shared" si="52"/>
        <v>6464.7141000000011</v>
      </c>
      <c r="V169" s="569">
        <v>0.3</v>
      </c>
      <c r="W169" s="554">
        <f>V169*K169/1*1.3</f>
        <v>6901.83</v>
      </c>
      <c r="X169" s="559">
        <f t="shared" si="53"/>
        <v>78013.685100000002</v>
      </c>
      <c r="Y169" s="363">
        <f t="shared" si="54"/>
        <v>78013.985100000005</v>
      </c>
      <c r="Z169" s="363">
        <f t="shared" si="54"/>
        <v>84915.815100000007</v>
      </c>
      <c r="AA169" s="81">
        <f t="shared" si="51"/>
        <v>936164.22120000003</v>
      </c>
      <c r="AB169" s="389">
        <f t="shared" si="56"/>
        <v>63836.632881009216</v>
      </c>
    </row>
    <row r="170" spans="1:40" s="377" customFormat="1" ht="15.75">
      <c r="A170" s="709">
        <v>145</v>
      </c>
      <c r="B170" s="718" t="s">
        <v>508</v>
      </c>
      <c r="C170" s="719" t="s">
        <v>340</v>
      </c>
      <c r="D170" s="720" t="s">
        <v>75</v>
      </c>
      <c r="E170" s="720"/>
      <c r="F170" s="721"/>
      <c r="G170" s="720">
        <v>1</v>
      </c>
      <c r="H170" s="722"/>
      <c r="I170" s="722"/>
      <c r="J170" s="601">
        <v>2</v>
      </c>
      <c r="K170" s="723">
        <v>17697</v>
      </c>
      <c r="L170" s="723"/>
      <c r="M170" s="554">
        <v>1</v>
      </c>
      <c r="N170" s="723"/>
      <c r="O170" s="552">
        <v>2.81</v>
      </c>
      <c r="P170" s="567">
        <f t="shared" si="55"/>
        <v>49728.57</v>
      </c>
      <c r="Q170" s="556"/>
      <c r="R170" s="552">
        <f t="shared" si="57"/>
        <v>0</v>
      </c>
      <c r="S170" s="723"/>
      <c r="T170" s="708">
        <v>0.1</v>
      </c>
      <c r="U170" s="552">
        <f t="shared" si="52"/>
        <v>4972.857</v>
      </c>
      <c r="V170" s="609">
        <v>0.3</v>
      </c>
      <c r="W170" s="605">
        <f>V170*K170</f>
        <v>5309.0999999999995</v>
      </c>
      <c r="X170" s="559">
        <f t="shared" si="53"/>
        <v>60010.526999999995</v>
      </c>
      <c r="Y170" s="363">
        <f t="shared" si="54"/>
        <v>60010.826999999997</v>
      </c>
      <c r="Z170" s="363">
        <f t="shared" si="54"/>
        <v>65319.926999999996</v>
      </c>
      <c r="AA170" s="81">
        <f t="shared" si="51"/>
        <v>720126.32399999991</v>
      </c>
      <c r="AB170" s="389">
        <f t="shared" si="56"/>
        <v>49105.102216160922</v>
      </c>
      <c r="AC170" s="375"/>
      <c r="AD170" s="375"/>
      <c r="AE170" s="376"/>
      <c r="AF170" s="374"/>
      <c r="AG170" s="375"/>
    </row>
    <row r="171" spans="1:40" s="390" customFormat="1" ht="15.75">
      <c r="A171" s="703">
        <v>146</v>
      </c>
      <c r="B171" s="153" t="s">
        <v>345</v>
      </c>
      <c r="C171" s="561" t="s">
        <v>346</v>
      </c>
      <c r="D171" s="560" t="s">
        <v>64</v>
      </c>
      <c r="E171" s="563"/>
      <c r="F171" s="711"/>
      <c r="G171" s="712">
        <v>1</v>
      </c>
      <c r="H171" s="563"/>
      <c r="I171" s="689"/>
      <c r="J171" s="563">
        <v>1</v>
      </c>
      <c r="K171" s="554">
        <v>17697</v>
      </c>
      <c r="L171" s="554"/>
      <c r="M171" s="723">
        <v>1</v>
      </c>
      <c r="N171" s="554"/>
      <c r="O171" s="554">
        <v>2.77</v>
      </c>
      <c r="P171" s="567">
        <f t="shared" si="55"/>
        <v>49020.69</v>
      </c>
      <c r="Q171" s="556"/>
      <c r="R171" s="552">
        <f t="shared" si="57"/>
        <v>0</v>
      </c>
      <c r="S171" s="568"/>
      <c r="T171" s="708">
        <v>0.1</v>
      </c>
      <c r="U171" s="552">
        <f t="shared" si="52"/>
        <v>4902.0690000000004</v>
      </c>
      <c r="V171" s="724">
        <v>0.5</v>
      </c>
      <c r="W171" s="593">
        <v>12439.34</v>
      </c>
      <c r="X171" s="559">
        <f t="shared" si="53"/>
        <v>66362.099000000002</v>
      </c>
      <c r="Y171" s="363">
        <f>R171+V171+X171</f>
        <v>66362.599000000002</v>
      </c>
      <c r="Z171" s="363">
        <f>S171+W171+Y171</f>
        <v>78801.938999999998</v>
      </c>
      <c r="AA171" s="81">
        <f t="shared" si="51"/>
        <v>796345.18800000008</v>
      </c>
      <c r="AB171" s="389">
        <f t="shared" si="56"/>
        <v>54302.433549266971</v>
      </c>
      <c r="AC171" s="389"/>
      <c r="AD171" s="389"/>
      <c r="AE171" s="389"/>
      <c r="AF171" s="389"/>
      <c r="AG171" s="389"/>
      <c r="AH171" s="389"/>
      <c r="AI171" s="389"/>
      <c r="AJ171" s="389"/>
      <c r="AK171" s="389"/>
      <c r="AL171" s="389"/>
      <c r="AM171" s="389"/>
      <c r="AN171" s="389"/>
    </row>
    <row r="172" spans="1:40" s="390" customFormat="1" ht="15.75">
      <c r="A172" s="709">
        <v>147</v>
      </c>
      <c r="B172" s="153" t="s">
        <v>347</v>
      </c>
      <c r="C172" s="561" t="s">
        <v>346</v>
      </c>
      <c r="D172" s="560" t="s">
        <v>25</v>
      </c>
      <c r="E172" s="563"/>
      <c r="F172" s="560"/>
      <c r="G172" s="712">
        <v>1</v>
      </c>
      <c r="H172" s="563"/>
      <c r="I172" s="689"/>
      <c r="J172" s="563">
        <v>1</v>
      </c>
      <c r="K172" s="554">
        <v>17697</v>
      </c>
      <c r="L172" s="554"/>
      <c r="M172" s="554">
        <v>1</v>
      </c>
      <c r="N172" s="554"/>
      <c r="O172" s="554">
        <v>2.77</v>
      </c>
      <c r="P172" s="567">
        <f t="shared" si="55"/>
        <v>49020.69</v>
      </c>
      <c r="Q172" s="556"/>
      <c r="R172" s="552">
        <f t="shared" si="57"/>
        <v>0</v>
      </c>
      <c r="S172" s="568"/>
      <c r="T172" s="708">
        <v>0.1</v>
      </c>
      <c r="U172" s="552">
        <f t="shared" si="52"/>
        <v>4902.0690000000004</v>
      </c>
      <c r="V172" s="724">
        <v>0.5</v>
      </c>
      <c r="W172" s="593">
        <v>12439.34</v>
      </c>
      <c r="X172" s="559">
        <f t="shared" si="53"/>
        <v>66362.099000000002</v>
      </c>
      <c r="Y172" s="363">
        <f t="shared" ref="Y172:Z181" si="59">R172+V172+X172</f>
        <v>66362.599000000002</v>
      </c>
      <c r="Z172" s="363">
        <f t="shared" si="59"/>
        <v>78801.938999999998</v>
      </c>
      <c r="AA172" s="81">
        <f t="shared" si="51"/>
        <v>796345.18800000008</v>
      </c>
      <c r="AB172" s="389">
        <f t="shared" si="56"/>
        <v>54302.433549266971</v>
      </c>
      <c r="AC172" s="389"/>
      <c r="AD172" s="389"/>
      <c r="AE172" s="389"/>
      <c r="AF172" s="389"/>
      <c r="AG172" s="389"/>
      <c r="AH172" s="389"/>
      <c r="AI172" s="389"/>
      <c r="AJ172" s="389"/>
      <c r="AK172" s="389"/>
      <c r="AL172" s="389"/>
      <c r="AM172" s="389"/>
      <c r="AN172" s="389"/>
    </row>
    <row r="173" spans="1:40" s="390" customFormat="1" ht="15.75">
      <c r="A173" s="703">
        <v>148</v>
      </c>
      <c r="B173" s="153" t="s">
        <v>606</v>
      </c>
      <c r="C173" s="561" t="s">
        <v>346</v>
      </c>
      <c r="D173" s="560" t="s">
        <v>64</v>
      </c>
      <c r="E173" s="563"/>
      <c r="F173" s="560"/>
      <c r="G173" s="712">
        <v>1</v>
      </c>
      <c r="H173" s="563"/>
      <c r="I173" s="689"/>
      <c r="J173" s="563">
        <v>1</v>
      </c>
      <c r="K173" s="554">
        <v>17697</v>
      </c>
      <c r="L173" s="554"/>
      <c r="M173" s="554">
        <v>1</v>
      </c>
      <c r="N173" s="554"/>
      <c r="O173" s="554">
        <v>2.77</v>
      </c>
      <c r="P173" s="567">
        <f t="shared" si="55"/>
        <v>49020.69</v>
      </c>
      <c r="Q173" s="556"/>
      <c r="R173" s="552">
        <f t="shared" si="57"/>
        <v>0</v>
      </c>
      <c r="S173" s="568"/>
      <c r="T173" s="708">
        <v>0.1</v>
      </c>
      <c r="U173" s="552">
        <f t="shared" si="52"/>
        <v>4902.0690000000004</v>
      </c>
      <c r="V173" s="724">
        <v>0.5</v>
      </c>
      <c r="W173" s="593">
        <v>12439.34</v>
      </c>
      <c r="X173" s="559">
        <f t="shared" si="53"/>
        <v>66362.099000000002</v>
      </c>
      <c r="Y173" s="363">
        <f t="shared" si="59"/>
        <v>66362.599000000002</v>
      </c>
      <c r="Z173" s="363">
        <f t="shared" si="59"/>
        <v>78801.938999999998</v>
      </c>
      <c r="AA173" s="81">
        <f t="shared" si="51"/>
        <v>796345.18800000008</v>
      </c>
      <c r="AB173" s="389">
        <f t="shared" si="56"/>
        <v>54302.433549266971</v>
      </c>
      <c r="AC173" s="389"/>
      <c r="AD173" s="389"/>
      <c r="AE173" s="389"/>
      <c r="AF173" s="389"/>
      <c r="AG173" s="389"/>
      <c r="AH173" s="389"/>
      <c r="AI173" s="389"/>
      <c r="AJ173" s="389"/>
      <c r="AK173" s="389"/>
      <c r="AL173" s="389"/>
      <c r="AM173" s="389"/>
      <c r="AN173" s="389"/>
    </row>
    <row r="174" spans="1:40" s="377" customFormat="1" ht="15.75">
      <c r="A174" s="709">
        <v>149</v>
      </c>
      <c r="B174" s="153" t="s">
        <v>735</v>
      </c>
      <c r="C174" s="725" t="s">
        <v>346</v>
      </c>
      <c r="D174" s="560" t="s">
        <v>64</v>
      </c>
      <c r="E174" s="563"/>
      <c r="F174" s="560"/>
      <c r="G174" s="712">
        <v>1</v>
      </c>
      <c r="H174" s="563"/>
      <c r="I174" s="689"/>
      <c r="J174" s="563">
        <v>1</v>
      </c>
      <c r="K174" s="554">
        <v>17697</v>
      </c>
      <c r="L174" s="554"/>
      <c r="M174" s="554">
        <v>1</v>
      </c>
      <c r="N174" s="554"/>
      <c r="O174" s="554">
        <v>2.77</v>
      </c>
      <c r="P174" s="567">
        <f t="shared" si="55"/>
        <v>49020.69</v>
      </c>
      <c r="Q174" s="556"/>
      <c r="R174" s="552">
        <f t="shared" si="57"/>
        <v>0</v>
      </c>
      <c r="S174" s="554"/>
      <c r="T174" s="708">
        <v>0.1</v>
      </c>
      <c r="U174" s="552">
        <f t="shared" si="52"/>
        <v>4902.0690000000004</v>
      </c>
      <c r="V174" s="724">
        <v>0.5</v>
      </c>
      <c r="W174" s="593">
        <v>12439.34</v>
      </c>
      <c r="X174" s="559">
        <f t="shared" si="53"/>
        <v>66362.099000000002</v>
      </c>
      <c r="Y174" s="363">
        <f t="shared" si="59"/>
        <v>66362.599000000002</v>
      </c>
      <c r="Z174" s="363">
        <f t="shared" si="59"/>
        <v>78801.938999999998</v>
      </c>
      <c r="AA174" s="81">
        <f t="shared" si="51"/>
        <v>796345.18800000008</v>
      </c>
      <c r="AB174" s="389">
        <f t="shared" si="56"/>
        <v>54302.433549266971</v>
      </c>
    </row>
    <row r="175" spans="1:40" s="377" customFormat="1" ht="15.75">
      <c r="A175" s="703">
        <v>150</v>
      </c>
      <c r="B175" s="153" t="s">
        <v>333</v>
      </c>
      <c r="C175" s="725" t="s">
        <v>346</v>
      </c>
      <c r="D175" s="560" t="s">
        <v>64</v>
      </c>
      <c r="E175" s="563"/>
      <c r="F175" s="560"/>
      <c r="G175" s="712">
        <v>1</v>
      </c>
      <c r="H175" s="563"/>
      <c r="I175" s="689"/>
      <c r="J175" s="563">
        <v>1</v>
      </c>
      <c r="K175" s="554">
        <v>17697</v>
      </c>
      <c r="L175" s="554"/>
      <c r="M175" s="554">
        <v>1</v>
      </c>
      <c r="N175" s="554"/>
      <c r="O175" s="554">
        <v>2.77</v>
      </c>
      <c r="P175" s="567">
        <f t="shared" si="55"/>
        <v>49020.69</v>
      </c>
      <c r="Q175" s="556"/>
      <c r="R175" s="552">
        <f t="shared" si="57"/>
        <v>0</v>
      </c>
      <c r="S175" s="554"/>
      <c r="T175" s="708">
        <v>0.1</v>
      </c>
      <c r="U175" s="552">
        <f t="shared" si="52"/>
        <v>4902.0690000000004</v>
      </c>
      <c r="V175" s="724">
        <v>0.5</v>
      </c>
      <c r="W175" s="593">
        <v>12439.34</v>
      </c>
      <c r="X175" s="559">
        <f t="shared" si="53"/>
        <v>66362.099000000002</v>
      </c>
      <c r="Y175" s="363">
        <f t="shared" si="59"/>
        <v>66362.599000000002</v>
      </c>
      <c r="Z175" s="363">
        <f t="shared" si="59"/>
        <v>78801.938999999998</v>
      </c>
      <c r="AA175" s="81">
        <f t="shared" si="51"/>
        <v>796345.18800000008</v>
      </c>
      <c r="AB175" s="389">
        <f t="shared" si="56"/>
        <v>54302.433549266971</v>
      </c>
    </row>
    <row r="176" spans="1:40" s="377" customFormat="1" ht="15.75">
      <c r="A176" s="709">
        <v>151</v>
      </c>
      <c r="B176" s="153" t="s">
        <v>350</v>
      </c>
      <c r="C176" s="725" t="s">
        <v>346</v>
      </c>
      <c r="D176" s="560" t="s">
        <v>64</v>
      </c>
      <c r="E176" s="563"/>
      <c r="F176" s="560"/>
      <c r="G176" s="712">
        <v>1</v>
      </c>
      <c r="H176" s="563"/>
      <c r="I176" s="689"/>
      <c r="J176" s="563">
        <v>1</v>
      </c>
      <c r="K176" s="554">
        <v>17697</v>
      </c>
      <c r="L176" s="554"/>
      <c r="M176" s="554">
        <v>1</v>
      </c>
      <c r="N176" s="554"/>
      <c r="O176" s="554">
        <v>2.77</v>
      </c>
      <c r="P176" s="567">
        <f t="shared" si="55"/>
        <v>49020.69</v>
      </c>
      <c r="Q176" s="556"/>
      <c r="R176" s="552">
        <f t="shared" si="57"/>
        <v>0</v>
      </c>
      <c r="S176" s="554"/>
      <c r="T176" s="708">
        <v>0.1</v>
      </c>
      <c r="U176" s="552">
        <f t="shared" si="52"/>
        <v>4902.0690000000004</v>
      </c>
      <c r="V176" s="724">
        <v>0.5</v>
      </c>
      <c r="W176" s="593">
        <v>12439.34</v>
      </c>
      <c r="X176" s="559">
        <f t="shared" si="53"/>
        <v>66362.099000000002</v>
      </c>
      <c r="Y176" s="363">
        <f t="shared" si="59"/>
        <v>66362.599000000002</v>
      </c>
      <c r="Z176" s="363">
        <f t="shared" si="59"/>
        <v>78801.938999999998</v>
      </c>
      <c r="AA176" s="81">
        <f t="shared" si="51"/>
        <v>796345.18800000008</v>
      </c>
      <c r="AB176" s="389">
        <f t="shared" si="56"/>
        <v>54302.433549266971</v>
      </c>
    </row>
    <row r="177" spans="1:44" s="377" customFormat="1" ht="15.75">
      <c r="A177" s="703">
        <v>152</v>
      </c>
      <c r="B177" s="726" t="s">
        <v>351</v>
      </c>
      <c r="C177" s="662" t="s">
        <v>352</v>
      </c>
      <c r="D177" s="663" t="s">
        <v>75</v>
      </c>
      <c r="E177" s="663"/>
      <c r="F177" s="727"/>
      <c r="G177" s="663">
        <v>1</v>
      </c>
      <c r="H177" s="728"/>
      <c r="I177" s="728"/>
      <c r="J177" s="663">
        <v>1</v>
      </c>
      <c r="K177" s="567">
        <v>17697</v>
      </c>
      <c r="L177" s="567"/>
      <c r="M177" s="554">
        <v>1</v>
      </c>
      <c r="N177" s="567"/>
      <c r="O177" s="554">
        <v>2.77</v>
      </c>
      <c r="P177" s="567">
        <f t="shared" si="55"/>
        <v>49020.69</v>
      </c>
      <c r="Q177" s="556"/>
      <c r="R177" s="552">
        <f t="shared" si="57"/>
        <v>0</v>
      </c>
      <c r="S177" s="567"/>
      <c r="T177" s="708">
        <v>0.1</v>
      </c>
      <c r="U177" s="552">
        <f t="shared" si="52"/>
        <v>4902.0690000000004</v>
      </c>
      <c r="V177" s="567">
        <v>0</v>
      </c>
      <c r="W177" s="593">
        <v>12439.34</v>
      </c>
      <c r="X177" s="559">
        <f t="shared" si="53"/>
        <v>66362.099000000002</v>
      </c>
      <c r="Y177" s="363">
        <f t="shared" si="59"/>
        <v>66362.099000000002</v>
      </c>
      <c r="Z177" s="363">
        <f t="shared" si="59"/>
        <v>78801.438999999998</v>
      </c>
      <c r="AA177" s="81">
        <f t="shared" si="51"/>
        <v>796345.18800000008</v>
      </c>
      <c r="AB177" s="389">
        <f t="shared" si="56"/>
        <v>54302.433549266971</v>
      </c>
      <c r="AC177" s="375"/>
      <c r="AD177" s="375"/>
      <c r="AE177" s="376"/>
      <c r="AF177" s="374"/>
      <c r="AG177" s="375"/>
    </row>
    <row r="178" spans="1:44" s="377" customFormat="1" ht="15.75">
      <c r="A178" s="709">
        <v>153</v>
      </c>
      <c r="B178" s="726" t="s">
        <v>607</v>
      </c>
      <c r="C178" s="662" t="s">
        <v>352</v>
      </c>
      <c r="D178" s="663" t="s">
        <v>75</v>
      </c>
      <c r="E178" s="663"/>
      <c r="F178" s="727"/>
      <c r="G178" s="663">
        <v>1</v>
      </c>
      <c r="H178" s="728"/>
      <c r="I178" s="728"/>
      <c r="J178" s="663">
        <v>1</v>
      </c>
      <c r="K178" s="567">
        <v>17697</v>
      </c>
      <c r="L178" s="567"/>
      <c r="M178" s="554">
        <v>1</v>
      </c>
      <c r="N178" s="567"/>
      <c r="O178" s="554">
        <v>2.77</v>
      </c>
      <c r="P178" s="567">
        <f t="shared" si="55"/>
        <v>49020.69</v>
      </c>
      <c r="Q178" s="556"/>
      <c r="R178" s="552">
        <f t="shared" si="57"/>
        <v>0</v>
      </c>
      <c r="S178" s="567"/>
      <c r="T178" s="708">
        <v>0.1</v>
      </c>
      <c r="U178" s="552">
        <f t="shared" si="52"/>
        <v>4902.0690000000004</v>
      </c>
      <c r="V178" s="567">
        <v>0</v>
      </c>
      <c r="W178" s="593">
        <v>12439.34</v>
      </c>
      <c r="X178" s="559">
        <f t="shared" si="53"/>
        <v>66362.099000000002</v>
      </c>
      <c r="Y178" s="363">
        <f t="shared" si="59"/>
        <v>66362.099000000002</v>
      </c>
      <c r="Z178" s="363">
        <f t="shared" si="59"/>
        <v>78801.438999999998</v>
      </c>
      <c r="AA178" s="81">
        <f t="shared" si="51"/>
        <v>796345.18800000008</v>
      </c>
      <c r="AB178" s="389">
        <f t="shared" si="56"/>
        <v>54302.433549266971</v>
      </c>
      <c r="AC178" s="375"/>
      <c r="AD178" s="375"/>
      <c r="AE178" s="376"/>
      <c r="AF178" s="374"/>
      <c r="AG178" s="375"/>
    </row>
    <row r="179" spans="1:44" s="377" customFormat="1" ht="15.75">
      <c r="A179" s="703">
        <v>154</v>
      </c>
      <c r="B179" s="729" t="s">
        <v>354</v>
      </c>
      <c r="C179" s="662" t="s">
        <v>352</v>
      </c>
      <c r="D179" s="663" t="s">
        <v>75</v>
      </c>
      <c r="E179" s="663"/>
      <c r="F179" s="727"/>
      <c r="G179" s="663">
        <v>1</v>
      </c>
      <c r="H179" s="728"/>
      <c r="I179" s="728"/>
      <c r="J179" s="663">
        <v>1</v>
      </c>
      <c r="K179" s="567">
        <v>17697</v>
      </c>
      <c r="L179" s="567"/>
      <c r="M179" s="554">
        <v>1</v>
      </c>
      <c r="N179" s="567"/>
      <c r="O179" s="554">
        <v>2.77</v>
      </c>
      <c r="P179" s="567">
        <f t="shared" si="55"/>
        <v>49020.69</v>
      </c>
      <c r="Q179" s="556"/>
      <c r="R179" s="552">
        <f t="shared" si="57"/>
        <v>0</v>
      </c>
      <c r="S179" s="567"/>
      <c r="T179" s="708">
        <v>0.1</v>
      </c>
      <c r="U179" s="552">
        <f t="shared" si="52"/>
        <v>4902.0690000000004</v>
      </c>
      <c r="V179" s="567">
        <v>0</v>
      </c>
      <c r="W179" s="593">
        <v>12439.34</v>
      </c>
      <c r="X179" s="559">
        <f t="shared" si="53"/>
        <v>66362.099000000002</v>
      </c>
      <c r="Y179" s="363">
        <f>R179+V179+X179</f>
        <v>66362.099000000002</v>
      </c>
      <c r="Z179" s="363">
        <f>S179+W179+Y179</f>
        <v>78801.438999999998</v>
      </c>
      <c r="AA179" s="81">
        <f t="shared" si="51"/>
        <v>796345.18800000008</v>
      </c>
      <c r="AB179" s="389">
        <f t="shared" si="56"/>
        <v>54302.433549266971</v>
      </c>
      <c r="AC179" s="375"/>
      <c r="AD179" s="375"/>
      <c r="AE179" s="376"/>
      <c r="AF179" s="374"/>
      <c r="AG179" s="375"/>
    </row>
    <row r="180" spans="1:44" s="364" customFormat="1" ht="15.75">
      <c r="A180" s="709">
        <v>155</v>
      </c>
      <c r="B180" s="646" t="s">
        <v>355</v>
      </c>
      <c r="C180" s="647" t="s">
        <v>356</v>
      </c>
      <c r="D180" s="663" t="s">
        <v>75</v>
      </c>
      <c r="E180" s="646"/>
      <c r="F180" s="646"/>
      <c r="G180" s="628">
        <v>1</v>
      </c>
      <c r="H180" s="714"/>
      <c r="I180" s="715"/>
      <c r="J180" s="628">
        <v>1</v>
      </c>
      <c r="K180" s="715">
        <v>17697</v>
      </c>
      <c r="L180" s="715"/>
      <c r="M180" s="554">
        <v>1</v>
      </c>
      <c r="N180" s="554"/>
      <c r="O180" s="554">
        <v>2.77</v>
      </c>
      <c r="P180" s="567">
        <f t="shared" si="55"/>
        <v>49020.69</v>
      </c>
      <c r="Q180" s="556"/>
      <c r="R180" s="552">
        <f t="shared" si="57"/>
        <v>0</v>
      </c>
      <c r="S180" s="554"/>
      <c r="T180" s="708">
        <v>0.1</v>
      </c>
      <c r="U180" s="552">
        <f t="shared" si="52"/>
        <v>4902.0690000000004</v>
      </c>
      <c r="V180" s="567">
        <v>0</v>
      </c>
      <c r="W180" s="567">
        <v>0</v>
      </c>
      <c r="X180" s="559">
        <f t="shared" si="53"/>
        <v>53922.759000000005</v>
      </c>
      <c r="Y180" s="363">
        <f t="shared" si="59"/>
        <v>53922.759000000005</v>
      </c>
      <c r="Z180" s="363">
        <f t="shared" si="59"/>
        <v>53922.759000000005</v>
      </c>
      <c r="AA180" s="81">
        <f t="shared" si="51"/>
        <v>647073.10800000001</v>
      </c>
      <c r="AB180" s="389">
        <f t="shared" si="56"/>
        <v>44123.635049437435</v>
      </c>
      <c r="AC180" s="422">
        <f>SUM(X156:X181)</f>
        <v>1593746.8760999998</v>
      </c>
    </row>
    <row r="181" spans="1:44" s="364" customFormat="1" ht="15.75">
      <c r="A181" s="703">
        <v>156</v>
      </c>
      <c r="B181" s="646" t="s">
        <v>357</v>
      </c>
      <c r="C181" s="561" t="s">
        <v>358</v>
      </c>
      <c r="D181" s="560" t="s">
        <v>64</v>
      </c>
      <c r="E181" s="646"/>
      <c r="F181" s="646"/>
      <c r="G181" s="628">
        <v>1</v>
      </c>
      <c r="H181" s="714"/>
      <c r="I181" s="715"/>
      <c r="J181" s="628">
        <v>1</v>
      </c>
      <c r="K181" s="715">
        <v>17697</v>
      </c>
      <c r="L181" s="715"/>
      <c r="M181" s="554">
        <v>1</v>
      </c>
      <c r="N181" s="554"/>
      <c r="O181" s="554">
        <v>2.77</v>
      </c>
      <c r="P181" s="567">
        <f t="shared" si="55"/>
        <v>49020.69</v>
      </c>
      <c r="Q181" s="556"/>
      <c r="R181" s="552">
        <f t="shared" si="57"/>
        <v>0</v>
      </c>
      <c r="S181" s="554"/>
      <c r="T181" s="708">
        <v>0.1</v>
      </c>
      <c r="U181" s="552">
        <f t="shared" si="52"/>
        <v>4902.0690000000004</v>
      </c>
      <c r="V181" s="567">
        <v>0</v>
      </c>
      <c r="W181" s="567">
        <v>0</v>
      </c>
      <c r="X181" s="559">
        <f t="shared" si="53"/>
        <v>53922.759000000005</v>
      </c>
      <c r="Y181" s="363">
        <f t="shared" si="59"/>
        <v>53922.759000000005</v>
      </c>
      <c r="Z181" s="363">
        <f t="shared" si="59"/>
        <v>53922.759000000005</v>
      </c>
      <c r="AA181" s="81">
        <f t="shared" si="51"/>
        <v>647073.10800000001</v>
      </c>
      <c r="AB181" s="389">
        <f t="shared" si="56"/>
        <v>44123.635049437435</v>
      </c>
    </row>
    <row r="182" spans="1:44" s="84" customFormat="1" ht="22.5" customHeight="1">
      <c r="A182" s="2307" t="s">
        <v>359</v>
      </c>
      <c r="B182" s="2307"/>
      <c r="C182" s="2307"/>
      <c r="D182" s="2307"/>
      <c r="E182" s="942"/>
      <c r="F182" s="942"/>
      <c r="G182" s="943"/>
      <c r="H182" s="942"/>
      <c r="I182" s="942"/>
      <c r="J182" s="942"/>
      <c r="K182" s="942"/>
      <c r="L182" s="944"/>
      <c r="M182" s="1035">
        <f>SUM(M6:M181)</f>
        <v>182.3</v>
      </c>
      <c r="N182" s="626"/>
      <c r="O182" s="626"/>
      <c r="P182" s="626">
        <f>SUM(P6:P181)</f>
        <v>13538980.718499999</v>
      </c>
      <c r="Q182" s="626">
        <f>SUM(Q6:Q181)</f>
        <v>2874991.9431249988</v>
      </c>
      <c r="R182" s="626"/>
      <c r="S182" s="626">
        <f>SUM(S6:S181)</f>
        <v>405741.00260416663</v>
      </c>
      <c r="T182" s="626"/>
      <c r="U182" s="626">
        <f>SUM(U6:U181)</f>
        <v>1678825.1608499992</v>
      </c>
      <c r="V182" s="626"/>
      <c r="W182" s="626">
        <f>SUM(W6:W181)</f>
        <v>164868.08999999997</v>
      </c>
      <c r="X182" s="626">
        <f>SUM(X6:X181)</f>
        <v>18510160.726745825</v>
      </c>
      <c r="Y182" s="141">
        <f>SUM(Y6:Y181)</f>
        <v>1681003.7360999999</v>
      </c>
      <c r="Z182" s="141">
        <f>SUM(Z6:Z181)</f>
        <v>2311188.8461729162</v>
      </c>
      <c r="AA182" s="262"/>
      <c r="AB182" s="1026">
        <f>SUM(AB6:AB181)</f>
        <v>30675371.894723274</v>
      </c>
      <c r="AC182" s="262"/>
      <c r="AD182" s="262">
        <f>SUM(AD26:AD181)</f>
        <v>64702606.092382647</v>
      </c>
      <c r="AE182" s="262"/>
      <c r="AF182" s="262"/>
      <c r="AG182" s="262"/>
      <c r="AH182" s="262"/>
      <c r="AI182" s="262"/>
      <c r="AJ182" s="262"/>
      <c r="AK182" s="262"/>
      <c r="AL182" s="262"/>
      <c r="AM182" s="262"/>
      <c r="AN182" s="262"/>
      <c r="AO182" s="262"/>
      <c r="AP182" s="262"/>
      <c r="AQ182" s="262"/>
      <c r="AR182" s="262"/>
    </row>
    <row r="183" spans="1:44" ht="25.5" customHeight="1">
      <c r="M183" s="85"/>
      <c r="N183" s="86"/>
      <c r="O183" s="23"/>
      <c r="P183" s="87"/>
      <c r="Q183" s="87"/>
      <c r="R183" s="88"/>
      <c r="AD183" s="1027">
        <f>SUM(AB6:AB24)</f>
        <v>1745103.2725877943</v>
      </c>
    </row>
    <row r="184" spans="1:44" s="24" customFormat="1">
      <c r="A184" s="1"/>
      <c r="B184" s="1"/>
      <c r="C184" s="351"/>
      <c r="D184" s="1"/>
      <c r="E184" s="1"/>
      <c r="F184" s="1"/>
      <c r="G184" s="1"/>
      <c r="H184" s="1"/>
      <c r="I184" s="1"/>
      <c r="J184" s="1"/>
      <c r="K184" s="982" t="s">
        <v>604</v>
      </c>
      <c r="L184" s="983">
        <f>SUM(M156:M181)</f>
        <v>25.3</v>
      </c>
      <c r="N184" s="89"/>
      <c r="R184" s="1"/>
      <c r="S184" s="1"/>
      <c r="T184" s="1"/>
      <c r="U184" s="1"/>
      <c r="V184" s="1"/>
      <c r="W184" s="1"/>
      <c r="X184" s="3"/>
      <c r="Y184" s="3"/>
      <c r="Z184" s="3"/>
      <c r="AB184" s="24">
        <f>SUM(AB156:AB181)</f>
        <v>1304122.9125946134</v>
      </c>
      <c r="AD184" s="24">
        <f>SUM(AB156:AB181)</f>
        <v>1304122.9125946134</v>
      </c>
    </row>
    <row r="185" spans="1:44" s="24" customFormat="1">
      <c r="A185" s="1"/>
      <c r="B185" s="1"/>
      <c r="C185" s="351"/>
      <c r="D185" s="1"/>
      <c r="E185" s="1"/>
      <c r="F185" s="1"/>
      <c r="G185" s="1"/>
      <c r="H185" s="1"/>
      <c r="I185" s="1"/>
      <c r="J185" s="1"/>
      <c r="K185" s="1"/>
      <c r="L185" s="1"/>
      <c r="M185" s="3"/>
      <c r="N185" s="351"/>
      <c r="O185" s="1"/>
      <c r="P185" s="1"/>
      <c r="Q185" s="1"/>
      <c r="R185" s="1"/>
      <c r="S185" s="1"/>
      <c r="T185" s="1"/>
      <c r="U185" s="1"/>
      <c r="V185" s="3"/>
      <c r="W185" s="3"/>
      <c r="X185" s="3"/>
      <c r="Y185" s="3"/>
      <c r="Z185" s="3"/>
      <c r="AD185" s="24">
        <f>SUM(AD182:AD184)</f>
        <v>67751832.277565047</v>
      </c>
    </row>
    <row r="186" spans="1:44" s="24" customFormat="1">
      <c r="A186" s="1"/>
      <c r="B186" s="1"/>
      <c r="C186" s="351"/>
      <c r="D186" s="1"/>
      <c r="E186" s="1"/>
      <c r="F186" s="1"/>
      <c r="G186" s="1"/>
      <c r="H186" s="1"/>
      <c r="I186" s="1"/>
      <c r="J186" s="1"/>
      <c r="K186" s="3" t="s">
        <v>638</v>
      </c>
      <c r="L186" s="1">
        <v>126.88</v>
      </c>
      <c r="M186" s="3"/>
      <c r="N186" s="351"/>
      <c r="O186" s="1"/>
      <c r="P186" s="1"/>
      <c r="Q186" s="1"/>
      <c r="R186" s="90"/>
      <c r="S186" s="90"/>
      <c r="T186" s="1"/>
      <c r="U186" s="1"/>
      <c r="V186" s="1"/>
      <c r="W186" s="1"/>
      <c r="X186" s="3"/>
      <c r="Y186" s="1"/>
      <c r="Z186" s="1"/>
    </row>
    <row r="187" spans="1:44" s="24" customFormat="1">
      <c r="A187" s="1"/>
      <c r="B187" s="1"/>
      <c r="C187" s="351"/>
      <c r="D187" s="1"/>
      <c r="E187" s="1"/>
      <c r="F187" s="1"/>
      <c r="G187" s="1"/>
      <c r="H187" s="1"/>
      <c r="I187" s="1"/>
      <c r="J187" s="1"/>
      <c r="K187" s="3"/>
      <c r="L187" s="3">
        <f>M25</f>
        <v>0</v>
      </c>
      <c r="M187" s="3"/>
      <c r="N187" s="995">
        <f>L155+L137+L108+L80</f>
        <v>2529</v>
      </c>
      <c r="O187" s="1"/>
      <c r="P187" s="1"/>
      <c r="Q187" s="3"/>
      <c r="R187" s="996"/>
      <c r="S187" s="1"/>
      <c r="T187" s="1"/>
      <c r="U187" s="1"/>
      <c r="V187" s="1"/>
      <c r="W187" s="1"/>
      <c r="X187" s="3"/>
      <c r="Y187" s="1"/>
      <c r="Z187" s="1"/>
    </row>
    <row r="188" spans="1:44" s="24" customFormat="1">
      <c r="A188" s="1"/>
      <c r="B188" s="1"/>
      <c r="C188" s="351"/>
      <c r="D188" s="1"/>
      <c r="E188" s="1"/>
      <c r="F188" s="1"/>
      <c r="G188" s="1"/>
      <c r="H188" s="1"/>
      <c r="I188" s="3"/>
      <c r="J188" s="1"/>
      <c r="K188" s="3"/>
      <c r="L188" s="3">
        <f>SUM(L184:L187)</f>
        <v>152.18</v>
      </c>
      <c r="M188" s="3"/>
      <c r="N188" s="35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22"/>
    </row>
    <row r="189" spans="1:44">
      <c r="K189" s="3"/>
    </row>
    <row r="190" spans="1:44">
      <c r="M190" s="3"/>
    </row>
    <row r="191" spans="1:44">
      <c r="AA191" s="22"/>
    </row>
    <row r="192" spans="1:44">
      <c r="M192" s="3"/>
      <c r="O192" s="3"/>
      <c r="U192" s="3"/>
    </row>
    <row r="193" spans="1:26" s="24" customFormat="1">
      <c r="A193" s="1"/>
      <c r="B193" s="1"/>
      <c r="C193" s="351"/>
      <c r="D193" s="1"/>
      <c r="E193" s="1"/>
      <c r="F193" s="1"/>
      <c r="G193" s="1"/>
      <c r="H193" s="1"/>
      <c r="I193" s="1"/>
      <c r="J193" s="1"/>
      <c r="K193" s="1"/>
      <c r="L193" s="3"/>
      <c r="M193" s="3"/>
      <c r="N193" s="35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</sheetData>
  <sortState ref="B29:O79">
    <sortCondition ref="B28"/>
  </sortState>
  <mergeCells count="25">
    <mergeCell ref="A2:X2"/>
    <mergeCell ref="A3:X3"/>
    <mergeCell ref="A4:A5"/>
    <mergeCell ref="B4:B5"/>
    <mergeCell ref="C4:C5"/>
    <mergeCell ref="D4:D5"/>
    <mergeCell ref="E4:E5"/>
    <mergeCell ref="F4:F5"/>
    <mergeCell ref="G4:G5"/>
    <mergeCell ref="H4:H5"/>
    <mergeCell ref="X4:X5"/>
    <mergeCell ref="Y4:Y5"/>
    <mergeCell ref="Z4:Z5"/>
    <mergeCell ref="A182:D182"/>
    <mergeCell ref="O4:O5"/>
    <mergeCell ref="P4:P5"/>
    <mergeCell ref="R4:S4"/>
    <mergeCell ref="T4:U4"/>
    <mergeCell ref="V4:W4"/>
    <mergeCell ref="I4:I5"/>
    <mergeCell ref="J4:J5"/>
    <mergeCell ref="K4:K5"/>
    <mergeCell ref="L4:L5"/>
    <mergeCell ref="M4:M5"/>
    <mergeCell ref="N4:N5"/>
  </mergeCells>
  <pageMargins left="0" right="0" top="0.62992125984251968" bottom="0" header="0.43307086614173229" footer="0.31496062992125984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tabColor rgb="FF7030A0"/>
  </sheetPr>
  <dimension ref="A1:BQ171"/>
  <sheetViews>
    <sheetView topLeftCell="A121" zoomScale="60" zoomScaleNormal="60" zoomScaleSheetLayoutView="40" workbookViewId="0">
      <pane xSplit="3" topLeftCell="D1" activePane="topRight" state="frozen"/>
      <selection pane="topRight" activeCell="A172" sqref="A172:XFD198"/>
    </sheetView>
  </sheetViews>
  <sheetFormatPr defaultRowHeight="12.75"/>
  <cols>
    <col min="1" max="1" width="6.42578125" style="1" customWidth="1"/>
    <col min="2" max="2" width="33" style="1" customWidth="1"/>
    <col min="3" max="3" width="26.85546875" style="1151" customWidth="1"/>
    <col min="4" max="4" width="12.85546875" style="1" customWidth="1"/>
    <col min="5" max="5" width="17.140625" style="1" customWidth="1"/>
    <col min="6" max="6" width="15.140625" style="1" customWidth="1"/>
    <col min="7" max="7" width="8" style="1" customWidth="1"/>
    <col min="8" max="8" width="4.7109375" style="1" customWidth="1"/>
    <col min="9" max="9" width="8.5703125" style="1" customWidth="1"/>
    <col min="10" max="10" width="5.5703125" style="1" customWidth="1"/>
    <col min="11" max="11" width="14.42578125" style="1" customWidth="1"/>
    <col min="12" max="12" width="12.28515625" style="1" customWidth="1"/>
    <col min="13" max="13" width="12.85546875" style="1" customWidth="1"/>
    <col min="14" max="14" width="12" style="1151" customWidth="1"/>
    <col min="15" max="15" width="8.85546875" style="1" customWidth="1"/>
    <col min="16" max="16" width="21.140625" style="1" bestFit="1" customWidth="1"/>
    <col min="17" max="17" width="17.140625" style="1" customWidth="1"/>
    <col min="18" max="18" width="12.140625" style="1" customWidth="1"/>
    <col min="19" max="19" width="15.140625" style="1" customWidth="1"/>
    <col min="20" max="20" width="13.28515625" style="1" customWidth="1"/>
    <col min="21" max="21" width="20.5703125" style="1" customWidth="1"/>
    <col min="22" max="22" width="8.5703125" style="1" customWidth="1"/>
    <col min="23" max="23" width="15.5703125" style="1" customWidth="1"/>
    <col min="24" max="24" width="16.7109375" style="1" customWidth="1"/>
    <col min="25" max="26" width="18.28515625" style="1" hidden="1" customWidth="1"/>
    <col min="27" max="27" width="13" style="24" hidden="1" customWidth="1"/>
    <col min="28" max="28" width="16" style="24" hidden="1" customWidth="1"/>
    <col min="29" max="29" width="13" style="24" hidden="1" customWidth="1"/>
    <col min="30" max="30" width="12" style="24" hidden="1" customWidth="1"/>
    <col min="31" max="33" width="0" style="24" hidden="1" customWidth="1"/>
    <col min="34" max="34" width="11.28515625" style="24" hidden="1" customWidth="1"/>
    <col min="35" max="35" width="1.5703125" style="24" hidden="1" customWidth="1"/>
    <col min="36" max="36" width="1" style="24" hidden="1" customWidth="1"/>
    <col min="37" max="37" width="18.140625" style="23" bestFit="1" customWidth="1"/>
    <col min="38" max="38" width="17" style="23" bestFit="1" customWidth="1"/>
    <col min="39" max="40" width="10.28515625" style="23" bestFit="1" customWidth="1"/>
    <col min="41" max="43" width="9.140625" style="23"/>
    <col min="44" max="69" width="9.140625" style="24"/>
    <col min="70" max="257" width="9.140625" style="1"/>
    <col min="258" max="258" width="6.42578125" style="1" customWidth="1"/>
    <col min="259" max="259" width="20.7109375" style="1" customWidth="1"/>
    <col min="260" max="260" width="24.7109375" style="1" customWidth="1"/>
    <col min="261" max="261" width="11.140625" style="1" customWidth="1"/>
    <col min="262" max="262" width="12.28515625" style="1" customWidth="1"/>
    <col min="263" max="263" width="11.140625" style="1" customWidth="1"/>
    <col min="264" max="264" width="10.42578125" style="1" customWidth="1"/>
    <col min="265" max="265" width="4.7109375" style="1" customWidth="1"/>
    <col min="266" max="266" width="8.5703125" style="1" customWidth="1"/>
    <col min="267" max="267" width="5.5703125" style="1" customWidth="1"/>
    <col min="268" max="269" width="11.5703125" style="1" customWidth="1"/>
    <col min="270" max="270" width="10.85546875" style="1" customWidth="1"/>
    <col min="271" max="271" width="7.7109375" style="1" customWidth="1"/>
    <col min="272" max="272" width="8" style="1" customWidth="1"/>
    <col min="273" max="273" width="16.28515625" style="1" customWidth="1"/>
    <col min="274" max="274" width="10.5703125" style="1" customWidth="1"/>
    <col min="275" max="275" width="14.140625" style="1" customWidth="1"/>
    <col min="276" max="276" width="10.140625" style="1" customWidth="1"/>
    <col min="277" max="277" width="15.140625" style="1" customWidth="1"/>
    <col min="278" max="278" width="8.5703125" style="1" customWidth="1"/>
    <col min="279" max="279" width="14.28515625" style="1" customWidth="1"/>
    <col min="280" max="280" width="18.28515625" style="1" customWidth="1"/>
    <col min="281" max="281" width="13" style="1" bestFit="1" customWidth="1"/>
    <col min="282" max="282" width="11.7109375" style="1" bestFit="1" customWidth="1"/>
    <col min="283" max="289" width="9.140625" style="1"/>
    <col min="290" max="290" width="11.28515625" style="1" bestFit="1" customWidth="1"/>
    <col min="291" max="291" width="10.7109375" style="1" bestFit="1" customWidth="1"/>
    <col min="292" max="513" width="9.140625" style="1"/>
    <col min="514" max="514" width="6.42578125" style="1" customWidth="1"/>
    <col min="515" max="515" width="20.7109375" style="1" customWidth="1"/>
    <col min="516" max="516" width="24.7109375" style="1" customWidth="1"/>
    <col min="517" max="517" width="11.140625" style="1" customWidth="1"/>
    <col min="518" max="518" width="12.28515625" style="1" customWidth="1"/>
    <col min="519" max="519" width="11.140625" style="1" customWidth="1"/>
    <col min="520" max="520" width="10.42578125" style="1" customWidth="1"/>
    <col min="521" max="521" width="4.7109375" style="1" customWidth="1"/>
    <col min="522" max="522" width="8.5703125" style="1" customWidth="1"/>
    <col min="523" max="523" width="5.5703125" style="1" customWidth="1"/>
    <col min="524" max="525" width="11.5703125" style="1" customWidth="1"/>
    <col min="526" max="526" width="10.85546875" style="1" customWidth="1"/>
    <col min="527" max="527" width="7.7109375" style="1" customWidth="1"/>
    <col min="528" max="528" width="8" style="1" customWidth="1"/>
    <col min="529" max="529" width="16.28515625" style="1" customWidth="1"/>
    <col min="530" max="530" width="10.5703125" style="1" customWidth="1"/>
    <col min="531" max="531" width="14.140625" style="1" customWidth="1"/>
    <col min="532" max="532" width="10.140625" style="1" customWidth="1"/>
    <col min="533" max="533" width="15.140625" style="1" customWidth="1"/>
    <col min="534" max="534" width="8.5703125" style="1" customWidth="1"/>
    <col min="535" max="535" width="14.28515625" style="1" customWidth="1"/>
    <col min="536" max="536" width="18.28515625" style="1" customWidth="1"/>
    <col min="537" max="537" width="13" style="1" bestFit="1" customWidth="1"/>
    <col min="538" max="538" width="11.7109375" style="1" bestFit="1" customWidth="1"/>
    <col min="539" max="545" width="9.140625" style="1"/>
    <col min="546" max="546" width="11.28515625" style="1" bestFit="1" customWidth="1"/>
    <col min="547" max="547" width="10.7109375" style="1" bestFit="1" customWidth="1"/>
    <col min="548" max="769" width="9.140625" style="1"/>
    <col min="770" max="770" width="6.42578125" style="1" customWidth="1"/>
    <col min="771" max="771" width="20.7109375" style="1" customWidth="1"/>
    <col min="772" max="772" width="24.7109375" style="1" customWidth="1"/>
    <col min="773" max="773" width="11.140625" style="1" customWidth="1"/>
    <col min="774" max="774" width="12.28515625" style="1" customWidth="1"/>
    <col min="775" max="775" width="11.140625" style="1" customWidth="1"/>
    <col min="776" max="776" width="10.42578125" style="1" customWidth="1"/>
    <col min="777" max="777" width="4.7109375" style="1" customWidth="1"/>
    <col min="778" max="778" width="8.5703125" style="1" customWidth="1"/>
    <col min="779" max="779" width="5.5703125" style="1" customWidth="1"/>
    <col min="780" max="781" width="11.5703125" style="1" customWidth="1"/>
    <col min="782" max="782" width="10.85546875" style="1" customWidth="1"/>
    <col min="783" max="783" width="7.7109375" style="1" customWidth="1"/>
    <col min="784" max="784" width="8" style="1" customWidth="1"/>
    <col min="785" max="785" width="16.28515625" style="1" customWidth="1"/>
    <col min="786" max="786" width="10.5703125" style="1" customWidth="1"/>
    <col min="787" max="787" width="14.140625" style="1" customWidth="1"/>
    <col min="788" max="788" width="10.140625" style="1" customWidth="1"/>
    <col min="789" max="789" width="15.140625" style="1" customWidth="1"/>
    <col min="790" max="790" width="8.5703125" style="1" customWidth="1"/>
    <col min="791" max="791" width="14.28515625" style="1" customWidth="1"/>
    <col min="792" max="792" width="18.28515625" style="1" customWidth="1"/>
    <col min="793" max="793" width="13" style="1" bestFit="1" customWidth="1"/>
    <col min="794" max="794" width="11.7109375" style="1" bestFit="1" customWidth="1"/>
    <col min="795" max="801" width="9.140625" style="1"/>
    <col min="802" max="802" width="11.28515625" style="1" bestFit="1" customWidth="1"/>
    <col min="803" max="803" width="10.7109375" style="1" bestFit="1" customWidth="1"/>
    <col min="804" max="1025" width="9.140625" style="1"/>
    <col min="1026" max="1026" width="6.42578125" style="1" customWidth="1"/>
    <col min="1027" max="1027" width="20.7109375" style="1" customWidth="1"/>
    <col min="1028" max="1028" width="24.7109375" style="1" customWidth="1"/>
    <col min="1029" max="1029" width="11.140625" style="1" customWidth="1"/>
    <col min="1030" max="1030" width="12.28515625" style="1" customWidth="1"/>
    <col min="1031" max="1031" width="11.140625" style="1" customWidth="1"/>
    <col min="1032" max="1032" width="10.42578125" style="1" customWidth="1"/>
    <col min="1033" max="1033" width="4.7109375" style="1" customWidth="1"/>
    <col min="1034" max="1034" width="8.5703125" style="1" customWidth="1"/>
    <col min="1035" max="1035" width="5.5703125" style="1" customWidth="1"/>
    <col min="1036" max="1037" width="11.5703125" style="1" customWidth="1"/>
    <col min="1038" max="1038" width="10.85546875" style="1" customWidth="1"/>
    <col min="1039" max="1039" width="7.7109375" style="1" customWidth="1"/>
    <col min="1040" max="1040" width="8" style="1" customWidth="1"/>
    <col min="1041" max="1041" width="16.28515625" style="1" customWidth="1"/>
    <col min="1042" max="1042" width="10.5703125" style="1" customWidth="1"/>
    <col min="1043" max="1043" width="14.140625" style="1" customWidth="1"/>
    <col min="1044" max="1044" width="10.140625" style="1" customWidth="1"/>
    <col min="1045" max="1045" width="15.140625" style="1" customWidth="1"/>
    <col min="1046" max="1046" width="8.5703125" style="1" customWidth="1"/>
    <col min="1047" max="1047" width="14.28515625" style="1" customWidth="1"/>
    <col min="1048" max="1048" width="18.28515625" style="1" customWidth="1"/>
    <col min="1049" max="1049" width="13" style="1" bestFit="1" customWidth="1"/>
    <col min="1050" max="1050" width="11.7109375" style="1" bestFit="1" customWidth="1"/>
    <col min="1051" max="1057" width="9.140625" style="1"/>
    <col min="1058" max="1058" width="11.28515625" style="1" bestFit="1" customWidth="1"/>
    <col min="1059" max="1059" width="10.7109375" style="1" bestFit="1" customWidth="1"/>
    <col min="1060" max="1281" width="9.140625" style="1"/>
    <col min="1282" max="1282" width="6.42578125" style="1" customWidth="1"/>
    <col min="1283" max="1283" width="20.7109375" style="1" customWidth="1"/>
    <col min="1284" max="1284" width="24.7109375" style="1" customWidth="1"/>
    <col min="1285" max="1285" width="11.140625" style="1" customWidth="1"/>
    <col min="1286" max="1286" width="12.28515625" style="1" customWidth="1"/>
    <col min="1287" max="1287" width="11.140625" style="1" customWidth="1"/>
    <col min="1288" max="1288" width="10.42578125" style="1" customWidth="1"/>
    <col min="1289" max="1289" width="4.7109375" style="1" customWidth="1"/>
    <col min="1290" max="1290" width="8.5703125" style="1" customWidth="1"/>
    <col min="1291" max="1291" width="5.5703125" style="1" customWidth="1"/>
    <col min="1292" max="1293" width="11.5703125" style="1" customWidth="1"/>
    <col min="1294" max="1294" width="10.85546875" style="1" customWidth="1"/>
    <col min="1295" max="1295" width="7.7109375" style="1" customWidth="1"/>
    <col min="1296" max="1296" width="8" style="1" customWidth="1"/>
    <col min="1297" max="1297" width="16.28515625" style="1" customWidth="1"/>
    <col min="1298" max="1298" width="10.5703125" style="1" customWidth="1"/>
    <col min="1299" max="1299" width="14.140625" style="1" customWidth="1"/>
    <col min="1300" max="1300" width="10.140625" style="1" customWidth="1"/>
    <col min="1301" max="1301" width="15.140625" style="1" customWidth="1"/>
    <col min="1302" max="1302" width="8.5703125" style="1" customWidth="1"/>
    <col min="1303" max="1303" width="14.28515625" style="1" customWidth="1"/>
    <col min="1304" max="1304" width="18.28515625" style="1" customWidth="1"/>
    <col min="1305" max="1305" width="13" style="1" bestFit="1" customWidth="1"/>
    <col min="1306" max="1306" width="11.7109375" style="1" bestFit="1" customWidth="1"/>
    <col min="1307" max="1313" width="9.140625" style="1"/>
    <col min="1314" max="1314" width="11.28515625" style="1" bestFit="1" customWidth="1"/>
    <col min="1315" max="1315" width="10.7109375" style="1" bestFit="1" customWidth="1"/>
    <col min="1316" max="1537" width="9.140625" style="1"/>
    <col min="1538" max="1538" width="6.42578125" style="1" customWidth="1"/>
    <col min="1539" max="1539" width="20.7109375" style="1" customWidth="1"/>
    <col min="1540" max="1540" width="24.7109375" style="1" customWidth="1"/>
    <col min="1541" max="1541" width="11.140625" style="1" customWidth="1"/>
    <col min="1542" max="1542" width="12.28515625" style="1" customWidth="1"/>
    <col min="1543" max="1543" width="11.140625" style="1" customWidth="1"/>
    <col min="1544" max="1544" width="10.42578125" style="1" customWidth="1"/>
    <col min="1545" max="1545" width="4.7109375" style="1" customWidth="1"/>
    <col min="1546" max="1546" width="8.5703125" style="1" customWidth="1"/>
    <col min="1547" max="1547" width="5.5703125" style="1" customWidth="1"/>
    <col min="1548" max="1549" width="11.5703125" style="1" customWidth="1"/>
    <col min="1550" max="1550" width="10.85546875" style="1" customWidth="1"/>
    <col min="1551" max="1551" width="7.7109375" style="1" customWidth="1"/>
    <col min="1552" max="1552" width="8" style="1" customWidth="1"/>
    <col min="1553" max="1553" width="16.28515625" style="1" customWidth="1"/>
    <col min="1554" max="1554" width="10.5703125" style="1" customWidth="1"/>
    <col min="1555" max="1555" width="14.140625" style="1" customWidth="1"/>
    <col min="1556" max="1556" width="10.140625" style="1" customWidth="1"/>
    <col min="1557" max="1557" width="15.140625" style="1" customWidth="1"/>
    <col min="1558" max="1558" width="8.5703125" style="1" customWidth="1"/>
    <col min="1559" max="1559" width="14.28515625" style="1" customWidth="1"/>
    <col min="1560" max="1560" width="18.28515625" style="1" customWidth="1"/>
    <col min="1561" max="1561" width="13" style="1" bestFit="1" customWidth="1"/>
    <col min="1562" max="1562" width="11.7109375" style="1" bestFit="1" customWidth="1"/>
    <col min="1563" max="1569" width="9.140625" style="1"/>
    <col min="1570" max="1570" width="11.28515625" style="1" bestFit="1" customWidth="1"/>
    <col min="1571" max="1571" width="10.7109375" style="1" bestFit="1" customWidth="1"/>
    <col min="1572" max="1793" width="9.140625" style="1"/>
    <col min="1794" max="1794" width="6.42578125" style="1" customWidth="1"/>
    <col min="1795" max="1795" width="20.7109375" style="1" customWidth="1"/>
    <col min="1796" max="1796" width="24.7109375" style="1" customWidth="1"/>
    <col min="1797" max="1797" width="11.140625" style="1" customWidth="1"/>
    <col min="1798" max="1798" width="12.28515625" style="1" customWidth="1"/>
    <col min="1799" max="1799" width="11.140625" style="1" customWidth="1"/>
    <col min="1800" max="1800" width="10.42578125" style="1" customWidth="1"/>
    <col min="1801" max="1801" width="4.7109375" style="1" customWidth="1"/>
    <col min="1802" max="1802" width="8.5703125" style="1" customWidth="1"/>
    <col min="1803" max="1803" width="5.5703125" style="1" customWidth="1"/>
    <col min="1804" max="1805" width="11.5703125" style="1" customWidth="1"/>
    <col min="1806" max="1806" width="10.85546875" style="1" customWidth="1"/>
    <col min="1807" max="1807" width="7.7109375" style="1" customWidth="1"/>
    <col min="1808" max="1808" width="8" style="1" customWidth="1"/>
    <col min="1809" max="1809" width="16.28515625" style="1" customWidth="1"/>
    <col min="1810" max="1810" width="10.5703125" style="1" customWidth="1"/>
    <col min="1811" max="1811" width="14.140625" style="1" customWidth="1"/>
    <col min="1812" max="1812" width="10.140625" style="1" customWidth="1"/>
    <col min="1813" max="1813" width="15.140625" style="1" customWidth="1"/>
    <col min="1814" max="1814" width="8.5703125" style="1" customWidth="1"/>
    <col min="1815" max="1815" width="14.28515625" style="1" customWidth="1"/>
    <col min="1816" max="1816" width="18.28515625" style="1" customWidth="1"/>
    <col min="1817" max="1817" width="13" style="1" bestFit="1" customWidth="1"/>
    <col min="1818" max="1818" width="11.7109375" style="1" bestFit="1" customWidth="1"/>
    <col min="1819" max="1825" width="9.140625" style="1"/>
    <col min="1826" max="1826" width="11.28515625" style="1" bestFit="1" customWidth="1"/>
    <col min="1827" max="1827" width="10.7109375" style="1" bestFit="1" customWidth="1"/>
    <col min="1828" max="2049" width="9.140625" style="1"/>
    <col min="2050" max="2050" width="6.42578125" style="1" customWidth="1"/>
    <col min="2051" max="2051" width="20.7109375" style="1" customWidth="1"/>
    <col min="2052" max="2052" width="24.7109375" style="1" customWidth="1"/>
    <col min="2053" max="2053" width="11.140625" style="1" customWidth="1"/>
    <col min="2054" max="2054" width="12.28515625" style="1" customWidth="1"/>
    <col min="2055" max="2055" width="11.140625" style="1" customWidth="1"/>
    <col min="2056" max="2056" width="10.42578125" style="1" customWidth="1"/>
    <col min="2057" max="2057" width="4.7109375" style="1" customWidth="1"/>
    <col min="2058" max="2058" width="8.5703125" style="1" customWidth="1"/>
    <col min="2059" max="2059" width="5.5703125" style="1" customWidth="1"/>
    <col min="2060" max="2061" width="11.5703125" style="1" customWidth="1"/>
    <col min="2062" max="2062" width="10.85546875" style="1" customWidth="1"/>
    <col min="2063" max="2063" width="7.7109375" style="1" customWidth="1"/>
    <col min="2064" max="2064" width="8" style="1" customWidth="1"/>
    <col min="2065" max="2065" width="16.28515625" style="1" customWidth="1"/>
    <col min="2066" max="2066" width="10.5703125" style="1" customWidth="1"/>
    <col min="2067" max="2067" width="14.140625" style="1" customWidth="1"/>
    <col min="2068" max="2068" width="10.140625" style="1" customWidth="1"/>
    <col min="2069" max="2069" width="15.140625" style="1" customWidth="1"/>
    <col min="2070" max="2070" width="8.5703125" style="1" customWidth="1"/>
    <col min="2071" max="2071" width="14.28515625" style="1" customWidth="1"/>
    <col min="2072" max="2072" width="18.28515625" style="1" customWidth="1"/>
    <col min="2073" max="2073" width="13" style="1" bestFit="1" customWidth="1"/>
    <col min="2074" max="2074" width="11.7109375" style="1" bestFit="1" customWidth="1"/>
    <col min="2075" max="2081" width="9.140625" style="1"/>
    <col min="2082" max="2082" width="11.28515625" style="1" bestFit="1" customWidth="1"/>
    <col min="2083" max="2083" width="10.7109375" style="1" bestFit="1" customWidth="1"/>
    <col min="2084" max="2305" width="9.140625" style="1"/>
    <col min="2306" max="2306" width="6.42578125" style="1" customWidth="1"/>
    <col min="2307" max="2307" width="20.7109375" style="1" customWidth="1"/>
    <col min="2308" max="2308" width="24.7109375" style="1" customWidth="1"/>
    <col min="2309" max="2309" width="11.140625" style="1" customWidth="1"/>
    <col min="2310" max="2310" width="12.28515625" style="1" customWidth="1"/>
    <col min="2311" max="2311" width="11.140625" style="1" customWidth="1"/>
    <col min="2312" max="2312" width="10.42578125" style="1" customWidth="1"/>
    <col min="2313" max="2313" width="4.7109375" style="1" customWidth="1"/>
    <col min="2314" max="2314" width="8.5703125" style="1" customWidth="1"/>
    <col min="2315" max="2315" width="5.5703125" style="1" customWidth="1"/>
    <col min="2316" max="2317" width="11.5703125" style="1" customWidth="1"/>
    <col min="2318" max="2318" width="10.85546875" style="1" customWidth="1"/>
    <col min="2319" max="2319" width="7.7109375" style="1" customWidth="1"/>
    <col min="2320" max="2320" width="8" style="1" customWidth="1"/>
    <col min="2321" max="2321" width="16.28515625" style="1" customWidth="1"/>
    <col min="2322" max="2322" width="10.5703125" style="1" customWidth="1"/>
    <col min="2323" max="2323" width="14.140625" style="1" customWidth="1"/>
    <col min="2324" max="2324" width="10.140625" style="1" customWidth="1"/>
    <col min="2325" max="2325" width="15.140625" style="1" customWidth="1"/>
    <col min="2326" max="2326" width="8.5703125" style="1" customWidth="1"/>
    <col min="2327" max="2327" width="14.28515625" style="1" customWidth="1"/>
    <col min="2328" max="2328" width="18.28515625" style="1" customWidth="1"/>
    <col min="2329" max="2329" width="13" style="1" bestFit="1" customWidth="1"/>
    <col min="2330" max="2330" width="11.7109375" style="1" bestFit="1" customWidth="1"/>
    <col min="2331" max="2337" width="9.140625" style="1"/>
    <col min="2338" max="2338" width="11.28515625" style="1" bestFit="1" customWidth="1"/>
    <col min="2339" max="2339" width="10.7109375" style="1" bestFit="1" customWidth="1"/>
    <col min="2340" max="2561" width="9.140625" style="1"/>
    <col min="2562" max="2562" width="6.42578125" style="1" customWidth="1"/>
    <col min="2563" max="2563" width="20.7109375" style="1" customWidth="1"/>
    <col min="2564" max="2564" width="24.7109375" style="1" customWidth="1"/>
    <col min="2565" max="2565" width="11.140625" style="1" customWidth="1"/>
    <col min="2566" max="2566" width="12.28515625" style="1" customWidth="1"/>
    <col min="2567" max="2567" width="11.140625" style="1" customWidth="1"/>
    <col min="2568" max="2568" width="10.42578125" style="1" customWidth="1"/>
    <col min="2569" max="2569" width="4.7109375" style="1" customWidth="1"/>
    <col min="2570" max="2570" width="8.5703125" style="1" customWidth="1"/>
    <col min="2571" max="2571" width="5.5703125" style="1" customWidth="1"/>
    <col min="2572" max="2573" width="11.5703125" style="1" customWidth="1"/>
    <col min="2574" max="2574" width="10.85546875" style="1" customWidth="1"/>
    <col min="2575" max="2575" width="7.7109375" style="1" customWidth="1"/>
    <col min="2576" max="2576" width="8" style="1" customWidth="1"/>
    <col min="2577" max="2577" width="16.28515625" style="1" customWidth="1"/>
    <col min="2578" max="2578" width="10.5703125" style="1" customWidth="1"/>
    <col min="2579" max="2579" width="14.140625" style="1" customWidth="1"/>
    <col min="2580" max="2580" width="10.140625" style="1" customWidth="1"/>
    <col min="2581" max="2581" width="15.140625" style="1" customWidth="1"/>
    <col min="2582" max="2582" width="8.5703125" style="1" customWidth="1"/>
    <col min="2583" max="2583" width="14.28515625" style="1" customWidth="1"/>
    <col min="2584" max="2584" width="18.28515625" style="1" customWidth="1"/>
    <col min="2585" max="2585" width="13" style="1" bestFit="1" customWidth="1"/>
    <col min="2586" max="2586" width="11.7109375" style="1" bestFit="1" customWidth="1"/>
    <col min="2587" max="2593" width="9.140625" style="1"/>
    <col min="2594" max="2594" width="11.28515625" style="1" bestFit="1" customWidth="1"/>
    <col min="2595" max="2595" width="10.7109375" style="1" bestFit="1" customWidth="1"/>
    <col min="2596" max="2817" width="9.140625" style="1"/>
    <col min="2818" max="2818" width="6.42578125" style="1" customWidth="1"/>
    <col min="2819" max="2819" width="20.7109375" style="1" customWidth="1"/>
    <col min="2820" max="2820" width="24.7109375" style="1" customWidth="1"/>
    <col min="2821" max="2821" width="11.140625" style="1" customWidth="1"/>
    <col min="2822" max="2822" width="12.28515625" style="1" customWidth="1"/>
    <col min="2823" max="2823" width="11.140625" style="1" customWidth="1"/>
    <col min="2824" max="2824" width="10.42578125" style="1" customWidth="1"/>
    <col min="2825" max="2825" width="4.7109375" style="1" customWidth="1"/>
    <col min="2826" max="2826" width="8.5703125" style="1" customWidth="1"/>
    <col min="2827" max="2827" width="5.5703125" style="1" customWidth="1"/>
    <col min="2828" max="2829" width="11.5703125" style="1" customWidth="1"/>
    <col min="2830" max="2830" width="10.85546875" style="1" customWidth="1"/>
    <col min="2831" max="2831" width="7.7109375" style="1" customWidth="1"/>
    <col min="2832" max="2832" width="8" style="1" customWidth="1"/>
    <col min="2833" max="2833" width="16.28515625" style="1" customWidth="1"/>
    <col min="2834" max="2834" width="10.5703125" style="1" customWidth="1"/>
    <col min="2835" max="2835" width="14.140625" style="1" customWidth="1"/>
    <col min="2836" max="2836" width="10.140625" style="1" customWidth="1"/>
    <col min="2837" max="2837" width="15.140625" style="1" customWidth="1"/>
    <col min="2838" max="2838" width="8.5703125" style="1" customWidth="1"/>
    <col min="2839" max="2839" width="14.28515625" style="1" customWidth="1"/>
    <col min="2840" max="2840" width="18.28515625" style="1" customWidth="1"/>
    <col min="2841" max="2841" width="13" style="1" bestFit="1" customWidth="1"/>
    <col min="2842" max="2842" width="11.7109375" style="1" bestFit="1" customWidth="1"/>
    <col min="2843" max="2849" width="9.140625" style="1"/>
    <col min="2850" max="2850" width="11.28515625" style="1" bestFit="1" customWidth="1"/>
    <col min="2851" max="2851" width="10.7109375" style="1" bestFit="1" customWidth="1"/>
    <col min="2852" max="3073" width="9.140625" style="1"/>
    <col min="3074" max="3074" width="6.42578125" style="1" customWidth="1"/>
    <col min="3075" max="3075" width="20.7109375" style="1" customWidth="1"/>
    <col min="3076" max="3076" width="24.7109375" style="1" customWidth="1"/>
    <col min="3077" max="3077" width="11.140625" style="1" customWidth="1"/>
    <col min="3078" max="3078" width="12.28515625" style="1" customWidth="1"/>
    <col min="3079" max="3079" width="11.140625" style="1" customWidth="1"/>
    <col min="3080" max="3080" width="10.42578125" style="1" customWidth="1"/>
    <col min="3081" max="3081" width="4.7109375" style="1" customWidth="1"/>
    <col min="3082" max="3082" width="8.5703125" style="1" customWidth="1"/>
    <col min="3083" max="3083" width="5.5703125" style="1" customWidth="1"/>
    <col min="3084" max="3085" width="11.5703125" style="1" customWidth="1"/>
    <col min="3086" max="3086" width="10.85546875" style="1" customWidth="1"/>
    <col min="3087" max="3087" width="7.7109375" style="1" customWidth="1"/>
    <col min="3088" max="3088" width="8" style="1" customWidth="1"/>
    <col min="3089" max="3089" width="16.28515625" style="1" customWidth="1"/>
    <col min="3090" max="3090" width="10.5703125" style="1" customWidth="1"/>
    <col min="3091" max="3091" width="14.140625" style="1" customWidth="1"/>
    <col min="3092" max="3092" width="10.140625" style="1" customWidth="1"/>
    <col min="3093" max="3093" width="15.140625" style="1" customWidth="1"/>
    <col min="3094" max="3094" width="8.5703125" style="1" customWidth="1"/>
    <col min="3095" max="3095" width="14.28515625" style="1" customWidth="1"/>
    <col min="3096" max="3096" width="18.28515625" style="1" customWidth="1"/>
    <col min="3097" max="3097" width="13" style="1" bestFit="1" customWidth="1"/>
    <col min="3098" max="3098" width="11.7109375" style="1" bestFit="1" customWidth="1"/>
    <col min="3099" max="3105" width="9.140625" style="1"/>
    <col min="3106" max="3106" width="11.28515625" style="1" bestFit="1" customWidth="1"/>
    <col min="3107" max="3107" width="10.7109375" style="1" bestFit="1" customWidth="1"/>
    <col min="3108" max="3329" width="9.140625" style="1"/>
    <col min="3330" max="3330" width="6.42578125" style="1" customWidth="1"/>
    <col min="3331" max="3331" width="20.7109375" style="1" customWidth="1"/>
    <col min="3332" max="3332" width="24.7109375" style="1" customWidth="1"/>
    <col min="3333" max="3333" width="11.140625" style="1" customWidth="1"/>
    <col min="3334" max="3334" width="12.28515625" style="1" customWidth="1"/>
    <col min="3335" max="3335" width="11.140625" style="1" customWidth="1"/>
    <col min="3336" max="3336" width="10.42578125" style="1" customWidth="1"/>
    <col min="3337" max="3337" width="4.7109375" style="1" customWidth="1"/>
    <col min="3338" max="3338" width="8.5703125" style="1" customWidth="1"/>
    <col min="3339" max="3339" width="5.5703125" style="1" customWidth="1"/>
    <col min="3340" max="3341" width="11.5703125" style="1" customWidth="1"/>
    <col min="3342" max="3342" width="10.85546875" style="1" customWidth="1"/>
    <col min="3343" max="3343" width="7.7109375" style="1" customWidth="1"/>
    <col min="3344" max="3344" width="8" style="1" customWidth="1"/>
    <col min="3345" max="3345" width="16.28515625" style="1" customWidth="1"/>
    <col min="3346" max="3346" width="10.5703125" style="1" customWidth="1"/>
    <col min="3347" max="3347" width="14.140625" style="1" customWidth="1"/>
    <col min="3348" max="3348" width="10.140625" style="1" customWidth="1"/>
    <col min="3349" max="3349" width="15.140625" style="1" customWidth="1"/>
    <col min="3350" max="3350" width="8.5703125" style="1" customWidth="1"/>
    <col min="3351" max="3351" width="14.28515625" style="1" customWidth="1"/>
    <col min="3352" max="3352" width="18.28515625" style="1" customWidth="1"/>
    <col min="3353" max="3353" width="13" style="1" bestFit="1" customWidth="1"/>
    <col min="3354" max="3354" width="11.7109375" style="1" bestFit="1" customWidth="1"/>
    <col min="3355" max="3361" width="9.140625" style="1"/>
    <col min="3362" max="3362" width="11.28515625" style="1" bestFit="1" customWidth="1"/>
    <col min="3363" max="3363" width="10.7109375" style="1" bestFit="1" customWidth="1"/>
    <col min="3364" max="3585" width="9.140625" style="1"/>
    <col min="3586" max="3586" width="6.42578125" style="1" customWidth="1"/>
    <col min="3587" max="3587" width="20.7109375" style="1" customWidth="1"/>
    <col min="3588" max="3588" width="24.7109375" style="1" customWidth="1"/>
    <col min="3589" max="3589" width="11.140625" style="1" customWidth="1"/>
    <col min="3590" max="3590" width="12.28515625" style="1" customWidth="1"/>
    <col min="3591" max="3591" width="11.140625" style="1" customWidth="1"/>
    <col min="3592" max="3592" width="10.42578125" style="1" customWidth="1"/>
    <col min="3593" max="3593" width="4.7109375" style="1" customWidth="1"/>
    <col min="3594" max="3594" width="8.5703125" style="1" customWidth="1"/>
    <col min="3595" max="3595" width="5.5703125" style="1" customWidth="1"/>
    <col min="3596" max="3597" width="11.5703125" style="1" customWidth="1"/>
    <col min="3598" max="3598" width="10.85546875" style="1" customWidth="1"/>
    <col min="3599" max="3599" width="7.7109375" style="1" customWidth="1"/>
    <col min="3600" max="3600" width="8" style="1" customWidth="1"/>
    <col min="3601" max="3601" width="16.28515625" style="1" customWidth="1"/>
    <col min="3602" max="3602" width="10.5703125" style="1" customWidth="1"/>
    <col min="3603" max="3603" width="14.140625" style="1" customWidth="1"/>
    <col min="3604" max="3604" width="10.140625" style="1" customWidth="1"/>
    <col min="3605" max="3605" width="15.140625" style="1" customWidth="1"/>
    <col min="3606" max="3606" width="8.5703125" style="1" customWidth="1"/>
    <col min="3607" max="3607" width="14.28515625" style="1" customWidth="1"/>
    <col min="3608" max="3608" width="18.28515625" style="1" customWidth="1"/>
    <col min="3609" max="3609" width="13" style="1" bestFit="1" customWidth="1"/>
    <col min="3610" max="3610" width="11.7109375" style="1" bestFit="1" customWidth="1"/>
    <col min="3611" max="3617" width="9.140625" style="1"/>
    <col min="3618" max="3618" width="11.28515625" style="1" bestFit="1" customWidth="1"/>
    <col min="3619" max="3619" width="10.7109375" style="1" bestFit="1" customWidth="1"/>
    <col min="3620" max="3841" width="9.140625" style="1"/>
    <col min="3842" max="3842" width="6.42578125" style="1" customWidth="1"/>
    <col min="3843" max="3843" width="20.7109375" style="1" customWidth="1"/>
    <col min="3844" max="3844" width="24.7109375" style="1" customWidth="1"/>
    <col min="3845" max="3845" width="11.140625" style="1" customWidth="1"/>
    <col min="3846" max="3846" width="12.28515625" style="1" customWidth="1"/>
    <col min="3847" max="3847" width="11.140625" style="1" customWidth="1"/>
    <col min="3848" max="3848" width="10.42578125" style="1" customWidth="1"/>
    <col min="3849" max="3849" width="4.7109375" style="1" customWidth="1"/>
    <col min="3850" max="3850" width="8.5703125" style="1" customWidth="1"/>
    <col min="3851" max="3851" width="5.5703125" style="1" customWidth="1"/>
    <col min="3852" max="3853" width="11.5703125" style="1" customWidth="1"/>
    <col min="3854" max="3854" width="10.85546875" style="1" customWidth="1"/>
    <col min="3855" max="3855" width="7.7109375" style="1" customWidth="1"/>
    <col min="3856" max="3856" width="8" style="1" customWidth="1"/>
    <col min="3857" max="3857" width="16.28515625" style="1" customWidth="1"/>
    <col min="3858" max="3858" width="10.5703125" style="1" customWidth="1"/>
    <col min="3859" max="3859" width="14.140625" style="1" customWidth="1"/>
    <col min="3860" max="3860" width="10.140625" style="1" customWidth="1"/>
    <col min="3861" max="3861" width="15.140625" style="1" customWidth="1"/>
    <col min="3862" max="3862" width="8.5703125" style="1" customWidth="1"/>
    <col min="3863" max="3863" width="14.28515625" style="1" customWidth="1"/>
    <col min="3864" max="3864" width="18.28515625" style="1" customWidth="1"/>
    <col min="3865" max="3865" width="13" style="1" bestFit="1" customWidth="1"/>
    <col min="3866" max="3866" width="11.7109375" style="1" bestFit="1" customWidth="1"/>
    <col min="3867" max="3873" width="9.140625" style="1"/>
    <col min="3874" max="3874" width="11.28515625" style="1" bestFit="1" customWidth="1"/>
    <col min="3875" max="3875" width="10.7109375" style="1" bestFit="1" customWidth="1"/>
    <col min="3876" max="4097" width="9.140625" style="1"/>
    <col min="4098" max="4098" width="6.42578125" style="1" customWidth="1"/>
    <col min="4099" max="4099" width="20.7109375" style="1" customWidth="1"/>
    <col min="4100" max="4100" width="24.7109375" style="1" customWidth="1"/>
    <col min="4101" max="4101" width="11.140625" style="1" customWidth="1"/>
    <col min="4102" max="4102" width="12.28515625" style="1" customWidth="1"/>
    <col min="4103" max="4103" width="11.140625" style="1" customWidth="1"/>
    <col min="4104" max="4104" width="10.42578125" style="1" customWidth="1"/>
    <col min="4105" max="4105" width="4.7109375" style="1" customWidth="1"/>
    <col min="4106" max="4106" width="8.5703125" style="1" customWidth="1"/>
    <col min="4107" max="4107" width="5.5703125" style="1" customWidth="1"/>
    <col min="4108" max="4109" width="11.5703125" style="1" customWidth="1"/>
    <col min="4110" max="4110" width="10.85546875" style="1" customWidth="1"/>
    <col min="4111" max="4111" width="7.7109375" style="1" customWidth="1"/>
    <col min="4112" max="4112" width="8" style="1" customWidth="1"/>
    <col min="4113" max="4113" width="16.28515625" style="1" customWidth="1"/>
    <col min="4114" max="4114" width="10.5703125" style="1" customWidth="1"/>
    <col min="4115" max="4115" width="14.140625" style="1" customWidth="1"/>
    <col min="4116" max="4116" width="10.140625" style="1" customWidth="1"/>
    <col min="4117" max="4117" width="15.140625" style="1" customWidth="1"/>
    <col min="4118" max="4118" width="8.5703125" style="1" customWidth="1"/>
    <col min="4119" max="4119" width="14.28515625" style="1" customWidth="1"/>
    <col min="4120" max="4120" width="18.28515625" style="1" customWidth="1"/>
    <col min="4121" max="4121" width="13" style="1" bestFit="1" customWidth="1"/>
    <col min="4122" max="4122" width="11.7109375" style="1" bestFit="1" customWidth="1"/>
    <col min="4123" max="4129" width="9.140625" style="1"/>
    <col min="4130" max="4130" width="11.28515625" style="1" bestFit="1" customWidth="1"/>
    <col min="4131" max="4131" width="10.7109375" style="1" bestFit="1" customWidth="1"/>
    <col min="4132" max="4353" width="9.140625" style="1"/>
    <col min="4354" max="4354" width="6.42578125" style="1" customWidth="1"/>
    <col min="4355" max="4355" width="20.7109375" style="1" customWidth="1"/>
    <col min="4356" max="4356" width="24.7109375" style="1" customWidth="1"/>
    <col min="4357" max="4357" width="11.140625" style="1" customWidth="1"/>
    <col min="4358" max="4358" width="12.28515625" style="1" customWidth="1"/>
    <col min="4359" max="4359" width="11.140625" style="1" customWidth="1"/>
    <col min="4360" max="4360" width="10.42578125" style="1" customWidth="1"/>
    <col min="4361" max="4361" width="4.7109375" style="1" customWidth="1"/>
    <col min="4362" max="4362" width="8.5703125" style="1" customWidth="1"/>
    <col min="4363" max="4363" width="5.5703125" style="1" customWidth="1"/>
    <col min="4364" max="4365" width="11.5703125" style="1" customWidth="1"/>
    <col min="4366" max="4366" width="10.85546875" style="1" customWidth="1"/>
    <col min="4367" max="4367" width="7.7109375" style="1" customWidth="1"/>
    <col min="4368" max="4368" width="8" style="1" customWidth="1"/>
    <col min="4369" max="4369" width="16.28515625" style="1" customWidth="1"/>
    <col min="4370" max="4370" width="10.5703125" style="1" customWidth="1"/>
    <col min="4371" max="4371" width="14.140625" style="1" customWidth="1"/>
    <col min="4372" max="4372" width="10.140625" style="1" customWidth="1"/>
    <col min="4373" max="4373" width="15.140625" style="1" customWidth="1"/>
    <col min="4374" max="4374" width="8.5703125" style="1" customWidth="1"/>
    <col min="4375" max="4375" width="14.28515625" style="1" customWidth="1"/>
    <col min="4376" max="4376" width="18.28515625" style="1" customWidth="1"/>
    <col min="4377" max="4377" width="13" style="1" bestFit="1" customWidth="1"/>
    <col min="4378" max="4378" width="11.7109375" style="1" bestFit="1" customWidth="1"/>
    <col min="4379" max="4385" width="9.140625" style="1"/>
    <col min="4386" max="4386" width="11.28515625" style="1" bestFit="1" customWidth="1"/>
    <col min="4387" max="4387" width="10.7109375" style="1" bestFit="1" customWidth="1"/>
    <col min="4388" max="4609" width="9.140625" style="1"/>
    <col min="4610" max="4610" width="6.42578125" style="1" customWidth="1"/>
    <col min="4611" max="4611" width="20.7109375" style="1" customWidth="1"/>
    <col min="4612" max="4612" width="24.7109375" style="1" customWidth="1"/>
    <col min="4613" max="4613" width="11.140625" style="1" customWidth="1"/>
    <col min="4614" max="4614" width="12.28515625" style="1" customWidth="1"/>
    <col min="4615" max="4615" width="11.140625" style="1" customWidth="1"/>
    <col min="4616" max="4616" width="10.42578125" style="1" customWidth="1"/>
    <col min="4617" max="4617" width="4.7109375" style="1" customWidth="1"/>
    <col min="4618" max="4618" width="8.5703125" style="1" customWidth="1"/>
    <col min="4619" max="4619" width="5.5703125" style="1" customWidth="1"/>
    <col min="4620" max="4621" width="11.5703125" style="1" customWidth="1"/>
    <col min="4622" max="4622" width="10.85546875" style="1" customWidth="1"/>
    <col min="4623" max="4623" width="7.7109375" style="1" customWidth="1"/>
    <col min="4624" max="4624" width="8" style="1" customWidth="1"/>
    <col min="4625" max="4625" width="16.28515625" style="1" customWidth="1"/>
    <col min="4626" max="4626" width="10.5703125" style="1" customWidth="1"/>
    <col min="4627" max="4627" width="14.140625" style="1" customWidth="1"/>
    <col min="4628" max="4628" width="10.140625" style="1" customWidth="1"/>
    <col min="4629" max="4629" width="15.140625" style="1" customWidth="1"/>
    <col min="4630" max="4630" width="8.5703125" style="1" customWidth="1"/>
    <col min="4631" max="4631" width="14.28515625" style="1" customWidth="1"/>
    <col min="4632" max="4632" width="18.28515625" style="1" customWidth="1"/>
    <col min="4633" max="4633" width="13" style="1" bestFit="1" customWidth="1"/>
    <col min="4634" max="4634" width="11.7109375" style="1" bestFit="1" customWidth="1"/>
    <col min="4635" max="4641" width="9.140625" style="1"/>
    <col min="4642" max="4642" width="11.28515625" style="1" bestFit="1" customWidth="1"/>
    <col min="4643" max="4643" width="10.7109375" style="1" bestFit="1" customWidth="1"/>
    <col min="4644" max="4865" width="9.140625" style="1"/>
    <col min="4866" max="4866" width="6.42578125" style="1" customWidth="1"/>
    <col min="4867" max="4867" width="20.7109375" style="1" customWidth="1"/>
    <col min="4868" max="4868" width="24.7109375" style="1" customWidth="1"/>
    <col min="4869" max="4869" width="11.140625" style="1" customWidth="1"/>
    <col min="4870" max="4870" width="12.28515625" style="1" customWidth="1"/>
    <col min="4871" max="4871" width="11.140625" style="1" customWidth="1"/>
    <col min="4872" max="4872" width="10.42578125" style="1" customWidth="1"/>
    <col min="4873" max="4873" width="4.7109375" style="1" customWidth="1"/>
    <col min="4874" max="4874" width="8.5703125" style="1" customWidth="1"/>
    <col min="4875" max="4875" width="5.5703125" style="1" customWidth="1"/>
    <col min="4876" max="4877" width="11.5703125" style="1" customWidth="1"/>
    <col min="4878" max="4878" width="10.85546875" style="1" customWidth="1"/>
    <col min="4879" max="4879" width="7.7109375" style="1" customWidth="1"/>
    <col min="4880" max="4880" width="8" style="1" customWidth="1"/>
    <col min="4881" max="4881" width="16.28515625" style="1" customWidth="1"/>
    <col min="4882" max="4882" width="10.5703125" style="1" customWidth="1"/>
    <col min="4883" max="4883" width="14.140625" style="1" customWidth="1"/>
    <col min="4884" max="4884" width="10.140625" style="1" customWidth="1"/>
    <col min="4885" max="4885" width="15.140625" style="1" customWidth="1"/>
    <col min="4886" max="4886" width="8.5703125" style="1" customWidth="1"/>
    <col min="4887" max="4887" width="14.28515625" style="1" customWidth="1"/>
    <col min="4888" max="4888" width="18.28515625" style="1" customWidth="1"/>
    <col min="4889" max="4889" width="13" style="1" bestFit="1" customWidth="1"/>
    <col min="4890" max="4890" width="11.7109375" style="1" bestFit="1" customWidth="1"/>
    <col min="4891" max="4897" width="9.140625" style="1"/>
    <col min="4898" max="4898" width="11.28515625" style="1" bestFit="1" customWidth="1"/>
    <col min="4899" max="4899" width="10.7109375" style="1" bestFit="1" customWidth="1"/>
    <col min="4900" max="5121" width="9.140625" style="1"/>
    <col min="5122" max="5122" width="6.42578125" style="1" customWidth="1"/>
    <col min="5123" max="5123" width="20.7109375" style="1" customWidth="1"/>
    <col min="5124" max="5124" width="24.7109375" style="1" customWidth="1"/>
    <col min="5125" max="5125" width="11.140625" style="1" customWidth="1"/>
    <col min="5126" max="5126" width="12.28515625" style="1" customWidth="1"/>
    <col min="5127" max="5127" width="11.140625" style="1" customWidth="1"/>
    <col min="5128" max="5128" width="10.42578125" style="1" customWidth="1"/>
    <col min="5129" max="5129" width="4.7109375" style="1" customWidth="1"/>
    <col min="5130" max="5130" width="8.5703125" style="1" customWidth="1"/>
    <col min="5131" max="5131" width="5.5703125" style="1" customWidth="1"/>
    <col min="5132" max="5133" width="11.5703125" style="1" customWidth="1"/>
    <col min="5134" max="5134" width="10.85546875" style="1" customWidth="1"/>
    <col min="5135" max="5135" width="7.7109375" style="1" customWidth="1"/>
    <col min="5136" max="5136" width="8" style="1" customWidth="1"/>
    <col min="5137" max="5137" width="16.28515625" style="1" customWidth="1"/>
    <col min="5138" max="5138" width="10.5703125" style="1" customWidth="1"/>
    <col min="5139" max="5139" width="14.140625" style="1" customWidth="1"/>
    <col min="5140" max="5140" width="10.140625" style="1" customWidth="1"/>
    <col min="5141" max="5141" width="15.140625" style="1" customWidth="1"/>
    <col min="5142" max="5142" width="8.5703125" style="1" customWidth="1"/>
    <col min="5143" max="5143" width="14.28515625" style="1" customWidth="1"/>
    <col min="5144" max="5144" width="18.28515625" style="1" customWidth="1"/>
    <col min="5145" max="5145" width="13" style="1" bestFit="1" customWidth="1"/>
    <col min="5146" max="5146" width="11.7109375" style="1" bestFit="1" customWidth="1"/>
    <col min="5147" max="5153" width="9.140625" style="1"/>
    <col min="5154" max="5154" width="11.28515625" style="1" bestFit="1" customWidth="1"/>
    <col min="5155" max="5155" width="10.7109375" style="1" bestFit="1" customWidth="1"/>
    <col min="5156" max="5377" width="9.140625" style="1"/>
    <col min="5378" max="5378" width="6.42578125" style="1" customWidth="1"/>
    <col min="5379" max="5379" width="20.7109375" style="1" customWidth="1"/>
    <col min="5380" max="5380" width="24.7109375" style="1" customWidth="1"/>
    <col min="5381" max="5381" width="11.140625" style="1" customWidth="1"/>
    <col min="5382" max="5382" width="12.28515625" style="1" customWidth="1"/>
    <col min="5383" max="5383" width="11.140625" style="1" customWidth="1"/>
    <col min="5384" max="5384" width="10.42578125" style="1" customWidth="1"/>
    <col min="5385" max="5385" width="4.7109375" style="1" customWidth="1"/>
    <col min="5386" max="5386" width="8.5703125" style="1" customWidth="1"/>
    <col min="5387" max="5387" width="5.5703125" style="1" customWidth="1"/>
    <col min="5388" max="5389" width="11.5703125" style="1" customWidth="1"/>
    <col min="5390" max="5390" width="10.85546875" style="1" customWidth="1"/>
    <col min="5391" max="5391" width="7.7109375" style="1" customWidth="1"/>
    <col min="5392" max="5392" width="8" style="1" customWidth="1"/>
    <col min="5393" max="5393" width="16.28515625" style="1" customWidth="1"/>
    <col min="5394" max="5394" width="10.5703125" style="1" customWidth="1"/>
    <col min="5395" max="5395" width="14.140625" style="1" customWidth="1"/>
    <col min="5396" max="5396" width="10.140625" style="1" customWidth="1"/>
    <col min="5397" max="5397" width="15.140625" style="1" customWidth="1"/>
    <col min="5398" max="5398" width="8.5703125" style="1" customWidth="1"/>
    <col min="5399" max="5399" width="14.28515625" style="1" customWidth="1"/>
    <col min="5400" max="5400" width="18.28515625" style="1" customWidth="1"/>
    <col min="5401" max="5401" width="13" style="1" bestFit="1" customWidth="1"/>
    <col min="5402" max="5402" width="11.7109375" style="1" bestFit="1" customWidth="1"/>
    <col min="5403" max="5409" width="9.140625" style="1"/>
    <col min="5410" max="5410" width="11.28515625" style="1" bestFit="1" customWidth="1"/>
    <col min="5411" max="5411" width="10.7109375" style="1" bestFit="1" customWidth="1"/>
    <col min="5412" max="5633" width="9.140625" style="1"/>
    <col min="5634" max="5634" width="6.42578125" style="1" customWidth="1"/>
    <col min="5635" max="5635" width="20.7109375" style="1" customWidth="1"/>
    <col min="5636" max="5636" width="24.7109375" style="1" customWidth="1"/>
    <col min="5637" max="5637" width="11.140625" style="1" customWidth="1"/>
    <col min="5638" max="5638" width="12.28515625" style="1" customWidth="1"/>
    <col min="5639" max="5639" width="11.140625" style="1" customWidth="1"/>
    <col min="5640" max="5640" width="10.42578125" style="1" customWidth="1"/>
    <col min="5641" max="5641" width="4.7109375" style="1" customWidth="1"/>
    <col min="5642" max="5642" width="8.5703125" style="1" customWidth="1"/>
    <col min="5643" max="5643" width="5.5703125" style="1" customWidth="1"/>
    <col min="5644" max="5645" width="11.5703125" style="1" customWidth="1"/>
    <col min="5646" max="5646" width="10.85546875" style="1" customWidth="1"/>
    <col min="5647" max="5647" width="7.7109375" style="1" customWidth="1"/>
    <col min="5648" max="5648" width="8" style="1" customWidth="1"/>
    <col min="5649" max="5649" width="16.28515625" style="1" customWidth="1"/>
    <col min="5650" max="5650" width="10.5703125" style="1" customWidth="1"/>
    <col min="5651" max="5651" width="14.140625" style="1" customWidth="1"/>
    <col min="5652" max="5652" width="10.140625" style="1" customWidth="1"/>
    <col min="5653" max="5653" width="15.140625" style="1" customWidth="1"/>
    <col min="5654" max="5654" width="8.5703125" style="1" customWidth="1"/>
    <col min="5655" max="5655" width="14.28515625" style="1" customWidth="1"/>
    <col min="5656" max="5656" width="18.28515625" style="1" customWidth="1"/>
    <col min="5657" max="5657" width="13" style="1" bestFit="1" customWidth="1"/>
    <col min="5658" max="5658" width="11.7109375" style="1" bestFit="1" customWidth="1"/>
    <col min="5659" max="5665" width="9.140625" style="1"/>
    <col min="5666" max="5666" width="11.28515625" style="1" bestFit="1" customWidth="1"/>
    <col min="5667" max="5667" width="10.7109375" style="1" bestFit="1" customWidth="1"/>
    <col min="5668" max="5889" width="9.140625" style="1"/>
    <col min="5890" max="5890" width="6.42578125" style="1" customWidth="1"/>
    <col min="5891" max="5891" width="20.7109375" style="1" customWidth="1"/>
    <col min="5892" max="5892" width="24.7109375" style="1" customWidth="1"/>
    <col min="5893" max="5893" width="11.140625" style="1" customWidth="1"/>
    <col min="5894" max="5894" width="12.28515625" style="1" customWidth="1"/>
    <col min="5895" max="5895" width="11.140625" style="1" customWidth="1"/>
    <col min="5896" max="5896" width="10.42578125" style="1" customWidth="1"/>
    <col min="5897" max="5897" width="4.7109375" style="1" customWidth="1"/>
    <col min="5898" max="5898" width="8.5703125" style="1" customWidth="1"/>
    <col min="5899" max="5899" width="5.5703125" style="1" customWidth="1"/>
    <col min="5900" max="5901" width="11.5703125" style="1" customWidth="1"/>
    <col min="5902" max="5902" width="10.85546875" style="1" customWidth="1"/>
    <col min="5903" max="5903" width="7.7109375" style="1" customWidth="1"/>
    <col min="5904" max="5904" width="8" style="1" customWidth="1"/>
    <col min="5905" max="5905" width="16.28515625" style="1" customWidth="1"/>
    <col min="5906" max="5906" width="10.5703125" style="1" customWidth="1"/>
    <col min="5907" max="5907" width="14.140625" style="1" customWidth="1"/>
    <col min="5908" max="5908" width="10.140625" style="1" customWidth="1"/>
    <col min="5909" max="5909" width="15.140625" style="1" customWidth="1"/>
    <col min="5910" max="5910" width="8.5703125" style="1" customWidth="1"/>
    <col min="5911" max="5911" width="14.28515625" style="1" customWidth="1"/>
    <col min="5912" max="5912" width="18.28515625" style="1" customWidth="1"/>
    <col min="5913" max="5913" width="13" style="1" bestFit="1" customWidth="1"/>
    <col min="5914" max="5914" width="11.7109375" style="1" bestFit="1" customWidth="1"/>
    <col min="5915" max="5921" width="9.140625" style="1"/>
    <col min="5922" max="5922" width="11.28515625" style="1" bestFit="1" customWidth="1"/>
    <col min="5923" max="5923" width="10.7109375" style="1" bestFit="1" customWidth="1"/>
    <col min="5924" max="6145" width="9.140625" style="1"/>
    <col min="6146" max="6146" width="6.42578125" style="1" customWidth="1"/>
    <col min="6147" max="6147" width="20.7109375" style="1" customWidth="1"/>
    <col min="6148" max="6148" width="24.7109375" style="1" customWidth="1"/>
    <col min="6149" max="6149" width="11.140625" style="1" customWidth="1"/>
    <col min="6150" max="6150" width="12.28515625" style="1" customWidth="1"/>
    <col min="6151" max="6151" width="11.140625" style="1" customWidth="1"/>
    <col min="6152" max="6152" width="10.42578125" style="1" customWidth="1"/>
    <col min="6153" max="6153" width="4.7109375" style="1" customWidth="1"/>
    <col min="6154" max="6154" width="8.5703125" style="1" customWidth="1"/>
    <col min="6155" max="6155" width="5.5703125" style="1" customWidth="1"/>
    <col min="6156" max="6157" width="11.5703125" style="1" customWidth="1"/>
    <col min="6158" max="6158" width="10.85546875" style="1" customWidth="1"/>
    <col min="6159" max="6159" width="7.7109375" style="1" customWidth="1"/>
    <col min="6160" max="6160" width="8" style="1" customWidth="1"/>
    <col min="6161" max="6161" width="16.28515625" style="1" customWidth="1"/>
    <col min="6162" max="6162" width="10.5703125" style="1" customWidth="1"/>
    <col min="6163" max="6163" width="14.140625" style="1" customWidth="1"/>
    <col min="6164" max="6164" width="10.140625" style="1" customWidth="1"/>
    <col min="6165" max="6165" width="15.140625" style="1" customWidth="1"/>
    <col min="6166" max="6166" width="8.5703125" style="1" customWidth="1"/>
    <col min="6167" max="6167" width="14.28515625" style="1" customWidth="1"/>
    <col min="6168" max="6168" width="18.28515625" style="1" customWidth="1"/>
    <col min="6169" max="6169" width="13" style="1" bestFit="1" customWidth="1"/>
    <col min="6170" max="6170" width="11.7109375" style="1" bestFit="1" customWidth="1"/>
    <col min="6171" max="6177" width="9.140625" style="1"/>
    <col min="6178" max="6178" width="11.28515625" style="1" bestFit="1" customWidth="1"/>
    <col min="6179" max="6179" width="10.7109375" style="1" bestFit="1" customWidth="1"/>
    <col min="6180" max="6401" width="9.140625" style="1"/>
    <col min="6402" max="6402" width="6.42578125" style="1" customWidth="1"/>
    <col min="6403" max="6403" width="20.7109375" style="1" customWidth="1"/>
    <col min="6404" max="6404" width="24.7109375" style="1" customWidth="1"/>
    <col min="6405" max="6405" width="11.140625" style="1" customWidth="1"/>
    <col min="6406" max="6406" width="12.28515625" style="1" customWidth="1"/>
    <col min="6407" max="6407" width="11.140625" style="1" customWidth="1"/>
    <col min="6408" max="6408" width="10.42578125" style="1" customWidth="1"/>
    <col min="6409" max="6409" width="4.7109375" style="1" customWidth="1"/>
    <col min="6410" max="6410" width="8.5703125" style="1" customWidth="1"/>
    <col min="6411" max="6411" width="5.5703125" style="1" customWidth="1"/>
    <col min="6412" max="6413" width="11.5703125" style="1" customWidth="1"/>
    <col min="6414" max="6414" width="10.85546875" style="1" customWidth="1"/>
    <col min="6415" max="6415" width="7.7109375" style="1" customWidth="1"/>
    <col min="6416" max="6416" width="8" style="1" customWidth="1"/>
    <col min="6417" max="6417" width="16.28515625" style="1" customWidth="1"/>
    <col min="6418" max="6418" width="10.5703125" style="1" customWidth="1"/>
    <col min="6419" max="6419" width="14.140625" style="1" customWidth="1"/>
    <col min="6420" max="6420" width="10.140625" style="1" customWidth="1"/>
    <col min="6421" max="6421" width="15.140625" style="1" customWidth="1"/>
    <col min="6422" max="6422" width="8.5703125" style="1" customWidth="1"/>
    <col min="6423" max="6423" width="14.28515625" style="1" customWidth="1"/>
    <col min="6424" max="6424" width="18.28515625" style="1" customWidth="1"/>
    <col min="6425" max="6425" width="13" style="1" bestFit="1" customWidth="1"/>
    <col min="6426" max="6426" width="11.7109375" style="1" bestFit="1" customWidth="1"/>
    <col min="6427" max="6433" width="9.140625" style="1"/>
    <col min="6434" max="6434" width="11.28515625" style="1" bestFit="1" customWidth="1"/>
    <col min="6435" max="6435" width="10.7109375" style="1" bestFit="1" customWidth="1"/>
    <col min="6436" max="6657" width="9.140625" style="1"/>
    <col min="6658" max="6658" width="6.42578125" style="1" customWidth="1"/>
    <col min="6659" max="6659" width="20.7109375" style="1" customWidth="1"/>
    <col min="6660" max="6660" width="24.7109375" style="1" customWidth="1"/>
    <col min="6661" max="6661" width="11.140625" style="1" customWidth="1"/>
    <col min="6662" max="6662" width="12.28515625" style="1" customWidth="1"/>
    <col min="6663" max="6663" width="11.140625" style="1" customWidth="1"/>
    <col min="6664" max="6664" width="10.42578125" style="1" customWidth="1"/>
    <col min="6665" max="6665" width="4.7109375" style="1" customWidth="1"/>
    <col min="6666" max="6666" width="8.5703125" style="1" customWidth="1"/>
    <col min="6667" max="6667" width="5.5703125" style="1" customWidth="1"/>
    <col min="6668" max="6669" width="11.5703125" style="1" customWidth="1"/>
    <col min="6670" max="6670" width="10.85546875" style="1" customWidth="1"/>
    <col min="6671" max="6671" width="7.7109375" style="1" customWidth="1"/>
    <col min="6672" max="6672" width="8" style="1" customWidth="1"/>
    <col min="6673" max="6673" width="16.28515625" style="1" customWidth="1"/>
    <col min="6674" max="6674" width="10.5703125" style="1" customWidth="1"/>
    <col min="6675" max="6675" width="14.140625" style="1" customWidth="1"/>
    <col min="6676" max="6676" width="10.140625" style="1" customWidth="1"/>
    <col min="6677" max="6677" width="15.140625" style="1" customWidth="1"/>
    <col min="6678" max="6678" width="8.5703125" style="1" customWidth="1"/>
    <col min="6679" max="6679" width="14.28515625" style="1" customWidth="1"/>
    <col min="6680" max="6680" width="18.28515625" style="1" customWidth="1"/>
    <col min="6681" max="6681" width="13" style="1" bestFit="1" customWidth="1"/>
    <col min="6682" max="6682" width="11.7109375" style="1" bestFit="1" customWidth="1"/>
    <col min="6683" max="6689" width="9.140625" style="1"/>
    <col min="6690" max="6690" width="11.28515625" style="1" bestFit="1" customWidth="1"/>
    <col min="6691" max="6691" width="10.7109375" style="1" bestFit="1" customWidth="1"/>
    <col min="6692" max="6913" width="9.140625" style="1"/>
    <col min="6914" max="6914" width="6.42578125" style="1" customWidth="1"/>
    <col min="6915" max="6915" width="20.7109375" style="1" customWidth="1"/>
    <col min="6916" max="6916" width="24.7109375" style="1" customWidth="1"/>
    <col min="6917" max="6917" width="11.140625" style="1" customWidth="1"/>
    <col min="6918" max="6918" width="12.28515625" style="1" customWidth="1"/>
    <col min="6919" max="6919" width="11.140625" style="1" customWidth="1"/>
    <col min="6920" max="6920" width="10.42578125" style="1" customWidth="1"/>
    <col min="6921" max="6921" width="4.7109375" style="1" customWidth="1"/>
    <col min="6922" max="6922" width="8.5703125" style="1" customWidth="1"/>
    <col min="6923" max="6923" width="5.5703125" style="1" customWidth="1"/>
    <col min="6924" max="6925" width="11.5703125" style="1" customWidth="1"/>
    <col min="6926" max="6926" width="10.85546875" style="1" customWidth="1"/>
    <col min="6927" max="6927" width="7.7109375" style="1" customWidth="1"/>
    <col min="6928" max="6928" width="8" style="1" customWidth="1"/>
    <col min="6929" max="6929" width="16.28515625" style="1" customWidth="1"/>
    <col min="6930" max="6930" width="10.5703125" style="1" customWidth="1"/>
    <col min="6931" max="6931" width="14.140625" style="1" customWidth="1"/>
    <col min="6932" max="6932" width="10.140625" style="1" customWidth="1"/>
    <col min="6933" max="6933" width="15.140625" style="1" customWidth="1"/>
    <col min="6934" max="6934" width="8.5703125" style="1" customWidth="1"/>
    <col min="6935" max="6935" width="14.28515625" style="1" customWidth="1"/>
    <col min="6936" max="6936" width="18.28515625" style="1" customWidth="1"/>
    <col min="6937" max="6937" width="13" style="1" bestFit="1" customWidth="1"/>
    <col min="6938" max="6938" width="11.7109375" style="1" bestFit="1" customWidth="1"/>
    <col min="6939" max="6945" width="9.140625" style="1"/>
    <col min="6946" max="6946" width="11.28515625" style="1" bestFit="1" customWidth="1"/>
    <col min="6947" max="6947" width="10.7109375" style="1" bestFit="1" customWidth="1"/>
    <col min="6948" max="7169" width="9.140625" style="1"/>
    <col min="7170" max="7170" width="6.42578125" style="1" customWidth="1"/>
    <col min="7171" max="7171" width="20.7109375" style="1" customWidth="1"/>
    <col min="7172" max="7172" width="24.7109375" style="1" customWidth="1"/>
    <col min="7173" max="7173" width="11.140625" style="1" customWidth="1"/>
    <col min="7174" max="7174" width="12.28515625" style="1" customWidth="1"/>
    <col min="7175" max="7175" width="11.140625" style="1" customWidth="1"/>
    <col min="7176" max="7176" width="10.42578125" style="1" customWidth="1"/>
    <col min="7177" max="7177" width="4.7109375" style="1" customWidth="1"/>
    <col min="7178" max="7178" width="8.5703125" style="1" customWidth="1"/>
    <col min="7179" max="7179" width="5.5703125" style="1" customWidth="1"/>
    <col min="7180" max="7181" width="11.5703125" style="1" customWidth="1"/>
    <col min="7182" max="7182" width="10.85546875" style="1" customWidth="1"/>
    <col min="7183" max="7183" width="7.7109375" style="1" customWidth="1"/>
    <col min="7184" max="7184" width="8" style="1" customWidth="1"/>
    <col min="7185" max="7185" width="16.28515625" style="1" customWidth="1"/>
    <col min="7186" max="7186" width="10.5703125" style="1" customWidth="1"/>
    <col min="7187" max="7187" width="14.140625" style="1" customWidth="1"/>
    <col min="7188" max="7188" width="10.140625" style="1" customWidth="1"/>
    <col min="7189" max="7189" width="15.140625" style="1" customWidth="1"/>
    <col min="7190" max="7190" width="8.5703125" style="1" customWidth="1"/>
    <col min="7191" max="7191" width="14.28515625" style="1" customWidth="1"/>
    <col min="7192" max="7192" width="18.28515625" style="1" customWidth="1"/>
    <col min="7193" max="7193" width="13" style="1" bestFit="1" customWidth="1"/>
    <col min="7194" max="7194" width="11.7109375" style="1" bestFit="1" customWidth="1"/>
    <col min="7195" max="7201" width="9.140625" style="1"/>
    <col min="7202" max="7202" width="11.28515625" style="1" bestFit="1" customWidth="1"/>
    <col min="7203" max="7203" width="10.7109375" style="1" bestFit="1" customWidth="1"/>
    <col min="7204" max="7425" width="9.140625" style="1"/>
    <col min="7426" max="7426" width="6.42578125" style="1" customWidth="1"/>
    <col min="7427" max="7427" width="20.7109375" style="1" customWidth="1"/>
    <col min="7428" max="7428" width="24.7109375" style="1" customWidth="1"/>
    <col min="7429" max="7429" width="11.140625" style="1" customWidth="1"/>
    <col min="7430" max="7430" width="12.28515625" style="1" customWidth="1"/>
    <col min="7431" max="7431" width="11.140625" style="1" customWidth="1"/>
    <col min="7432" max="7432" width="10.42578125" style="1" customWidth="1"/>
    <col min="7433" max="7433" width="4.7109375" style="1" customWidth="1"/>
    <col min="7434" max="7434" width="8.5703125" style="1" customWidth="1"/>
    <col min="7435" max="7435" width="5.5703125" style="1" customWidth="1"/>
    <col min="7436" max="7437" width="11.5703125" style="1" customWidth="1"/>
    <col min="7438" max="7438" width="10.85546875" style="1" customWidth="1"/>
    <col min="7439" max="7439" width="7.7109375" style="1" customWidth="1"/>
    <col min="7440" max="7440" width="8" style="1" customWidth="1"/>
    <col min="7441" max="7441" width="16.28515625" style="1" customWidth="1"/>
    <col min="7442" max="7442" width="10.5703125" style="1" customWidth="1"/>
    <col min="7443" max="7443" width="14.140625" style="1" customWidth="1"/>
    <col min="7444" max="7444" width="10.140625" style="1" customWidth="1"/>
    <col min="7445" max="7445" width="15.140625" style="1" customWidth="1"/>
    <col min="7446" max="7446" width="8.5703125" style="1" customWidth="1"/>
    <col min="7447" max="7447" width="14.28515625" style="1" customWidth="1"/>
    <col min="7448" max="7448" width="18.28515625" style="1" customWidth="1"/>
    <col min="7449" max="7449" width="13" style="1" bestFit="1" customWidth="1"/>
    <col min="7450" max="7450" width="11.7109375" style="1" bestFit="1" customWidth="1"/>
    <col min="7451" max="7457" width="9.140625" style="1"/>
    <col min="7458" max="7458" width="11.28515625" style="1" bestFit="1" customWidth="1"/>
    <col min="7459" max="7459" width="10.7109375" style="1" bestFit="1" customWidth="1"/>
    <col min="7460" max="7681" width="9.140625" style="1"/>
    <col min="7682" max="7682" width="6.42578125" style="1" customWidth="1"/>
    <col min="7683" max="7683" width="20.7109375" style="1" customWidth="1"/>
    <col min="7684" max="7684" width="24.7109375" style="1" customWidth="1"/>
    <col min="7685" max="7685" width="11.140625" style="1" customWidth="1"/>
    <col min="7686" max="7686" width="12.28515625" style="1" customWidth="1"/>
    <col min="7687" max="7687" width="11.140625" style="1" customWidth="1"/>
    <col min="7688" max="7688" width="10.42578125" style="1" customWidth="1"/>
    <col min="7689" max="7689" width="4.7109375" style="1" customWidth="1"/>
    <col min="7690" max="7690" width="8.5703125" style="1" customWidth="1"/>
    <col min="7691" max="7691" width="5.5703125" style="1" customWidth="1"/>
    <col min="7692" max="7693" width="11.5703125" style="1" customWidth="1"/>
    <col min="7694" max="7694" width="10.85546875" style="1" customWidth="1"/>
    <col min="7695" max="7695" width="7.7109375" style="1" customWidth="1"/>
    <col min="7696" max="7696" width="8" style="1" customWidth="1"/>
    <col min="7697" max="7697" width="16.28515625" style="1" customWidth="1"/>
    <col min="7698" max="7698" width="10.5703125" style="1" customWidth="1"/>
    <col min="7699" max="7699" width="14.140625" style="1" customWidth="1"/>
    <col min="7700" max="7700" width="10.140625" style="1" customWidth="1"/>
    <col min="7701" max="7701" width="15.140625" style="1" customWidth="1"/>
    <col min="7702" max="7702" width="8.5703125" style="1" customWidth="1"/>
    <col min="7703" max="7703" width="14.28515625" style="1" customWidth="1"/>
    <col min="7704" max="7704" width="18.28515625" style="1" customWidth="1"/>
    <col min="7705" max="7705" width="13" style="1" bestFit="1" customWidth="1"/>
    <col min="7706" max="7706" width="11.7109375" style="1" bestFit="1" customWidth="1"/>
    <col min="7707" max="7713" width="9.140625" style="1"/>
    <col min="7714" max="7714" width="11.28515625" style="1" bestFit="1" customWidth="1"/>
    <col min="7715" max="7715" width="10.7109375" style="1" bestFit="1" customWidth="1"/>
    <col min="7716" max="7937" width="9.140625" style="1"/>
    <col min="7938" max="7938" width="6.42578125" style="1" customWidth="1"/>
    <col min="7939" max="7939" width="20.7109375" style="1" customWidth="1"/>
    <col min="7940" max="7940" width="24.7109375" style="1" customWidth="1"/>
    <col min="7941" max="7941" width="11.140625" style="1" customWidth="1"/>
    <col min="7942" max="7942" width="12.28515625" style="1" customWidth="1"/>
    <col min="7943" max="7943" width="11.140625" style="1" customWidth="1"/>
    <col min="7944" max="7944" width="10.42578125" style="1" customWidth="1"/>
    <col min="7945" max="7945" width="4.7109375" style="1" customWidth="1"/>
    <col min="7946" max="7946" width="8.5703125" style="1" customWidth="1"/>
    <col min="7947" max="7947" width="5.5703125" style="1" customWidth="1"/>
    <col min="7948" max="7949" width="11.5703125" style="1" customWidth="1"/>
    <col min="7950" max="7950" width="10.85546875" style="1" customWidth="1"/>
    <col min="7951" max="7951" width="7.7109375" style="1" customWidth="1"/>
    <col min="7952" max="7952" width="8" style="1" customWidth="1"/>
    <col min="7953" max="7953" width="16.28515625" style="1" customWidth="1"/>
    <col min="7954" max="7954" width="10.5703125" style="1" customWidth="1"/>
    <col min="7955" max="7955" width="14.140625" style="1" customWidth="1"/>
    <col min="7956" max="7956" width="10.140625" style="1" customWidth="1"/>
    <col min="7957" max="7957" width="15.140625" style="1" customWidth="1"/>
    <col min="7958" max="7958" width="8.5703125" style="1" customWidth="1"/>
    <col min="7959" max="7959" width="14.28515625" style="1" customWidth="1"/>
    <col min="7960" max="7960" width="18.28515625" style="1" customWidth="1"/>
    <col min="7961" max="7961" width="13" style="1" bestFit="1" customWidth="1"/>
    <col min="7962" max="7962" width="11.7109375" style="1" bestFit="1" customWidth="1"/>
    <col min="7963" max="7969" width="9.140625" style="1"/>
    <col min="7970" max="7970" width="11.28515625" style="1" bestFit="1" customWidth="1"/>
    <col min="7971" max="7971" width="10.7109375" style="1" bestFit="1" customWidth="1"/>
    <col min="7972" max="8193" width="9.140625" style="1"/>
    <col min="8194" max="8194" width="6.42578125" style="1" customWidth="1"/>
    <col min="8195" max="8195" width="20.7109375" style="1" customWidth="1"/>
    <col min="8196" max="8196" width="24.7109375" style="1" customWidth="1"/>
    <col min="8197" max="8197" width="11.140625" style="1" customWidth="1"/>
    <col min="8198" max="8198" width="12.28515625" style="1" customWidth="1"/>
    <col min="8199" max="8199" width="11.140625" style="1" customWidth="1"/>
    <col min="8200" max="8200" width="10.42578125" style="1" customWidth="1"/>
    <col min="8201" max="8201" width="4.7109375" style="1" customWidth="1"/>
    <col min="8202" max="8202" width="8.5703125" style="1" customWidth="1"/>
    <col min="8203" max="8203" width="5.5703125" style="1" customWidth="1"/>
    <col min="8204" max="8205" width="11.5703125" style="1" customWidth="1"/>
    <col min="8206" max="8206" width="10.85546875" style="1" customWidth="1"/>
    <col min="8207" max="8207" width="7.7109375" style="1" customWidth="1"/>
    <col min="8208" max="8208" width="8" style="1" customWidth="1"/>
    <col min="8209" max="8209" width="16.28515625" style="1" customWidth="1"/>
    <col min="8210" max="8210" width="10.5703125" style="1" customWidth="1"/>
    <col min="8211" max="8211" width="14.140625" style="1" customWidth="1"/>
    <col min="8212" max="8212" width="10.140625" style="1" customWidth="1"/>
    <col min="8213" max="8213" width="15.140625" style="1" customWidth="1"/>
    <col min="8214" max="8214" width="8.5703125" style="1" customWidth="1"/>
    <col min="8215" max="8215" width="14.28515625" style="1" customWidth="1"/>
    <col min="8216" max="8216" width="18.28515625" style="1" customWidth="1"/>
    <col min="8217" max="8217" width="13" style="1" bestFit="1" customWidth="1"/>
    <col min="8218" max="8218" width="11.7109375" style="1" bestFit="1" customWidth="1"/>
    <col min="8219" max="8225" width="9.140625" style="1"/>
    <col min="8226" max="8226" width="11.28515625" style="1" bestFit="1" customWidth="1"/>
    <col min="8227" max="8227" width="10.7109375" style="1" bestFit="1" customWidth="1"/>
    <col min="8228" max="8449" width="9.140625" style="1"/>
    <col min="8450" max="8450" width="6.42578125" style="1" customWidth="1"/>
    <col min="8451" max="8451" width="20.7109375" style="1" customWidth="1"/>
    <col min="8452" max="8452" width="24.7109375" style="1" customWidth="1"/>
    <col min="8453" max="8453" width="11.140625" style="1" customWidth="1"/>
    <col min="8454" max="8454" width="12.28515625" style="1" customWidth="1"/>
    <col min="8455" max="8455" width="11.140625" style="1" customWidth="1"/>
    <col min="8456" max="8456" width="10.42578125" style="1" customWidth="1"/>
    <col min="8457" max="8457" width="4.7109375" style="1" customWidth="1"/>
    <col min="8458" max="8458" width="8.5703125" style="1" customWidth="1"/>
    <col min="8459" max="8459" width="5.5703125" style="1" customWidth="1"/>
    <col min="8460" max="8461" width="11.5703125" style="1" customWidth="1"/>
    <col min="8462" max="8462" width="10.85546875" style="1" customWidth="1"/>
    <col min="8463" max="8463" width="7.7109375" style="1" customWidth="1"/>
    <col min="8464" max="8464" width="8" style="1" customWidth="1"/>
    <col min="8465" max="8465" width="16.28515625" style="1" customWidth="1"/>
    <col min="8466" max="8466" width="10.5703125" style="1" customWidth="1"/>
    <col min="8467" max="8467" width="14.140625" style="1" customWidth="1"/>
    <col min="8468" max="8468" width="10.140625" style="1" customWidth="1"/>
    <col min="8469" max="8469" width="15.140625" style="1" customWidth="1"/>
    <col min="8470" max="8470" width="8.5703125" style="1" customWidth="1"/>
    <col min="8471" max="8471" width="14.28515625" style="1" customWidth="1"/>
    <col min="8472" max="8472" width="18.28515625" style="1" customWidth="1"/>
    <col min="8473" max="8473" width="13" style="1" bestFit="1" customWidth="1"/>
    <col min="8474" max="8474" width="11.7109375" style="1" bestFit="1" customWidth="1"/>
    <col min="8475" max="8481" width="9.140625" style="1"/>
    <col min="8482" max="8482" width="11.28515625" style="1" bestFit="1" customWidth="1"/>
    <col min="8483" max="8483" width="10.7109375" style="1" bestFit="1" customWidth="1"/>
    <col min="8484" max="8705" width="9.140625" style="1"/>
    <col min="8706" max="8706" width="6.42578125" style="1" customWidth="1"/>
    <col min="8707" max="8707" width="20.7109375" style="1" customWidth="1"/>
    <col min="8708" max="8708" width="24.7109375" style="1" customWidth="1"/>
    <col min="8709" max="8709" width="11.140625" style="1" customWidth="1"/>
    <col min="8710" max="8710" width="12.28515625" style="1" customWidth="1"/>
    <col min="8711" max="8711" width="11.140625" style="1" customWidth="1"/>
    <col min="8712" max="8712" width="10.42578125" style="1" customWidth="1"/>
    <col min="8713" max="8713" width="4.7109375" style="1" customWidth="1"/>
    <col min="8714" max="8714" width="8.5703125" style="1" customWidth="1"/>
    <col min="8715" max="8715" width="5.5703125" style="1" customWidth="1"/>
    <col min="8716" max="8717" width="11.5703125" style="1" customWidth="1"/>
    <col min="8718" max="8718" width="10.85546875" style="1" customWidth="1"/>
    <col min="8719" max="8719" width="7.7109375" style="1" customWidth="1"/>
    <col min="8720" max="8720" width="8" style="1" customWidth="1"/>
    <col min="8721" max="8721" width="16.28515625" style="1" customWidth="1"/>
    <col min="8722" max="8722" width="10.5703125" style="1" customWidth="1"/>
    <col min="8723" max="8723" width="14.140625" style="1" customWidth="1"/>
    <col min="8724" max="8724" width="10.140625" style="1" customWidth="1"/>
    <col min="8725" max="8725" width="15.140625" style="1" customWidth="1"/>
    <col min="8726" max="8726" width="8.5703125" style="1" customWidth="1"/>
    <col min="8727" max="8727" width="14.28515625" style="1" customWidth="1"/>
    <col min="8728" max="8728" width="18.28515625" style="1" customWidth="1"/>
    <col min="8729" max="8729" width="13" style="1" bestFit="1" customWidth="1"/>
    <col min="8730" max="8730" width="11.7109375" style="1" bestFit="1" customWidth="1"/>
    <col min="8731" max="8737" width="9.140625" style="1"/>
    <col min="8738" max="8738" width="11.28515625" style="1" bestFit="1" customWidth="1"/>
    <col min="8739" max="8739" width="10.7109375" style="1" bestFit="1" customWidth="1"/>
    <col min="8740" max="8961" width="9.140625" style="1"/>
    <col min="8962" max="8962" width="6.42578125" style="1" customWidth="1"/>
    <col min="8963" max="8963" width="20.7109375" style="1" customWidth="1"/>
    <col min="8964" max="8964" width="24.7109375" style="1" customWidth="1"/>
    <col min="8965" max="8965" width="11.140625" style="1" customWidth="1"/>
    <col min="8966" max="8966" width="12.28515625" style="1" customWidth="1"/>
    <col min="8967" max="8967" width="11.140625" style="1" customWidth="1"/>
    <col min="8968" max="8968" width="10.42578125" style="1" customWidth="1"/>
    <col min="8969" max="8969" width="4.7109375" style="1" customWidth="1"/>
    <col min="8970" max="8970" width="8.5703125" style="1" customWidth="1"/>
    <col min="8971" max="8971" width="5.5703125" style="1" customWidth="1"/>
    <col min="8972" max="8973" width="11.5703125" style="1" customWidth="1"/>
    <col min="8974" max="8974" width="10.85546875" style="1" customWidth="1"/>
    <col min="8975" max="8975" width="7.7109375" style="1" customWidth="1"/>
    <col min="8976" max="8976" width="8" style="1" customWidth="1"/>
    <col min="8977" max="8977" width="16.28515625" style="1" customWidth="1"/>
    <col min="8978" max="8978" width="10.5703125" style="1" customWidth="1"/>
    <col min="8979" max="8979" width="14.140625" style="1" customWidth="1"/>
    <col min="8980" max="8980" width="10.140625" style="1" customWidth="1"/>
    <col min="8981" max="8981" width="15.140625" style="1" customWidth="1"/>
    <col min="8982" max="8982" width="8.5703125" style="1" customWidth="1"/>
    <col min="8983" max="8983" width="14.28515625" style="1" customWidth="1"/>
    <col min="8984" max="8984" width="18.28515625" style="1" customWidth="1"/>
    <col min="8985" max="8985" width="13" style="1" bestFit="1" customWidth="1"/>
    <col min="8986" max="8986" width="11.7109375" style="1" bestFit="1" customWidth="1"/>
    <col min="8987" max="8993" width="9.140625" style="1"/>
    <col min="8994" max="8994" width="11.28515625" style="1" bestFit="1" customWidth="1"/>
    <col min="8995" max="8995" width="10.7109375" style="1" bestFit="1" customWidth="1"/>
    <col min="8996" max="9217" width="9.140625" style="1"/>
    <col min="9218" max="9218" width="6.42578125" style="1" customWidth="1"/>
    <col min="9219" max="9219" width="20.7109375" style="1" customWidth="1"/>
    <col min="9220" max="9220" width="24.7109375" style="1" customWidth="1"/>
    <col min="9221" max="9221" width="11.140625" style="1" customWidth="1"/>
    <col min="9222" max="9222" width="12.28515625" style="1" customWidth="1"/>
    <col min="9223" max="9223" width="11.140625" style="1" customWidth="1"/>
    <col min="9224" max="9224" width="10.42578125" style="1" customWidth="1"/>
    <col min="9225" max="9225" width="4.7109375" style="1" customWidth="1"/>
    <col min="9226" max="9226" width="8.5703125" style="1" customWidth="1"/>
    <col min="9227" max="9227" width="5.5703125" style="1" customWidth="1"/>
    <col min="9228" max="9229" width="11.5703125" style="1" customWidth="1"/>
    <col min="9230" max="9230" width="10.85546875" style="1" customWidth="1"/>
    <col min="9231" max="9231" width="7.7109375" style="1" customWidth="1"/>
    <col min="9232" max="9232" width="8" style="1" customWidth="1"/>
    <col min="9233" max="9233" width="16.28515625" style="1" customWidth="1"/>
    <col min="9234" max="9234" width="10.5703125" style="1" customWidth="1"/>
    <col min="9235" max="9235" width="14.140625" style="1" customWidth="1"/>
    <col min="9236" max="9236" width="10.140625" style="1" customWidth="1"/>
    <col min="9237" max="9237" width="15.140625" style="1" customWidth="1"/>
    <col min="9238" max="9238" width="8.5703125" style="1" customWidth="1"/>
    <col min="9239" max="9239" width="14.28515625" style="1" customWidth="1"/>
    <col min="9240" max="9240" width="18.28515625" style="1" customWidth="1"/>
    <col min="9241" max="9241" width="13" style="1" bestFit="1" customWidth="1"/>
    <col min="9242" max="9242" width="11.7109375" style="1" bestFit="1" customWidth="1"/>
    <col min="9243" max="9249" width="9.140625" style="1"/>
    <col min="9250" max="9250" width="11.28515625" style="1" bestFit="1" customWidth="1"/>
    <col min="9251" max="9251" width="10.7109375" style="1" bestFit="1" customWidth="1"/>
    <col min="9252" max="9473" width="9.140625" style="1"/>
    <col min="9474" max="9474" width="6.42578125" style="1" customWidth="1"/>
    <col min="9475" max="9475" width="20.7109375" style="1" customWidth="1"/>
    <col min="9476" max="9476" width="24.7109375" style="1" customWidth="1"/>
    <col min="9477" max="9477" width="11.140625" style="1" customWidth="1"/>
    <col min="9478" max="9478" width="12.28515625" style="1" customWidth="1"/>
    <col min="9479" max="9479" width="11.140625" style="1" customWidth="1"/>
    <col min="9480" max="9480" width="10.42578125" style="1" customWidth="1"/>
    <col min="9481" max="9481" width="4.7109375" style="1" customWidth="1"/>
    <col min="9482" max="9482" width="8.5703125" style="1" customWidth="1"/>
    <col min="9483" max="9483" width="5.5703125" style="1" customWidth="1"/>
    <col min="9484" max="9485" width="11.5703125" style="1" customWidth="1"/>
    <col min="9486" max="9486" width="10.85546875" style="1" customWidth="1"/>
    <col min="9487" max="9487" width="7.7109375" style="1" customWidth="1"/>
    <col min="9488" max="9488" width="8" style="1" customWidth="1"/>
    <col min="9489" max="9489" width="16.28515625" style="1" customWidth="1"/>
    <col min="9490" max="9490" width="10.5703125" style="1" customWidth="1"/>
    <col min="9491" max="9491" width="14.140625" style="1" customWidth="1"/>
    <col min="9492" max="9492" width="10.140625" style="1" customWidth="1"/>
    <col min="9493" max="9493" width="15.140625" style="1" customWidth="1"/>
    <col min="9494" max="9494" width="8.5703125" style="1" customWidth="1"/>
    <col min="9495" max="9495" width="14.28515625" style="1" customWidth="1"/>
    <col min="9496" max="9496" width="18.28515625" style="1" customWidth="1"/>
    <col min="9497" max="9497" width="13" style="1" bestFit="1" customWidth="1"/>
    <col min="9498" max="9498" width="11.7109375" style="1" bestFit="1" customWidth="1"/>
    <col min="9499" max="9505" width="9.140625" style="1"/>
    <col min="9506" max="9506" width="11.28515625" style="1" bestFit="1" customWidth="1"/>
    <col min="9507" max="9507" width="10.7109375" style="1" bestFit="1" customWidth="1"/>
    <col min="9508" max="9729" width="9.140625" style="1"/>
    <col min="9730" max="9730" width="6.42578125" style="1" customWidth="1"/>
    <col min="9731" max="9731" width="20.7109375" style="1" customWidth="1"/>
    <col min="9732" max="9732" width="24.7109375" style="1" customWidth="1"/>
    <col min="9733" max="9733" width="11.140625" style="1" customWidth="1"/>
    <col min="9734" max="9734" width="12.28515625" style="1" customWidth="1"/>
    <col min="9735" max="9735" width="11.140625" style="1" customWidth="1"/>
    <col min="9736" max="9736" width="10.42578125" style="1" customWidth="1"/>
    <col min="9737" max="9737" width="4.7109375" style="1" customWidth="1"/>
    <col min="9738" max="9738" width="8.5703125" style="1" customWidth="1"/>
    <col min="9739" max="9739" width="5.5703125" style="1" customWidth="1"/>
    <col min="9740" max="9741" width="11.5703125" style="1" customWidth="1"/>
    <col min="9742" max="9742" width="10.85546875" style="1" customWidth="1"/>
    <col min="9743" max="9743" width="7.7109375" style="1" customWidth="1"/>
    <col min="9744" max="9744" width="8" style="1" customWidth="1"/>
    <col min="9745" max="9745" width="16.28515625" style="1" customWidth="1"/>
    <col min="9746" max="9746" width="10.5703125" style="1" customWidth="1"/>
    <col min="9747" max="9747" width="14.140625" style="1" customWidth="1"/>
    <col min="9748" max="9748" width="10.140625" style="1" customWidth="1"/>
    <col min="9749" max="9749" width="15.140625" style="1" customWidth="1"/>
    <col min="9750" max="9750" width="8.5703125" style="1" customWidth="1"/>
    <col min="9751" max="9751" width="14.28515625" style="1" customWidth="1"/>
    <col min="9752" max="9752" width="18.28515625" style="1" customWidth="1"/>
    <col min="9753" max="9753" width="13" style="1" bestFit="1" customWidth="1"/>
    <col min="9754" max="9754" width="11.7109375" style="1" bestFit="1" customWidth="1"/>
    <col min="9755" max="9761" width="9.140625" style="1"/>
    <col min="9762" max="9762" width="11.28515625" style="1" bestFit="1" customWidth="1"/>
    <col min="9763" max="9763" width="10.7109375" style="1" bestFit="1" customWidth="1"/>
    <col min="9764" max="9985" width="9.140625" style="1"/>
    <col min="9986" max="9986" width="6.42578125" style="1" customWidth="1"/>
    <col min="9987" max="9987" width="20.7109375" style="1" customWidth="1"/>
    <col min="9988" max="9988" width="24.7109375" style="1" customWidth="1"/>
    <col min="9989" max="9989" width="11.140625" style="1" customWidth="1"/>
    <col min="9990" max="9990" width="12.28515625" style="1" customWidth="1"/>
    <col min="9991" max="9991" width="11.140625" style="1" customWidth="1"/>
    <col min="9992" max="9992" width="10.42578125" style="1" customWidth="1"/>
    <col min="9993" max="9993" width="4.7109375" style="1" customWidth="1"/>
    <col min="9994" max="9994" width="8.5703125" style="1" customWidth="1"/>
    <col min="9995" max="9995" width="5.5703125" style="1" customWidth="1"/>
    <col min="9996" max="9997" width="11.5703125" style="1" customWidth="1"/>
    <col min="9998" max="9998" width="10.85546875" style="1" customWidth="1"/>
    <col min="9999" max="9999" width="7.7109375" style="1" customWidth="1"/>
    <col min="10000" max="10000" width="8" style="1" customWidth="1"/>
    <col min="10001" max="10001" width="16.28515625" style="1" customWidth="1"/>
    <col min="10002" max="10002" width="10.5703125" style="1" customWidth="1"/>
    <col min="10003" max="10003" width="14.140625" style="1" customWidth="1"/>
    <col min="10004" max="10004" width="10.140625" style="1" customWidth="1"/>
    <col min="10005" max="10005" width="15.140625" style="1" customWidth="1"/>
    <col min="10006" max="10006" width="8.5703125" style="1" customWidth="1"/>
    <col min="10007" max="10007" width="14.28515625" style="1" customWidth="1"/>
    <col min="10008" max="10008" width="18.28515625" style="1" customWidth="1"/>
    <col min="10009" max="10009" width="13" style="1" bestFit="1" customWidth="1"/>
    <col min="10010" max="10010" width="11.7109375" style="1" bestFit="1" customWidth="1"/>
    <col min="10011" max="10017" width="9.140625" style="1"/>
    <col min="10018" max="10018" width="11.28515625" style="1" bestFit="1" customWidth="1"/>
    <col min="10019" max="10019" width="10.7109375" style="1" bestFit="1" customWidth="1"/>
    <col min="10020" max="10241" width="9.140625" style="1"/>
    <col min="10242" max="10242" width="6.42578125" style="1" customWidth="1"/>
    <col min="10243" max="10243" width="20.7109375" style="1" customWidth="1"/>
    <col min="10244" max="10244" width="24.7109375" style="1" customWidth="1"/>
    <col min="10245" max="10245" width="11.140625" style="1" customWidth="1"/>
    <col min="10246" max="10246" width="12.28515625" style="1" customWidth="1"/>
    <col min="10247" max="10247" width="11.140625" style="1" customWidth="1"/>
    <col min="10248" max="10248" width="10.42578125" style="1" customWidth="1"/>
    <col min="10249" max="10249" width="4.7109375" style="1" customWidth="1"/>
    <col min="10250" max="10250" width="8.5703125" style="1" customWidth="1"/>
    <col min="10251" max="10251" width="5.5703125" style="1" customWidth="1"/>
    <col min="10252" max="10253" width="11.5703125" style="1" customWidth="1"/>
    <col min="10254" max="10254" width="10.85546875" style="1" customWidth="1"/>
    <col min="10255" max="10255" width="7.7109375" style="1" customWidth="1"/>
    <col min="10256" max="10256" width="8" style="1" customWidth="1"/>
    <col min="10257" max="10257" width="16.28515625" style="1" customWidth="1"/>
    <col min="10258" max="10258" width="10.5703125" style="1" customWidth="1"/>
    <col min="10259" max="10259" width="14.140625" style="1" customWidth="1"/>
    <col min="10260" max="10260" width="10.140625" style="1" customWidth="1"/>
    <col min="10261" max="10261" width="15.140625" style="1" customWidth="1"/>
    <col min="10262" max="10262" width="8.5703125" style="1" customWidth="1"/>
    <col min="10263" max="10263" width="14.28515625" style="1" customWidth="1"/>
    <col min="10264" max="10264" width="18.28515625" style="1" customWidth="1"/>
    <col min="10265" max="10265" width="13" style="1" bestFit="1" customWidth="1"/>
    <col min="10266" max="10266" width="11.7109375" style="1" bestFit="1" customWidth="1"/>
    <col min="10267" max="10273" width="9.140625" style="1"/>
    <col min="10274" max="10274" width="11.28515625" style="1" bestFit="1" customWidth="1"/>
    <col min="10275" max="10275" width="10.7109375" style="1" bestFit="1" customWidth="1"/>
    <col min="10276" max="10497" width="9.140625" style="1"/>
    <col min="10498" max="10498" width="6.42578125" style="1" customWidth="1"/>
    <col min="10499" max="10499" width="20.7109375" style="1" customWidth="1"/>
    <col min="10500" max="10500" width="24.7109375" style="1" customWidth="1"/>
    <col min="10501" max="10501" width="11.140625" style="1" customWidth="1"/>
    <col min="10502" max="10502" width="12.28515625" style="1" customWidth="1"/>
    <col min="10503" max="10503" width="11.140625" style="1" customWidth="1"/>
    <col min="10504" max="10504" width="10.42578125" style="1" customWidth="1"/>
    <col min="10505" max="10505" width="4.7109375" style="1" customWidth="1"/>
    <col min="10506" max="10506" width="8.5703125" style="1" customWidth="1"/>
    <col min="10507" max="10507" width="5.5703125" style="1" customWidth="1"/>
    <col min="10508" max="10509" width="11.5703125" style="1" customWidth="1"/>
    <col min="10510" max="10510" width="10.85546875" style="1" customWidth="1"/>
    <col min="10511" max="10511" width="7.7109375" style="1" customWidth="1"/>
    <col min="10512" max="10512" width="8" style="1" customWidth="1"/>
    <col min="10513" max="10513" width="16.28515625" style="1" customWidth="1"/>
    <col min="10514" max="10514" width="10.5703125" style="1" customWidth="1"/>
    <col min="10515" max="10515" width="14.140625" style="1" customWidth="1"/>
    <col min="10516" max="10516" width="10.140625" style="1" customWidth="1"/>
    <col min="10517" max="10517" width="15.140625" style="1" customWidth="1"/>
    <col min="10518" max="10518" width="8.5703125" style="1" customWidth="1"/>
    <col min="10519" max="10519" width="14.28515625" style="1" customWidth="1"/>
    <col min="10520" max="10520" width="18.28515625" style="1" customWidth="1"/>
    <col min="10521" max="10521" width="13" style="1" bestFit="1" customWidth="1"/>
    <col min="10522" max="10522" width="11.7109375" style="1" bestFit="1" customWidth="1"/>
    <col min="10523" max="10529" width="9.140625" style="1"/>
    <col min="10530" max="10530" width="11.28515625" style="1" bestFit="1" customWidth="1"/>
    <col min="10531" max="10531" width="10.7109375" style="1" bestFit="1" customWidth="1"/>
    <col min="10532" max="10753" width="9.140625" style="1"/>
    <col min="10754" max="10754" width="6.42578125" style="1" customWidth="1"/>
    <col min="10755" max="10755" width="20.7109375" style="1" customWidth="1"/>
    <col min="10756" max="10756" width="24.7109375" style="1" customWidth="1"/>
    <col min="10757" max="10757" width="11.140625" style="1" customWidth="1"/>
    <col min="10758" max="10758" width="12.28515625" style="1" customWidth="1"/>
    <col min="10759" max="10759" width="11.140625" style="1" customWidth="1"/>
    <col min="10760" max="10760" width="10.42578125" style="1" customWidth="1"/>
    <col min="10761" max="10761" width="4.7109375" style="1" customWidth="1"/>
    <col min="10762" max="10762" width="8.5703125" style="1" customWidth="1"/>
    <col min="10763" max="10763" width="5.5703125" style="1" customWidth="1"/>
    <col min="10764" max="10765" width="11.5703125" style="1" customWidth="1"/>
    <col min="10766" max="10766" width="10.85546875" style="1" customWidth="1"/>
    <col min="10767" max="10767" width="7.7109375" style="1" customWidth="1"/>
    <col min="10768" max="10768" width="8" style="1" customWidth="1"/>
    <col min="10769" max="10769" width="16.28515625" style="1" customWidth="1"/>
    <col min="10770" max="10770" width="10.5703125" style="1" customWidth="1"/>
    <col min="10771" max="10771" width="14.140625" style="1" customWidth="1"/>
    <col min="10772" max="10772" width="10.140625" style="1" customWidth="1"/>
    <col min="10773" max="10773" width="15.140625" style="1" customWidth="1"/>
    <col min="10774" max="10774" width="8.5703125" style="1" customWidth="1"/>
    <col min="10775" max="10775" width="14.28515625" style="1" customWidth="1"/>
    <col min="10776" max="10776" width="18.28515625" style="1" customWidth="1"/>
    <col min="10777" max="10777" width="13" style="1" bestFit="1" customWidth="1"/>
    <col min="10778" max="10778" width="11.7109375" style="1" bestFit="1" customWidth="1"/>
    <col min="10779" max="10785" width="9.140625" style="1"/>
    <col min="10786" max="10786" width="11.28515625" style="1" bestFit="1" customWidth="1"/>
    <col min="10787" max="10787" width="10.7109375" style="1" bestFit="1" customWidth="1"/>
    <col min="10788" max="11009" width="9.140625" style="1"/>
    <col min="11010" max="11010" width="6.42578125" style="1" customWidth="1"/>
    <col min="11011" max="11011" width="20.7109375" style="1" customWidth="1"/>
    <col min="11012" max="11012" width="24.7109375" style="1" customWidth="1"/>
    <col min="11013" max="11013" width="11.140625" style="1" customWidth="1"/>
    <col min="11014" max="11014" width="12.28515625" style="1" customWidth="1"/>
    <col min="11015" max="11015" width="11.140625" style="1" customWidth="1"/>
    <col min="11016" max="11016" width="10.42578125" style="1" customWidth="1"/>
    <col min="11017" max="11017" width="4.7109375" style="1" customWidth="1"/>
    <col min="11018" max="11018" width="8.5703125" style="1" customWidth="1"/>
    <col min="11019" max="11019" width="5.5703125" style="1" customWidth="1"/>
    <col min="11020" max="11021" width="11.5703125" style="1" customWidth="1"/>
    <col min="11022" max="11022" width="10.85546875" style="1" customWidth="1"/>
    <col min="11023" max="11023" width="7.7109375" style="1" customWidth="1"/>
    <col min="11024" max="11024" width="8" style="1" customWidth="1"/>
    <col min="11025" max="11025" width="16.28515625" style="1" customWidth="1"/>
    <col min="11026" max="11026" width="10.5703125" style="1" customWidth="1"/>
    <col min="11027" max="11027" width="14.140625" style="1" customWidth="1"/>
    <col min="11028" max="11028" width="10.140625" style="1" customWidth="1"/>
    <col min="11029" max="11029" width="15.140625" style="1" customWidth="1"/>
    <col min="11030" max="11030" width="8.5703125" style="1" customWidth="1"/>
    <col min="11031" max="11031" width="14.28515625" style="1" customWidth="1"/>
    <col min="11032" max="11032" width="18.28515625" style="1" customWidth="1"/>
    <col min="11033" max="11033" width="13" style="1" bestFit="1" customWidth="1"/>
    <col min="11034" max="11034" width="11.7109375" style="1" bestFit="1" customWidth="1"/>
    <col min="11035" max="11041" width="9.140625" style="1"/>
    <col min="11042" max="11042" width="11.28515625" style="1" bestFit="1" customWidth="1"/>
    <col min="11043" max="11043" width="10.7109375" style="1" bestFit="1" customWidth="1"/>
    <col min="11044" max="11265" width="9.140625" style="1"/>
    <col min="11266" max="11266" width="6.42578125" style="1" customWidth="1"/>
    <col min="11267" max="11267" width="20.7109375" style="1" customWidth="1"/>
    <col min="11268" max="11268" width="24.7109375" style="1" customWidth="1"/>
    <col min="11269" max="11269" width="11.140625" style="1" customWidth="1"/>
    <col min="11270" max="11270" width="12.28515625" style="1" customWidth="1"/>
    <col min="11271" max="11271" width="11.140625" style="1" customWidth="1"/>
    <col min="11272" max="11272" width="10.42578125" style="1" customWidth="1"/>
    <col min="11273" max="11273" width="4.7109375" style="1" customWidth="1"/>
    <col min="11274" max="11274" width="8.5703125" style="1" customWidth="1"/>
    <col min="11275" max="11275" width="5.5703125" style="1" customWidth="1"/>
    <col min="11276" max="11277" width="11.5703125" style="1" customWidth="1"/>
    <col min="11278" max="11278" width="10.85546875" style="1" customWidth="1"/>
    <col min="11279" max="11279" width="7.7109375" style="1" customWidth="1"/>
    <col min="11280" max="11280" width="8" style="1" customWidth="1"/>
    <col min="11281" max="11281" width="16.28515625" style="1" customWidth="1"/>
    <col min="11282" max="11282" width="10.5703125" style="1" customWidth="1"/>
    <col min="11283" max="11283" width="14.140625" style="1" customWidth="1"/>
    <col min="11284" max="11284" width="10.140625" style="1" customWidth="1"/>
    <col min="11285" max="11285" width="15.140625" style="1" customWidth="1"/>
    <col min="11286" max="11286" width="8.5703125" style="1" customWidth="1"/>
    <col min="11287" max="11287" width="14.28515625" style="1" customWidth="1"/>
    <col min="11288" max="11288" width="18.28515625" style="1" customWidth="1"/>
    <col min="11289" max="11289" width="13" style="1" bestFit="1" customWidth="1"/>
    <col min="11290" max="11290" width="11.7109375" style="1" bestFit="1" customWidth="1"/>
    <col min="11291" max="11297" width="9.140625" style="1"/>
    <col min="11298" max="11298" width="11.28515625" style="1" bestFit="1" customWidth="1"/>
    <col min="11299" max="11299" width="10.7109375" style="1" bestFit="1" customWidth="1"/>
    <col min="11300" max="11521" width="9.140625" style="1"/>
    <col min="11522" max="11522" width="6.42578125" style="1" customWidth="1"/>
    <col min="11523" max="11523" width="20.7109375" style="1" customWidth="1"/>
    <col min="11524" max="11524" width="24.7109375" style="1" customWidth="1"/>
    <col min="11525" max="11525" width="11.140625" style="1" customWidth="1"/>
    <col min="11526" max="11526" width="12.28515625" style="1" customWidth="1"/>
    <col min="11527" max="11527" width="11.140625" style="1" customWidth="1"/>
    <col min="11528" max="11528" width="10.42578125" style="1" customWidth="1"/>
    <col min="11529" max="11529" width="4.7109375" style="1" customWidth="1"/>
    <col min="11530" max="11530" width="8.5703125" style="1" customWidth="1"/>
    <col min="11531" max="11531" width="5.5703125" style="1" customWidth="1"/>
    <col min="11532" max="11533" width="11.5703125" style="1" customWidth="1"/>
    <col min="11534" max="11534" width="10.85546875" style="1" customWidth="1"/>
    <col min="11535" max="11535" width="7.7109375" style="1" customWidth="1"/>
    <col min="11536" max="11536" width="8" style="1" customWidth="1"/>
    <col min="11537" max="11537" width="16.28515625" style="1" customWidth="1"/>
    <col min="11538" max="11538" width="10.5703125" style="1" customWidth="1"/>
    <col min="11539" max="11539" width="14.140625" style="1" customWidth="1"/>
    <col min="11540" max="11540" width="10.140625" style="1" customWidth="1"/>
    <col min="11541" max="11541" width="15.140625" style="1" customWidth="1"/>
    <col min="11542" max="11542" width="8.5703125" style="1" customWidth="1"/>
    <col min="11543" max="11543" width="14.28515625" style="1" customWidth="1"/>
    <col min="11544" max="11544" width="18.28515625" style="1" customWidth="1"/>
    <col min="11545" max="11545" width="13" style="1" bestFit="1" customWidth="1"/>
    <col min="11546" max="11546" width="11.7109375" style="1" bestFit="1" customWidth="1"/>
    <col min="11547" max="11553" width="9.140625" style="1"/>
    <col min="11554" max="11554" width="11.28515625" style="1" bestFit="1" customWidth="1"/>
    <col min="11555" max="11555" width="10.7109375" style="1" bestFit="1" customWidth="1"/>
    <col min="11556" max="11777" width="9.140625" style="1"/>
    <col min="11778" max="11778" width="6.42578125" style="1" customWidth="1"/>
    <col min="11779" max="11779" width="20.7109375" style="1" customWidth="1"/>
    <col min="11780" max="11780" width="24.7109375" style="1" customWidth="1"/>
    <col min="11781" max="11781" width="11.140625" style="1" customWidth="1"/>
    <col min="11782" max="11782" width="12.28515625" style="1" customWidth="1"/>
    <col min="11783" max="11783" width="11.140625" style="1" customWidth="1"/>
    <col min="11784" max="11784" width="10.42578125" style="1" customWidth="1"/>
    <col min="11785" max="11785" width="4.7109375" style="1" customWidth="1"/>
    <col min="11786" max="11786" width="8.5703125" style="1" customWidth="1"/>
    <col min="11787" max="11787" width="5.5703125" style="1" customWidth="1"/>
    <col min="11788" max="11789" width="11.5703125" style="1" customWidth="1"/>
    <col min="11790" max="11790" width="10.85546875" style="1" customWidth="1"/>
    <col min="11791" max="11791" width="7.7109375" style="1" customWidth="1"/>
    <col min="11792" max="11792" width="8" style="1" customWidth="1"/>
    <col min="11793" max="11793" width="16.28515625" style="1" customWidth="1"/>
    <col min="11794" max="11794" width="10.5703125" style="1" customWidth="1"/>
    <col min="11795" max="11795" width="14.140625" style="1" customWidth="1"/>
    <col min="11796" max="11796" width="10.140625" style="1" customWidth="1"/>
    <col min="11797" max="11797" width="15.140625" style="1" customWidth="1"/>
    <col min="11798" max="11798" width="8.5703125" style="1" customWidth="1"/>
    <col min="11799" max="11799" width="14.28515625" style="1" customWidth="1"/>
    <col min="11800" max="11800" width="18.28515625" style="1" customWidth="1"/>
    <col min="11801" max="11801" width="13" style="1" bestFit="1" customWidth="1"/>
    <col min="11802" max="11802" width="11.7109375" style="1" bestFit="1" customWidth="1"/>
    <col min="11803" max="11809" width="9.140625" style="1"/>
    <col min="11810" max="11810" width="11.28515625" style="1" bestFit="1" customWidth="1"/>
    <col min="11811" max="11811" width="10.7109375" style="1" bestFit="1" customWidth="1"/>
    <col min="11812" max="12033" width="9.140625" style="1"/>
    <col min="12034" max="12034" width="6.42578125" style="1" customWidth="1"/>
    <col min="12035" max="12035" width="20.7109375" style="1" customWidth="1"/>
    <col min="12036" max="12036" width="24.7109375" style="1" customWidth="1"/>
    <col min="12037" max="12037" width="11.140625" style="1" customWidth="1"/>
    <col min="12038" max="12038" width="12.28515625" style="1" customWidth="1"/>
    <col min="12039" max="12039" width="11.140625" style="1" customWidth="1"/>
    <col min="12040" max="12040" width="10.42578125" style="1" customWidth="1"/>
    <col min="12041" max="12041" width="4.7109375" style="1" customWidth="1"/>
    <col min="12042" max="12042" width="8.5703125" style="1" customWidth="1"/>
    <col min="12043" max="12043" width="5.5703125" style="1" customWidth="1"/>
    <col min="12044" max="12045" width="11.5703125" style="1" customWidth="1"/>
    <col min="12046" max="12046" width="10.85546875" style="1" customWidth="1"/>
    <col min="12047" max="12047" width="7.7109375" style="1" customWidth="1"/>
    <col min="12048" max="12048" width="8" style="1" customWidth="1"/>
    <col min="12049" max="12049" width="16.28515625" style="1" customWidth="1"/>
    <col min="12050" max="12050" width="10.5703125" style="1" customWidth="1"/>
    <col min="12051" max="12051" width="14.140625" style="1" customWidth="1"/>
    <col min="12052" max="12052" width="10.140625" style="1" customWidth="1"/>
    <col min="12053" max="12053" width="15.140625" style="1" customWidth="1"/>
    <col min="12054" max="12054" width="8.5703125" style="1" customWidth="1"/>
    <col min="12055" max="12055" width="14.28515625" style="1" customWidth="1"/>
    <col min="12056" max="12056" width="18.28515625" style="1" customWidth="1"/>
    <col min="12057" max="12057" width="13" style="1" bestFit="1" customWidth="1"/>
    <col min="12058" max="12058" width="11.7109375" style="1" bestFit="1" customWidth="1"/>
    <col min="12059" max="12065" width="9.140625" style="1"/>
    <col min="12066" max="12066" width="11.28515625" style="1" bestFit="1" customWidth="1"/>
    <col min="12067" max="12067" width="10.7109375" style="1" bestFit="1" customWidth="1"/>
    <col min="12068" max="12289" width="9.140625" style="1"/>
    <col min="12290" max="12290" width="6.42578125" style="1" customWidth="1"/>
    <col min="12291" max="12291" width="20.7109375" style="1" customWidth="1"/>
    <col min="12292" max="12292" width="24.7109375" style="1" customWidth="1"/>
    <col min="12293" max="12293" width="11.140625" style="1" customWidth="1"/>
    <col min="12294" max="12294" width="12.28515625" style="1" customWidth="1"/>
    <col min="12295" max="12295" width="11.140625" style="1" customWidth="1"/>
    <col min="12296" max="12296" width="10.42578125" style="1" customWidth="1"/>
    <col min="12297" max="12297" width="4.7109375" style="1" customWidth="1"/>
    <col min="12298" max="12298" width="8.5703125" style="1" customWidth="1"/>
    <col min="12299" max="12299" width="5.5703125" style="1" customWidth="1"/>
    <col min="12300" max="12301" width="11.5703125" style="1" customWidth="1"/>
    <col min="12302" max="12302" width="10.85546875" style="1" customWidth="1"/>
    <col min="12303" max="12303" width="7.7109375" style="1" customWidth="1"/>
    <col min="12304" max="12304" width="8" style="1" customWidth="1"/>
    <col min="12305" max="12305" width="16.28515625" style="1" customWidth="1"/>
    <col min="12306" max="12306" width="10.5703125" style="1" customWidth="1"/>
    <col min="12307" max="12307" width="14.140625" style="1" customWidth="1"/>
    <col min="12308" max="12308" width="10.140625" style="1" customWidth="1"/>
    <col min="12309" max="12309" width="15.140625" style="1" customWidth="1"/>
    <col min="12310" max="12310" width="8.5703125" style="1" customWidth="1"/>
    <col min="12311" max="12311" width="14.28515625" style="1" customWidth="1"/>
    <col min="12312" max="12312" width="18.28515625" style="1" customWidth="1"/>
    <col min="12313" max="12313" width="13" style="1" bestFit="1" customWidth="1"/>
    <col min="12314" max="12314" width="11.7109375" style="1" bestFit="1" customWidth="1"/>
    <col min="12315" max="12321" width="9.140625" style="1"/>
    <col min="12322" max="12322" width="11.28515625" style="1" bestFit="1" customWidth="1"/>
    <col min="12323" max="12323" width="10.7109375" style="1" bestFit="1" customWidth="1"/>
    <col min="12324" max="12545" width="9.140625" style="1"/>
    <col min="12546" max="12546" width="6.42578125" style="1" customWidth="1"/>
    <col min="12547" max="12547" width="20.7109375" style="1" customWidth="1"/>
    <col min="12548" max="12548" width="24.7109375" style="1" customWidth="1"/>
    <col min="12549" max="12549" width="11.140625" style="1" customWidth="1"/>
    <col min="12550" max="12550" width="12.28515625" style="1" customWidth="1"/>
    <col min="12551" max="12551" width="11.140625" style="1" customWidth="1"/>
    <col min="12552" max="12552" width="10.42578125" style="1" customWidth="1"/>
    <col min="12553" max="12553" width="4.7109375" style="1" customWidth="1"/>
    <col min="12554" max="12554" width="8.5703125" style="1" customWidth="1"/>
    <col min="12555" max="12555" width="5.5703125" style="1" customWidth="1"/>
    <col min="12556" max="12557" width="11.5703125" style="1" customWidth="1"/>
    <col min="12558" max="12558" width="10.85546875" style="1" customWidth="1"/>
    <col min="12559" max="12559" width="7.7109375" style="1" customWidth="1"/>
    <col min="12560" max="12560" width="8" style="1" customWidth="1"/>
    <col min="12561" max="12561" width="16.28515625" style="1" customWidth="1"/>
    <col min="12562" max="12562" width="10.5703125" style="1" customWidth="1"/>
    <col min="12563" max="12563" width="14.140625" style="1" customWidth="1"/>
    <col min="12564" max="12564" width="10.140625" style="1" customWidth="1"/>
    <col min="12565" max="12565" width="15.140625" style="1" customWidth="1"/>
    <col min="12566" max="12566" width="8.5703125" style="1" customWidth="1"/>
    <col min="12567" max="12567" width="14.28515625" style="1" customWidth="1"/>
    <col min="12568" max="12568" width="18.28515625" style="1" customWidth="1"/>
    <col min="12569" max="12569" width="13" style="1" bestFit="1" customWidth="1"/>
    <col min="12570" max="12570" width="11.7109375" style="1" bestFit="1" customWidth="1"/>
    <col min="12571" max="12577" width="9.140625" style="1"/>
    <col min="12578" max="12578" width="11.28515625" style="1" bestFit="1" customWidth="1"/>
    <col min="12579" max="12579" width="10.7109375" style="1" bestFit="1" customWidth="1"/>
    <col min="12580" max="12801" width="9.140625" style="1"/>
    <col min="12802" max="12802" width="6.42578125" style="1" customWidth="1"/>
    <col min="12803" max="12803" width="20.7109375" style="1" customWidth="1"/>
    <col min="12804" max="12804" width="24.7109375" style="1" customWidth="1"/>
    <col min="12805" max="12805" width="11.140625" style="1" customWidth="1"/>
    <col min="12806" max="12806" width="12.28515625" style="1" customWidth="1"/>
    <col min="12807" max="12807" width="11.140625" style="1" customWidth="1"/>
    <col min="12808" max="12808" width="10.42578125" style="1" customWidth="1"/>
    <col min="12809" max="12809" width="4.7109375" style="1" customWidth="1"/>
    <col min="12810" max="12810" width="8.5703125" style="1" customWidth="1"/>
    <col min="12811" max="12811" width="5.5703125" style="1" customWidth="1"/>
    <col min="12812" max="12813" width="11.5703125" style="1" customWidth="1"/>
    <col min="12814" max="12814" width="10.85546875" style="1" customWidth="1"/>
    <col min="12815" max="12815" width="7.7109375" style="1" customWidth="1"/>
    <col min="12816" max="12816" width="8" style="1" customWidth="1"/>
    <col min="12817" max="12817" width="16.28515625" style="1" customWidth="1"/>
    <col min="12818" max="12818" width="10.5703125" style="1" customWidth="1"/>
    <col min="12819" max="12819" width="14.140625" style="1" customWidth="1"/>
    <col min="12820" max="12820" width="10.140625" style="1" customWidth="1"/>
    <col min="12821" max="12821" width="15.140625" style="1" customWidth="1"/>
    <col min="12822" max="12822" width="8.5703125" style="1" customWidth="1"/>
    <col min="12823" max="12823" width="14.28515625" style="1" customWidth="1"/>
    <col min="12824" max="12824" width="18.28515625" style="1" customWidth="1"/>
    <col min="12825" max="12825" width="13" style="1" bestFit="1" customWidth="1"/>
    <col min="12826" max="12826" width="11.7109375" style="1" bestFit="1" customWidth="1"/>
    <col min="12827" max="12833" width="9.140625" style="1"/>
    <col min="12834" max="12834" width="11.28515625" style="1" bestFit="1" customWidth="1"/>
    <col min="12835" max="12835" width="10.7109375" style="1" bestFit="1" customWidth="1"/>
    <col min="12836" max="13057" width="9.140625" style="1"/>
    <col min="13058" max="13058" width="6.42578125" style="1" customWidth="1"/>
    <col min="13059" max="13059" width="20.7109375" style="1" customWidth="1"/>
    <col min="13060" max="13060" width="24.7109375" style="1" customWidth="1"/>
    <col min="13061" max="13061" width="11.140625" style="1" customWidth="1"/>
    <col min="13062" max="13062" width="12.28515625" style="1" customWidth="1"/>
    <col min="13063" max="13063" width="11.140625" style="1" customWidth="1"/>
    <col min="13064" max="13064" width="10.42578125" style="1" customWidth="1"/>
    <col min="13065" max="13065" width="4.7109375" style="1" customWidth="1"/>
    <col min="13066" max="13066" width="8.5703125" style="1" customWidth="1"/>
    <col min="13067" max="13067" width="5.5703125" style="1" customWidth="1"/>
    <col min="13068" max="13069" width="11.5703125" style="1" customWidth="1"/>
    <col min="13070" max="13070" width="10.85546875" style="1" customWidth="1"/>
    <col min="13071" max="13071" width="7.7109375" style="1" customWidth="1"/>
    <col min="13072" max="13072" width="8" style="1" customWidth="1"/>
    <col min="13073" max="13073" width="16.28515625" style="1" customWidth="1"/>
    <col min="13074" max="13074" width="10.5703125" style="1" customWidth="1"/>
    <col min="13075" max="13075" width="14.140625" style="1" customWidth="1"/>
    <col min="13076" max="13076" width="10.140625" style="1" customWidth="1"/>
    <col min="13077" max="13077" width="15.140625" style="1" customWidth="1"/>
    <col min="13078" max="13078" width="8.5703125" style="1" customWidth="1"/>
    <col min="13079" max="13079" width="14.28515625" style="1" customWidth="1"/>
    <col min="13080" max="13080" width="18.28515625" style="1" customWidth="1"/>
    <col min="13081" max="13081" width="13" style="1" bestFit="1" customWidth="1"/>
    <col min="13082" max="13082" width="11.7109375" style="1" bestFit="1" customWidth="1"/>
    <col min="13083" max="13089" width="9.140625" style="1"/>
    <col min="13090" max="13090" width="11.28515625" style="1" bestFit="1" customWidth="1"/>
    <col min="13091" max="13091" width="10.7109375" style="1" bestFit="1" customWidth="1"/>
    <col min="13092" max="13313" width="9.140625" style="1"/>
    <col min="13314" max="13314" width="6.42578125" style="1" customWidth="1"/>
    <col min="13315" max="13315" width="20.7109375" style="1" customWidth="1"/>
    <col min="13316" max="13316" width="24.7109375" style="1" customWidth="1"/>
    <col min="13317" max="13317" width="11.140625" style="1" customWidth="1"/>
    <col min="13318" max="13318" width="12.28515625" style="1" customWidth="1"/>
    <col min="13319" max="13319" width="11.140625" style="1" customWidth="1"/>
    <col min="13320" max="13320" width="10.42578125" style="1" customWidth="1"/>
    <col min="13321" max="13321" width="4.7109375" style="1" customWidth="1"/>
    <col min="13322" max="13322" width="8.5703125" style="1" customWidth="1"/>
    <col min="13323" max="13323" width="5.5703125" style="1" customWidth="1"/>
    <col min="13324" max="13325" width="11.5703125" style="1" customWidth="1"/>
    <col min="13326" max="13326" width="10.85546875" style="1" customWidth="1"/>
    <col min="13327" max="13327" width="7.7109375" style="1" customWidth="1"/>
    <col min="13328" max="13328" width="8" style="1" customWidth="1"/>
    <col min="13329" max="13329" width="16.28515625" style="1" customWidth="1"/>
    <col min="13330" max="13330" width="10.5703125" style="1" customWidth="1"/>
    <col min="13331" max="13331" width="14.140625" style="1" customWidth="1"/>
    <col min="13332" max="13332" width="10.140625" style="1" customWidth="1"/>
    <col min="13333" max="13333" width="15.140625" style="1" customWidth="1"/>
    <col min="13334" max="13334" width="8.5703125" style="1" customWidth="1"/>
    <col min="13335" max="13335" width="14.28515625" style="1" customWidth="1"/>
    <col min="13336" max="13336" width="18.28515625" style="1" customWidth="1"/>
    <col min="13337" max="13337" width="13" style="1" bestFit="1" customWidth="1"/>
    <col min="13338" max="13338" width="11.7109375" style="1" bestFit="1" customWidth="1"/>
    <col min="13339" max="13345" width="9.140625" style="1"/>
    <col min="13346" max="13346" width="11.28515625" style="1" bestFit="1" customWidth="1"/>
    <col min="13347" max="13347" width="10.7109375" style="1" bestFit="1" customWidth="1"/>
    <col min="13348" max="13569" width="9.140625" style="1"/>
    <col min="13570" max="13570" width="6.42578125" style="1" customWidth="1"/>
    <col min="13571" max="13571" width="20.7109375" style="1" customWidth="1"/>
    <col min="13572" max="13572" width="24.7109375" style="1" customWidth="1"/>
    <col min="13573" max="13573" width="11.140625" style="1" customWidth="1"/>
    <col min="13574" max="13574" width="12.28515625" style="1" customWidth="1"/>
    <col min="13575" max="13575" width="11.140625" style="1" customWidth="1"/>
    <col min="13576" max="13576" width="10.42578125" style="1" customWidth="1"/>
    <col min="13577" max="13577" width="4.7109375" style="1" customWidth="1"/>
    <col min="13578" max="13578" width="8.5703125" style="1" customWidth="1"/>
    <col min="13579" max="13579" width="5.5703125" style="1" customWidth="1"/>
    <col min="13580" max="13581" width="11.5703125" style="1" customWidth="1"/>
    <col min="13582" max="13582" width="10.85546875" style="1" customWidth="1"/>
    <col min="13583" max="13583" width="7.7109375" style="1" customWidth="1"/>
    <col min="13584" max="13584" width="8" style="1" customWidth="1"/>
    <col min="13585" max="13585" width="16.28515625" style="1" customWidth="1"/>
    <col min="13586" max="13586" width="10.5703125" style="1" customWidth="1"/>
    <col min="13587" max="13587" width="14.140625" style="1" customWidth="1"/>
    <col min="13588" max="13588" width="10.140625" style="1" customWidth="1"/>
    <col min="13589" max="13589" width="15.140625" style="1" customWidth="1"/>
    <col min="13590" max="13590" width="8.5703125" style="1" customWidth="1"/>
    <col min="13591" max="13591" width="14.28515625" style="1" customWidth="1"/>
    <col min="13592" max="13592" width="18.28515625" style="1" customWidth="1"/>
    <col min="13593" max="13593" width="13" style="1" bestFit="1" customWidth="1"/>
    <col min="13594" max="13594" width="11.7109375" style="1" bestFit="1" customWidth="1"/>
    <col min="13595" max="13601" width="9.140625" style="1"/>
    <col min="13602" max="13602" width="11.28515625" style="1" bestFit="1" customWidth="1"/>
    <col min="13603" max="13603" width="10.7109375" style="1" bestFit="1" customWidth="1"/>
    <col min="13604" max="13825" width="9.140625" style="1"/>
    <col min="13826" max="13826" width="6.42578125" style="1" customWidth="1"/>
    <col min="13827" max="13827" width="20.7109375" style="1" customWidth="1"/>
    <col min="13828" max="13828" width="24.7109375" style="1" customWidth="1"/>
    <col min="13829" max="13829" width="11.140625" style="1" customWidth="1"/>
    <col min="13830" max="13830" width="12.28515625" style="1" customWidth="1"/>
    <col min="13831" max="13831" width="11.140625" style="1" customWidth="1"/>
    <col min="13832" max="13832" width="10.42578125" style="1" customWidth="1"/>
    <col min="13833" max="13833" width="4.7109375" style="1" customWidth="1"/>
    <col min="13834" max="13834" width="8.5703125" style="1" customWidth="1"/>
    <col min="13835" max="13835" width="5.5703125" style="1" customWidth="1"/>
    <col min="13836" max="13837" width="11.5703125" style="1" customWidth="1"/>
    <col min="13838" max="13838" width="10.85546875" style="1" customWidth="1"/>
    <col min="13839" max="13839" width="7.7109375" style="1" customWidth="1"/>
    <col min="13840" max="13840" width="8" style="1" customWidth="1"/>
    <col min="13841" max="13841" width="16.28515625" style="1" customWidth="1"/>
    <col min="13842" max="13842" width="10.5703125" style="1" customWidth="1"/>
    <col min="13843" max="13843" width="14.140625" style="1" customWidth="1"/>
    <col min="13844" max="13844" width="10.140625" style="1" customWidth="1"/>
    <col min="13845" max="13845" width="15.140625" style="1" customWidth="1"/>
    <col min="13846" max="13846" width="8.5703125" style="1" customWidth="1"/>
    <col min="13847" max="13847" width="14.28515625" style="1" customWidth="1"/>
    <col min="13848" max="13848" width="18.28515625" style="1" customWidth="1"/>
    <col min="13849" max="13849" width="13" style="1" bestFit="1" customWidth="1"/>
    <col min="13850" max="13850" width="11.7109375" style="1" bestFit="1" customWidth="1"/>
    <col min="13851" max="13857" width="9.140625" style="1"/>
    <col min="13858" max="13858" width="11.28515625" style="1" bestFit="1" customWidth="1"/>
    <col min="13859" max="13859" width="10.7109375" style="1" bestFit="1" customWidth="1"/>
    <col min="13860" max="14081" width="9.140625" style="1"/>
    <col min="14082" max="14082" width="6.42578125" style="1" customWidth="1"/>
    <col min="14083" max="14083" width="20.7109375" style="1" customWidth="1"/>
    <col min="14084" max="14084" width="24.7109375" style="1" customWidth="1"/>
    <col min="14085" max="14085" width="11.140625" style="1" customWidth="1"/>
    <col min="14086" max="14086" width="12.28515625" style="1" customWidth="1"/>
    <col min="14087" max="14087" width="11.140625" style="1" customWidth="1"/>
    <col min="14088" max="14088" width="10.42578125" style="1" customWidth="1"/>
    <col min="14089" max="14089" width="4.7109375" style="1" customWidth="1"/>
    <col min="14090" max="14090" width="8.5703125" style="1" customWidth="1"/>
    <col min="14091" max="14091" width="5.5703125" style="1" customWidth="1"/>
    <col min="14092" max="14093" width="11.5703125" style="1" customWidth="1"/>
    <col min="14094" max="14094" width="10.85546875" style="1" customWidth="1"/>
    <col min="14095" max="14095" width="7.7109375" style="1" customWidth="1"/>
    <col min="14096" max="14096" width="8" style="1" customWidth="1"/>
    <col min="14097" max="14097" width="16.28515625" style="1" customWidth="1"/>
    <col min="14098" max="14098" width="10.5703125" style="1" customWidth="1"/>
    <col min="14099" max="14099" width="14.140625" style="1" customWidth="1"/>
    <col min="14100" max="14100" width="10.140625" style="1" customWidth="1"/>
    <col min="14101" max="14101" width="15.140625" style="1" customWidth="1"/>
    <col min="14102" max="14102" width="8.5703125" style="1" customWidth="1"/>
    <col min="14103" max="14103" width="14.28515625" style="1" customWidth="1"/>
    <col min="14104" max="14104" width="18.28515625" style="1" customWidth="1"/>
    <col min="14105" max="14105" width="13" style="1" bestFit="1" customWidth="1"/>
    <col min="14106" max="14106" width="11.7109375" style="1" bestFit="1" customWidth="1"/>
    <col min="14107" max="14113" width="9.140625" style="1"/>
    <col min="14114" max="14114" width="11.28515625" style="1" bestFit="1" customWidth="1"/>
    <col min="14115" max="14115" width="10.7109375" style="1" bestFit="1" customWidth="1"/>
    <col min="14116" max="14337" width="9.140625" style="1"/>
    <col min="14338" max="14338" width="6.42578125" style="1" customWidth="1"/>
    <col min="14339" max="14339" width="20.7109375" style="1" customWidth="1"/>
    <col min="14340" max="14340" width="24.7109375" style="1" customWidth="1"/>
    <col min="14341" max="14341" width="11.140625" style="1" customWidth="1"/>
    <col min="14342" max="14342" width="12.28515625" style="1" customWidth="1"/>
    <col min="14343" max="14343" width="11.140625" style="1" customWidth="1"/>
    <col min="14344" max="14344" width="10.42578125" style="1" customWidth="1"/>
    <col min="14345" max="14345" width="4.7109375" style="1" customWidth="1"/>
    <col min="14346" max="14346" width="8.5703125" style="1" customWidth="1"/>
    <col min="14347" max="14347" width="5.5703125" style="1" customWidth="1"/>
    <col min="14348" max="14349" width="11.5703125" style="1" customWidth="1"/>
    <col min="14350" max="14350" width="10.85546875" style="1" customWidth="1"/>
    <col min="14351" max="14351" width="7.7109375" style="1" customWidth="1"/>
    <col min="14352" max="14352" width="8" style="1" customWidth="1"/>
    <col min="14353" max="14353" width="16.28515625" style="1" customWidth="1"/>
    <col min="14354" max="14354" width="10.5703125" style="1" customWidth="1"/>
    <col min="14355" max="14355" width="14.140625" style="1" customWidth="1"/>
    <col min="14356" max="14356" width="10.140625" style="1" customWidth="1"/>
    <col min="14357" max="14357" width="15.140625" style="1" customWidth="1"/>
    <col min="14358" max="14358" width="8.5703125" style="1" customWidth="1"/>
    <col min="14359" max="14359" width="14.28515625" style="1" customWidth="1"/>
    <col min="14360" max="14360" width="18.28515625" style="1" customWidth="1"/>
    <col min="14361" max="14361" width="13" style="1" bestFit="1" customWidth="1"/>
    <col min="14362" max="14362" width="11.7109375" style="1" bestFit="1" customWidth="1"/>
    <col min="14363" max="14369" width="9.140625" style="1"/>
    <col min="14370" max="14370" width="11.28515625" style="1" bestFit="1" customWidth="1"/>
    <col min="14371" max="14371" width="10.7109375" style="1" bestFit="1" customWidth="1"/>
    <col min="14372" max="14593" width="9.140625" style="1"/>
    <col min="14594" max="14594" width="6.42578125" style="1" customWidth="1"/>
    <col min="14595" max="14595" width="20.7109375" style="1" customWidth="1"/>
    <col min="14596" max="14596" width="24.7109375" style="1" customWidth="1"/>
    <col min="14597" max="14597" width="11.140625" style="1" customWidth="1"/>
    <col min="14598" max="14598" width="12.28515625" style="1" customWidth="1"/>
    <col min="14599" max="14599" width="11.140625" style="1" customWidth="1"/>
    <col min="14600" max="14600" width="10.42578125" style="1" customWidth="1"/>
    <col min="14601" max="14601" width="4.7109375" style="1" customWidth="1"/>
    <col min="14602" max="14602" width="8.5703125" style="1" customWidth="1"/>
    <col min="14603" max="14603" width="5.5703125" style="1" customWidth="1"/>
    <col min="14604" max="14605" width="11.5703125" style="1" customWidth="1"/>
    <col min="14606" max="14606" width="10.85546875" style="1" customWidth="1"/>
    <col min="14607" max="14607" width="7.7109375" style="1" customWidth="1"/>
    <col min="14608" max="14608" width="8" style="1" customWidth="1"/>
    <col min="14609" max="14609" width="16.28515625" style="1" customWidth="1"/>
    <col min="14610" max="14610" width="10.5703125" style="1" customWidth="1"/>
    <col min="14611" max="14611" width="14.140625" style="1" customWidth="1"/>
    <col min="14612" max="14612" width="10.140625" style="1" customWidth="1"/>
    <col min="14613" max="14613" width="15.140625" style="1" customWidth="1"/>
    <col min="14614" max="14614" width="8.5703125" style="1" customWidth="1"/>
    <col min="14615" max="14615" width="14.28515625" style="1" customWidth="1"/>
    <col min="14616" max="14616" width="18.28515625" style="1" customWidth="1"/>
    <col min="14617" max="14617" width="13" style="1" bestFit="1" customWidth="1"/>
    <col min="14618" max="14618" width="11.7109375" style="1" bestFit="1" customWidth="1"/>
    <col min="14619" max="14625" width="9.140625" style="1"/>
    <col min="14626" max="14626" width="11.28515625" style="1" bestFit="1" customWidth="1"/>
    <col min="14627" max="14627" width="10.7109375" style="1" bestFit="1" customWidth="1"/>
    <col min="14628" max="14849" width="9.140625" style="1"/>
    <col min="14850" max="14850" width="6.42578125" style="1" customWidth="1"/>
    <col min="14851" max="14851" width="20.7109375" style="1" customWidth="1"/>
    <col min="14852" max="14852" width="24.7109375" style="1" customWidth="1"/>
    <col min="14853" max="14853" width="11.140625" style="1" customWidth="1"/>
    <col min="14854" max="14854" width="12.28515625" style="1" customWidth="1"/>
    <col min="14855" max="14855" width="11.140625" style="1" customWidth="1"/>
    <col min="14856" max="14856" width="10.42578125" style="1" customWidth="1"/>
    <col min="14857" max="14857" width="4.7109375" style="1" customWidth="1"/>
    <col min="14858" max="14858" width="8.5703125" style="1" customWidth="1"/>
    <col min="14859" max="14859" width="5.5703125" style="1" customWidth="1"/>
    <col min="14860" max="14861" width="11.5703125" style="1" customWidth="1"/>
    <col min="14862" max="14862" width="10.85546875" style="1" customWidth="1"/>
    <col min="14863" max="14863" width="7.7109375" style="1" customWidth="1"/>
    <col min="14864" max="14864" width="8" style="1" customWidth="1"/>
    <col min="14865" max="14865" width="16.28515625" style="1" customWidth="1"/>
    <col min="14866" max="14866" width="10.5703125" style="1" customWidth="1"/>
    <col min="14867" max="14867" width="14.140625" style="1" customWidth="1"/>
    <col min="14868" max="14868" width="10.140625" style="1" customWidth="1"/>
    <col min="14869" max="14869" width="15.140625" style="1" customWidth="1"/>
    <col min="14870" max="14870" width="8.5703125" style="1" customWidth="1"/>
    <col min="14871" max="14871" width="14.28515625" style="1" customWidth="1"/>
    <col min="14872" max="14872" width="18.28515625" style="1" customWidth="1"/>
    <col min="14873" max="14873" width="13" style="1" bestFit="1" customWidth="1"/>
    <col min="14874" max="14874" width="11.7109375" style="1" bestFit="1" customWidth="1"/>
    <col min="14875" max="14881" width="9.140625" style="1"/>
    <col min="14882" max="14882" width="11.28515625" style="1" bestFit="1" customWidth="1"/>
    <col min="14883" max="14883" width="10.7109375" style="1" bestFit="1" customWidth="1"/>
    <col min="14884" max="15105" width="9.140625" style="1"/>
    <col min="15106" max="15106" width="6.42578125" style="1" customWidth="1"/>
    <col min="15107" max="15107" width="20.7109375" style="1" customWidth="1"/>
    <col min="15108" max="15108" width="24.7109375" style="1" customWidth="1"/>
    <col min="15109" max="15109" width="11.140625" style="1" customWidth="1"/>
    <col min="15110" max="15110" width="12.28515625" style="1" customWidth="1"/>
    <col min="15111" max="15111" width="11.140625" style="1" customWidth="1"/>
    <col min="15112" max="15112" width="10.42578125" style="1" customWidth="1"/>
    <col min="15113" max="15113" width="4.7109375" style="1" customWidth="1"/>
    <col min="15114" max="15114" width="8.5703125" style="1" customWidth="1"/>
    <col min="15115" max="15115" width="5.5703125" style="1" customWidth="1"/>
    <col min="15116" max="15117" width="11.5703125" style="1" customWidth="1"/>
    <col min="15118" max="15118" width="10.85546875" style="1" customWidth="1"/>
    <col min="15119" max="15119" width="7.7109375" style="1" customWidth="1"/>
    <col min="15120" max="15120" width="8" style="1" customWidth="1"/>
    <col min="15121" max="15121" width="16.28515625" style="1" customWidth="1"/>
    <col min="15122" max="15122" width="10.5703125" style="1" customWidth="1"/>
    <col min="15123" max="15123" width="14.140625" style="1" customWidth="1"/>
    <col min="15124" max="15124" width="10.140625" style="1" customWidth="1"/>
    <col min="15125" max="15125" width="15.140625" style="1" customWidth="1"/>
    <col min="15126" max="15126" width="8.5703125" style="1" customWidth="1"/>
    <col min="15127" max="15127" width="14.28515625" style="1" customWidth="1"/>
    <col min="15128" max="15128" width="18.28515625" style="1" customWidth="1"/>
    <col min="15129" max="15129" width="13" style="1" bestFit="1" customWidth="1"/>
    <col min="15130" max="15130" width="11.7109375" style="1" bestFit="1" customWidth="1"/>
    <col min="15131" max="15137" width="9.140625" style="1"/>
    <col min="15138" max="15138" width="11.28515625" style="1" bestFit="1" customWidth="1"/>
    <col min="15139" max="15139" width="10.7109375" style="1" bestFit="1" customWidth="1"/>
    <col min="15140" max="15361" width="9.140625" style="1"/>
    <col min="15362" max="15362" width="6.42578125" style="1" customWidth="1"/>
    <col min="15363" max="15363" width="20.7109375" style="1" customWidth="1"/>
    <col min="15364" max="15364" width="24.7109375" style="1" customWidth="1"/>
    <col min="15365" max="15365" width="11.140625" style="1" customWidth="1"/>
    <col min="15366" max="15366" width="12.28515625" style="1" customWidth="1"/>
    <col min="15367" max="15367" width="11.140625" style="1" customWidth="1"/>
    <col min="15368" max="15368" width="10.42578125" style="1" customWidth="1"/>
    <col min="15369" max="15369" width="4.7109375" style="1" customWidth="1"/>
    <col min="15370" max="15370" width="8.5703125" style="1" customWidth="1"/>
    <col min="15371" max="15371" width="5.5703125" style="1" customWidth="1"/>
    <col min="15372" max="15373" width="11.5703125" style="1" customWidth="1"/>
    <col min="15374" max="15374" width="10.85546875" style="1" customWidth="1"/>
    <col min="15375" max="15375" width="7.7109375" style="1" customWidth="1"/>
    <col min="15376" max="15376" width="8" style="1" customWidth="1"/>
    <col min="15377" max="15377" width="16.28515625" style="1" customWidth="1"/>
    <col min="15378" max="15378" width="10.5703125" style="1" customWidth="1"/>
    <col min="15379" max="15379" width="14.140625" style="1" customWidth="1"/>
    <col min="15380" max="15380" width="10.140625" style="1" customWidth="1"/>
    <col min="15381" max="15381" width="15.140625" style="1" customWidth="1"/>
    <col min="15382" max="15382" width="8.5703125" style="1" customWidth="1"/>
    <col min="15383" max="15383" width="14.28515625" style="1" customWidth="1"/>
    <col min="15384" max="15384" width="18.28515625" style="1" customWidth="1"/>
    <col min="15385" max="15385" width="13" style="1" bestFit="1" customWidth="1"/>
    <col min="15386" max="15386" width="11.7109375" style="1" bestFit="1" customWidth="1"/>
    <col min="15387" max="15393" width="9.140625" style="1"/>
    <col min="15394" max="15394" width="11.28515625" style="1" bestFit="1" customWidth="1"/>
    <col min="15395" max="15395" width="10.7109375" style="1" bestFit="1" customWidth="1"/>
    <col min="15396" max="15617" width="9.140625" style="1"/>
    <col min="15618" max="15618" width="6.42578125" style="1" customWidth="1"/>
    <col min="15619" max="15619" width="20.7109375" style="1" customWidth="1"/>
    <col min="15620" max="15620" width="24.7109375" style="1" customWidth="1"/>
    <col min="15621" max="15621" width="11.140625" style="1" customWidth="1"/>
    <col min="15622" max="15622" width="12.28515625" style="1" customWidth="1"/>
    <col min="15623" max="15623" width="11.140625" style="1" customWidth="1"/>
    <col min="15624" max="15624" width="10.42578125" style="1" customWidth="1"/>
    <col min="15625" max="15625" width="4.7109375" style="1" customWidth="1"/>
    <col min="15626" max="15626" width="8.5703125" style="1" customWidth="1"/>
    <col min="15627" max="15627" width="5.5703125" style="1" customWidth="1"/>
    <col min="15628" max="15629" width="11.5703125" style="1" customWidth="1"/>
    <col min="15630" max="15630" width="10.85546875" style="1" customWidth="1"/>
    <col min="15631" max="15631" width="7.7109375" style="1" customWidth="1"/>
    <col min="15632" max="15632" width="8" style="1" customWidth="1"/>
    <col min="15633" max="15633" width="16.28515625" style="1" customWidth="1"/>
    <col min="15634" max="15634" width="10.5703125" style="1" customWidth="1"/>
    <col min="15635" max="15635" width="14.140625" style="1" customWidth="1"/>
    <col min="15636" max="15636" width="10.140625" style="1" customWidth="1"/>
    <col min="15637" max="15637" width="15.140625" style="1" customWidth="1"/>
    <col min="15638" max="15638" width="8.5703125" style="1" customWidth="1"/>
    <col min="15639" max="15639" width="14.28515625" style="1" customWidth="1"/>
    <col min="15640" max="15640" width="18.28515625" style="1" customWidth="1"/>
    <col min="15641" max="15641" width="13" style="1" bestFit="1" customWidth="1"/>
    <col min="15642" max="15642" width="11.7109375" style="1" bestFit="1" customWidth="1"/>
    <col min="15643" max="15649" width="9.140625" style="1"/>
    <col min="15650" max="15650" width="11.28515625" style="1" bestFit="1" customWidth="1"/>
    <col min="15651" max="15651" width="10.7109375" style="1" bestFit="1" customWidth="1"/>
    <col min="15652" max="15873" width="9.140625" style="1"/>
    <col min="15874" max="15874" width="6.42578125" style="1" customWidth="1"/>
    <col min="15875" max="15875" width="20.7109375" style="1" customWidth="1"/>
    <col min="15876" max="15876" width="24.7109375" style="1" customWidth="1"/>
    <col min="15877" max="15877" width="11.140625" style="1" customWidth="1"/>
    <col min="15878" max="15878" width="12.28515625" style="1" customWidth="1"/>
    <col min="15879" max="15879" width="11.140625" style="1" customWidth="1"/>
    <col min="15880" max="15880" width="10.42578125" style="1" customWidth="1"/>
    <col min="15881" max="15881" width="4.7109375" style="1" customWidth="1"/>
    <col min="15882" max="15882" width="8.5703125" style="1" customWidth="1"/>
    <col min="15883" max="15883" width="5.5703125" style="1" customWidth="1"/>
    <col min="15884" max="15885" width="11.5703125" style="1" customWidth="1"/>
    <col min="15886" max="15886" width="10.85546875" style="1" customWidth="1"/>
    <col min="15887" max="15887" width="7.7109375" style="1" customWidth="1"/>
    <col min="15888" max="15888" width="8" style="1" customWidth="1"/>
    <col min="15889" max="15889" width="16.28515625" style="1" customWidth="1"/>
    <col min="15890" max="15890" width="10.5703125" style="1" customWidth="1"/>
    <col min="15891" max="15891" width="14.140625" style="1" customWidth="1"/>
    <col min="15892" max="15892" width="10.140625" style="1" customWidth="1"/>
    <col min="15893" max="15893" width="15.140625" style="1" customWidth="1"/>
    <col min="15894" max="15894" width="8.5703125" style="1" customWidth="1"/>
    <col min="15895" max="15895" width="14.28515625" style="1" customWidth="1"/>
    <col min="15896" max="15896" width="18.28515625" style="1" customWidth="1"/>
    <col min="15897" max="15897" width="13" style="1" bestFit="1" customWidth="1"/>
    <col min="15898" max="15898" width="11.7109375" style="1" bestFit="1" customWidth="1"/>
    <col min="15899" max="15905" width="9.140625" style="1"/>
    <col min="15906" max="15906" width="11.28515625" style="1" bestFit="1" customWidth="1"/>
    <col min="15907" max="15907" width="10.7109375" style="1" bestFit="1" customWidth="1"/>
    <col min="15908" max="16129" width="9.140625" style="1"/>
    <col min="16130" max="16130" width="6.42578125" style="1" customWidth="1"/>
    <col min="16131" max="16131" width="20.7109375" style="1" customWidth="1"/>
    <col min="16132" max="16132" width="24.7109375" style="1" customWidth="1"/>
    <col min="16133" max="16133" width="11.140625" style="1" customWidth="1"/>
    <col min="16134" max="16134" width="12.28515625" style="1" customWidth="1"/>
    <col min="16135" max="16135" width="11.140625" style="1" customWidth="1"/>
    <col min="16136" max="16136" width="10.42578125" style="1" customWidth="1"/>
    <col min="16137" max="16137" width="4.7109375" style="1" customWidth="1"/>
    <col min="16138" max="16138" width="8.5703125" style="1" customWidth="1"/>
    <col min="16139" max="16139" width="5.5703125" style="1" customWidth="1"/>
    <col min="16140" max="16141" width="11.5703125" style="1" customWidth="1"/>
    <col min="16142" max="16142" width="10.85546875" style="1" customWidth="1"/>
    <col min="16143" max="16143" width="7.7109375" style="1" customWidth="1"/>
    <col min="16144" max="16144" width="8" style="1" customWidth="1"/>
    <col min="16145" max="16145" width="16.28515625" style="1" customWidth="1"/>
    <col min="16146" max="16146" width="10.5703125" style="1" customWidth="1"/>
    <col min="16147" max="16147" width="14.140625" style="1" customWidth="1"/>
    <col min="16148" max="16148" width="10.140625" style="1" customWidth="1"/>
    <col min="16149" max="16149" width="15.140625" style="1" customWidth="1"/>
    <col min="16150" max="16150" width="8.5703125" style="1" customWidth="1"/>
    <col min="16151" max="16151" width="14.28515625" style="1" customWidth="1"/>
    <col min="16152" max="16152" width="18.28515625" style="1" customWidth="1"/>
    <col min="16153" max="16153" width="13" style="1" bestFit="1" customWidth="1"/>
    <col min="16154" max="16154" width="11.7109375" style="1" bestFit="1" customWidth="1"/>
    <col min="16155" max="16161" width="9.140625" style="1"/>
    <col min="16162" max="16162" width="11.28515625" style="1" bestFit="1" customWidth="1"/>
    <col min="16163" max="16163" width="10.7109375" style="1" bestFit="1" customWidth="1"/>
    <col min="16164" max="16384" width="9.140625" style="1"/>
  </cols>
  <sheetData>
    <row r="1" spans="1:69" ht="9.75" customHeight="1">
      <c r="V1" s="3"/>
    </row>
    <row r="2" spans="1:69" ht="30.75" customHeight="1">
      <c r="A2" s="2310" t="s">
        <v>916</v>
      </c>
      <c r="B2" s="2310"/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  <c r="N2" s="2310"/>
      <c r="O2" s="2310"/>
      <c r="P2" s="2310"/>
      <c r="Q2" s="2310"/>
      <c r="R2" s="2310"/>
      <c r="S2" s="2310"/>
      <c r="T2" s="2310"/>
      <c r="U2" s="2310"/>
      <c r="V2" s="2310"/>
      <c r="W2" s="2310"/>
      <c r="X2" s="2310"/>
      <c r="Y2" s="24"/>
      <c r="Z2" s="24"/>
    </row>
    <row r="3" spans="1:69" ht="25.5" customHeight="1">
      <c r="A3" s="2309" t="s">
        <v>0</v>
      </c>
      <c r="B3" s="2309"/>
      <c r="C3" s="2309"/>
      <c r="D3" s="2309"/>
      <c r="E3" s="2309"/>
      <c r="F3" s="2309"/>
      <c r="G3" s="2309"/>
      <c r="H3" s="2309"/>
      <c r="I3" s="2309"/>
      <c r="J3" s="2309"/>
      <c r="K3" s="2309"/>
      <c r="L3" s="2309"/>
      <c r="M3" s="2309"/>
      <c r="N3" s="2309"/>
      <c r="O3" s="2309"/>
      <c r="P3" s="2309"/>
      <c r="Q3" s="2309"/>
      <c r="R3" s="2309"/>
      <c r="S3" s="2309"/>
      <c r="T3" s="2309"/>
      <c r="U3" s="2309"/>
      <c r="V3" s="2309"/>
      <c r="W3" s="2309"/>
      <c r="X3" s="2309"/>
      <c r="Y3" s="24"/>
      <c r="Z3" s="24"/>
    </row>
    <row r="4" spans="1:69" s="1151" customFormat="1" ht="41.25" customHeight="1">
      <c r="A4" s="2256" t="s">
        <v>1</v>
      </c>
      <c r="B4" s="2256" t="s">
        <v>2</v>
      </c>
      <c r="C4" s="2256" t="s">
        <v>3</v>
      </c>
      <c r="D4" s="2256" t="s">
        <v>4</v>
      </c>
      <c r="E4" s="2256" t="s">
        <v>915</v>
      </c>
      <c r="F4" s="2256" t="s">
        <v>6</v>
      </c>
      <c r="G4" s="2256" t="s">
        <v>7</v>
      </c>
      <c r="H4" s="2260" t="s">
        <v>8</v>
      </c>
      <c r="I4" s="2260" t="s">
        <v>9</v>
      </c>
      <c r="J4" s="2260" t="s">
        <v>10</v>
      </c>
      <c r="K4" s="2256" t="s">
        <v>11</v>
      </c>
      <c r="L4" s="2256" t="s">
        <v>12</v>
      </c>
      <c r="M4" s="2256" t="s">
        <v>13</v>
      </c>
      <c r="N4" s="2256" t="s">
        <v>14</v>
      </c>
      <c r="O4" s="2304" t="s">
        <v>821</v>
      </c>
      <c r="P4" s="2256" t="s">
        <v>16</v>
      </c>
      <c r="Q4" s="2084" t="s">
        <v>914</v>
      </c>
      <c r="R4" s="2256" t="s">
        <v>17</v>
      </c>
      <c r="S4" s="2256"/>
      <c r="T4" s="2256" t="s">
        <v>18</v>
      </c>
      <c r="U4" s="2256"/>
      <c r="V4" s="2256" t="s">
        <v>19</v>
      </c>
      <c r="W4" s="2256"/>
      <c r="X4" s="2306" t="s">
        <v>401</v>
      </c>
      <c r="Y4" s="2260" t="s">
        <v>401</v>
      </c>
      <c r="Z4" s="2305" t="s">
        <v>394</v>
      </c>
      <c r="AA4" s="24"/>
      <c r="AB4" s="89"/>
      <c r="AC4" s="89"/>
      <c r="AD4" s="89"/>
      <c r="AE4" s="89"/>
      <c r="AF4" s="89"/>
      <c r="AG4" s="89"/>
      <c r="AH4" s="89"/>
      <c r="AI4" s="89"/>
      <c r="AJ4" s="89"/>
      <c r="AK4" s="86"/>
      <c r="AL4" s="86"/>
      <c r="AM4" s="86"/>
      <c r="AN4" s="86"/>
      <c r="AO4" s="86"/>
      <c r="AP4" s="86"/>
      <c r="AQ4" s="86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</row>
    <row r="5" spans="1:69" s="1151" customFormat="1" ht="94.5" customHeight="1">
      <c r="A5" s="2256"/>
      <c r="B5" s="2256"/>
      <c r="C5" s="2256"/>
      <c r="D5" s="2256"/>
      <c r="E5" s="2256"/>
      <c r="F5" s="2256"/>
      <c r="G5" s="2256"/>
      <c r="H5" s="2260"/>
      <c r="I5" s="2260"/>
      <c r="J5" s="2260"/>
      <c r="K5" s="2256"/>
      <c r="L5" s="2256"/>
      <c r="M5" s="2256"/>
      <c r="N5" s="2256"/>
      <c r="O5" s="2304"/>
      <c r="P5" s="2256"/>
      <c r="Q5" s="1150" t="s">
        <v>22</v>
      </c>
      <c r="R5" s="1150" t="s">
        <v>21</v>
      </c>
      <c r="S5" s="1150" t="s">
        <v>22</v>
      </c>
      <c r="T5" s="1150" t="s">
        <v>21</v>
      </c>
      <c r="U5" s="1150" t="s">
        <v>22</v>
      </c>
      <c r="V5" s="1150" t="s">
        <v>21</v>
      </c>
      <c r="W5" s="1150" t="s">
        <v>22</v>
      </c>
      <c r="X5" s="2306"/>
      <c r="Y5" s="2260"/>
      <c r="Z5" s="2305"/>
      <c r="AA5" s="1023" t="s">
        <v>640</v>
      </c>
      <c r="AB5" s="1024" t="s">
        <v>641</v>
      </c>
      <c r="AC5" s="89"/>
      <c r="AD5" s="89"/>
      <c r="AE5" s="89"/>
      <c r="AF5" s="89"/>
      <c r="AG5" s="89"/>
      <c r="AH5" s="89"/>
      <c r="AI5" s="89"/>
      <c r="AJ5" s="89"/>
      <c r="AK5" s="86"/>
      <c r="AL5" s="86"/>
      <c r="AM5" s="86"/>
      <c r="AN5" s="86"/>
      <c r="AO5" s="86"/>
      <c r="AP5" s="86"/>
      <c r="AQ5" s="86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</row>
    <row r="6" spans="1:69" s="24" customFormat="1" ht="15" customHeight="1">
      <c r="A6" s="5">
        <v>1</v>
      </c>
      <c r="B6" s="730" t="s">
        <v>23</v>
      </c>
      <c r="C6" s="6" t="s">
        <v>620</v>
      </c>
      <c r="D6" s="5" t="s">
        <v>25</v>
      </c>
      <c r="E6" s="57" t="s">
        <v>724</v>
      </c>
      <c r="F6" s="5" t="s">
        <v>27</v>
      </c>
      <c r="G6" s="5">
        <v>1</v>
      </c>
      <c r="H6" s="5" t="s">
        <v>28</v>
      </c>
      <c r="I6" s="5" t="s">
        <v>29</v>
      </c>
      <c r="J6" s="731" t="s">
        <v>30</v>
      </c>
      <c r="K6" s="7">
        <v>17697</v>
      </c>
      <c r="L6" s="7"/>
      <c r="M6" s="10">
        <v>1</v>
      </c>
      <c r="N6" s="7"/>
      <c r="O6" s="10">
        <v>6.22</v>
      </c>
      <c r="P6" s="7">
        <f>O6*K6</f>
        <v>110075.34</v>
      </c>
      <c r="Q6" s="882">
        <f>P6*50%</f>
        <v>55037.67</v>
      </c>
      <c r="R6" s="7"/>
      <c r="S6" s="8"/>
      <c r="T6" s="7">
        <v>0.1</v>
      </c>
      <c r="U6" s="7">
        <f>(P6+Q6)*T6</f>
        <v>16511.301000000003</v>
      </c>
      <c r="V6" s="7"/>
      <c r="W6" s="9"/>
      <c r="X6" s="10">
        <f>P6+S6+U6+W6+Q6</f>
        <v>181624.31099999999</v>
      </c>
      <c r="Y6" s="10">
        <f>R6+T6+V6</f>
        <v>0.1</v>
      </c>
      <c r="Z6" s="10">
        <f>S6+U6+W6</f>
        <v>16511.301000000003</v>
      </c>
      <c r="AA6" s="23">
        <f>X6*12</f>
        <v>2179491.7319999998</v>
      </c>
      <c r="AB6" s="1943">
        <f>AA6/12/29.33*30</f>
        <v>185773.24684623253</v>
      </c>
      <c r="AC6" s="906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69" s="1154" customFormat="1" ht="15" customHeight="1">
      <c r="A7" s="5">
        <v>2</v>
      </c>
      <c r="B7" s="730" t="s">
        <v>31</v>
      </c>
      <c r="C7" s="6" t="s">
        <v>32</v>
      </c>
      <c r="D7" s="5" t="s">
        <v>25</v>
      </c>
      <c r="E7" s="45" t="s">
        <v>772</v>
      </c>
      <c r="F7" s="12" t="s">
        <v>34</v>
      </c>
      <c r="G7" s="5">
        <v>1</v>
      </c>
      <c r="H7" s="5" t="s">
        <v>28</v>
      </c>
      <c r="I7" s="5" t="s">
        <v>35</v>
      </c>
      <c r="J7" s="733" t="s">
        <v>30</v>
      </c>
      <c r="K7" s="7">
        <v>17697</v>
      </c>
      <c r="L7" s="7"/>
      <c r="M7" s="10">
        <v>1</v>
      </c>
      <c r="N7" s="7"/>
      <c r="O7" s="1626">
        <v>5.77</v>
      </c>
      <c r="P7" s="7">
        <f>O7*K7</f>
        <v>102111.68999999999</v>
      </c>
      <c r="Q7" s="882">
        <f t="shared" ref="Q7:Q11" si="0">P7*50%</f>
        <v>51055.844999999994</v>
      </c>
      <c r="R7" s="8"/>
      <c r="S7" s="7"/>
      <c r="T7" s="7">
        <v>0.1</v>
      </c>
      <c r="U7" s="7">
        <f t="shared" ref="U7:U25" si="1">(P7+Q7)*T7</f>
        <v>15316.753499999999</v>
      </c>
      <c r="V7" s="9"/>
      <c r="W7" s="7"/>
      <c r="X7" s="10">
        <f>P7+S7+U7+W7+Q7</f>
        <v>168484.2885</v>
      </c>
      <c r="Y7" s="2212">
        <f t="shared" ref="Y7:Z24" si="2">R7+T7+V7</f>
        <v>0.1</v>
      </c>
      <c r="Z7" s="2212">
        <f t="shared" si="2"/>
        <v>15316.753499999999</v>
      </c>
      <c r="AA7" s="1153">
        <f t="shared" ref="AA7:AA74" si="3">X7*12</f>
        <v>2021811.4619999998</v>
      </c>
      <c r="AB7" s="2217">
        <f t="shared" ref="AB7:AB24" si="4">AA7/12/29.33*30</f>
        <v>172333.06017729288</v>
      </c>
      <c r="AH7" s="2222"/>
      <c r="AI7" s="2223"/>
      <c r="AK7" s="23"/>
      <c r="AL7" s="23"/>
      <c r="AM7" s="23"/>
      <c r="AN7" s="23"/>
      <c r="AO7" s="23"/>
      <c r="AP7" s="23"/>
      <c r="AQ7" s="23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</row>
    <row r="8" spans="1:69" s="2218" customFormat="1" ht="15" customHeight="1">
      <c r="A8" s="5">
        <v>3</v>
      </c>
      <c r="B8" s="13" t="s">
        <v>36</v>
      </c>
      <c r="C8" s="6" t="s">
        <v>32</v>
      </c>
      <c r="D8" s="14" t="s">
        <v>25</v>
      </c>
      <c r="E8" s="536" t="s">
        <v>265</v>
      </c>
      <c r="F8" s="12" t="s">
        <v>34</v>
      </c>
      <c r="G8" s="14">
        <v>1</v>
      </c>
      <c r="H8" s="5" t="s">
        <v>28</v>
      </c>
      <c r="I8" s="5" t="s">
        <v>35</v>
      </c>
      <c r="J8" s="14">
        <v>3</v>
      </c>
      <c r="K8" s="15">
        <v>17697</v>
      </c>
      <c r="L8" s="15"/>
      <c r="M8" s="1627">
        <v>1</v>
      </c>
      <c r="N8" s="7"/>
      <c r="O8" s="1628">
        <v>5.77</v>
      </c>
      <c r="P8" s="7">
        <f>O8*K8</f>
        <v>102111.68999999999</v>
      </c>
      <c r="Q8" s="882">
        <f t="shared" si="0"/>
        <v>51055.844999999994</v>
      </c>
      <c r="R8" s="8"/>
      <c r="S8" s="7"/>
      <c r="T8" s="7">
        <v>0.1</v>
      </c>
      <c r="U8" s="7">
        <f t="shared" si="1"/>
        <v>15316.753499999999</v>
      </c>
      <c r="V8" s="9"/>
      <c r="W8" s="7"/>
      <c r="X8" s="10">
        <f t="shared" ref="X8:X25" si="5">P8+S8+U8+W8+Q8</f>
        <v>168484.2885</v>
      </c>
      <c r="Y8" s="2212">
        <f t="shared" si="2"/>
        <v>0.1</v>
      </c>
      <c r="Z8" s="2212">
        <f t="shared" si="2"/>
        <v>15316.753499999999</v>
      </c>
      <c r="AA8" s="1153">
        <f t="shared" si="3"/>
        <v>2021811.4619999998</v>
      </c>
      <c r="AB8" s="2217">
        <f t="shared" si="4"/>
        <v>172333.06017729288</v>
      </c>
      <c r="AH8" s="2219"/>
      <c r="AI8" s="2220"/>
      <c r="AK8" s="1778"/>
      <c r="AL8" s="1778"/>
      <c r="AM8" s="1778"/>
      <c r="AN8" s="1778"/>
      <c r="AO8" s="1778"/>
      <c r="AP8" s="1778"/>
      <c r="AQ8" s="1778"/>
      <c r="AR8" s="908"/>
      <c r="AS8" s="908"/>
      <c r="AT8" s="908"/>
      <c r="AU8" s="908"/>
      <c r="AV8" s="908"/>
      <c r="AW8" s="908"/>
      <c r="AX8" s="908"/>
      <c r="AY8" s="908"/>
      <c r="AZ8" s="908"/>
      <c r="BA8" s="908"/>
      <c r="BB8" s="908"/>
      <c r="BC8" s="908"/>
      <c r="BD8" s="908"/>
    </row>
    <row r="9" spans="1:69" s="2221" customFormat="1" ht="15">
      <c r="A9" s="5">
        <v>4</v>
      </c>
      <c r="B9" s="17" t="s">
        <v>38</v>
      </c>
      <c r="C9" s="6" t="s">
        <v>32</v>
      </c>
      <c r="D9" s="16" t="s">
        <v>25</v>
      </c>
      <c r="E9" s="543" t="s">
        <v>774</v>
      </c>
      <c r="F9" s="734" t="s">
        <v>40</v>
      </c>
      <c r="G9" s="16">
        <v>1</v>
      </c>
      <c r="H9" s="5" t="s">
        <v>28</v>
      </c>
      <c r="I9" s="5" t="s">
        <v>35</v>
      </c>
      <c r="J9" s="735">
        <v>3</v>
      </c>
      <c r="K9" s="18">
        <v>17697</v>
      </c>
      <c r="L9" s="18"/>
      <c r="M9" s="1629">
        <v>1</v>
      </c>
      <c r="N9" s="18"/>
      <c r="O9" s="1628">
        <v>5.77</v>
      </c>
      <c r="P9" s="18">
        <f t="shared" ref="P9:P23" si="6">O9*K9*M9</f>
        <v>102111.68999999999</v>
      </c>
      <c r="Q9" s="882">
        <f t="shared" si="0"/>
        <v>51055.844999999994</v>
      </c>
      <c r="R9" s="19">
        <v>0.25</v>
      </c>
      <c r="S9" s="18">
        <f>(P9+Q9)*25%</f>
        <v>38291.883749999994</v>
      </c>
      <c r="T9" s="7">
        <v>0.1</v>
      </c>
      <c r="U9" s="7">
        <f>(P9+Q9)*T9</f>
        <v>15316.753499999999</v>
      </c>
      <c r="V9" s="736"/>
      <c r="W9" s="18"/>
      <c r="X9" s="10">
        <f>P9+S9+U9+W9+Q9</f>
        <v>206776.17224999997</v>
      </c>
      <c r="Y9" s="2212">
        <f t="shared" si="2"/>
        <v>0.35</v>
      </c>
      <c r="Z9" s="2212">
        <f t="shared" si="2"/>
        <v>53608.637249999992</v>
      </c>
      <c r="AA9" s="1153">
        <f t="shared" si="3"/>
        <v>2481314.0669999998</v>
      </c>
      <c r="AB9" s="2217">
        <f t="shared" si="4"/>
        <v>211499.66476304125</v>
      </c>
      <c r="AC9" s="1153"/>
      <c r="AD9" s="1153"/>
      <c r="AE9" s="2213"/>
      <c r="AF9" s="2213"/>
      <c r="AG9" s="1153"/>
      <c r="AK9" s="1779"/>
      <c r="AL9" s="1780"/>
      <c r="AM9" s="1779"/>
      <c r="AN9" s="1779"/>
      <c r="AO9" s="1779"/>
      <c r="AP9" s="1781"/>
      <c r="AQ9" s="1780">
        <f>P9+U9+S9+W9</f>
        <v>155720.32724999997</v>
      </c>
      <c r="AR9" s="911"/>
      <c r="AS9" s="911"/>
      <c r="AT9" s="911"/>
      <c r="AU9" s="911"/>
      <c r="AV9" s="911"/>
      <c r="AW9" s="911"/>
      <c r="AX9" s="911"/>
      <c r="AY9" s="911"/>
      <c r="AZ9" s="911"/>
      <c r="BA9" s="911"/>
      <c r="BB9" s="911"/>
      <c r="BC9" s="911"/>
      <c r="BD9" s="911"/>
    </row>
    <row r="10" spans="1:69" s="1154" customFormat="1" ht="15" customHeight="1">
      <c r="A10" s="5">
        <v>5</v>
      </c>
      <c r="B10" s="730" t="s">
        <v>91</v>
      </c>
      <c r="C10" s="6" t="s">
        <v>783</v>
      </c>
      <c r="D10" s="5" t="s">
        <v>25</v>
      </c>
      <c r="E10" s="562" t="s">
        <v>677</v>
      </c>
      <c r="F10" s="5" t="s">
        <v>367</v>
      </c>
      <c r="G10" s="5">
        <v>1</v>
      </c>
      <c r="H10" s="20" t="s">
        <v>28</v>
      </c>
      <c r="I10" s="20" t="s">
        <v>29</v>
      </c>
      <c r="J10" s="731" t="s">
        <v>44</v>
      </c>
      <c r="K10" s="7">
        <v>17697</v>
      </c>
      <c r="L10" s="7"/>
      <c r="M10" s="10">
        <v>1</v>
      </c>
      <c r="N10" s="7"/>
      <c r="O10" s="1022" t="s">
        <v>771</v>
      </c>
      <c r="P10" s="18">
        <f>O10*K10*M10</f>
        <v>98926.23</v>
      </c>
      <c r="Q10" s="882">
        <f t="shared" si="0"/>
        <v>49463.114999999998</v>
      </c>
      <c r="R10" s="7"/>
      <c r="S10" s="8"/>
      <c r="T10" s="7">
        <v>0.1</v>
      </c>
      <c r="U10" s="7">
        <f t="shared" si="1"/>
        <v>14838.934500000001</v>
      </c>
      <c r="V10" s="7"/>
      <c r="W10" s="9"/>
      <c r="X10" s="10">
        <f t="shared" si="5"/>
        <v>163228.2795</v>
      </c>
      <c r="Y10" s="2212">
        <f t="shared" si="2"/>
        <v>0.1</v>
      </c>
      <c r="Z10" s="2212">
        <f t="shared" si="2"/>
        <v>14838.934500000001</v>
      </c>
      <c r="AA10" s="1153">
        <f t="shared" si="3"/>
        <v>1958739.3540000001</v>
      </c>
      <c r="AB10" s="2217">
        <f t="shared" si="4"/>
        <v>166956.98550971702</v>
      </c>
      <c r="AC10" s="1153"/>
      <c r="AD10" s="1153"/>
      <c r="AE10" s="1153"/>
      <c r="AF10" s="1153"/>
      <c r="AG10" s="1153"/>
      <c r="AH10" s="1153"/>
      <c r="AI10" s="1153"/>
      <c r="AJ10" s="1153"/>
      <c r="AK10" s="23"/>
      <c r="AL10" s="23"/>
      <c r="AM10" s="23"/>
      <c r="AN10" s="23"/>
      <c r="AO10" s="23"/>
      <c r="AP10" s="23"/>
      <c r="AQ10" s="23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</row>
    <row r="11" spans="1:69" s="1154" customFormat="1" ht="15" customHeight="1">
      <c r="A11" s="5">
        <v>6</v>
      </c>
      <c r="B11" s="730" t="s">
        <v>45</v>
      </c>
      <c r="C11" s="6" t="s">
        <v>46</v>
      </c>
      <c r="D11" s="5" t="s">
        <v>25</v>
      </c>
      <c r="E11" s="582" t="s">
        <v>727</v>
      </c>
      <c r="F11" s="582" t="s">
        <v>34</v>
      </c>
      <c r="G11" s="560">
        <v>1</v>
      </c>
      <c r="H11" s="5" t="s">
        <v>28</v>
      </c>
      <c r="I11" s="5" t="s">
        <v>29</v>
      </c>
      <c r="J11" s="731" t="s">
        <v>44</v>
      </c>
      <c r="K11" s="7">
        <v>17697</v>
      </c>
      <c r="L11" s="7"/>
      <c r="M11" s="10">
        <v>1</v>
      </c>
      <c r="N11" s="7"/>
      <c r="O11" s="10">
        <v>5.91</v>
      </c>
      <c r="P11" s="18">
        <f t="shared" si="6"/>
        <v>104589.27</v>
      </c>
      <c r="Q11" s="882">
        <f t="shared" si="0"/>
        <v>52294.635000000002</v>
      </c>
      <c r="R11" s="19"/>
      <c r="S11" s="7"/>
      <c r="T11" s="7">
        <v>0.1</v>
      </c>
      <c r="U11" s="7">
        <f t="shared" si="1"/>
        <v>15688.390500000001</v>
      </c>
      <c r="V11" s="9"/>
      <c r="W11" s="7"/>
      <c r="X11" s="10">
        <f t="shared" si="5"/>
        <v>172572.29550000001</v>
      </c>
      <c r="Y11" s="2212">
        <f t="shared" si="2"/>
        <v>0.1</v>
      </c>
      <c r="Z11" s="2212">
        <f t="shared" si="2"/>
        <v>15688.390500000001</v>
      </c>
      <c r="AA11" s="1153">
        <f t="shared" si="3"/>
        <v>2070867.5460000001</v>
      </c>
      <c r="AB11" s="2217">
        <f t="shared" si="4"/>
        <v>176514.45158540746</v>
      </c>
      <c r="AK11" s="23"/>
      <c r="AL11" s="23"/>
      <c r="AM11" s="23"/>
      <c r="AN11" s="23"/>
      <c r="AO11" s="23"/>
      <c r="AP11" s="23"/>
      <c r="AQ11" s="23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</row>
    <row r="12" spans="1:69" s="1154" customFormat="1" ht="15" customHeight="1">
      <c r="A12" s="5">
        <v>7</v>
      </c>
      <c r="B12" s="730" t="s">
        <v>48</v>
      </c>
      <c r="C12" s="6" t="s">
        <v>49</v>
      </c>
      <c r="D12" s="5" t="s">
        <v>25</v>
      </c>
      <c r="E12" s="57" t="s">
        <v>777</v>
      </c>
      <c r="F12" s="5" t="s">
        <v>51</v>
      </c>
      <c r="G12" s="5">
        <v>1</v>
      </c>
      <c r="H12" s="20" t="s">
        <v>28</v>
      </c>
      <c r="I12" s="20" t="s">
        <v>35</v>
      </c>
      <c r="J12" s="731" t="s">
        <v>30</v>
      </c>
      <c r="K12" s="7">
        <v>17697</v>
      </c>
      <c r="L12" s="7"/>
      <c r="M12" s="10">
        <v>1</v>
      </c>
      <c r="N12" s="7"/>
      <c r="O12" s="1022" t="s">
        <v>370</v>
      </c>
      <c r="P12" s="18">
        <f t="shared" si="6"/>
        <v>99280.170000000013</v>
      </c>
      <c r="Q12" s="882"/>
      <c r="R12" s="7"/>
      <c r="S12" s="8"/>
      <c r="T12" s="7">
        <v>0.1</v>
      </c>
      <c r="U12" s="7">
        <f t="shared" si="1"/>
        <v>9928.0170000000016</v>
      </c>
      <c r="V12" s="7"/>
      <c r="W12" s="9"/>
      <c r="X12" s="10">
        <f t="shared" si="5"/>
        <v>109208.18700000002</v>
      </c>
      <c r="Y12" s="2212">
        <f t="shared" si="2"/>
        <v>0.1</v>
      </c>
      <c r="Z12" s="2212">
        <f t="shared" si="2"/>
        <v>9928.0170000000016</v>
      </c>
      <c r="AA12" s="1153">
        <f t="shared" si="3"/>
        <v>1310498.2440000002</v>
      </c>
      <c r="AB12" s="2217">
        <f t="shared" si="4"/>
        <v>111702.88475963179</v>
      </c>
      <c r="AC12" s="1153"/>
      <c r="AD12" s="1153"/>
      <c r="AE12" s="1153"/>
      <c r="AF12" s="1153"/>
      <c r="AG12" s="1153"/>
      <c r="AH12" s="1153"/>
      <c r="AI12" s="1153"/>
      <c r="AJ12" s="1153"/>
      <c r="AK12" s="23"/>
      <c r="AL12" s="23"/>
      <c r="AM12" s="23"/>
      <c r="AN12" s="23"/>
      <c r="AO12" s="23"/>
      <c r="AP12" s="23"/>
      <c r="AQ12" s="23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</row>
    <row r="13" spans="1:69" s="1265" customFormat="1" ht="15" customHeight="1">
      <c r="A13" s="5">
        <v>8</v>
      </c>
      <c r="B13" s="26" t="s">
        <v>52</v>
      </c>
      <c r="C13" s="6" t="s">
        <v>53</v>
      </c>
      <c r="D13" s="5" t="s">
        <v>25</v>
      </c>
      <c r="E13" s="57" t="s">
        <v>775</v>
      </c>
      <c r="F13" s="5" t="s">
        <v>73</v>
      </c>
      <c r="G13" s="5">
        <v>1</v>
      </c>
      <c r="H13" s="20" t="s">
        <v>56</v>
      </c>
      <c r="I13" s="20" t="s">
        <v>56</v>
      </c>
      <c r="J13" s="731" t="s">
        <v>57</v>
      </c>
      <c r="K13" s="7">
        <v>17697</v>
      </c>
      <c r="L13" s="7"/>
      <c r="M13" s="10">
        <v>1</v>
      </c>
      <c r="N13" s="7"/>
      <c r="O13" s="1022" t="s">
        <v>639</v>
      </c>
      <c r="P13" s="18">
        <f t="shared" si="6"/>
        <v>78397.709999999992</v>
      </c>
      <c r="Q13" s="882"/>
      <c r="R13" s="7"/>
      <c r="S13" s="8"/>
      <c r="T13" s="7">
        <v>0.1</v>
      </c>
      <c r="U13" s="7">
        <f t="shared" si="1"/>
        <v>7839.7709999999997</v>
      </c>
      <c r="V13" s="7"/>
      <c r="W13" s="9"/>
      <c r="X13" s="10">
        <f t="shared" si="5"/>
        <v>86237.480999999985</v>
      </c>
      <c r="Y13" s="1268">
        <f t="shared" si="2"/>
        <v>0.1</v>
      </c>
      <c r="Z13" s="1268">
        <f t="shared" si="2"/>
        <v>7839.7709999999997</v>
      </c>
      <c r="AA13" s="1264">
        <f t="shared" si="3"/>
        <v>1034849.7719999999</v>
      </c>
      <c r="AB13" s="1382">
        <f t="shared" si="4"/>
        <v>88207.447323559478</v>
      </c>
      <c r="AC13" s="1264"/>
      <c r="AD13" s="1264"/>
      <c r="AE13" s="1264"/>
      <c r="AF13" s="1264"/>
      <c r="AG13" s="1264"/>
      <c r="AH13" s="1264"/>
      <c r="AI13" s="1264"/>
      <c r="AJ13" s="1264"/>
      <c r="AK13" s="23"/>
      <c r="AL13" s="23"/>
      <c r="AM13" s="23"/>
      <c r="AN13" s="23"/>
      <c r="AO13" s="23"/>
      <c r="AP13" s="23"/>
      <c r="AQ13" s="23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</row>
    <row r="14" spans="1:69" s="1265" customFormat="1" ht="15" customHeight="1">
      <c r="A14" s="5">
        <v>9</v>
      </c>
      <c r="B14" s="26" t="s">
        <v>399</v>
      </c>
      <c r="C14" s="6" t="s">
        <v>621</v>
      </c>
      <c r="D14" s="5" t="s">
        <v>25</v>
      </c>
      <c r="E14" s="48" t="s">
        <v>776</v>
      </c>
      <c r="F14" s="5" t="s">
        <v>77</v>
      </c>
      <c r="G14" s="40">
        <v>1</v>
      </c>
      <c r="H14" s="5" t="s">
        <v>61</v>
      </c>
      <c r="I14" s="5" t="s">
        <v>61</v>
      </c>
      <c r="J14" s="27">
        <v>1</v>
      </c>
      <c r="K14" s="7">
        <v>17697</v>
      </c>
      <c r="L14" s="7"/>
      <c r="M14" s="10">
        <v>1</v>
      </c>
      <c r="N14" s="732"/>
      <c r="O14" s="1022" t="s">
        <v>402</v>
      </c>
      <c r="P14" s="18">
        <f t="shared" si="6"/>
        <v>53798.879999999997</v>
      </c>
      <c r="Q14" s="882"/>
      <c r="R14" s="7"/>
      <c r="S14" s="8"/>
      <c r="T14" s="7">
        <v>0.1</v>
      </c>
      <c r="U14" s="7">
        <f t="shared" si="1"/>
        <v>5379.8879999999999</v>
      </c>
      <c r="V14" s="7"/>
      <c r="W14" s="9"/>
      <c r="X14" s="10">
        <f t="shared" si="5"/>
        <v>59178.767999999996</v>
      </c>
      <c r="Y14" s="1268">
        <f t="shared" si="2"/>
        <v>0.1</v>
      </c>
      <c r="Z14" s="1268">
        <f t="shared" si="2"/>
        <v>5379.8879999999999</v>
      </c>
      <c r="AA14" s="1264">
        <f t="shared" si="3"/>
        <v>710145.21600000001</v>
      </c>
      <c r="AB14" s="1382">
        <f t="shared" si="4"/>
        <v>60530.618479372664</v>
      </c>
      <c r="AC14" s="1264"/>
      <c r="AD14" s="1264"/>
      <c r="AE14" s="1264"/>
      <c r="AF14" s="1264"/>
      <c r="AG14" s="1264"/>
      <c r="AH14" s="1264"/>
      <c r="AI14" s="1264"/>
      <c r="AJ14" s="1264"/>
      <c r="AK14" s="23"/>
      <c r="AL14" s="23"/>
      <c r="AM14" s="23"/>
      <c r="AN14" s="23"/>
      <c r="AO14" s="23"/>
      <c r="AP14" s="23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</row>
    <row r="15" spans="1:69" s="1265" customFormat="1" ht="15" customHeight="1">
      <c r="A15" s="5">
        <v>10</v>
      </c>
      <c r="B15" s="702" t="s">
        <v>767</v>
      </c>
      <c r="C15" s="1630" t="s">
        <v>768</v>
      </c>
      <c r="D15" s="894" t="s">
        <v>25</v>
      </c>
      <c r="E15" s="1631" t="s">
        <v>769</v>
      </c>
      <c r="F15" s="5" t="s">
        <v>77</v>
      </c>
      <c r="G15" s="1632">
        <v>1</v>
      </c>
      <c r="H15" s="40" t="s">
        <v>56</v>
      </c>
      <c r="I15" s="40" t="s">
        <v>56</v>
      </c>
      <c r="J15" s="41" t="s">
        <v>57</v>
      </c>
      <c r="K15" s="7">
        <v>17697</v>
      </c>
      <c r="L15" s="882"/>
      <c r="M15" s="1547">
        <v>1</v>
      </c>
      <c r="N15" s="1633"/>
      <c r="O15" s="1634" t="s">
        <v>770</v>
      </c>
      <c r="P15" s="883">
        <f t="shared" si="6"/>
        <v>74858.310000000012</v>
      </c>
      <c r="Q15" s="882"/>
      <c r="R15" s="882"/>
      <c r="S15" s="1635"/>
      <c r="T15" s="7">
        <v>0.1</v>
      </c>
      <c r="U15" s="7">
        <f t="shared" si="1"/>
        <v>7485.8310000000019</v>
      </c>
      <c r="V15" s="882"/>
      <c r="W15" s="881"/>
      <c r="X15" s="10">
        <f t="shared" si="5"/>
        <v>82344.141000000018</v>
      </c>
      <c r="Y15" s="1269"/>
      <c r="Z15" s="1269"/>
      <c r="AA15" s="1264"/>
      <c r="AB15" s="1382"/>
      <c r="AC15" s="1264"/>
      <c r="AD15" s="1264"/>
      <c r="AE15" s="1264"/>
      <c r="AF15" s="1264"/>
      <c r="AG15" s="1264"/>
      <c r="AH15" s="1264"/>
      <c r="AI15" s="1264"/>
      <c r="AJ15" s="1264"/>
      <c r="AK15" s="23"/>
      <c r="AL15" s="23"/>
      <c r="AM15" s="23"/>
      <c r="AN15" s="23"/>
      <c r="AO15" s="23"/>
      <c r="AP15" s="23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</row>
    <row r="16" spans="1:69" s="1265" customFormat="1" ht="15" customHeight="1">
      <c r="A16" s="5">
        <v>11</v>
      </c>
      <c r="B16" s="26" t="s">
        <v>62</v>
      </c>
      <c r="C16" s="13" t="s">
        <v>63</v>
      </c>
      <c r="D16" s="5" t="s">
        <v>64</v>
      </c>
      <c r="E16" s="57" t="s">
        <v>730</v>
      </c>
      <c r="F16" s="5" t="s">
        <v>367</v>
      </c>
      <c r="G16" s="5">
        <v>1</v>
      </c>
      <c r="H16" s="20" t="s">
        <v>56</v>
      </c>
      <c r="I16" s="20" t="s">
        <v>56</v>
      </c>
      <c r="J16" s="27">
        <v>3</v>
      </c>
      <c r="K16" s="7">
        <v>17697</v>
      </c>
      <c r="L16" s="7"/>
      <c r="M16" s="10">
        <v>1</v>
      </c>
      <c r="N16" s="7"/>
      <c r="O16" s="10">
        <v>3.61</v>
      </c>
      <c r="P16" s="18">
        <f t="shared" si="6"/>
        <v>63886.17</v>
      </c>
      <c r="Q16" s="882"/>
      <c r="R16" s="7"/>
      <c r="S16" s="8"/>
      <c r="T16" s="7">
        <v>0.1</v>
      </c>
      <c r="U16" s="7">
        <f t="shared" si="1"/>
        <v>6388.6170000000002</v>
      </c>
      <c r="V16" s="7"/>
      <c r="W16" s="9"/>
      <c r="X16" s="10">
        <f t="shared" si="5"/>
        <v>70274.786999999997</v>
      </c>
      <c r="Y16" s="1268">
        <f t="shared" si="2"/>
        <v>0.1</v>
      </c>
      <c r="Z16" s="1268">
        <f t="shared" si="2"/>
        <v>6388.6170000000002</v>
      </c>
      <c r="AA16" s="1264">
        <f t="shared" si="3"/>
        <v>843297.4439999999</v>
      </c>
      <c r="AB16" s="1382">
        <f t="shared" si="4"/>
        <v>71880.109444255024</v>
      </c>
      <c r="AC16" s="1264"/>
      <c r="AD16" s="1264"/>
      <c r="AE16" s="1264"/>
      <c r="AF16" s="1264"/>
      <c r="AG16" s="1264"/>
      <c r="AH16" s="1264"/>
      <c r="AI16" s="1264"/>
      <c r="AJ16" s="1264"/>
      <c r="AK16" s="23"/>
      <c r="AL16" s="23"/>
      <c r="AM16" s="23"/>
      <c r="AN16" s="23"/>
      <c r="AO16" s="23"/>
      <c r="AP16" s="23"/>
      <c r="AQ16" s="23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</row>
    <row r="17" spans="1:69" s="1265" customFormat="1" ht="15" customHeight="1">
      <c r="A17" s="5">
        <v>12</v>
      </c>
      <c r="B17" s="26" t="s">
        <v>400</v>
      </c>
      <c r="C17" s="13" t="s">
        <v>63</v>
      </c>
      <c r="D17" s="5" t="s">
        <v>64</v>
      </c>
      <c r="E17" s="1636" t="s">
        <v>121</v>
      </c>
      <c r="F17" s="5" t="s">
        <v>122</v>
      </c>
      <c r="G17" s="5">
        <v>1.5</v>
      </c>
      <c r="H17" s="20" t="s">
        <v>69</v>
      </c>
      <c r="I17" s="20" t="s">
        <v>69</v>
      </c>
      <c r="J17" s="737" t="s">
        <v>30</v>
      </c>
      <c r="K17" s="7">
        <v>17697</v>
      </c>
      <c r="L17" s="7"/>
      <c r="M17" s="10">
        <v>1.5</v>
      </c>
      <c r="N17" s="7"/>
      <c r="O17" s="1626">
        <v>3.35</v>
      </c>
      <c r="P17" s="18">
        <f>O17*K17*M17</f>
        <v>88927.425000000003</v>
      </c>
      <c r="Q17" s="882"/>
      <c r="R17" s="8"/>
      <c r="S17" s="7"/>
      <c r="T17" s="7">
        <v>0.1</v>
      </c>
      <c r="U17" s="7">
        <f t="shared" si="1"/>
        <v>8892.7425000000003</v>
      </c>
      <c r="V17" s="9"/>
      <c r="W17" s="7"/>
      <c r="X17" s="10">
        <f t="shared" si="5"/>
        <v>97820.16750000001</v>
      </c>
      <c r="Y17" s="1268">
        <f t="shared" si="2"/>
        <v>0.1</v>
      </c>
      <c r="Z17" s="1268">
        <f t="shared" si="2"/>
        <v>8892.7425000000003</v>
      </c>
      <c r="AA17" s="1264">
        <f t="shared" si="3"/>
        <v>1173842.0100000002</v>
      </c>
      <c r="AB17" s="1382">
        <f t="shared" si="4"/>
        <v>100054.72297988411</v>
      </c>
      <c r="AK17" s="23"/>
      <c r="AL17" s="23"/>
      <c r="AM17" s="23"/>
      <c r="AN17" s="23"/>
      <c r="AO17" s="23"/>
      <c r="AP17" s="23"/>
      <c r="AQ17" s="23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</row>
    <row r="18" spans="1:69" s="1396" customFormat="1" ht="15.75" customHeight="1">
      <c r="A18" s="5">
        <v>13</v>
      </c>
      <c r="B18" s="13" t="s">
        <v>378</v>
      </c>
      <c r="C18" s="13" t="s">
        <v>63</v>
      </c>
      <c r="D18" s="5" t="s">
        <v>64</v>
      </c>
      <c r="E18" s="536" t="s">
        <v>780</v>
      </c>
      <c r="F18" s="5" t="s">
        <v>159</v>
      </c>
      <c r="G18" s="5">
        <v>0.5</v>
      </c>
      <c r="H18" s="15" t="s">
        <v>56</v>
      </c>
      <c r="I18" s="15" t="s">
        <v>56</v>
      </c>
      <c r="J18" s="14">
        <v>3</v>
      </c>
      <c r="K18" s="15">
        <v>17697</v>
      </c>
      <c r="L18" s="15"/>
      <c r="M18" s="10">
        <v>0.5</v>
      </c>
      <c r="N18" s="21"/>
      <c r="O18" s="10">
        <v>3.31</v>
      </c>
      <c r="P18" s="18">
        <f t="shared" si="6"/>
        <v>29288.535</v>
      </c>
      <c r="Q18" s="882"/>
      <c r="R18" s="8"/>
      <c r="S18" s="7"/>
      <c r="T18" s="7">
        <v>0.1</v>
      </c>
      <c r="U18" s="7">
        <f t="shared" si="1"/>
        <v>2928.8535000000002</v>
      </c>
      <c r="V18" s="9"/>
      <c r="W18" s="7"/>
      <c r="X18" s="10">
        <f t="shared" si="5"/>
        <v>32217.388500000001</v>
      </c>
      <c r="Y18" s="1268">
        <f t="shared" si="2"/>
        <v>0.1</v>
      </c>
      <c r="Z18" s="1268">
        <f t="shared" si="2"/>
        <v>2928.8535000000002</v>
      </c>
      <c r="AA18" s="1264">
        <f t="shared" si="3"/>
        <v>386608.66200000001</v>
      </c>
      <c r="AB18" s="1382">
        <f t="shared" si="4"/>
        <v>32953.346573474264</v>
      </c>
      <c r="AK18" s="1784"/>
      <c r="AL18" s="1778"/>
      <c r="AM18" s="1778"/>
      <c r="AN18" s="1778"/>
      <c r="AO18" s="1778"/>
      <c r="AP18" s="1778"/>
      <c r="AQ18" s="1778"/>
      <c r="AR18" s="908"/>
      <c r="AS18" s="908"/>
      <c r="AT18" s="908"/>
      <c r="AU18" s="908"/>
      <c r="AV18" s="908"/>
      <c r="AW18" s="908"/>
      <c r="AX18" s="908"/>
      <c r="AY18" s="908"/>
      <c r="AZ18" s="908"/>
      <c r="BA18" s="908"/>
      <c r="BB18" s="908"/>
      <c r="BC18" s="908"/>
      <c r="BD18" s="908"/>
      <c r="BE18" s="908"/>
      <c r="BF18" s="908"/>
      <c r="BG18" s="908"/>
      <c r="BH18" s="908"/>
      <c r="BI18" s="908"/>
      <c r="BJ18" s="908"/>
      <c r="BK18" s="908"/>
      <c r="BL18" s="908"/>
      <c r="BM18" s="908"/>
      <c r="BN18" s="908"/>
      <c r="BO18" s="908"/>
      <c r="BP18" s="908"/>
      <c r="BQ18" s="908"/>
    </row>
    <row r="19" spans="1:69" s="1396" customFormat="1" ht="15.75" customHeight="1">
      <c r="A19" s="5">
        <v>14</v>
      </c>
      <c r="B19" s="13" t="s">
        <v>378</v>
      </c>
      <c r="C19" s="13" t="s">
        <v>71</v>
      </c>
      <c r="D19" s="5" t="s">
        <v>25</v>
      </c>
      <c r="E19" s="536" t="s">
        <v>731</v>
      </c>
      <c r="F19" s="5" t="s">
        <v>239</v>
      </c>
      <c r="G19" s="5">
        <v>0.5</v>
      </c>
      <c r="H19" s="738" t="s">
        <v>56</v>
      </c>
      <c r="I19" s="738" t="s">
        <v>56</v>
      </c>
      <c r="J19" s="738">
        <v>2</v>
      </c>
      <c r="K19" s="15">
        <v>17697</v>
      </c>
      <c r="L19" s="15"/>
      <c r="M19" s="10">
        <v>0.5</v>
      </c>
      <c r="N19" s="21"/>
      <c r="O19" s="10">
        <v>4.2699999999999996</v>
      </c>
      <c r="P19" s="18">
        <f>O19*K19*M19</f>
        <v>37783.094999999994</v>
      </c>
      <c r="Q19" s="894"/>
      <c r="R19" s="8"/>
      <c r="S19" s="7"/>
      <c r="T19" s="7">
        <v>0.1</v>
      </c>
      <c r="U19" s="7">
        <f t="shared" si="1"/>
        <v>3778.3094999999994</v>
      </c>
      <c r="V19" s="9">
        <v>0.2</v>
      </c>
      <c r="W19" s="7">
        <f>V19*K19*50%</f>
        <v>1769.7</v>
      </c>
      <c r="X19" s="10">
        <f>P19+S19+U19+W19+Q19</f>
        <v>43331.104499999987</v>
      </c>
      <c r="Y19" s="1268">
        <f>R19+T19+V19+X19</f>
        <v>43331.40449999999</v>
      </c>
      <c r="Z19" s="1268">
        <f>S19+U19+W19+Y19</f>
        <v>48879.41399999999</v>
      </c>
      <c r="AA19" s="1264">
        <f t="shared" si="3"/>
        <v>519973.25399999984</v>
      </c>
      <c r="AB19" s="1382">
        <f t="shared" si="4"/>
        <v>44320.938799863608</v>
      </c>
      <c r="AK19" s="1784"/>
      <c r="AL19" s="1778"/>
      <c r="AM19" s="1778"/>
      <c r="AN19" s="1778"/>
      <c r="AO19" s="1778"/>
      <c r="AP19" s="1778"/>
      <c r="AQ19" s="1778"/>
      <c r="AR19" s="908"/>
      <c r="AS19" s="908"/>
      <c r="AT19" s="908"/>
      <c r="AU19" s="908"/>
      <c r="AV19" s="908"/>
      <c r="AW19" s="908"/>
      <c r="AX19" s="908"/>
      <c r="AY19" s="908"/>
      <c r="AZ19" s="908"/>
      <c r="BA19" s="908"/>
      <c r="BB19" s="908"/>
      <c r="BC19" s="908"/>
      <c r="BD19" s="908"/>
      <c r="BE19" s="908"/>
      <c r="BF19" s="908"/>
      <c r="BG19" s="908"/>
      <c r="BH19" s="908"/>
      <c r="BI19" s="908"/>
      <c r="BJ19" s="908"/>
      <c r="BK19" s="908"/>
      <c r="BL19" s="908"/>
      <c r="BM19" s="908"/>
      <c r="BN19" s="908"/>
      <c r="BO19" s="908"/>
      <c r="BP19" s="908"/>
      <c r="BQ19" s="908"/>
    </row>
    <row r="20" spans="1:69" s="1396" customFormat="1" ht="15.75" customHeight="1">
      <c r="A20" s="5">
        <v>15</v>
      </c>
      <c r="B20" s="13" t="s">
        <v>378</v>
      </c>
      <c r="C20" s="13" t="s">
        <v>71</v>
      </c>
      <c r="D20" s="5" t="s">
        <v>75</v>
      </c>
      <c r="E20" s="536" t="s">
        <v>787</v>
      </c>
      <c r="F20" s="5" t="s">
        <v>159</v>
      </c>
      <c r="G20" s="5">
        <v>0.5</v>
      </c>
      <c r="H20" s="15" t="s">
        <v>56</v>
      </c>
      <c r="I20" s="15" t="s">
        <v>56</v>
      </c>
      <c r="J20" s="14">
        <v>2</v>
      </c>
      <c r="K20" s="15">
        <v>17697</v>
      </c>
      <c r="L20" s="15"/>
      <c r="M20" s="10">
        <v>0.5</v>
      </c>
      <c r="N20" s="21"/>
      <c r="O20" s="10">
        <v>4.0999999999999996</v>
      </c>
      <c r="P20" s="18">
        <f>O20*K20*M20</f>
        <v>36278.85</v>
      </c>
      <c r="Q20" s="894"/>
      <c r="R20" s="8"/>
      <c r="S20" s="7"/>
      <c r="T20" s="7">
        <v>0.1</v>
      </c>
      <c r="U20" s="7">
        <f t="shared" si="1"/>
        <v>3627.8850000000002</v>
      </c>
      <c r="V20" s="9">
        <v>0.2</v>
      </c>
      <c r="W20" s="7">
        <f>V20*K20*50%</f>
        <v>1769.7</v>
      </c>
      <c r="X20" s="10">
        <f>P20+S20+U20+W20+Q20</f>
        <v>41676.434999999998</v>
      </c>
      <c r="Y20" s="1268">
        <f>R20+T20+V20+X20</f>
        <v>41676.735000000001</v>
      </c>
      <c r="Z20" s="1268">
        <f>S20+U20+W20+Y20</f>
        <v>47074.32</v>
      </c>
      <c r="AA20" s="1264">
        <f t="shared" si="3"/>
        <v>500117.22</v>
      </c>
      <c r="AB20" s="1382">
        <f t="shared" si="4"/>
        <v>42628.470848960111</v>
      </c>
      <c r="AK20" s="1778"/>
      <c r="AL20" s="1778"/>
      <c r="AM20" s="1778"/>
      <c r="AN20" s="1778"/>
      <c r="AO20" s="1778"/>
      <c r="AP20" s="1778"/>
      <c r="AQ20" s="1778"/>
      <c r="AR20" s="908"/>
      <c r="AS20" s="908"/>
      <c r="AT20" s="908"/>
      <c r="AU20" s="908"/>
      <c r="AV20" s="908"/>
      <c r="AW20" s="908"/>
      <c r="AX20" s="908"/>
      <c r="AY20" s="908"/>
      <c r="AZ20" s="908"/>
      <c r="BA20" s="908"/>
      <c r="BB20" s="908"/>
      <c r="BC20" s="908"/>
      <c r="BD20" s="908"/>
      <c r="BE20" s="908"/>
      <c r="BF20" s="908"/>
      <c r="BG20" s="908"/>
      <c r="BH20" s="908"/>
      <c r="BI20" s="908"/>
      <c r="BJ20" s="908"/>
      <c r="BK20" s="908"/>
      <c r="BL20" s="908"/>
      <c r="BM20" s="908"/>
      <c r="BN20" s="908"/>
      <c r="BO20" s="908"/>
      <c r="BP20" s="908"/>
      <c r="BQ20" s="908"/>
    </row>
    <row r="21" spans="1:69" s="1265" customFormat="1" ht="15" customHeight="1">
      <c r="A21" s="5">
        <v>16</v>
      </c>
      <c r="B21" s="26" t="s">
        <v>619</v>
      </c>
      <c r="C21" s="6" t="s">
        <v>622</v>
      </c>
      <c r="D21" s="5" t="s">
        <v>75</v>
      </c>
      <c r="E21" s="57" t="s">
        <v>778</v>
      </c>
      <c r="F21" s="5" t="s">
        <v>779</v>
      </c>
      <c r="G21" s="5">
        <v>1</v>
      </c>
      <c r="H21" s="5" t="s">
        <v>56</v>
      </c>
      <c r="I21" s="5" t="s">
        <v>56</v>
      </c>
      <c r="J21" s="27">
        <v>3</v>
      </c>
      <c r="K21" s="7">
        <v>17697</v>
      </c>
      <c r="L21" s="7"/>
      <c r="M21" s="10">
        <v>0.5</v>
      </c>
      <c r="N21" s="739"/>
      <c r="O21" s="10">
        <v>3.57</v>
      </c>
      <c r="P21" s="18">
        <f t="shared" si="6"/>
        <v>31589.144999999997</v>
      </c>
      <c r="Q21" s="894"/>
      <c r="R21" s="7"/>
      <c r="S21" s="8"/>
      <c r="T21" s="7">
        <v>0.1</v>
      </c>
      <c r="U21" s="7">
        <f t="shared" si="1"/>
        <v>3158.9144999999999</v>
      </c>
      <c r="V21" s="7"/>
      <c r="W21" s="9"/>
      <c r="X21" s="10">
        <f t="shared" si="5"/>
        <v>34748.059499999996</v>
      </c>
      <c r="Y21" s="1268">
        <f t="shared" si="2"/>
        <v>0.1</v>
      </c>
      <c r="Z21" s="1268">
        <f t="shared" si="2"/>
        <v>3158.9144999999999</v>
      </c>
      <c r="AA21" s="1264">
        <f t="shared" si="3"/>
        <v>416976.71399999992</v>
      </c>
      <c r="AB21" s="1382">
        <f t="shared" si="4"/>
        <v>35541.82696897375</v>
      </c>
      <c r="AC21" s="1264"/>
      <c r="AD21" s="1264"/>
      <c r="AE21" s="1264"/>
      <c r="AF21" s="1264"/>
      <c r="AG21" s="1264"/>
      <c r="AH21" s="1264"/>
      <c r="AI21" s="1264"/>
      <c r="AJ21" s="1264"/>
      <c r="AK21" s="23"/>
      <c r="AL21" s="23"/>
      <c r="AM21" s="23"/>
      <c r="AN21" s="23"/>
      <c r="AO21" s="23"/>
      <c r="AP21" s="23"/>
      <c r="AQ21" s="23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s="915" customFormat="1" ht="15.75" customHeight="1">
      <c r="A22" s="5">
        <v>17</v>
      </c>
      <c r="B22" s="29" t="s">
        <v>81</v>
      </c>
      <c r="C22" s="6" t="s">
        <v>82</v>
      </c>
      <c r="D22" s="30" t="s">
        <v>64</v>
      </c>
      <c r="E22" s="57" t="s">
        <v>773</v>
      </c>
      <c r="F22" s="30" t="s">
        <v>84</v>
      </c>
      <c r="G22" s="21">
        <v>1</v>
      </c>
      <c r="H22" s="20" t="s">
        <v>56</v>
      </c>
      <c r="I22" s="5" t="s">
        <v>56</v>
      </c>
      <c r="J22" s="20">
        <v>3</v>
      </c>
      <c r="K22" s="7">
        <v>17697</v>
      </c>
      <c r="L22" s="7"/>
      <c r="M22" s="10">
        <v>1</v>
      </c>
      <c r="N22" s="7"/>
      <c r="O22" s="10">
        <v>3.5</v>
      </c>
      <c r="P22" s="18">
        <f t="shared" si="6"/>
        <v>61939.5</v>
      </c>
      <c r="Q22" s="894"/>
      <c r="R22" s="7"/>
      <c r="S22" s="8"/>
      <c r="T22" s="7">
        <v>0.1</v>
      </c>
      <c r="U22" s="7">
        <f t="shared" si="1"/>
        <v>6193.9500000000007</v>
      </c>
      <c r="V22" s="7"/>
      <c r="W22" s="9"/>
      <c r="X22" s="10">
        <f t="shared" si="5"/>
        <v>68133.45</v>
      </c>
      <c r="Y22" s="10">
        <f t="shared" si="2"/>
        <v>0.1</v>
      </c>
      <c r="Z22" s="10">
        <f t="shared" si="2"/>
        <v>6193.9500000000007</v>
      </c>
      <c r="AA22" s="23">
        <f t="shared" si="3"/>
        <v>817601.39999999991</v>
      </c>
      <c r="AB22" s="1943">
        <f t="shared" si="4"/>
        <v>69689.856801909307</v>
      </c>
      <c r="AC22" s="914"/>
      <c r="AD22" s="914"/>
      <c r="AE22" s="914"/>
      <c r="AF22" s="914"/>
      <c r="AG22" s="914"/>
      <c r="AH22" s="914"/>
      <c r="AI22" s="914"/>
      <c r="AJ22" s="914"/>
      <c r="AK22" s="1787"/>
      <c r="AL22" s="914"/>
      <c r="AM22" s="914"/>
      <c r="AN22" s="914"/>
      <c r="AO22" s="914"/>
      <c r="AP22" s="914"/>
      <c r="AQ22" s="914"/>
    </row>
    <row r="23" spans="1:69" s="24" customFormat="1" ht="18" customHeight="1">
      <c r="A23" s="5">
        <v>18</v>
      </c>
      <c r="B23" s="26" t="s">
        <v>85</v>
      </c>
      <c r="C23" s="6" t="s">
        <v>86</v>
      </c>
      <c r="D23" s="5" t="s">
        <v>25</v>
      </c>
      <c r="E23" s="45" t="s">
        <v>941</v>
      </c>
      <c r="F23" s="5" t="s">
        <v>249</v>
      </c>
      <c r="G23" s="5">
        <v>1</v>
      </c>
      <c r="H23" s="5" t="s">
        <v>56</v>
      </c>
      <c r="I23" s="5" t="s">
        <v>56</v>
      </c>
      <c r="J23" s="731" t="s">
        <v>57</v>
      </c>
      <c r="K23" s="7">
        <v>17697</v>
      </c>
      <c r="L23" s="7"/>
      <c r="M23" s="10">
        <v>1</v>
      </c>
      <c r="N23" s="7"/>
      <c r="O23" s="10">
        <v>4.46</v>
      </c>
      <c r="P23" s="18">
        <f t="shared" si="6"/>
        <v>78928.62</v>
      </c>
      <c r="Q23" s="894"/>
      <c r="R23" s="8"/>
      <c r="S23" s="740"/>
      <c r="T23" s="7">
        <v>0.1</v>
      </c>
      <c r="U23" s="7">
        <f t="shared" si="1"/>
        <v>7892.8620000000001</v>
      </c>
      <c r="V23" s="741"/>
      <c r="W23" s="740"/>
      <c r="X23" s="10">
        <f t="shared" si="5"/>
        <v>86821.481999999989</v>
      </c>
      <c r="Y23" s="10">
        <f t="shared" si="2"/>
        <v>0.1</v>
      </c>
      <c r="Z23" s="10">
        <f t="shared" si="2"/>
        <v>7892.8620000000001</v>
      </c>
      <c r="AA23" s="23">
        <f t="shared" si="3"/>
        <v>1041857.7839999999</v>
      </c>
      <c r="AB23" s="1943">
        <f t="shared" si="4"/>
        <v>88804.788953290132</v>
      </c>
      <c r="AK23" s="906"/>
      <c r="AL23" s="906"/>
      <c r="AM23" s="23"/>
      <c r="AN23" s="23"/>
      <c r="AO23" s="23"/>
      <c r="AP23" s="23"/>
      <c r="AQ23" s="23"/>
    </row>
    <row r="24" spans="1:69" s="24" customFormat="1" ht="17.25" customHeight="1">
      <c r="A24" s="5">
        <v>19</v>
      </c>
      <c r="B24" s="690" t="s">
        <v>732</v>
      </c>
      <c r="C24" s="6" t="s">
        <v>86</v>
      </c>
      <c r="D24" s="20" t="s">
        <v>25</v>
      </c>
      <c r="E24" s="1637" t="s">
        <v>707</v>
      </c>
      <c r="F24" s="742" t="s">
        <v>159</v>
      </c>
      <c r="G24" s="743">
        <v>1</v>
      </c>
      <c r="H24" s="5" t="s">
        <v>56</v>
      </c>
      <c r="I24" s="5" t="s">
        <v>56</v>
      </c>
      <c r="J24" s="731" t="s">
        <v>57</v>
      </c>
      <c r="K24" s="7">
        <v>17697</v>
      </c>
      <c r="L24" s="34"/>
      <c r="M24" s="35">
        <v>0.5</v>
      </c>
      <c r="N24" s="34"/>
      <c r="O24" s="35">
        <v>4.0999999999999996</v>
      </c>
      <c r="P24" s="36">
        <f>O24*K24*M24</f>
        <v>36278.85</v>
      </c>
      <c r="Q24" s="894"/>
      <c r="R24" s="37"/>
      <c r="S24" s="34"/>
      <c r="T24" s="34">
        <v>0.1</v>
      </c>
      <c r="U24" s="7">
        <f t="shared" si="1"/>
        <v>3627.8850000000002</v>
      </c>
      <c r="V24" s="38"/>
      <c r="W24" s="34"/>
      <c r="X24" s="10">
        <f t="shared" si="5"/>
        <v>39906.735000000001</v>
      </c>
      <c r="Y24" s="35">
        <f t="shared" si="2"/>
        <v>0.1</v>
      </c>
      <c r="Z24" s="35">
        <f t="shared" si="2"/>
        <v>3627.8850000000002</v>
      </c>
      <c r="AA24" s="23">
        <f t="shared" si="3"/>
        <v>478880.82</v>
      </c>
      <c r="AB24" s="1943">
        <f t="shared" si="4"/>
        <v>40818.344698261171</v>
      </c>
      <c r="AK24" s="23"/>
      <c r="AL24" s="23"/>
      <c r="AM24" s="23"/>
      <c r="AN24" s="23"/>
      <c r="AO24" s="23"/>
      <c r="AP24" s="23"/>
      <c r="AQ24" s="23"/>
    </row>
    <row r="25" spans="1:69" s="24" customFormat="1" ht="17.25" customHeight="1">
      <c r="A25" s="894">
        <v>20</v>
      </c>
      <c r="B25" s="1638" t="s">
        <v>918</v>
      </c>
      <c r="C25" s="1630" t="s">
        <v>800</v>
      </c>
      <c r="D25" s="1639" t="s">
        <v>25</v>
      </c>
      <c r="E25" s="1637" t="s">
        <v>707</v>
      </c>
      <c r="F25" s="1640" t="s">
        <v>159</v>
      </c>
      <c r="G25" s="743">
        <v>1</v>
      </c>
      <c r="H25" s="5" t="s">
        <v>56</v>
      </c>
      <c r="I25" s="5" t="s">
        <v>56</v>
      </c>
      <c r="J25" s="731" t="s">
        <v>57</v>
      </c>
      <c r="K25" s="7">
        <v>17697</v>
      </c>
      <c r="L25" s="34"/>
      <c r="M25" s="35">
        <v>0.5</v>
      </c>
      <c r="N25" s="34"/>
      <c r="O25" s="35">
        <v>4.0999999999999996</v>
      </c>
      <c r="P25" s="36">
        <f>O25*K25*M25</f>
        <v>36278.85</v>
      </c>
      <c r="Q25" s="894"/>
      <c r="R25" s="1641"/>
      <c r="S25" s="885"/>
      <c r="T25" s="34">
        <v>0.1</v>
      </c>
      <c r="U25" s="7">
        <f t="shared" si="1"/>
        <v>3627.8850000000002</v>
      </c>
      <c r="V25" s="1642"/>
      <c r="W25" s="885"/>
      <c r="X25" s="10">
        <f t="shared" si="5"/>
        <v>39906.735000000001</v>
      </c>
      <c r="Y25" s="1690"/>
      <c r="Z25" s="1690"/>
      <c r="AA25" s="23"/>
      <c r="AB25" s="1943"/>
      <c r="AK25" s="23"/>
      <c r="AL25" s="23"/>
      <c r="AM25" s="23"/>
      <c r="AN25" s="23"/>
      <c r="AO25" s="23"/>
      <c r="AP25" s="23"/>
      <c r="AQ25" s="23"/>
    </row>
    <row r="26" spans="1:69" s="24" customFormat="1" ht="17.25" customHeight="1">
      <c r="A26" s="1507"/>
      <c r="B26" s="1518" t="s">
        <v>790</v>
      </c>
      <c r="C26" s="1508"/>
      <c r="D26" s="1507"/>
      <c r="E26" s="1509"/>
      <c r="F26" s="1507"/>
      <c r="G26" s="1507"/>
      <c r="H26" s="1507"/>
      <c r="I26" s="1507"/>
      <c r="J26" s="1510"/>
      <c r="K26" s="1509"/>
      <c r="L26" s="1509"/>
      <c r="M26" s="1511"/>
      <c r="N26" s="1509"/>
      <c r="O26" s="1509"/>
      <c r="P26" s="1512"/>
      <c r="Q26" s="1513"/>
      <c r="R26" s="1514"/>
      <c r="S26" s="1509"/>
      <c r="T26" s="1509"/>
      <c r="U26" s="1512"/>
      <c r="V26" s="1515"/>
      <c r="W26" s="1509"/>
      <c r="X26" s="1511"/>
      <c r="Y26" s="104"/>
      <c r="Z26" s="104"/>
      <c r="AA26" s="81">
        <f>SUM(AA6:AA24)</f>
        <v>21968684.162999999</v>
      </c>
      <c r="AB26" s="683">
        <f>SUM(AB6:AB24)</f>
        <v>1872543.8256904196</v>
      </c>
      <c r="AC26" s="22">
        <f>SUM(X6:X24)</f>
        <v>1913067.8212499998</v>
      </c>
      <c r="AD26" s="683"/>
      <c r="AK26" s="906"/>
      <c r="AL26" s="23"/>
      <c r="AM26" s="23"/>
      <c r="AN26" s="23"/>
      <c r="AO26" s="23"/>
      <c r="AP26" s="23"/>
      <c r="AQ26" s="23"/>
    </row>
    <row r="27" spans="1:69" s="1154" customFormat="1" ht="15.75">
      <c r="A27" s="547">
        <v>1</v>
      </c>
      <c r="B27" s="548" t="s">
        <v>98</v>
      </c>
      <c r="C27" s="561" t="s">
        <v>99</v>
      </c>
      <c r="D27" s="547" t="s">
        <v>25</v>
      </c>
      <c r="E27" s="550" t="s">
        <v>839</v>
      </c>
      <c r="F27" s="550" t="s">
        <v>463</v>
      </c>
      <c r="G27" s="547">
        <v>1</v>
      </c>
      <c r="H27" s="547" t="s">
        <v>102</v>
      </c>
      <c r="I27" s="547" t="s">
        <v>103</v>
      </c>
      <c r="J27" s="1578">
        <v>1</v>
      </c>
      <c r="K27" s="552">
        <v>17697</v>
      </c>
      <c r="L27" s="553">
        <v>35</v>
      </c>
      <c r="M27" s="554">
        <f>L27/18</f>
        <v>1.9444444444444444</v>
      </c>
      <c r="N27" s="555" t="s">
        <v>152</v>
      </c>
      <c r="O27" s="1579">
        <v>4.55</v>
      </c>
      <c r="P27" s="556">
        <f>O27*K27/18*L27</f>
        <v>156569.29166666666</v>
      </c>
      <c r="Q27" s="556">
        <f>P27*50%</f>
        <v>78284.645833333328</v>
      </c>
      <c r="R27" s="557"/>
      <c r="S27" s="552"/>
      <c r="T27" s="552">
        <v>0.1</v>
      </c>
      <c r="U27" s="556">
        <f>(P27+Q27)*T27</f>
        <v>23485.393750000003</v>
      </c>
      <c r="V27" s="558"/>
      <c r="W27" s="552"/>
      <c r="X27" s="559">
        <f>P27+Q27+U27</f>
        <v>258339.33124999999</v>
      </c>
      <c r="Y27" s="2211">
        <f>V27+R27</f>
        <v>0</v>
      </c>
      <c r="Z27" s="2211">
        <f>W27+S27</f>
        <v>0</v>
      </c>
      <c r="AA27" s="1153">
        <f t="shared" si="3"/>
        <v>3100071.9749999996</v>
      </c>
      <c r="AB27" s="1154">
        <f>AA27/12/29.33*56</f>
        <v>493249.31980906916</v>
      </c>
      <c r="AC27" s="1154">
        <f>AA27*1.25</f>
        <v>3875089.9687499995</v>
      </c>
      <c r="AD27" s="1154">
        <f>AC27/12/29.33*56</f>
        <v>616561.64976133639</v>
      </c>
      <c r="AK27" s="906"/>
      <c r="AL27" s="23"/>
      <c r="AM27" s="23"/>
      <c r="AN27" s="23"/>
      <c r="AO27" s="23"/>
      <c r="AP27" s="23"/>
      <c r="AQ27" s="23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</row>
    <row r="28" spans="1:69" s="1154" customFormat="1" ht="15.75">
      <c r="A28" s="560">
        <v>2</v>
      </c>
      <c r="B28" s="998" t="s">
        <v>41</v>
      </c>
      <c r="C28" s="561" t="s">
        <v>99</v>
      </c>
      <c r="D28" s="874" t="s">
        <v>25</v>
      </c>
      <c r="E28" s="1539" t="s">
        <v>840</v>
      </c>
      <c r="F28" s="1539" t="s">
        <v>34</v>
      </c>
      <c r="G28" s="547">
        <v>1</v>
      </c>
      <c r="H28" s="1002" t="s">
        <v>102</v>
      </c>
      <c r="I28" s="1002" t="s">
        <v>103</v>
      </c>
      <c r="J28" s="1580">
        <v>2</v>
      </c>
      <c r="K28" s="552">
        <v>17697</v>
      </c>
      <c r="L28" s="1540">
        <v>18</v>
      </c>
      <c r="M28" s="554">
        <f t="shared" ref="M28:M81" si="7">L28/18</f>
        <v>1</v>
      </c>
      <c r="N28" s="566" t="s">
        <v>104</v>
      </c>
      <c r="O28" s="1014">
        <v>4.51</v>
      </c>
      <c r="P28" s="556">
        <f t="shared" ref="P28:P81" si="8">O28*K28/18*L28</f>
        <v>79813.47</v>
      </c>
      <c r="Q28" s="556">
        <f t="shared" ref="Q28:Q80" si="9">P28*50%</f>
        <v>39906.735000000001</v>
      </c>
      <c r="R28" s="568"/>
      <c r="S28" s="554"/>
      <c r="T28" s="554">
        <v>0.1</v>
      </c>
      <c r="U28" s="556">
        <f t="shared" ref="U28:U81" si="10">(P28+Q28)*T28</f>
        <v>11972.020500000001</v>
      </c>
      <c r="V28" s="569"/>
      <c r="W28" s="554"/>
      <c r="X28" s="559">
        <f>P28+Q28+U28</f>
        <v>131692.2255</v>
      </c>
      <c r="Y28" s="2212">
        <f t="shared" ref="Y28:Z74" si="11">V28+R28</f>
        <v>0</v>
      </c>
      <c r="Z28" s="2212">
        <f t="shared" si="11"/>
        <v>0</v>
      </c>
      <c r="AA28" s="1153">
        <f t="shared" si="3"/>
        <v>1580306.706</v>
      </c>
      <c r="AB28" s="1154">
        <f t="shared" ref="AB28:AB87" si="12">AA28/12/29.33*56</f>
        <v>251441.00334128883</v>
      </c>
      <c r="AC28" s="1154">
        <f t="shared" ref="AC28:AC87" si="13">AA28*1.25</f>
        <v>1975383.3825000001</v>
      </c>
      <c r="AD28" s="1154">
        <f t="shared" ref="AD28:AD87" si="14">AC28/12/29.33*56</f>
        <v>314301.25417661102</v>
      </c>
      <c r="AK28" s="23"/>
      <c r="AL28" s="23"/>
      <c r="AM28" s="23"/>
      <c r="AN28" s="23"/>
      <c r="AO28" s="23"/>
      <c r="AP28" s="23"/>
      <c r="AQ28" s="23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</row>
    <row r="29" spans="1:69" s="1154" customFormat="1" ht="15.75">
      <c r="A29" s="547">
        <v>3</v>
      </c>
      <c r="B29" s="576" t="s">
        <v>110</v>
      </c>
      <c r="C29" s="561" t="s">
        <v>99</v>
      </c>
      <c r="D29" s="560" t="s">
        <v>25</v>
      </c>
      <c r="E29" s="562" t="s">
        <v>841</v>
      </c>
      <c r="F29" s="562" t="s">
        <v>669</v>
      </c>
      <c r="G29" s="547">
        <v>1</v>
      </c>
      <c r="H29" s="577" t="s">
        <v>102</v>
      </c>
      <c r="I29" s="577" t="s">
        <v>103</v>
      </c>
      <c r="J29" s="578">
        <v>3</v>
      </c>
      <c r="K29" s="552">
        <v>17697</v>
      </c>
      <c r="L29" s="565">
        <v>30</v>
      </c>
      <c r="M29" s="554">
        <f t="shared" si="7"/>
        <v>1.6666666666666667</v>
      </c>
      <c r="N29" s="1581" t="s">
        <v>109</v>
      </c>
      <c r="O29" s="1016">
        <v>4.07</v>
      </c>
      <c r="P29" s="556">
        <f t="shared" si="8"/>
        <v>120044.65000000001</v>
      </c>
      <c r="Q29" s="556">
        <f t="shared" si="9"/>
        <v>60022.325000000004</v>
      </c>
      <c r="R29" s="568"/>
      <c r="S29" s="554"/>
      <c r="T29" s="554">
        <v>0.1</v>
      </c>
      <c r="U29" s="556">
        <f t="shared" si="10"/>
        <v>18006.697500000002</v>
      </c>
      <c r="V29" s="569"/>
      <c r="W29" s="554"/>
      <c r="X29" s="559">
        <f t="shared" ref="X29:X80" si="15">P29+Q29+U29</f>
        <v>198073.67250000002</v>
      </c>
      <c r="Y29" s="2212"/>
      <c r="Z29" s="2212"/>
      <c r="AA29" s="1153">
        <f t="shared" si="3"/>
        <v>2376884.0700000003</v>
      </c>
      <c r="AB29" s="1154">
        <f t="shared" si="12"/>
        <v>378183.62291169458</v>
      </c>
      <c r="AC29" s="1154">
        <f t="shared" si="13"/>
        <v>2971105.0875000004</v>
      </c>
      <c r="AD29" s="1154">
        <f t="shared" si="14"/>
        <v>472729.52863961825</v>
      </c>
      <c r="AK29" s="906"/>
      <c r="AL29" s="23"/>
      <c r="AM29" s="23"/>
      <c r="AN29" s="23"/>
      <c r="AO29" s="23"/>
      <c r="AP29" s="23"/>
      <c r="AQ29" s="23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</row>
    <row r="30" spans="1:69" s="1154" customFormat="1" ht="15.75">
      <c r="A30" s="560">
        <v>4</v>
      </c>
      <c r="B30" s="153" t="s">
        <v>106</v>
      </c>
      <c r="C30" s="561" t="s">
        <v>99</v>
      </c>
      <c r="D30" s="560" t="s">
        <v>25</v>
      </c>
      <c r="E30" s="562" t="s">
        <v>842</v>
      </c>
      <c r="F30" s="562" t="s">
        <v>669</v>
      </c>
      <c r="G30" s="547">
        <v>1</v>
      </c>
      <c r="H30" s="563" t="s">
        <v>102</v>
      </c>
      <c r="I30" s="563" t="s">
        <v>103</v>
      </c>
      <c r="J30" s="564">
        <v>3</v>
      </c>
      <c r="K30" s="552">
        <v>17697</v>
      </c>
      <c r="L30" s="565">
        <v>21</v>
      </c>
      <c r="M30" s="554">
        <f t="shared" si="7"/>
        <v>1.1666666666666667</v>
      </c>
      <c r="N30" s="566" t="s">
        <v>109</v>
      </c>
      <c r="O30" s="1016">
        <v>4.07</v>
      </c>
      <c r="P30" s="556">
        <f t="shared" si="8"/>
        <v>84031.255000000005</v>
      </c>
      <c r="Q30" s="556">
        <f t="shared" si="9"/>
        <v>42015.627500000002</v>
      </c>
      <c r="R30" s="568"/>
      <c r="S30" s="554"/>
      <c r="T30" s="554">
        <v>0.1</v>
      </c>
      <c r="U30" s="556">
        <f t="shared" si="10"/>
        <v>12604.688250000001</v>
      </c>
      <c r="V30" s="569"/>
      <c r="W30" s="554"/>
      <c r="X30" s="559">
        <f t="shared" si="15"/>
        <v>138651.57075000001</v>
      </c>
      <c r="Y30" s="2212">
        <f t="shared" si="11"/>
        <v>0</v>
      </c>
      <c r="Z30" s="2212">
        <f t="shared" si="11"/>
        <v>0</v>
      </c>
      <c r="AA30" s="1153">
        <f t="shared" si="3"/>
        <v>1663818.8490000002</v>
      </c>
      <c r="AB30" s="1154">
        <f t="shared" si="12"/>
        <v>264728.53603818617</v>
      </c>
      <c r="AC30" s="1154">
        <f t="shared" si="13"/>
        <v>2079773.5612500003</v>
      </c>
      <c r="AD30" s="1154">
        <f t="shared" si="14"/>
        <v>330910.67004773277</v>
      </c>
      <c r="AK30" s="23"/>
      <c r="AL30" s="23"/>
      <c r="AM30" s="23"/>
      <c r="AN30" s="23"/>
      <c r="AO30" s="23"/>
      <c r="AP30" s="23"/>
      <c r="AQ30" s="23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</row>
    <row r="31" spans="1:69" s="1154" customFormat="1" ht="15.75">
      <c r="A31" s="547">
        <v>5</v>
      </c>
      <c r="B31" s="153" t="s">
        <v>215</v>
      </c>
      <c r="C31" s="561" t="s">
        <v>99</v>
      </c>
      <c r="D31" s="563" t="s">
        <v>25</v>
      </c>
      <c r="E31" s="562" t="s">
        <v>843</v>
      </c>
      <c r="F31" s="562" t="s">
        <v>217</v>
      </c>
      <c r="G31" s="547">
        <v>1</v>
      </c>
      <c r="H31" s="580" t="s">
        <v>102</v>
      </c>
      <c r="I31" s="580" t="s">
        <v>103</v>
      </c>
      <c r="J31" s="997">
        <v>1</v>
      </c>
      <c r="K31" s="552">
        <v>17697</v>
      </c>
      <c r="L31" s="573">
        <v>4</v>
      </c>
      <c r="M31" s="554">
        <f t="shared" si="7"/>
        <v>0.22222222222222221</v>
      </c>
      <c r="N31" s="997" t="s">
        <v>152</v>
      </c>
      <c r="O31" s="1015">
        <v>4.6900000000000004</v>
      </c>
      <c r="P31" s="556">
        <f t="shared" si="8"/>
        <v>18444.206666666669</v>
      </c>
      <c r="Q31" s="556">
        <f t="shared" si="9"/>
        <v>9222.1033333333344</v>
      </c>
      <c r="R31" s="568"/>
      <c r="S31" s="554"/>
      <c r="T31" s="554">
        <v>0.1</v>
      </c>
      <c r="U31" s="556">
        <f t="shared" si="10"/>
        <v>2766.6310000000008</v>
      </c>
      <c r="V31" s="569"/>
      <c r="W31" s="554"/>
      <c r="X31" s="559">
        <f t="shared" si="15"/>
        <v>30432.941000000006</v>
      </c>
      <c r="Y31" s="1155">
        <f t="shared" si="11"/>
        <v>0</v>
      </c>
      <c r="Z31" s="1155">
        <f t="shared" si="11"/>
        <v>0</v>
      </c>
      <c r="AA31" s="1153">
        <f t="shared" si="3"/>
        <v>365195.29200000007</v>
      </c>
      <c r="AB31" s="1154">
        <f t="shared" si="12"/>
        <v>58105.853937947511</v>
      </c>
      <c r="AC31" s="1154">
        <f t="shared" si="13"/>
        <v>456494.11500000011</v>
      </c>
      <c r="AD31" s="1154">
        <f t="shared" si="14"/>
        <v>72632.317422434397</v>
      </c>
      <c r="AK31" s="23"/>
      <c r="AL31" s="23"/>
      <c r="AM31" s="23"/>
      <c r="AN31" s="23"/>
      <c r="AO31" s="23"/>
      <c r="AP31" s="23"/>
      <c r="AQ31" s="23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</row>
    <row r="32" spans="1:69" s="1971" customFormat="1" ht="15.75">
      <c r="A32" s="560">
        <v>6</v>
      </c>
      <c r="B32" s="153" t="s">
        <v>23</v>
      </c>
      <c r="C32" s="561" t="s">
        <v>99</v>
      </c>
      <c r="D32" s="560" t="s">
        <v>25</v>
      </c>
      <c r="E32" s="562" t="s">
        <v>844</v>
      </c>
      <c r="F32" s="562" t="s">
        <v>114</v>
      </c>
      <c r="G32" s="547">
        <v>1</v>
      </c>
      <c r="H32" s="563" t="s">
        <v>102</v>
      </c>
      <c r="I32" s="563" t="s">
        <v>103</v>
      </c>
      <c r="J32" s="581">
        <v>1</v>
      </c>
      <c r="K32" s="552">
        <v>17697</v>
      </c>
      <c r="L32" s="565">
        <v>9</v>
      </c>
      <c r="M32" s="554">
        <f t="shared" si="7"/>
        <v>0.5</v>
      </c>
      <c r="N32" s="574" t="s">
        <v>152</v>
      </c>
      <c r="O32" s="1582">
        <v>4.75</v>
      </c>
      <c r="P32" s="556">
        <f t="shared" si="8"/>
        <v>42030.375</v>
      </c>
      <c r="Q32" s="556">
        <f t="shared" si="9"/>
        <v>21015.1875</v>
      </c>
      <c r="R32" s="568"/>
      <c r="S32" s="554"/>
      <c r="T32" s="554">
        <v>0.1</v>
      </c>
      <c r="U32" s="556">
        <f t="shared" si="10"/>
        <v>6304.5562500000005</v>
      </c>
      <c r="V32" s="569"/>
      <c r="W32" s="554"/>
      <c r="X32" s="559">
        <f t="shared" si="15"/>
        <v>69350.118749999994</v>
      </c>
      <c r="Y32" s="1998">
        <f t="shared" si="11"/>
        <v>0</v>
      </c>
      <c r="Z32" s="1998">
        <f t="shared" si="11"/>
        <v>0</v>
      </c>
      <c r="AA32" s="1970">
        <f t="shared" si="3"/>
        <v>832201.42499999993</v>
      </c>
      <c r="AB32" s="1971">
        <f t="shared" si="12"/>
        <v>132410.72792362768</v>
      </c>
      <c r="AC32" s="1971">
        <f t="shared" si="13"/>
        <v>1040251.7812499999</v>
      </c>
      <c r="AD32" s="1971">
        <f t="shared" si="14"/>
        <v>165513.40990453458</v>
      </c>
      <c r="AK32" s="23"/>
      <c r="AL32" s="23"/>
      <c r="AM32" s="23"/>
      <c r="AN32" s="23"/>
      <c r="AO32" s="23"/>
      <c r="AP32" s="23"/>
      <c r="AQ32" s="23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</row>
    <row r="33" spans="1:56" s="1154" customFormat="1" ht="15.75">
      <c r="A33" s="547">
        <v>7</v>
      </c>
      <c r="B33" s="153" t="s">
        <v>631</v>
      </c>
      <c r="C33" s="561" t="s">
        <v>525</v>
      </c>
      <c r="D33" s="560" t="s">
        <v>25</v>
      </c>
      <c r="E33" s="1000" t="s">
        <v>845</v>
      </c>
      <c r="F33" s="562" t="s">
        <v>114</v>
      </c>
      <c r="G33" s="547">
        <v>1</v>
      </c>
      <c r="H33" s="563" t="s">
        <v>102</v>
      </c>
      <c r="I33" s="563" t="s">
        <v>103</v>
      </c>
      <c r="J33" s="581">
        <v>1</v>
      </c>
      <c r="K33" s="552">
        <v>17697</v>
      </c>
      <c r="L33" s="565">
        <v>27</v>
      </c>
      <c r="M33" s="554">
        <f t="shared" si="7"/>
        <v>1.5</v>
      </c>
      <c r="N33" s="574" t="s">
        <v>152</v>
      </c>
      <c r="O33" s="1582">
        <v>4.75</v>
      </c>
      <c r="P33" s="556">
        <f t="shared" si="8"/>
        <v>126091.12500000001</v>
      </c>
      <c r="Q33" s="556">
        <f t="shared" si="9"/>
        <v>63045.562500000007</v>
      </c>
      <c r="R33" s="1538"/>
      <c r="S33" s="700"/>
      <c r="T33" s="554">
        <v>0.1</v>
      </c>
      <c r="U33" s="556">
        <f t="shared" si="10"/>
        <v>18913.668750000004</v>
      </c>
      <c r="V33" s="699"/>
      <c r="W33" s="700"/>
      <c r="X33" s="559">
        <f t="shared" si="15"/>
        <v>208050.35625000004</v>
      </c>
      <c r="Y33" s="1156"/>
      <c r="Z33" s="1156"/>
      <c r="AA33" s="1153">
        <f t="shared" si="3"/>
        <v>2496604.2750000004</v>
      </c>
      <c r="AB33" s="1154">
        <f t="shared" si="12"/>
        <v>397232.18377088313</v>
      </c>
      <c r="AC33" s="1154">
        <f t="shared" si="13"/>
        <v>3120755.3437500005</v>
      </c>
      <c r="AD33" s="1154">
        <f t="shared" si="14"/>
        <v>496540.22971360385</v>
      </c>
      <c r="AK33" s="23"/>
      <c r="AL33" s="23"/>
      <c r="AM33" s="23"/>
      <c r="AN33" s="23"/>
      <c r="AO33" s="23"/>
      <c r="AP33" s="23"/>
      <c r="AQ33" s="23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</row>
    <row r="34" spans="1:56" s="1154" customFormat="1" ht="15.75">
      <c r="A34" s="560">
        <v>8</v>
      </c>
      <c r="B34" s="153" t="s">
        <v>124</v>
      </c>
      <c r="C34" s="561" t="s">
        <v>125</v>
      </c>
      <c r="D34" s="560" t="s">
        <v>75</v>
      </c>
      <c r="E34" s="582" t="s">
        <v>194</v>
      </c>
      <c r="F34" s="562" t="s">
        <v>77</v>
      </c>
      <c r="G34" s="547">
        <v>1</v>
      </c>
      <c r="H34" s="577" t="s">
        <v>102</v>
      </c>
      <c r="I34" s="577" t="s">
        <v>118</v>
      </c>
      <c r="J34" s="578">
        <v>3</v>
      </c>
      <c r="K34" s="552">
        <v>17697</v>
      </c>
      <c r="L34" s="565">
        <v>18</v>
      </c>
      <c r="M34" s="554">
        <f t="shared" si="7"/>
        <v>1</v>
      </c>
      <c r="N34" s="1583" t="s">
        <v>109</v>
      </c>
      <c r="O34" s="1582">
        <v>3.85</v>
      </c>
      <c r="P34" s="556">
        <f t="shared" si="8"/>
        <v>68133.45</v>
      </c>
      <c r="Q34" s="556">
        <f t="shared" si="9"/>
        <v>34066.724999999999</v>
      </c>
      <c r="R34" s="1538"/>
      <c r="S34" s="700"/>
      <c r="T34" s="554">
        <v>0.1</v>
      </c>
      <c r="U34" s="556">
        <f t="shared" si="10"/>
        <v>10220.0175</v>
      </c>
      <c r="V34" s="699"/>
      <c r="W34" s="700"/>
      <c r="X34" s="559">
        <f t="shared" si="15"/>
        <v>112420.19249999999</v>
      </c>
      <c r="Y34" s="1156"/>
      <c r="Z34" s="1156"/>
      <c r="AA34" s="1153">
        <f t="shared" si="3"/>
        <v>1349042.3099999998</v>
      </c>
      <c r="AB34" s="1154">
        <f t="shared" si="12"/>
        <v>214644.75894988066</v>
      </c>
      <c r="AC34" s="1154">
        <f t="shared" si="13"/>
        <v>1686302.8874999997</v>
      </c>
      <c r="AD34" s="1154">
        <f t="shared" si="14"/>
        <v>268305.94868735078</v>
      </c>
      <c r="AK34" s="23"/>
      <c r="AL34" s="23"/>
      <c r="AM34" s="23"/>
      <c r="AN34" s="23"/>
      <c r="AO34" s="23"/>
      <c r="AP34" s="23"/>
      <c r="AQ34" s="23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</row>
    <row r="35" spans="1:56" s="1154" customFormat="1" ht="15.75">
      <c r="A35" s="547">
        <v>9</v>
      </c>
      <c r="B35" s="153" t="s">
        <v>116</v>
      </c>
      <c r="C35" s="561" t="s">
        <v>99</v>
      </c>
      <c r="D35" s="560" t="s">
        <v>64</v>
      </c>
      <c r="E35" s="583" t="s">
        <v>846</v>
      </c>
      <c r="F35" s="562" t="s">
        <v>114</v>
      </c>
      <c r="G35" s="547">
        <v>1</v>
      </c>
      <c r="H35" s="563" t="s">
        <v>102</v>
      </c>
      <c r="I35" s="563" t="s">
        <v>118</v>
      </c>
      <c r="J35" s="564">
        <v>1</v>
      </c>
      <c r="K35" s="552">
        <v>17697</v>
      </c>
      <c r="L35" s="565">
        <v>36</v>
      </c>
      <c r="M35" s="554">
        <f t="shared" si="7"/>
        <v>2</v>
      </c>
      <c r="N35" s="574" t="s">
        <v>152</v>
      </c>
      <c r="O35" s="1014">
        <v>4.5199999999999996</v>
      </c>
      <c r="P35" s="556">
        <f t="shared" si="8"/>
        <v>159980.87999999998</v>
      </c>
      <c r="Q35" s="556">
        <f t="shared" si="9"/>
        <v>79990.439999999988</v>
      </c>
      <c r="R35" s="568"/>
      <c r="S35" s="554"/>
      <c r="T35" s="554">
        <v>0.1</v>
      </c>
      <c r="U35" s="556">
        <f t="shared" si="10"/>
        <v>23997.131999999998</v>
      </c>
      <c r="V35" s="569"/>
      <c r="W35" s="554"/>
      <c r="X35" s="559">
        <f t="shared" si="15"/>
        <v>263968.45199999993</v>
      </c>
      <c r="Y35" s="2212">
        <f t="shared" si="11"/>
        <v>0</v>
      </c>
      <c r="Z35" s="2212">
        <f t="shared" si="11"/>
        <v>0</v>
      </c>
      <c r="AA35" s="1153">
        <f t="shared" si="3"/>
        <v>3167621.4239999992</v>
      </c>
      <c r="AB35" s="1154">
        <f t="shared" si="12"/>
        <v>503997.04439140798</v>
      </c>
      <c r="AC35" s="1154">
        <f t="shared" si="13"/>
        <v>3959526.7799999989</v>
      </c>
      <c r="AD35" s="1154">
        <f t="shared" si="14"/>
        <v>629996.30548926</v>
      </c>
      <c r="AK35" s="23"/>
      <c r="AL35" s="23"/>
      <c r="AM35" s="23"/>
      <c r="AN35" s="23"/>
      <c r="AO35" s="23"/>
      <c r="AP35" s="23"/>
      <c r="AQ35" s="23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</row>
    <row r="36" spans="1:56" s="1154" customFormat="1" ht="15.75">
      <c r="A36" s="560">
        <v>10</v>
      </c>
      <c r="B36" s="998" t="s">
        <v>831</v>
      </c>
      <c r="C36" s="873" t="s">
        <v>99</v>
      </c>
      <c r="D36" s="874" t="s">
        <v>25</v>
      </c>
      <c r="E36" s="874" t="s">
        <v>847</v>
      </c>
      <c r="F36" s="562" t="s">
        <v>114</v>
      </c>
      <c r="G36" s="547">
        <v>1</v>
      </c>
      <c r="H36" s="1002" t="s">
        <v>102</v>
      </c>
      <c r="I36" s="1002" t="s">
        <v>103</v>
      </c>
      <c r="J36" s="1580">
        <v>2</v>
      </c>
      <c r="K36" s="552">
        <v>17697</v>
      </c>
      <c r="L36" s="1540">
        <v>20</v>
      </c>
      <c r="M36" s="554">
        <f t="shared" si="7"/>
        <v>1.1111111111111112</v>
      </c>
      <c r="N36" s="698" t="s">
        <v>104</v>
      </c>
      <c r="O36" s="1157">
        <v>4.51</v>
      </c>
      <c r="P36" s="556">
        <f t="shared" si="8"/>
        <v>88681.633333333331</v>
      </c>
      <c r="Q36" s="556">
        <f>P36*50%</f>
        <v>44340.816666666666</v>
      </c>
      <c r="R36" s="1538"/>
      <c r="S36" s="700"/>
      <c r="T36" s="700">
        <v>0.1</v>
      </c>
      <c r="U36" s="556">
        <f>(P36+Q36)*T36</f>
        <v>13302.245000000003</v>
      </c>
      <c r="V36" s="699"/>
      <c r="W36" s="700"/>
      <c r="X36" s="559">
        <f>P36+Q36+U36</f>
        <v>146324.69500000001</v>
      </c>
      <c r="Y36" s="2214"/>
      <c r="Z36" s="2214"/>
      <c r="AA36" s="1153">
        <f t="shared" si="3"/>
        <v>1755896.34</v>
      </c>
      <c r="AB36" s="1154">
        <f t="shared" si="12"/>
        <v>279378.89260143205</v>
      </c>
      <c r="AC36" s="1154">
        <f t="shared" si="13"/>
        <v>2194870.4250000003</v>
      </c>
      <c r="AD36" s="1154">
        <f t="shared" si="14"/>
        <v>349223.61575179</v>
      </c>
      <c r="AK36" s="23"/>
      <c r="AL36" s="23"/>
      <c r="AM36" s="23"/>
      <c r="AN36" s="23"/>
      <c r="AO36" s="23"/>
      <c r="AP36" s="23"/>
      <c r="AQ36" s="23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</row>
    <row r="37" spans="1:56" s="1154" customFormat="1" ht="15.75">
      <c r="A37" s="547">
        <v>11</v>
      </c>
      <c r="B37" s="153" t="s">
        <v>127</v>
      </c>
      <c r="C37" s="561" t="s">
        <v>99</v>
      </c>
      <c r="D37" s="560" t="s">
        <v>25</v>
      </c>
      <c r="E37" s="562" t="s">
        <v>848</v>
      </c>
      <c r="F37" s="562" t="s">
        <v>34</v>
      </c>
      <c r="G37" s="547">
        <v>1</v>
      </c>
      <c r="H37" s="563" t="s">
        <v>102</v>
      </c>
      <c r="I37" s="563" t="s">
        <v>103</v>
      </c>
      <c r="J37" s="564">
        <v>1</v>
      </c>
      <c r="K37" s="552">
        <v>17697</v>
      </c>
      <c r="L37" s="565">
        <v>32</v>
      </c>
      <c r="M37" s="554">
        <f t="shared" si="7"/>
        <v>1.7777777777777777</v>
      </c>
      <c r="N37" s="574" t="s">
        <v>152</v>
      </c>
      <c r="O37" s="1014">
        <v>4.75</v>
      </c>
      <c r="P37" s="556">
        <f t="shared" si="8"/>
        <v>149441.33333333334</v>
      </c>
      <c r="Q37" s="556">
        <f t="shared" si="9"/>
        <v>74720.666666666672</v>
      </c>
      <c r="R37" s="568"/>
      <c r="S37" s="554"/>
      <c r="T37" s="554">
        <v>0.1</v>
      </c>
      <c r="U37" s="556">
        <f t="shared" si="10"/>
        <v>22416.2</v>
      </c>
      <c r="V37" s="569"/>
      <c r="W37" s="554"/>
      <c r="X37" s="559">
        <f t="shared" si="15"/>
        <v>246578.2</v>
      </c>
      <c r="Y37" s="2212"/>
      <c r="Z37" s="2212"/>
      <c r="AA37" s="1153">
        <f t="shared" si="3"/>
        <v>2958938.4000000004</v>
      </c>
      <c r="AB37" s="1154">
        <f t="shared" si="12"/>
        <v>470793.69928400969</v>
      </c>
      <c r="AC37" s="1154">
        <f t="shared" si="13"/>
        <v>3698673.0000000005</v>
      </c>
      <c r="AD37" s="1154">
        <f t="shared" si="14"/>
        <v>588492.12410501204</v>
      </c>
      <c r="AK37" s="23"/>
      <c r="AL37" s="23"/>
      <c r="AM37" s="23"/>
      <c r="AN37" s="23"/>
      <c r="AO37" s="23"/>
      <c r="AP37" s="23"/>
      <c r="AQ37" s="23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</row>
    <row r="38" spans="1:56" s="1154" customFormat="1" ht="15.75">
      <c r="A38" s="560">
        <v>12</v>
      </c>
      <c r="B38" s="153" t="s">
        <v>386</v>
      </c>
      <c r="C38" s="561" t="s">
        <v>99</v>
      </c>
      <c r="D38" s="560" t="s">
        <v>25</v>
      </c>
      <c r="E38" s="582" t="s">
        <v>849</v>
      </c>
      <c r="F38" s="582" t="s">
        <v>34</v>
      </c>
      <c r="G38" s="547">
        <v>1</v>
      </c>
      <c r="H38" s="563" t="s">
        <v>102</v>
      </c>
      <c r="I38" s="563" t="s">
        <v>103</v>
      </c>
      <c r="J38" s="581">
        <v>1</v>
      </c>
      <c r="K38" s="552">
        <v>17697</v>
      </c>
      <c r="L38" s="565">
        <v>18</v>
      </c>
      <c r="M38" s="554">
        <f t="shared" si="7"/>
        <v>1</v>
      </c>
      <c r="N38" s="698" t="s">
        <v>152</v>
      </c>
      <c r="O38" s="1157">
        <v>4.75</v>
      </c>
      <c r="P38" s="556">
        <f t="shared" si="8"/>
        <v>84060.75</v>
      </c>
      <c r="Q38" s="556">
        <f t="shared" si="9"/>
        <v>42030.375</v>
      </c>
      <c r="R38" s="1538"/>
      <c r="S38" s="700"/>
      <c r="T38" s="554">
        <v>0.1</v>
      </c>
      <c r="U38" s="556">
        <f t="shared" si="10"/>
        <v>12609.112500000001</v>
      </c>
      <c r="V38" s="699"/>
      <c r="W38" s="700"/>
      <c r="X38" s="559">
        <f t="shared" si="15"/>
        <v>138700.23749999999</v>
      </c>
      <c r="Y38" s="2214"/>
      <c r="Z38" s="2214"/>
      <c r="AA38" s="1153">
        <f t="shared" si="3"/>
        <v>1664402.8499999999</v>
      </c>
      <c r="AB38" s="1154">
        <f t="shared" si="12"/>
        <v>264821.45584725536</v>
      </c>
      <c r="AC38" s="1154">
        <f t="shared" si="13"/>
        <v>2080503.5624999998</v>
      </c>
      <c r="AD38" s="1154">
        <f t="shared" si="14"/>
        <v>331026.81980906916</v>
      </c>
      <c r="AK38" s="23"/>
      <c r="AL38" s="23"/>
      <c r="AM38" s="23"/>
      <c r="AN38" s="23"/>
      <c r="AO38" s="23"/>
      <c r="AP38" s="23"/>
      <c r="AQ38" s="23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</row>
    <row r="39" spans="1:56" s="1154" customFormat="1" ht="15.75">
      <c r="A39" s="547">
        <v>13</v>
      </c>
      <c r="B39" s="998" t="s">
        <v>458</v>
      </c>
      <c r="C39" s="561" t="s">
        <v>99</v>
      </c>
      <c r="D39" s="560" t="s">
        <v>25</v>
      </c>
      <c r="E39" s="582" t="s">
        <v>850</v>
      </c>
      <c r="F39" s="582" t="s">
        <v>34</v>
      </c>
      <c r="G39" s="547">
        <v>1</v>
      </c>
      <c r="H39" s="563" t="s">
        <v>102</v>
      </c>
      <c r="I39" s="563" t="s">
        <v>103</v>
      </c>
      <c r="J39" s="581">
        <v>1</v>
      </c>
      <c r="K39" s="552">
        <v>17697</v>
      </c>
      <c r="L39" s="1540">
        <v>22</v>
      </c>
      <c r="M39" s="554">
        <f t="shared" si="7"/>
        <v>1.2222222222222223</v>
      </c>
      <c r="N39" s="698" t="s">
        <v>152</v>
      </c>
      <c r="O39" s="1157">
        <v>4.75</v>
      </c>
      <c r="P39" s="556">
        <f t="shared" si="8"/>
        <v>102740.91666666667</v>
      </c>
      <c r="Q39" s="556">
        <f t="shared" si="9"/>
        <v>51370.458333333336</v>
      </c>
      <c r="R39" s="1538"/>
      <c r="S39" s="700"/>
      <c r="T39" s="554">
        <v>0.1</v>
      </c>
      <c r="U39" s="556">
        <f t="shared" si="10"/>
        <v>15411.137500000001</v>
      </c>
      <c r="V39" s="699"/>
      <c r="W39" s="700"/>
      <c r="X39" s="559">
        <f t="shared" si="15"/>
        <v>169522.51250000001</v>
      </c>
      <c r="Y39" s="2214"/>
      <c r="Z39" s="2214"/>
      <c r="AA39" s="1153"/>
      <c r="AK39" s="23"/>
      <c r="AL39" s="23"/>
      <c r="AM39" s="23"/>
      <c r="AN39" s="23"/>
      <c r="AO39" s="23"/>
      <c r="AP39" s="23"/>
      <c r="AQ39" s="23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</row>
    <row r="40" spans="1:56" s="1154" customFormat="1" ht="15.75">
      <c r="A40" s="560">
        <v>14</v>
      </c>
      <c r="B40" s="153" t="s">
        <v>130</v>
      </c>
      <c r="C40" s="561" t="s">
        <v>99</v>
      </c>
      <c r="D40" s="560" t="s">
        <v>25</v>
      </c>
      <c r="E40" s="582" t="s">
        <v>851</v>
      </c>
      <c r="F40" s="582" t="s">
        <v>34</v>
      </c>
      <c r="G40" s="547">
        <v>1</v>
      </c>
      <c r="H40" s="563" t="s">
        <v>102</v>
      </c>
      <c r="I40" s="563" t="s">
        <v>103</v>
      </c>
      <c r="J40" s="564">
        <v>1</v>
      </c>
      <c r="K40" s="552">
        <v>17697</v>
      </c>
      <c r="L40" s="565">
        <v>9</v>
      </c>
      <c r="M40" s="554">
        <f t="shared" si="7"/>
        <v>0.5</v>
      </c>
      <c r="N40" s="997" t="s">
        <v>152</v>
      </c>
      <c r="O40" s="1014">
        <v>4.75</v>
      </c>
      <c r="P40" s="556">
        <f t="shared" si="8"/>
        <v>42030.375</v>
      </c>
      <c r="Q40" s="556">
        <f t="shared" si="9"/>
        <v>21015.1875</v>
      </c>
      <c r="R40" s="568"/>
      <c r="S40" s="554"/>
      <c r="T40" s="554">
        <v>0.1</v>
      </c>
      <c r="U40" s="556">
        <f t="shared" si="10"/>
        <v>6304.5562500000005</v>
      </c>
      <c r="V40" s="569"/>
      <c r="W40" s="554"/>
      <c r="X40" s="559">
        <f t="shared" si="15"/>
        <v>69350.118749999994</v>
      </c>
      <c r="Y40" s="1155">
        <f t="shared" si="11"/>
        <v>0</v>
      </c>
      <c r="Z40" s="1155">
        <f t="shared" si="11"/>
        <v>0</v>
      </c>
      <c r="AA40" s="1153">
        <f t="shared" si="3"/>
        <v>832201.42499999993</v>
      </c>
      <c r="AB40" s="1154">
        <f t="shared" si="12"/>
        <v>132410.72792362768</v>
      </c>
      <c r="AC40" s="1154">
        <f t="shared" si="13"/>
        <v>1040251.7812499999</v>
      </c>
      <c r="AD40" s="1154">
        <f t="shared" si="14"/>
        <v>165513.40990453458</v>
      </c>
      <c r="AK40" s="23"/>
      <c r="AL40" s="23"/>
      <c r="AM40" s="23"/>
      <c r="AN40" s="23"/>
      <c r="AO40" s="23"/>
      <c r="AP40" s="23"/>
      <c r="AQ40" s="23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</row>
    <row r="41" spans="1:56" s="2216" customFormat="1" ht="15.75">
      <c r="A41" s="547">
        <v>15</v>
      </c>
      <c r="B41" s="153" t="s">
        <v>455</v>
      </c>
      <c r="C41" s="561" t="s">
        <v>99</v>
      </c>
      <c r="D41" s="563" t="s">
        <v>25</v>
      </c>
      <c r="E41" s="210" t="s">
        <v>727</v>
      </c>
      <c r="F41" s="562" t="s">
        <v>34</v>
      </c>
      <c r="G41" s="547">
        <v>1</v>
      </c>
      <c r="H41" s="563" t="s">
        <v>102</v>
      </c>
      <c r="I41" s="563" t="s">
        <v>103</v>
      </c>
      <c r="J41" s="564">
        <v>1</v>
      </c>
      <c r="K41" s="552">
        <v>17697</v>
      </c>
      <c r="L41" s="565">
        <v>8</v>
      </c>
      <c r="M41" s="554">
        <f t="shared" si="7"/>
        <v>0.44444444444444442</v>
      </c>
      <c r="N41" s="997" t="s">
        <v>152</v>
      </c>
      <c r="O41" s="1014">
        <v>4.75</v>
      </c>
      <c r="P41" s="556">
        <f t="shared" si="8"/>
        <v>37360.333333333336</v>
      </c>
      <c r="Q41" s="556">
        <f t="shared" si="9"/>
        <v>18680.166666666668</v>
      </c>
      <c r="R41" s="568"/>
      <c r="S41" s="554"/>
      <c r="T41" s="554">
        <v>0.1</v>
      </c>
      <c r="U41" s="556">
        <f t="shared" si="10"/>
        <v>5604.05</v>
      </c>
      <c r="V41" s="569"/>
      <c r="W41" s="554"/>
      <c r="X41" s="559">
        <f t="shared" si="15"/>
        <v>61644.55</v>
      </c>
      <c r="Y41" s="2215">
        <f t="shared" si="11"/>
        <v>0</v>
      </c>
      <c r="Z41" s="2215">
        <f t="shared" si="11"/>
        <v>0</v>
      </c>
      <c r="AA41" s="1153">
        <f t="shared" si="3"/>
        <v>739734.60000000009</v>
      </c>
      <c r="AB41" s="1154">
        <f t="shared" si="12"/>
        <v>117698.42482100242</v>
      </c>
      <c r="AC41" s="1154">
        <f t="shared" si="13"/>
        <v>924668.25000000012</v>
      </c>
      <c r="AD41" s="1154">
        <f t="shared" si="14"/>
        <v>147123.03102625301</v>
      </c>
      <c r="AK41" s="1782"/>
      <c r="AL41" s="1782"/>
      <c r="AM41" s="1782"/>
      <c r="AN41" s="1782"/>
      <c r="AO41" s="1782"/>
      <c r="AP41" s="1782"/>
      <c r="AQ41" s="1782"/>
      <c r="AR41" s="1692"/>
      <c r="AS41" s="1692"/>
      <c r="AT41" s="1692"/>
      <c r="AU41" s="1692"/>
      <c r="AV41" s="1692"/>
      <c r="AW41" s="1692"/>
      <c r="AX41" s="1692"/>
      <c r="AY41" s="1692"/>
      <c r="AZ41" s="1692"/>
      <c r="BA41" s="1692"/>
      <c r="BB41" s="1692"/>
      <c r="BC41" s="1692"/>
      <c r="BD41" s="1692"/>
    </row>
    <row r="42" spans="1:56" s="1154" customFormat="1" ht="15.75">
      <c r="A42" s="560">
        <v>16</v>
      </c>
      <c r="B42" s="153" t="s">
        <v>227</v>
      </c>
      <c r="C42" s="561" t="s">
        <v>99</v>
      </c>
      <c r="D42" s="560" t="s">
        <v>25</v>
      </c>
      <c r="E42" s="562" t="s">
        <v>741</v>
      </c>
      <c r="F42" s="562" t="s">
        <v>34</v>
      </c>
      <c r="G42" s="547">
        <v>1</v>
      </c>
      <c r="H42" s="580" t="s">
        <v>102</v>
      </c>
      <c r="I42" s="580" t="s">
        <v>103</v>
      </c>
      <c r="J42" s="574">
        <v>2</v>
      </c>
      <c r="K42" s="552">
        <v>17697</v>
      </c>
      <c r="L42" s="565">
        <v>5</v>
      </c>
      <c r="M42" s="554">
        <f t="shared" si="7"/>
        <v>0.27777777777777779</v>
      </c>
      <c r="N42" s="1014" t="s">
        <v>104</v>
      </c>
      <c r="O42" s="1014">
        <v>4.09</v>
      </c>
      <c r="P42" s="556">
        <f t="shared" si="8"/>
        <v>20105.758333333331</v>
      </c>
      <c r="Q42" s="556">
        <f t="shared" si="9"/>
        <v>10052.879166666666</v>
      </c>
      <c r="R42" s="568"/>
      <c r="S42" s="554"/>
      <c r="T42" s="554">
        <v>0.1</v>
      </c>
      <c r="U42" s="556">
        <f t="shared" si="10"/>
        <v>3015.86375</v>
      </c>
      <c r="V42" s="569"/>
      <c r="W42" s="554"/>
      <c r="X42" s="559">
        <f t="shared" si="15"/>
        <v>33174.501249999994</v>
      </c>
      <c r="Y42" s="2212">
        <f t="shared" si="11"/>
        <v>0</v>
      </c>
      <c r="Z42" s="2212">
        <f t="shared" si="11"/>
        <v>0</v>
      </c>
      <c r="AA42" s="1153">
        <f t="shared" si="3"/>
        <v>398094.0149999999</v>
      </c>
      <c r="AB42" s="1154">
        <f t="shared" si="12"/>
        <v>63340.336515513118</v>
      </c>
      <c r="AC42" s="1154">
        <f t="shared" si="13"/>
        <v>497617.51874999987</v>
      </c>
      <c r="AD42" s="1154">
        <f t="shared" si="14"/>
        <v>79175.420644391386</v>
      </c>
      <c r="AK42" s="23"/>
      <c r="AL42" s="23"/>
      <c r="AM42" s="23"/>
      <c r="AN42" s="23"/>
      <c r="AO42" s="23"/>
      <c r="AP42" s="23"/>
      <c r="AQ42" s="23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</row>
    <row r="43" spans="1:56" s="1154" customFormat="1" ht="15.75">
      <c r="A43" s="547">
        <v>17</v>
      </c>
      <c r="B43" s="998" t="s">
        <v>886</v>
      </c>
      <c r="C43" s="873" t="s">
        <v>99</v>
      </c>
      <c r="D43" s="874" t="s">
        <v>25</v>
      </c>
      <c r="E43" s="1539" t="s">
        <v>887</v>
      </c>
      <c r="F43" s="562" t="s">
        <v>34</v>
      </c>
      <c r="G43" s="547">
        <v>1</v>
      </c>
      <c r="H43" s="563" t="s">
        <v>102</v>
      </c>
      <c r="I43" s="563" t="s">
        <v>103</v>
      </c>
      <c r="J43" s="564">
        <v>1</v>
      </c>
      <c r="K43" s="552">
        <v>17697</v>
      </c>
      <c r="L43" s="1540">
        <v>8</v>
      </c>
      <c r="M43" s="554">
        <f t="shared" si="7"/>
        <v>0.44444444444444442</v>
      </c>
      <c r="N43" s="1157" t="s">
        <v>152</v>
      </c>
      <c r="O43" s="1157">
        <v>4.75</v>
      </c>
      <c r="P43" s="556">
        <f t="shared" si="8"/>
        <v>37360.333333333336</v>
      </c>
      <c r="Q43" s="556">
        <f t="shared" si="9"/>
        <v>18680.166666666668</v>
      </c>
      <c r="R43" s="1538"/>
      <c r="S43" s="700"/>
      <c r="T43" s="700">
        <v>0.1</v>
      </c>
      <c r="U43" s="556">
        <f t="shared" si="10"/>
        <v>5604.05</v>
      </c>
      <c r="V43" s="699"/>
      <c r="W43" s="700"/>
      <c r="X43" s="559">
        <f t="shared" si="15"/>
        <v>61644.55</v>
      </c>
      <c r="Y43" s="2214"/>
      <c r="Z43" s="2214"/>
      <c r="AA43" s="1153">
        <f t="shared" si="3"/>
        <v>739734.60000000009</v>
      </c>
      <c r="AB43" s="1154">
        <f t="shared" si="12"/>
        <v>117698.42482100242</v>
      </c>
      <c r="AC43" s="1154">
        <f t="shared" si="13"/>
        <v>924668.25000000012</v>
      </c>
      <c r="AD43" s="1154">
        <f t="shared" si="14"/>
        <v>147123.03102625301</v>
      </c>
      <c r="AK43" s="23"/>
      <c r="AL43" s="23"/>
      <c r="AM43" s="23"/>
      <c r="AN43" s="23"/>
      <c r="AO43" s="23"/>
      <c r="AP43" s="23"/>
      <c r="AQ43" s="23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</row>
    <row r="44" spans="1:56" s="1154" customFormat="1" ht="15.75">
      <c r="A44" s="560">
        <v>18</v>
      </c>
      <c r="B44" s="998" t="s">
        <v>135</v>
      </c>
      <c r="C44" s="561" t="s">
        <v>99</v>
      </c>
      <c r="D44" s="874" t="s">
        <v>25</v>
      </c>
      <c r="E44" s="1539" t="s">
        <v>852</v>
      </c>
      <c r="F44" s="562" t="s">
        <v>34</v>
      </c>
      <c r="G44" s="547">
        <v>1</v>
      </c>
      <c r="H44" s="563" t="s">
        <v>102</v>
      </c>
      <c r="I44" s="563" t="s">
        <v>103</v>
      </c>
      <c r="J44" s="564">
        <v>1</v>
      </c>
      <c r="K44" s="552">
        <v>17697</v>
      </c>
      <c r="L44" s="1540">
        <v>18</v>
      </c>
      <c r="M44" s="554">
        <f t="shared" si="7"/>
        <v>1</v>
      </c>
      <c r="N44" s="1157" t="s">
        <v>152</v>
      </c>
      <c r="O44" s="1157">
        <v>4.75</v>
      </c>
      <c r="P44" s="556">
        <f t="shared" si="8"/>
        <v>84060.75</v>
      </c>
      <c r="Q44" s="556">
        <f t="shared" si="9"/>
        <v>42030.375</v>
      </c>
      <c r="R44" s="1538"/>
      <c r="S44" s="700"/>
      <c r="T44" s="700">
        <v>0.1</v>
      </c>
      <c r="U44" s="556">
        <f t="shared" si="10"/>
        <v>12609.112500000001</v>
      </c>
      <c r="V44" s="699">
        <v>0.4</v>
      </c>
      <c r="W44" s="700">
        <f>(P44+Q44)*V44</f>
        <v>50436.450000000004</v>
      </c>
      <c r="X44" s="559">
        <f>P44+Q44+U44+W44</f>
        <v>189136.6875</v>
      </c>
      <c r="Y44" s="2214"/>
      <c r="Z44" s="2214"/>
      <c r="AA44" s="1153">
        <f t="shared" si="3"/>
        <v>2269640.25</v>
      </c>
      <c r="AB44" s="1154">
        <f t="shared" si="12"/>
        <v>361120.16706443916</v>
      </c>
      <c r="AC44" s="1154">
        <f t="shared" si="13"/>
        <v>2837050.3125</v>
      </c>
      <c r="AD44" s="1154">
        <f t="shared" si="14"/>
        <v>451400.20883054892</v>
      </c>
      <c r="AK44" s="23"/>
      <c r="AL44" s="23"/>
      <c r="AM44" s="23"/>
      <c r="AN44" s="23"/>
      <c r="AO44" s="23"/>
      <c r="AP44" s="23"/>
      <c r="AQ44" s="23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</row>
    <row r="45" spans="1:56" s="1154" customFormat="1" ht="15.75">
      <c r="A45" s="547">
        <v>19</v>
      </c>
      <c r="B45" s="153" t="s">
        <v>138</v>
      </c>
      <c r="C45" s="561" t="s">
        <v>99</v>
      </c>
      <c r="D45" s="563" t="s">
        <v>25</v>
      </c>
      <c r="E45" s="562" t="s">
        <v>853</v>
      </c>
      <c r="F45" s="562" t="s">
        <v>854</v>
      </c>
      <c r="G45" s="547">
        <v>1</v>
      </c>
      <c r="H45" s="563" t="s">
        <v>102</v>
      </c>
      <c r="I45" s="563" t="s">
        <v>103</v>
      </c>
      <c r="J45" s="1584">
        <v>3</v>
      </c>
      <c r="K45" s="552">
        <v>17697</v>
      </c>
      <c r="L45" s="565">
        <v>20</v>
      </c>
      <c r="M45" s="554">
        <f t="shared" si="7"/>
        <v>1.1111111111111112</v>
      </c>
      <c r="N45" s="1585" t="s">
        <v>109</v>
      </c>
      <c r="O45" s="1014">
        <v>4.1399999999999997</v>
      </c>
      <c r="P45" s="556">
        <f t="shared" si="8"/>
        <v>81406.199999999983</v>
      </c>
      <c r="Q45" s="556">
        <f t="shared" si="9"/>
        <v>40703.099999999991</v>
      </c>
      <c r="R45" s="568"/>
      <c r="S45" s="554"/>
      <c r="T45" s="554">
        <v>0.1</v>
      </c>
      <c r="U45" s="556">
        <f t="shared" si="10"/>
        <v>12210.929999999998</v>
      </c>
      <c r="V45" s="569"/>
      <c r="W45" s="554"/>
      <c r="X45" s="559">
        <f t="shared" si="15"/>
        <v>134320.22999999998</v>
      </c>
      <c r="Y45" s="1155"/>
      <c r="Z45" s="1155"/>
      <c r="AA45" s="1153">
        <f t="shared" si="3"/>
        <v>1611842.7599999998</v>
      </c>
      <c r="AB45" s="1154">
        <f t="shared" si="12"/>
        <v>256458.67303102626</v>
      </c>
      <c r="AC45" s="1154">
        <f t="shared" si="13"/>
        <v>2014803.4499999997</v>
      </c>
      <c r="AD45" s="1154">
        <f t="shared" si="14"/>
        <v>320573.34128878283</v>
      </c>
      <c r="AK45" s="23"/>
      <c r="AL45" s="23"/>
      <c r="AM45" s="23"/>
      <c r="AN45" s="23"/>
      <c r="AO45" s="23"/>
      <c r="AP45" s="23"/>
      <c r="AQ45" s="23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</row>
    <row r="46" spans="1:56" s="1154" customFormat="1" ht="15.75">
      <c r="A46" s="560">
        <v>20</v>
      </c>
      <c r="B46" s="153" t="s">
        <v>58</v>
      </c>
      <c r="C46" s="561" t="s">
        <v>99</v>
      </c>
      <c r="D46" s="563" t="s">
        <v>25</v>
      </c>
      <c r="E46" s="562" t="s">
        <v>608</v>
      </c>
      <c r="F46" s="562" t="s">
        <v>366</v>
      </c>
      <c r="G46" s="547">
        <v>1</v>
      </c>
      <c r="H46" s="563" t="s">
        <v>102</v>
      </c>
      <c r="I46" s="563" t="s">
        <v>103</v>
      </c>
      <c r="J46" s="581">
        <v>2</v>
      </c>
      <c r="K46" s="552">
        <v>17697</v>
      </c>
      <c r="L46" s="565">
        <v>17</v>
      </c>
      <c r="M46" s="554">
        <f t="shared" si="7"/>
        <v>0.94444444444444442</v>
      </c>
      <c r="N46" s="1014" t="s">
        <v>104</v>
      </c>
      <c r="O46" s="1014">
        <v>4.4400000000000004</v>
      </c>
      <c r="P46" s="556">
        <f t="shared" si="8"/>
        <v>74209.42</v>
      </c>
      <c r="Q46" s="556">
        <f t="shared" si="9"/>
        <v>37104.71</v>
      </c>
      <c r="R46" s="568"/>
      <c r="S46" s="554"/>
      <c r="T46" s="554">
        <v>0.1</v>
      </c>
      <c r="U46" s="556">
        <f t="shared" si="10"/>
        <v>11131.413</v>
      </c>
      <c r="V46" s="569"/>
      <c r="W46" s="554"/>
      <c r="X46" s="559">
        <f t="shared" si="15"/>
        <v>122445.54300000001</v>
      </c>
      <c r="Y46" s="2212">
        <f t="shared" si="11"/>
        <v>0</v>
      </c>
      <c r="Z46" s="2212">
        <f t="shared" si="11"/>
        <v>0</v>
      </c>
      <c r="AA46" s="1153">
        <f t="shared" si="3"/>
        <v>1469346.5160000001</v>
      </c>
      <c r="AB46" s="1154">
        <f t="shared" si="12"/>
        <v>233786.23961813847</v>
      </c>
      <c r="AC46" s="1154">
        <f t="shared" si="13"/>
        <v>1836683.145</v>
      </c>
      <c r="AD46" s="1154">
        <f t="shared" si="14"/>
        <v>292232.79952267301</v>
      </c>
      <c r="AK46" s="23"/>
      <c r="AL46" s="23"/>
      <c r="AM46" s="23"/>
      <c r="AN46" s="23"/>
      <c r="AO46" s="23"/>
      <c r="AP46" s="23"/>
      <c r="AQ46" s="23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</row>
    <row r="47" spans="1:56" s="1154" customFormat="1" ht="15.75">
      <c r="A47" s="547">
        <v>21</v>
      </c>
      <c r="B47" s="153" t="s">
        <v>145</v>
      </c>
      <c r="C47" s="561" t="s">
        <v>99</v>
      </c>
      <c r="D47" s="563" t="s">
        <v>25</v>
      </c>
      <c r="E47" s="562" t="s">
        <v>855</v>
      </c>
      <c r="F47" s="562" t="s">
        <v>73</v>
      </c>
      <c r="G47" s="547">
        <v>1</v>
      </c>
      <c r="H47" s="563" t="s">
        <v>102</v>
      </c>
      <c r="I47" s="563" t="s">
        <v>103</v>
      </c>
      <c r="J47" s="581">
        <v>2</v>
      </c>
      <c r="K47" s="552">
        <v>17697</v>
      </c>
      <c r="L47" s="565">
        <v>12</v>
      </c>
      <c r="M47" s="554">
        <f t="shared" si="7"/>
        <v>0.66666666666666663</v>
      </c>
      <c r="N47" s="1581" t="s">
        <v>104</v>
      </c>
      <c r="O47" s="1014">
        <v>4.16</v>
      </c>
      <c r="P47" s="556">
        <f t="shared" si="8"/>
        <v>49079.68</v>
      </c>
      <c r="Q47" s="556">
        <f t="shared" si="9"/>
        <v>24539.84</v>
      </c>
      <c r="R47" s="568"/>
      <c r="S47" s="554"/>
      <c r="T47" s="554">
        <v>0.1</v>
      </c>
      <c r="U47" s="556">
        <f t="shared" si="10"/>
        <v>7361.9520000000011</v>
      </c>
      <c r="V47" s="569"/>
      <c r="W47" s="554"/>
      <c r="X47" s="559">
        <f t="shared" si="15"/>
        <v>80981.472000000009</v>
      </c>
      <c r="Y47" s="2212">
        <f t="shared" si="11"/>
        <v>0</v>
      </c>
      <c r="Z47" s="2212">
        <f t="shared" si="11"/>
        <v>0</v>
      </c>
      <c r="AA47" s="1153">
        <f t="shared" si="3"/>
        <v>971777.66400000011</v>
      </c>
      <c r="AB47" s="1154">
        <f t="shared" si="12"/>
        <v>154618.56229116948</v>
      </c>
      <c r="AC47" s="1154">
        <f t="shared" si="13"/>
        <v>1214722.08</v>
      </c>
      <c r="AD47" s="1154">
        <f t="shared" si="14"/>
        <v>193273.20286396187</v>
      </c>
      <c r="AK47" s="23"/>
      <c r="AL47" s="23"/>
      <c r="AM47" s="23"/>
      <c r="AN47" s="23"/>
      <c r="AO47" s="23"/>
      <c r="AP47" s="23"/>
      <c r="AQ47" s="23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</row>
    <row r="48" spans="1:56" s="1154" customFormat="1" ht="15.75">
      <c r="A48" s="560">
        <v>22</v>
      </c>
      <c r="B48" s="153" t="s">
        <v>143</v>
      </c>
      <c r="C48" s="561" t="s">
        <v>99</v>
      </c>
      <c r="D48" s="563" t="s">
        <v>25</v>
      </c>
      <c r="E48" s="562" t="s">
        <v>856</v>
      </c>
      <c r="F48" s="562" t="s">
        <v>239</v>
      </c>
      <c r="G48" s="547">
        <v>1</v>
      </c>
      <c r="H48" s="563" t="s">
        <v>102</v>
      </c>
      <c r="I48" s="563" t="s">
        <v>103</v>
      </c>
      <c r="J48" s="581">
        <v>1</v>
      </c>
      <c r="K48" s="552">
        <v>17697</v>
      </c>
      <c r="L48" s="565">
        <v>29</v>
      </c>
      <c r="M48" s="554">
        <f t="shared" si="7"/>
        <v>1.6111111111111112</v>
      </c>
      <c r="N48" s="574" t="s">
        <v>152</v>
      </c>
      <c r="O48" s="1014">
        <v>4.49</v>
      </c>
      <c r="P48" s="556">
        <f t="shared" si="8"/>
        <v>128018.13166666665</v>
      </c>
      <c r="Q48" s="556">
        <f t="shared" si="9"/>
        <v>64009.065833333327</v>
      </c>
      <c r="R48" s="568"/>
      <c r="S48" s="554"/>
      <c r="T48" s="554">
        <v>0.1</v>
      </c>
      <c r="U48" s="556">
        <f t="shared" si="10"/>
        <v>19202.71975</v>
      </c>
      <c r="V48" s="569"/>
      <c r="W48" s="554"/>
      <c r="X48" s="559">
        <f t="shared" si="15"/>
        <v>211229.91724999997</v>
      </c>
      <c r="Y48" s="2212">
        <f t="shared" si="11"/>
        <v>0</v>
      </c>
      <c r="Z48" s="2212">
        <f t="shared" si="11"/>
        <v>0</v>
      </c>
      <c r="AA48" s="1153">
        <f t="shared" si="3"/>
        <v>2534759.0069999998</v>
      </c>
      <c r="AB48" s="1154">
        <f t="shared" si="12"/>
        <v>403302.94463007158</v>
      </c>
      <c r="AC48" s="1154">
        <f t="shared" si="13"/>
        <v>3168448.7587499996</v>
      </c>
      <c r="AD48" s="1154">
        <f t="shared" si="14"/>
        <v>504128.68078758952</v>
      </c>
      <c r="AK48" s="23"/>
      <c r="AL48" s="23"/>
      <c r="AM48" s="23"/>
      <c r="AN48" s="23"/>
      <c r="AO48" s="23"/>
      <c r="AP48" s="23"/>
      <c r="AQ48" s="23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</row>
    <row r="49" spans="1:56" s="1154" customFormat="1" ht="15.75">
      <c r="A49" s="547">
        <v>23</v>
      </c>
      <c r="B49" s="153" t="s">
        <v>447</v>
      </c>
      <c r="C49" s="561" t="s">
        <v>99</v>
      </c>
      <c r="D49" s="563" t="s">
        <v>75</v>
      </c>
      <c r="E49" s="1586" t="s">
        <v>857</v>
      </c>
      <c r="F49" s="1586" t="s">
        <v>602</v>
      </c>
      <c r="G49" s="547">
        <v>1</v>
      </c>
      <c r="H49" s="563" t="s">
        <v>102</v>
      </c>
      <c r="I49" s="563" t="s">
        <v>118</v>
      </c>
      <c r="J49" s="581">
        <v>4</v>
      </c>
      <c r="K49" s="552">
        <v>17697</v>
      </c>
      <c r="L49" s="565">
        <v>8</v>
      </c>
      <c r="M49" s="554">
        <f t="shared" si="7"/>
        <v>0.44444444444444442</v>
      </c>
      <c r="N49" s="574" t="s">
        <v>112</v>
      </c>
      <c r="O49" s="1014">
        <v>3.36</v>
      </c>
      <c r="P49" s="556">
        <f t="shared" si="8"/>
        <v>26427.52</v>
      </c>
      <c r="Q49" s="556">
        <f t="shared" si="9"/>
        <v>13213.76</v>
      </c>
      <c r="R49" s="568"/>
      <c r="S49" s="554"/>
      <c r="T49" s="554">
        <v>0.1</v>
      </c>
      <c r="U49" s="556">
        <f t="shared" si="10"/>
        <v>3964.1280000000002</v>
      </c>
      <c r="V49" s="569"/>
      <c r="W49" s="554"/>
      <c r="X49" s="559">
        <f t="shared" si="15"/>
        <v>43605.407999999996</v>
      </c>
      <c r="Y49" s="2212">
        <f t="shared" si="11"/>
        <v>0</v>
      </c>
      <c r="Z49" s="2212">
        <f t="shared" si="11"/>
        <v>0</v>
      </c>
      <c r="AA49" s="1153">
        <f t="shared" si="3"/>
        <v>523264.89599999995</v>
      </c>
      <c r="AB49" s="1154">
        <f t="shared" si="12"/>
        <v>83256.148926014313</v>
      </c>
      <c r="AC49" s="1154">
        <f t="shared" si="13"/>
        <v>654081.11999999988</v>
      </c>
      <c r="AD49" s="1154">
        <f t="shared" si="14"/>
        <v>104070.18615751789</v>
      </c>
      <c r="AK49" s="23"/>
      <c r="AL49" s="23"/>
      <c r="AM49" s="23"/>
      <c r="AN49" s="23"/>
      <c r="AO49" s="23"/>
      <c r="AP49" s="23"/>
      <c r="AQ49" s="23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</row>
    <row r="50" spans="1:56" s="1154" customFormat="1" ht="15.75">
      <c r="A50" s="560">
        <v>24</v>
      </c>
      <c r="B50" s="153" t="s">
        <v>147</v>
      </c>
      <c r="C50" s="561" t="s">
        <v>148</v>
      </c>
      <c r="D50" s="563" t="s">
        <v>25</v>
      </c>
      <c r="E50" s="562" t="s">
        <v>858</v>
      </c>
      <c r="F50" s="562" t="s">
        <v>34</v>
      </c>
      <c r="G50" s="547">
        <v>1</v>
      </c>
      <c r="H50" s="563" t="s">
        <v>102</v>
      </c>
      <c r="I50" s="563" t="s">
        <v>103</v>
      </c>
      <c r="J50" s="564">
        <v>3</v>
      </c>
      <c r="K50" s="552">
        <v>17697</v>
      </c>
      <c r="L50" s="565">
        <v>36</v>
      </c>
      <c r="M50" s="554">
        <f t="shared" si="7"/>
        <v>2</v>
      </c>
      <c r="N50" s="566" t="s">
        <v>109</v>
      </c>
      <c r="O50" s="1014">
        <v>4.5</v>
      </c>
      <c r="P50" s="556">
        <f t="shared" si="8"/>
        <v>159273</v>
      </c>
      <c r="Q50" s="556">
        <f t="shared" si="9"/>
        <v>79636.5</v>
      </c>
      <c r="R50" s="568"/>
      <c r="S50" s="554"/>
      <c r="T50" s="554">
        <v>0.1</v>
      </c>
      <c r="U50" s="556">
        <f t="shared" si="10"/>
        <v>23890.95</v>
      </c>
      <c r="V50" s="569"/>
      <c r="W50" s="554"/>
      <c r="X50" s="559">
        <f t="shared" si="15"/>
        <v>262800.45</v>
      </c>
      <c r="Y50" s="2212">
        <f t="shared" si="11"/>
        <v>0</v>
      </c>
      <c r="Z50" s="2212">
        <f t="shared" si="11"/>
        <v>0</v>
      </c>
      <c r="AA50" s="1153">
        <f t="shared" si="3"/>
        <v>3153605.4000000004</v>
      </c>
      <c r="AB50" s="1154">
        <f t="shared" si="12"/>
        <v>501766.96897374711</v>
      </c>
      <c r="AC50" s="1154">
        <f t="shared" si="13"/>
        <v>3942006.7500000005</v>
      </c>
      <c r="AD50" s="1154">
        <f t="shared" si="14"/>
        <v>627208.71121718385</v>
      </c>
      <c r="AK50" s="23"/>
      <c r="AL50" s="23"/>
      <c r="AM50" s="23"/>
      <c r="AN50" s="23"/>
      <c r="AO50" s="23"/>
      <c r="AP50" s="23"/>
      <c r="AQ50" s="23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</row>
    <row r="51" spans="1:56" s="1971" customFormat="1" ht="15.75">
      <c r="A51" s="547">
        <v>25</v>
      </c>
      <c r="B51" s="153" t="s">
        <v>91</v>
      </c>
      <c r="C51" s="561" t="s">
        <v>99</v>
      </c>
      <c r="D51" s="563" t="s">
        <v>25</v>
      </c>
      <c r="E51" s="562" t="s">
        <v>942</v>
      </c>
      <c r="F51" s="562" t="s">
        <v>93</v>
      </c>
      <c r="G51" s="547">
        <v>1</v>
      </c>
      <c r="H51" s="563" t="s">
        <v>102</v>
      </c>
      <c r="I51" s="563" t="s">
        <v>103</v>
      </c>
      <c r="J51" s="581">
        <v>1</v>
      </c>
      <c r="K51" s="552">
        <v>17697</v>
      </c>
      <c r="L51" s="565">
        <v>9</v>
      </c>
      <c r="M51" s="554">
        <f t="shared" si="7"/>
        <v>0.5</v>
      </c>
      <c r="N51" s="574" t="s">
        <v>152</v>
      </c>
      <c r="O51" s="1014">
        <v>4.6900000000000004</v>
      </c>
      <c r="P51" s="556">
        <f t="shared" si="8"/>
        <v>41499.465000000004</v>
      </c>
      <c r="Q51" s="556">
        <f t="shared" si="9"/>
        <v>20749.732500000002</v>
      </c>
      <c r="R51" s="568"/>
      <c r="S51" s="554"/>
      <c r="T51" s="554">
        <v>0.1</v>
      </c>
      <c r="U51" s="556">
        <f t="shared" si="10"/>
        <v>6224.9197500000009</v>
      </c>
      <c r="V51" s="569"/>
      <c r="W51" s="554"/>
      <c r="X51" s="559">
        <f t="shared" si="15"/>
        <v>68474.11725000001</v>
      </c>
      <c r="Y51" s="141">
        <f t="shared" si="11"/>
        <v>0</v>
      </c>
      <c r="Z51" s="141">
        <f t="shared" si="11"/>
        <v>0</v>
      </c>
      <c r="AA51" s="1970">
        <f t="shared" si="3"/>
        <v>821689.40700000012</v>
      </c>
      <c r="AB51" s="1971">
        <f t="shared" si="12"/>
        <v>130738.17136038191</v>
      </c>
      <c r="AC51" s="1971">
        <f t="shared" si="13"/>
        <v>1027111.7587500002</v>
      </c>
      <c r="AD51" s="1971">
        <f t="shared" si="14"/>
        <v>163422.71420047735</v>
      </c>
      <c r="AK51" s="23"/>
      <c r="AL51" s="23"/>
      <c r="AM51" s="23"/>
      <c r="AN51" s="23"/>
      <c r="AO51" s="23"/>
      <c r="AP51" s="23"/>
      <c r="AQ51" s="23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</row>
    <row r="52" spans="1:56" s="2206" customFormat="1" ht="15.75">
      <c r="A52" s="560">
        <v>26</v>
      </c>
      <c r="B52" s="153" t="s">
        <v>150</v>
      </c>
      <c r="C52" s="561" t="s">
        <v>99</v>
      </c>
      <c r="D52" s="563" t="s">
        <v>25</v>
      </c>
      <c r="E52" s="562" t="s">
        <v>860</v>
      </c>
      <c r="F52" s="562" t="s">
        <v>34</v>
      </c>
      <c r="G52" s="547">
        <v>1</v>
      </c>
      <c r="H52" s="563" t="s">
        <v>102</v>
      </c>
      <c r="I52" s="563" t="s">
        <v>103</v>
      </c>
      <c r="J52" s="564">
        <v>1</v>
      </c>
      <c r="K52" s="552">
        <v>17697</v>
      </c>
      <c r="L52" s="565">
        <v>27</v>
      </c>
      <c r="M52" s="554">
        <f t="shared" si="7"/>
        <v>1.5</v>
      </c>
      <c r="N52" s="997" t="s">
        <v>152</v>
      </c>
      <c r="O52" s="1014">
        <v>4.75</v>
      </c>
      <c r="P52" s="556">
        <f>O52*K52/18*L52</f>
        <v>126091.12500000001</v>
      </c>
      <c r="Q52" s="556">
        <f>P52*50%</f>
        <v>63045.562500000007</v>
      </c>
      <c r="R52" s="568"/>
      <c r="S52" s="554"/>
      <c r="T52" s="554">
        <v>0.1</v>
      </c>
      <c r="U52" s="556">
        <f t="shared" si="10"/>
        <v>18913.668750000004</v>
      </c>
      <c r="V52" s="569">
        <v>0.4</v>
      </c>
      <c r="W52" s="554">
        <f>(P52+Q52)*40%</f>
        <v>75654.675000000017</v>
      </c>
      <c r="X52" s="559">
        <f>P52+Q52+U52+W52</f>
        <v>283705.03125000006</v>
      </c>
      <c r="Y52" s="2208">
        <f t="shared" si="11"/>
        <v>0.4</v>
      </c>
      <c r="Z52" s="2208">
        <f t="shared" si="11"/>
        <v>75654.675000000017</v>
      </c>
      <c r="AA52" s="2205">
        <f t="shared" si="3"/>
        <v>3404460.3750000009</v>
      </c>
      <c r="AB52" s="2206">
        <f t="shared" si="12"/>
        <v>541680.25059665891</v>
      </c>
      <c r="AC52" s="2206">
        <f t="shared" si="13"/>
        <v>4255575.4687500009</v>
      </c>
      <c r="AD52" s="2206">
        <f t="shared" si="14"/>
        <v>677100.31324582361</v>
      </c>
      <c r="AK52" s="23"/>
      <c r="AL52" s="23"/>
      <c r="AM52" s="23"/>
      <c r="AN52" s="23"/>
      <c r="AO52" s="23"/>
      <c r="AP52" s="23"/>
      <c r="AQ52" s="23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</row>
    <row r="53" spans="1:56" s="1971" customFormat="1" ht="15.75">
      <c r="A53" s="547">
        <v>27</v>
      </c>
      <c r="B53" s="998" t="s">
        <v>153</v>
      </c>
      <c r="C53" s="549" t="s">
        <v>99</v>
      </c>
      <c r="D53" s="874" t="s">
        <v>25</v>
      </c>
      <c r="E53" s="874" t="s">
        <v>861</v>
      </c>
      <c r="F53" s="562" t="s">
        <v>34</v>
      </c>
      <c r="G53" s="547">
        <v>1</v>
      </c>
      <c r="H53" s="874" t="s">
        <v>102</v>
      </c>
      <c r="I53" s="874" t="s">
        <v>103</v>
      </c>
      <c r="J53" s="1647">
        <v>1</v>
      </c>
      <c r="K53" s="552">
        <v>17697</v>
      </c>
      <c r="L53" s="1540">
        <v>10</v>
      </c>
      <c r="M53" s="554">
        <f t="shared" si="7"/>
        <v>0.55555555555555558</v>
      </c>
      <c r="N53" s="1004" t="s">
        <v>152</v>
      </c>
      <c r="O53" s="1157">
        <v>4.75</v>
      </c>
      <c r="P53" s="556">
        <f t="shared" si="8"/>
        <v>46700.416666666672</v>
      </c>
      <c r="Q53" s="556">
        <f t="shared" si="9"/>
        <v>23350.208333333336</v>
      </c>
      <c r="R53" s="1538"/>
      <c r="S53" s="700"/>
      <c r="T53" s="554">
        <v>0.1</v>
      </c>
      <c r="U53" s="556">
        <f t="shared" si="10"/>
        <v>7005.0625</v>
      </c>
      <c r="V53" s="699"/>
      <c r="W53" s="700"/>
      <c r="X53" s="559">
        <f t="shared" si="15"/>
        <v>77055.6875</v>
      </c>
      <c r="Y53" s="2006"/>
      <c r="Z53" s="2006"/>
      <c r="AA53" s="1970"/>
      <c r="AK53" s="23"/>
      <c r="AL53" s="23"/>
      <c r="AM53" s="23"/>
      <c r="AN53" s="23"/>
      <c r="AO53" s="23"/>
      <c r="AP53" s="23"/>
      <c r="AQ53" s="23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</row>
    <row r="54" spans="1:56" s="2206" customFormat="1" ht="15.75">
      <c r="A54" s="560">
        <v>28</v>
      </c>
      <c r="B54" s="153" t="s">
        <v>157</v>
      </c>
      <c r="C54" s="561" t="s">
        <v>99</v>
      </c>
      <c r="D54" s="563" t="s">
        <v>75</v>
      </c>
      <c r="E54" s="562" t="s">
        <v>862</v>
      </c>
      <c r="F54" s="562" t="s">
        <v>108</v>
      </c>
      <c r="G54" s="547">
        <v>1</v>
      </c>
      <c r="H54" s="563" t="s">
        <v>102</v>
      </c>
      <c r="I54" s="563" t="s">
        <v>118</v>
      </c>
      <c r="J54" s="564">
        <v>3</v>
      </c>
      <c r="K54" s="552">
        <v>17697</v>
      </c>
      <c r="L54" s="565">
        <v>29</v>
      </c>
      <c r="M54" s="554">
        <f t="shared" si="7"/>
        <v>1.6111111111111112</v>
      </c>
      <c r="N54" s="997" t="s">
        <v>109</v>
      </c>
      <c r="O54" s="1014">
        <v>3.79</v>
      </c>
      <c r="P54" s="556">
        <f t="shared" si="8"/>
        <v>108059.84833333334</v>
      </c>
      <c r="Q54" s="556">
        <f t="shared" si="9"/>
        <v>54029.924166666671</v>
      </c>
      <c r="R54" s="568"/>
      <c r="S54" s="554"/>
      <c r="T54" s="554">
        <v>0.1</v>
      </c>
      <c r="U54" s="556">
        <f t="shared" si="10"/>
        <v>16208.977250000004</v>
      </c>
      <c r="V54" s="569">
        <v>0.3</v>
      </c>
      <c r="W54" s="554">
        <f>(P54+Q54)*V54</f>
        <v>48626.931750000003</v>
      </c>
      <c r="X54" s="559">
        <f>P54+Q54+U54+W54</f>
        <v>226925.68150000001</v>
      </c>
      <c r="Y54" s="2204">
        <f t="shared" si="11"/>
        <v>0.3</v>
      </c>
      <c r="Z54" s="2204">
        <f t="shared" si="11"/>
        <v>48626.931750000003</v>
      </c>
      <c r="AA54" s="2205">
        <f t="shared" si="3"/>
        <v>2723108.1780000003</v>
      </c>
      <c r="AB54" s="2206">
        <f t="shared" si="12"/>
        <v>433270.9909307877</v>
      </c>
      <c r="AC54" s="2206">
        <f t="shared" si="13"/>
        <v>3403885.2225000001</v>
      </c>
      <c r="AD54" s="2206">
        <f t="shared" si="14"/>
        <v>541588.73866348458</v>
      </c>
      <c r="AK54" s="23"/>
      <c r="AL54" s="23"/>
      <c r="AM54" s="23"/>
      <c r="AN54" s="23"/>
      <c r="AO54" s="23"/>
      <c r="AP54" s="23"/>
      <c r="AQ54" s="23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</row>
    <row r="55" spans="1:56" s="1971" customFormat="1" ht="15.75">
      <c r="A55" s="547">
        <v>29</v>
      </c>
      <c r="B55" s="153" t="s">
        <v>160</v>
      </c>
      <c r="C55" s="561" t="s">
        <v>148</v>
      </c>
      <c r="D55" s="563" t="s">
        <v>25</v>
      </c>
      <c r="E55" s="562" t="s">
        <v>863</v>
      </c>
      <c r="F55" s="562" t="s">
        <v>34</v>
      </c>
      <c r="G55" s="547">
        <v>1</v>
      </c>
      <c r="H55" s="563" t="s">
        <v>102</v>
      </c>
      <c r="I55" s="563" t="s">
        <v>103</v>
      </c>
      <c r="J55" s="564">
        <v>2</v>
      </c>
      <c r="K55" s="552">
        <v>17697</v>
      </c>
      <c r="L55" s="565">
        <v>30</v>
      </c>
      <c r="M55" s="554">
        <f t="shared" si="7"/>
        <v>1.6666666666666667</v>
      </c>
      <c r="N55" s="566" t="s">
        <v>104</v>
      </c>
      <c r="O55" s="1014">
        <v>4.51</v>
      </c>
      <c r="P55" s="556">
        <f t="shared" si="8"/>
        <v>133022.45000000001</v>
      </c>
      <c r="Q55" s="556">
        <f t="shared" si="9"/>
        <v>66511.225000000006</v>
      </c>
      <c r="R55" s="568"/>
      <c r="S55" s="554"/>
      <c r="T55" s="554">
        <v>0.1</v>
      </c>
      <c r="U55" s="556">
        <f t="shared" si="10"/>
        <v>19953.367500000004</v>
      </c>
      <c r="V55" s="569"/>
      <c r="W55" s="554"/>
      <c r="X55" s="559">
        <f t="shared" si="15"/>
        <v>219487.04250000001</v>
      </c>
      <c r="Y55" s="141">
        <f>V55+R55</f>
        <v>0</v>
      </c>
      <c r="Z55" s="141">
        <f>W55+S55</f>
        <v>0</v>
      </c>
      <c r="AA55" s="1970">
        <f t="shared" si="3"/>
        <v>2633844.5100000002</v>
      </c>
      <c r="AB55" s="1971">
        <f t="shared" si="12"/>
        <v>419068.33890214801</v>
      </c>
      <c r="AC55" s="1971">
        <f t="shared" si="13"/>
        <v>3292305.6375000002</v>
      </c>
      <c r="AD55" s="1971">
        <f t="shared" si="14"/>
        <v>523835.42362768506</v>
      </c>
      <c r="AK55" s="23"/>
      <c r="AL55" s="23"/>
      <c r="AM55" s="23"/>
      <c r="AN55" s="23"/>
      <c r="AO55" s="23"/>
      <c r="AP55" s="23"/>
      <c r="AQ55" s="23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</row>
    <row r="56" spans="1:56" s="1971" customFormat="1" ht="15.75">
      <c r="A56" s="560">
        <v>30</v>
      </c>
      <c r="B56" s="998" t="s">
        <v>832</v>
      </c>
      <c r="C56" s="873" t="s">
        <v>833</v>
      </c>
      <c r="D56" s="1002" t="s">
        <v>75</v>
      </c>
      <c r="E56" s="1539" t="s">
        <v>601</v>
      </c>
      <c r="F56" s="1539" t="s">
        <v>837</v>
      </c>
      <c r="G56" s="547">
        <v>1</v>
      </c>
      <c r="H56" s="563" t="s">
        <v>102</v>
      </c>
      <c r="I56" s="563" t="s">
        <v>118</v>
      </c>
      <c r="J56" s="564">
        <v>4</v>
      </c>
      <c r="K56" s="552">
        <v>17697</v>
      </c>
      <c r="L56" s="1540">
        <v>12</v>
      </c>
      <c r="M56" s="554">
        <f t="shared" si="7"/>
        <v>0.66666666666666663</v>
      </c>
      <c r="N56" s="1583" t="s">
        <v>112</v>
      </c>
      <c r="O56" s="1157">
        <v>3.32</v>
      </c>
      <c r="P56" s="556">
        <f t="shared" si="8"/>
        <v>39169.359999999993</v>
      </c>
      <c r="Q56" s="556">
        <f t="shared" si="9"/>
        <v>19584.679999999997</v>
      </c>
      <c r="R56" s="1538"/>
      <c r="S56" s="700"/>
      <c r="T56" s="700">
        <v>0.1</v>
      </c>
      <c r="U56" s="556">
        <f t="shared" si="10"/>
        <v>5875.4039999999995</v>
      </c>
      <c r="V56" s="699"/>
      <c r="W56" s="700"/>
      <c r="X56" s="559">
        <f t="shared" si="15"/>
        <v>64629.443999999996</v>
      </c>
      <c r="Y56" s="2012"/>
      <c r="Z56" s="2012"/>
      <c r="AA56" s="1970">
        <f t="shared" si="3"/>
        <v>775553.32799999998</v>
      </c>
      <c r="AB56" s="1971">
        <f t="shared" si="12"/>
        <v>123397.50644391407</v>
      </c>
      <c r="AC56" s="1971">
        <f t="shared" si="13"/>
        <v>969441.65999999992</v>
      </c>
      <c r="AD56" s="1971">
        <f t="shared" si="14"/>
        <v>154246.88305489259</v>
      </c>
      <c r="AK56" s="23"/>
      <c r="AL56" s="23"/>
      <c r="AM56" s="23"/>
      <c r="AN56" s="23"/>
      <c r="AO56" s="23"/>
      <c r="AP56" s="23"/>
      <c r="AQ56" s="23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</row>
    <row r="57" spans="1:56" s="1971" customFormat="1" ht="15.75">
      <c r="A57" s="547">
        <v>31</v>
      </c>
      <c r="B57" s="153" t="s">
        <v>162</v>
      </c>
      <c r="C57" s="561" t="s">
        <v>99</v>
      </c>
      <c r="D57" s="563" t="s">
        <v>25</v>
      </c>
      <c r="E57" s="582" t="s">
        <v>194</v>
      </c>
      <c r="F57" s="562" t="s">
        <v>77</v>
      </c>
      <c r="G57" s="547">
        <v>1</v>
      </c>
      <c r="H57" s="563" t="s">
        <v>102</v>
      </c>
      <c r="I57" s="563" t="s">
        <v>103</v>
      </c>
      <c r="J57" s="581">
        <v>4</v>
      </c>
      <c r="K57" s="552">
        <v>17697</v>
      </c>
      <c r="L57" s="565">
        <v>30</v>
      </c>
      <c r="M57" s="554">
        <f t="shared" si="7"/>
        <v>1.6666666666666667</v>
      </c>
      <c r="N57" s="574" t="s">
        <v>112</v>
      </c>
      <c r="O57" s="1014">
        <v>3.71</v>
      </c>
      <c r="P57" s="556">
        <f t="shared" si="8"/>
        <v>109426.45</v>
      </c>
      <c r="Q57" s="556">
        <f t="shared" si="9"/>
        <v>54713.224999999999</v>
      </c>
      <c r="R57" s="568"/>
      <c r="S57" s="554"/>
      <c r="T57" s="554">
        <v>0.1</v>
      </c>
      <c r="U57" s="556">
        <f t="shared" si="10"/>
        <v>16413.967499999999</v>
      </c>
      <c r="V57" s="569"/>
      <c r="W57" s="554"/>
      <c r="X57" s="559">
        <f t="shared" si="15"/>
        <v>180553.64249999999</v>
      </c>
      <c r="Y57" s="141">
        <f t="shared" si="11"/>
        <v>0</v>
      </c>
      <c r="Z57" s="141">
        <f t="shared" si="11"/>
        <v>0</v>
      </c>
      <c r="AA57" s="1970">
        <f t="shared" si="3"/>
        <v>2166643.71</v>
      </c>
      <c r="AB57" s="1971">
        <f t="shared" si="12"/>
        <v>344732.49164677801</v>
      </c>
      <c r="AC57" s="1971">
        <f t="shared" si="13"/>
        <v>2708304.6375000002</v>
      </c>
      <c r="AD57" s="1971">
        <f t="shared" si="14"/>
        <v>430915.61455847259</v>
      </c>
      <c r="AK57" s="23"/>
      <c r="AL57" s="23"/>
      <c r="AM57" s="23"/>
      <c r="AN57" s="23"/>
      <c r="AO57" s="23"/>
      <c r="AP57" s="23"/>
      <c r="AQ57" s="23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</row>
    <row r="58" spans="1:56" s="1971" customFormat="1" ht="15.75">
      <c r="A58" s="560">
        <v>32</v>
      </c>
      <c r="B58" s="153" t="s">
        <v>166</v>
      </c>
      <c r="C58" s="561" t="s">
        <v>99</v>
      </c>
      <c r="D58" s="563" t="s">
        <v>25</v>
      </c>
      <c r="E58" s="562" t="s">
        <v>244</v>
      </c>
      <c r="F58" s="562" t="s">
        <v>239</v>
      </c>
      <c r="G58" s="547">
        <v>1</v>
      </c>
      <c r="H58" s="563" t="s">
        <v>102</v>
      </c>
      <c r="I58" s="563" t="s">
        <v>103</v>
      </c>
      <c r="J58" s="581">
        <v>1</v>
      </c>
      <c r="K58" s="552">
        <v>17697</v>
      </c>
      <c r="L58" s="565">
        <v>36</v>
      </c>
      <c r="M58" s="554">
        <f t="shared" si="7"/>
        <v>2</v>
      </c>
      <c r="N58" s="574" t="s">
        <v>152</v>
      </c>
      <c r="O58" s="1582">
        <v>4.49</v>
      </c>
      <c r="P58" s="556">
        <f t="shared" si="8"/>
        <v>158919.06</v>
      </c>
      <c r="Q58" s="556">
        <f t="shared" si="9"/>
        <v>79459.53</v>
      </c>
      <c r="R58" s="568"/>
      <c r="S58" s="554"/>
      <c r="T58" s="554">
        <v>0.1</v>
      </c>
      <c r="U58" s="556">
        <f t="shared" si="10"/>
        <v>23837.859</v>
      </c>
      <c r="V58" s="569"/>
      <c r="W58" s="554"/>
      <c r="X58" s="559">
        <f t="shared" si="15"/>
        <v>262216.44900000002</v>
      </c>
      <c r="Y58" s="141">
        <f t="shared" si="11"/>
        <v>0</v>
      </c>
      <c r="Z58" s="141">
        <f t="shared" si="11"/>
        <v>0</v>
      </c>
      <c r="AA58" s="1970">
        <f t="shared" si="3"/>
        <v>3146597.3880000003</v>
      </c>
      <c r="AB58" s="1971">
        <f t="shared" si="12"/>
        <v>500651.93126491655</v>
      </c>
      <c r="AC58" s="1971">
        <f t="shared" si="13"/>
        <v>3933246.7350000003</v>
      </c>
      <c r="AD58" s="1971">
        <f t="shared" si="14"/>
        <v>625814.91408114566</v>
      </c>
      <c r="AK58" s="23"/>
      <c r="AL58" s="23"/>
      <c r="AM58" s="23"/>
      <c r="AN58" s="23"/>
      <c r="AO58" s="23"/>
      <c r="AP58" s="23"/>
      <c r="AQ58" s="23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</row>
    <row r="59" spans="1:56" s="1971" customFormat="1" ht="15.75">
      <c r="A59" s="547">
        <v>33</v>
      </c>
      <c r="B59" s="998" t="s">
        <v>739</v>
      </c>
      <c r="C59" s="873" t="s">
        <v>99</v>
      </c>
      <c r="D59" s="1002" t="s">
        <v>25</v>
      </c>
      <c r="E59" s="1539" t="s">
        <v>864</v>
      </c>
      <c r="F59" s="1539" t="s">
        <v>159</v>
      </c>
      <c r="G59" s="547">
        <v>1</v>
      </c>
      <c r="H59" s="563" t="s">
        <v>102</v>
      </c>
      <c r="I59" s="563" t="s">
        <v>103</v>
      </c>
      <c r="J59" s="581">
        <v>4</v>
      </c>
      <c r="K59" s="552">
        <v>17697</v>
      </c>
      <c r="L59" s="1540">
        <v>7</v>
      </c>
      <c r="M59" s="554">
        <f t="shared" si="7"/>
        <v>0.3888888888888889</v>
      </c>
      <c r="N59" s="698" t="s">
        <v>112</v>
      </c>
      <c r="O59" s="1582">
        <v>3.71</v>
      </c>
      <c r="P59" s="556">
        <f t="shared" si="8"/>
        <v>25532.838333333333</v>
      </c>
      <c r="Q59" s="556">
        <f t="shared" si="9"/>
        <v>12766.419166666667</v>
      </c>
      <c r="R59" s="1538"/>
      <c r="S59" s="700"/>
      <c r="T59" s="554">
        <v>0.1</v>
      </c>
      <c r="U59" s="556">
        <f t="shared" si="10"/>
        <v>3829.9257500000003</v>
      </c>
      <c r="V59" s="699"/>
      <c r="W59" s="700"/>
      <c r="X59" s="559">
        <f t="shared" si="15"/>
        <v>42129.183250000002</v>
      </c>
      <c r="Y59" s="2012"/>
      <c r="Z59" s="2012"/>
      <c r="AA59" s="1970"/>
      <c r="AK59" s="23"/>
      <c r="AL59" s="23"/>
      <c r="AM59" s="23"/>
      <c r="AN59" s="23"/>
      <c r="AO59" s="23"/>
      <c r="AP59" s="23"/>
      <c r="AQ59" s="23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</row>
    <row r="60" spans="1:56" s="1971" customFormat="1" ht="15.75">
      <c r="A60" s="560">
        <v>34</v>
      </c>
      <c r="B60" s="998" t="s">
        <v>804</v>
      </c>
      <c r="C60" s="873" t="s">
        <v>99</v>
      </c>
      <c r="D60" s="1002" t="s">
        <v>75</v>
      </c>
      <c r="E60" s="1539" t="s">
        <v>738</v>
      </c>
      <c r="F60" s="1539" t="s">
        <v>108</v>
      </c>
      <c r="G60" s="547">
        <v>1</v>
      </c>
      <c r="H60" s="563" t="s">
        <v>102</v>
      </c>
      <c r="I60" s="563" t="s">
        <v>118</v>
      </c>
      <c r="J60" s="581">
        <v>4</v>
      </c>
      <c r="K60" s="552">
        <v>17697</v>
      </c>
      <c r="L60" s="1540">
        <v>16</v>
      </c>
      <c r="M60" s="554">
        <f t="shared" si="7"/>
        <v>0.88888888888888884</v>
      </c>
      <c r="N60" s="698" t="s">
        <v>112</v>
      </c>
      <c r="O60" s="1582">
        <v>3.36</v>
      </c>
      <c r="P60" s="556">
        <f t="shared" si="8"/>
        <v>52855.040000000001</v>
      </c>
      <c r="Q60" s="556">
        <f t="shared" si="9"/>
        <v>26427.52</v>
      </c>
      <c r="R60" s="1538"/>
      <c r="S60" s="700"/>
      <c r="T60" s="554">
        <v>0.1</v>
      </c>
      <c r="U60" s="556">
        <f t="shared" si="10"/>
        <v>7928.2560000000003</v>
      </c>
      <c r="V60" s="699"/>
      <c r="W60" s="700"/>
      <c r="X60" s="559">
        <f t="shared" si="15"/>
        <v>87210.815999999992</v>
      </c>
      <c r="Y60" s="2012"/>
      <c r="Z60" s="2012"/>
      <c r="AA60" s="1970"/>
      <c r="AK60" s="23"/>
      <c r="AL60" s="23"/>
      <c r="AM60" s="23"/>
      <c r="AN60" s="23"/>
      <c r="AO60" s="23"/>
      <c r="AP60" s="23"/>
      <c r="AQ60" s="23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</row>
    <row r="61" spans="1:56" s="1971" customFormat="1" ht="15.75">
      <c r="A61" s="547">
        <v>35</v>
      </c>
      <c r="B61" s="153" t="s">
        <v>168</v>
      </c>
      <c r="C61" s="561" t="s">
        <v>99</v>
      </c>
      <c r="D61" s="563" t="s">
        <v>25</v>
      </c>
      <c r="E61" s="562" t="s">
        <v>865</v>
      </c>
      <c r="F61" s="562" t="s">
        <v>73</v>
      </c>
      <c r="G61" s="547">
        <v>1</v>
      </c>
      <c r="H61" s="563" t="s">
        <v>102</v>
      </c>
      <c r="I61" s="563" t="s">
        <v>103</v>
      </c>
      <c r="J61" s="1584">
        <v>2</v>
      </c>
      <c r="K61" s="552">
        <v>17697</v>
      </c>
      <c r="L61" s="565">
        <v>33</v>
      </c>
      <c r="M61" s="554">
        <f t="shared" si="7"/>
        <v>1.8333333333333333</v>
      </c>
      <c r="N61" s="566" t="s">
        <v>104</v>
      </c>
      <c r="O61" s="1014">
        <v>4.16</v>
      </c>
      <c r="P61" s="556">
        <f t="shared" si="8"/>
        <v>134969.12</v>
      </c>
      <c r="Q61" s="556">
        <f t="shared" si="9"/>
        <v>67484.56</v>
      </c>
      <c r="R61" s="568"/>
      <c r="S61" s="554"/>
      <c r="T61" s="554">
        <v>0.1</v>
      </c>
      <c r="U61" s="556">
        <f t="shared" si="10"/>
        <v>20245.368000000002</v>
      </c>
      <c r="V61" s="569"/>
      <c r="W61" s="554"/>
      <c r="X61" s="559">
        <f t="shared" si="15"/>
        <v>222699.04800000001</v>
      </c>
      <c r="Y61" s="1998">
        <f t="shared" si="11"/>
        <v>0</v>
      </c>
      <c r="Z61" s="1998">
        <f t="shared" si="11"/>
        <v>0</v>
      </c>
      <c r="AA61" s="1970">
        <f t="shared" si="3"/>
        <v>2672388.5760000004</v>
      </c>
      <c r="AB61" s="1971">
        <f t="shared" si="12"/>
        <v>425201.04630071606</v>
      </c>
      <c r="AC61" s="1971">
        <f t="shared" si="13"/>
        <v>3340485.7200000007</v>
      </c>
      <c r="AD61" s="1971">
        <f t="shared" si="14"/>
        <v>531501.30787589517</v>
      </c>
      <c r="AK61" s="23"/>
      <c r="AL61" s="23"/>
      <c r="AM61" s="23"/>
      <c r="AN61" s="23"/>
      <c r="AO61" s="23"/>
      <c r="AP61" s="23"/>
      <c r="AQ61" s="23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</row>
    <row r="62" spans="1:56" s="1971" customFormat="1" ht="15.75">
      <c r="A62" s="560">
        <v>36</v>
      </c>
      <c r="B62" s="153" t="s">
        <v>89</v>
      </c>
      <c r="C62" s="561" t="s">
        <v>170</v>
      </c>
      <c r="D62" s="563" t="s">
        <v>25</v>
      </c>
      <c r="E62" s="562" t="s">
        <v>866</v>
      </c>
      <c r="F62" s="562" t="s">
        <v>239</v>
      </c>
      <c r="G62" s="547">
        <v>1</v>
      </c>
      <c r="H62" s="563" t="s">
        <v>102</v>
      </c>
      <c r="I62" s="563" t="s">
        <v>103</v>
      </c>
      <c r="J62" s="564">
        <v>3</v>
      </c>
      <c r="K62" s="552">
        <v>17697</v>
      </c>
      <c r="L62" s="565">
        <v>17</v>
      </c>
      <c r="M62" s="554">
        <f t="shared" si="7"/>
        <v>0.94444444444444442</v>
      </c>
      <c r="N62" s="566" t="s">
        <v>109</v>
      </c>
      <c r="O62" s="1014">
        <v>4.21</v>
      </c>
      <c r="P62" s="556">
        <f t="shared" si="8"/>
        <v>70365.238333333327</v>
      </c>
      <c r="Q62" s="556">
        <f t="shared" si="9"/>
        <v>35182.619166666664</v>
      </c>
      <c r="R62" s="568"/>
      <c r="S62" s="554"/>
      <c r="T62" s="554">
        <v>0.1</v>
      </c>
      <c r="U62" s="556">
        <f t="shared" si="10"/>
        <v>10554.785749999999</v>
      </c>
      <c r="V62" s="569"/>
      <c r="W62" s="554"/>
      <c r="X62" s="559">
        <f t="shared" si="15"/>
        <v>116102.64324999998</v>
      </c>
      <c r="Y62" s="141">
        <f t="shared" si="11"/>
        <v>0</v>
      </c>
      <c r="Z62" s="141">
        <f t="shared" si="11"/>
        <v>0</v>
      </c>
      <c r="AA62" s="1970">
        <f t="shared" si="3"/>
        <v>1393231.7189999998</v>
      </c>
      <c r="AB62" s="1971">
        <f t="shared" si="12"/>
        <v>221675.69116945105</v>
      </c>
      <c r="AC62" s="1971">
        <f t="shared" si="13"/>
        <v>1741539.6487499997</v>
      </c>
      <c r="AD62" s="1971">
        <f t="shared" si="14"/>
        <v>277094.6139618138</v>
      </c>
      <c r="AK62" s="23"/>
      <c r="AL62" s="23"/>
      <c r="AM62" s="23"/>
      <c r="AN62" s="23"/>
      <c r="AO62" s="23"/>
      <c r="AP62" s="23"/>
      <c r="AQ62" s="23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</row>
    <row r="63" spans="1:56" s="1971" customFormat="1" ht="15.75">
      <c r="A63" s="547">
        <v>37</v>
      </c>
      <c r="B63" s="153" t="s">
        <v>171</v>
      </c>
      <c r="C63" s="561" t="s">
        <v>99</v>
      </c>
      <c r="D63" s="563" t="s">
        <v>25</v>
      </c>
      <c r="E63" s="562" t="s">
        <v>867</v>
      </c>
      <c r="F63" s="562" t="s">
        <v>34</v>
      </c>
      <c r="G63" s="547">
        <v>1</v>
      </c>
      <c r="H63" s="563" t="s">
        <v>102</v>
      </c>
      <c r="I63" s="563" t="s">
        <v>103</v>
      </c>
      <c r="J63" s="581">
        <v>1</v>
      </c>
      <c r="K63" s="552">
        <v>17697</v>
      </c>
      <c r="L63" s="565">
        <v>36</v>
      </c>
      <c r="M63" s="554">
        <f t="shared" si="7"/>
        <v>2</v>
      </c>
      <c r="N63" s="574" t="s">
        <v>152</v>
      </c>
      <c r="O63" s="1014">
        <v>4.75</v>
      </c>
      <c r="P63" s="556">
        <f t="shared" si="8"/>
        <v>168121.5</v>
      </c>
      <c r="Q63" s="556">
        <f t="shared" si="9"/>
        <v>84060.75</v>
      </c>
      <c r="R63" s="568"/>
      <c r="S63" s="554"/>
      <c r="T63" s="554">
        <v>0.1</v>
      </c>
      <c r="U63" s="556">
        <f t="shared" si="10"/>
        <v>25218.225000000002</v>
      </c>
      <c r="V63" s="569"/>
      <c r="W63" s="554"/>
      <c r="X63" s="559">
        <f t="shared" si="15"/>
        <v>277400.47499999998</v>
      </c>
      <c r="Y63" s="141"/>
      <c r="Z63" s="141"/>
      <c r="AA63" s="1970">
        <f t="shared" si="3"/>
        <v>3328805.6999999997</v>
      </c>
      <c r="AB63" s="1971">
        <f t="shared" si="12"/>
        <v>529642.91169451072</v>
      </c>
      <c r="AC63" s="1971">
        <f t="shared" si="13"/>
        <v>4161007.1249999995</v>
      </c>
      <c r="AD63" s="1971">
        <f t="shared" si="14"/>
        <v>662053.63961813832</v>
      </c>
      <c r="AK63" s="23"/>
      <c r="AL63" s="23"/>
      <c r="AM63" s="23"/>
      <c r="AN63" s="23"/>
      <c r="AO63" s="23"/>
      <c r="AP63" s="23"/>
      <c r="AQ63" s="23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</row>
    <row r="64" spans="1:56" s="1971" customFormat="1" ht="15.75">
      <c r="A64" s="560">
        <v>38</v>
      </c>
      <c r="B64" s="153" t="s">
        <v>173</v>
      </c>
      <c r="C64" s="561" t="s">
        <v>99</v>
      </c>
      <c r="D64" s="563" t="s">
        <v>25</v>
      </c>
      <c r="E64" s="562" t="s">
        <v>868</v>
      </c>
      <c r="F64" s="562" t="s">
        <v>66</v>
      </c>
      <c r="G64" s="547">
        <v>1</v>
      </c>
      <c r="H64" s="563" t="s">
        <v>102</v>
      </c>
      <c r="I64" s="563" t="s">
        <v>103</v>
      </c>
      <c r="J64" s="581">
        <v>1</v>
      </c>
      <c r="K64" s="552">
        <v>17697</v>
      </c>
      <c r="L64" s="565">
        <v>33</v>
      </c>
      <c r="M64" s="554">
        <f t="shared" si="7"/>
        <v>1.8333333333333333</v>
      </c>
      <c r="N64" s="574" t="s">
        <v>152</v>
      </c>
      <c r="O64" s="1587">
        <v>4.55</v>
      </c>
      <c r="P64" s="556">
        <f t="shared" si="8"/>
        <v>147622.47499999998</v>
      </c>
      <c r="Q64" s="556">
        <f t="shared" si="9"/>
        <v>73811.237499999988</v>
      </c>
      <c r="R64" s="568"/>
      <c r="S64" s="554"/>
      <c r="T64" s="554">
        <v>0.1</v>
      </c>
      <c r="U64" s="556">
        <f t="shared" si="10"/>
        <v>22143.371249999997</v>
      </c>
      <c r="V64" s="569"/>
      <c r="W64" s="554"/>
      <c r="X64" s="559">
        <f t="shared" si="15"/>
        <v>243577.08374999996</v>
      </c>
      <c r="Y64" s="141">
        <f t="shared" si="11"/>
        <v>0</v>
      </c>
      <c r="Z64" s="141">
        <f t="shared" si="11"/>
        <v>0</v>
      </c>
      <c r="AA64" s="1970">
        <f t="shared" si="3"/>
        <v>2922925.0049999994</v>
      </c>
      <c r="AB64" s="1971">
        <f t="shared" si="12"/>
        <v>465063.64439140807</v>
      </c>
      <c r="AC64" s="1971">
        <f t="shared" si="13"/>
        <v>3653656.2562499992</v>
      </c>
      <c r="AD64" s="1971">
        <f t="shared" si="14"/>
        <v>581329.55548926012</v>
      </c>
      <c r="AK64" s="23"/>
      <c r="AL64" s="23"/>
      <c r="AM64" s="23"/>
      <c r="AN64" s="23"/>
      <c r="AO64" s="23"/>
      <c r="AP64" s="23"/>
      <c r="AQ64" s="23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</row>
    <row r="65" spans="1:56" s="2022" customFormat="1" ht="15.75">
      <c r="A65" s="547">
        <v>39</v>
      </c>
      <c r="B65" s="153" t="s">
        <v>177</v>
      </c>
      <c r="C65" s="561" t="s">
        <v>99</v>
      </c>
      <c r="D65" s="563" t="s">
        <v>178</v>
      </c>
      <c r="E65" s="562" t="s">
        <v>869</v>
      </c>
      <c r="F65" s="562" t="s">
        <v>366</v>
      </c>
      <c r="G65" s="547">
        <v>1</v>
      </c>
      <c r="H65" s="563" t="s">
        <v>102</v>
      </c>
      <c r="I65" s="563" t="s">
        <v>103</v>
      </c>
      <c r="J65" s="581">
        <v>2</v>
      </c>
      <c r="K65" s="552">
        <v>17697</v>
      </c>
      <c r="L65" s="565">
        <v>30</v>
      </c>
      <c r="M65" s="554">
        <f t="shared" si="7"/>
        <v>1.6666666666666667</v>
      </c>
      <c r="N65" s="1583" t="s">
        <v>104</v>
      </c>
      <c r="O65" s="1157">
        <v>4.4400000000000004</v>
      </c>
      <c r="P65" s="556">
        <f t="shared" si="8"/>
        <v>130957.8</v>
      </c>
      <c r="Q65" s="556">
        <f t="shared" si="9"/>
        <v>65478.9</v>
      </c>
      <c r="R65" s="1538"/>
      <c r="S65" s="700"/>
      <c r="T65" s="554">
        <v>0.1</v>
      </c>
      <c r="U65" s="556">
        <f t="shared" si="10"/>
        <v>19643.670000000002</v>
      </c>
      <c r="V65" s="699"/>
      <c r="W65" s="700"/>
      <c r="X65" s="559">
        <f t="shared" si="15"/>
        <v>216080.37000000002</v>
      </c>
      <c r="Y65" s="2021"/>
      <c r="Z65" s="2021"/>
      <c r="AA65" s="1970">
        <f t="shared" si="3"/>
        <v>2592964.4400000004</v>
      </c>
      <c r="AB65" s="1971">
        <f t="shared" si="12"/>
        <v>412563.95226730313</v>
      </c>
      <c r="AC65" s="1971">
        <f t="shared" si="13"/>
        <v>3241205.5500000007</v>
      </c>
      <c r="AD65" s="1971">
        <f t="shared" si="14"/>
        <v>515704.94033412909</v>
      </c>
      <c r="AK65" s="1783"/>
      <c r="AL65" s="1783"/>
      <c r="AM65" s="1783"/>
      <c r="AN65" s="1783"/>
      <c r="AO65" s="1783"/>
      <c r="AP65" s="1783"/>
      <c r="AQ65" s="1783"/>
      <c r="AR65" s="916"/>
      <c r="AS65" s="916"/>
      <c r="AT65" s="916"/>
      <c r="AU65" s="916"/>
      <c r="AV65" s="916"/>
      <c r="AW65" s="916"/>
      <c r="AX65" s="916"/>
      <c r="AY65" s="916"/>
      <c r="AZ65" s="916"/>
      <c r="BA65" s="916"/>
      <c r="BB65" s="916"/>
      <c r="BC65" s="916"/>
      <c r="BD65" s="916"/>
    </row>
    <row r="66" spans="1:56" s="2022" customFormat="1" ht="15.75">
      <c r="A66" s="560">
        <v>40</v>
      </c>
      <c r="B66" s="998" t="s">
        <v>808</v>
      </c>
      <c r="C66" s="873" t="s">
        <v>99</v>
      </c>
      <c r="D66" s="1002" t="s">
        <v>152</v>
      </c>
      <c r="E66" s="1539" t="s">
        <v>870</v>
      </c>
      <c r="F66" s="1539" t="s">
        <v>34</v>
      </c>
      <c r="G66" s="547">
        <v>1</v>
      </c>
      <c r="H66" s="563" t="s">
        <v>102</v>
      </c>
      <c r="I66" s="563" t="s">
        <v>103</v>
      </c>
      <c r="J66" s="581">
        <v>3</v>
      </c>
      <c r="K66" s="552">
        <v>17697</v>
      </c>
      <c r="L66" s="1540">
        <v>18</v>
      </c>
      <c r="M66" s="554">
        <f t="shared" si="7"/>
        <v>1</v>
      </c>
      <c r="N66" s="1583" t="s">
        <v>109</v>
      </c>
      <c r="O66" s="1157">
        <v>4.5</v>
      </c>
      <c r="P66" s="556">
        <f t="shared" si="8"/>
        <v>79636.5</v>
      </c>
      <c r="Q66" s="556">
        <f t="shared" si="9"/>
        <v>39818.25</v>
      </c>
      <c r="R66" s="1538"/>
      <c r="S66" s="700"/>
      <c r="T66" s="554">
        <v>0.1</v>
      </c>
      <c r="U66" s="556">
        <f t="shared" si="10"/>
        <v>11945.475</v>
      </c>
      <c r="V66" s="699"/>
      <c r="W66" s="700"/>
      <c r="X66" s="559">
        <f t="shared" si="15"/>
        <v>131400.22500000001</v>
      </c>
      <c r="Y66" s="2021"/>
      <c r="Z66" s="2021"/>
      <c r="AA66" s="1970"/>
      <c r="AB66" s="1971"/>
      <c r="AC66" s="1971"/>
      <c r="AD66" s="1971"/>
      <c r="AK66" s="1783"/>
      <c r="AL66" s="1783"/>
      <c r="AM66" s="1783"/>
      <c r="AN66" s="1783"/>
      <c r="AO66" s="1783"/>
      <c r="AP66" s="1783"/>
      <c r="AQ66" s="1783"/>
      <c r="AR66" s="916"/>
      <c r="AS66" s="916"/>
      <c r="AT66" s="916"/>
      <c r="AU66" s="916"/>
      <c r="AV66" s="916"/>
      <c r="AW66" s="916"/>
      <c r="AX66" s="916"/>
      <c r="AY66" s="916"/>
      <c r="AZ66" s="916"/>
      <c r="BA66" s="916"/>
      <c r="BB66" s="916"/>
      <c r="BC66" s="916"/>
      <c r="BD66" s="916"/>
    </row>
    <row r="67" spans="1:56" s="2022" customFormat="1" ht="15.75">
      <c r="A67" s="547">
        <v>41</v>
      </c>
      <c r="B67" s="153" t="s">
        <v>182</v>
      </c>
      <c r="C67" s="561" t="s">
        <v>99</v>
      </c>
      <c r="D67" s="563" t="s">
        <v>25</v>
      </c>
      <c r="E67" s="562" t="s">
        <v>871</v>
      </c>
      <c r="F67" s="562" t="s">
        <v>51</v>
      </c>
      <c r="G67" s="547">
        <v>1</v>
      </c>
      <c r="H67" s="563" t="s">
        <v>102</v>
      </c>
      <c r="I67" s="563" t="s">
        <v>103</v>
      </c>
      <c r="J67" s="581">
        <v>1</v>
      </c>
      <c r="K67" s="552">
        <v>17697</v>
      </c>
      <c r="L67" s="1540">
        <v>32</v>
      </c>
      <c r="M67" s="554">
        <f t="shared" si="7"/>
        <v>1.7777777777777777</v>
      </c>
      <c r="N67" s="1583" t="s">
        <v>104</v>
      </c>
      <c r="O67" s="1157">
        <v>4.6900000000000004</v>
      </c>
      <c r="P67" s="556">
        <f t="shared" si="8"/>
        <v>147553.65333333335</v>
      </c>
      <c r="Q67" s="556">
        <f t="shared" si="9"/>
        <v>73776.826666666675</v>
      </c>
      <c r="R67" s="1538"/>
      <c r="S67" s="700"/>
      <c r="T67" s="554">
        <v>0.1</v>
      </c>
      <c r="U67" s="556">
        <f t="shared" si="10"/>
        <v>22133.048000000006</v>
      </c>
      <c r="V67" s="699"/>
      <c r="W67" s="700"/>
      <c r="X67" s="559">
        <f t="shared" si="15"/>
        <v>243463.52800000005</v>
      </c>
      <c r="Y67" s="2021"/>
      <c r="Z67" s="2021"/>
      <c r="AA67" s="1970"/>
      <c r="AB67" s="1971"/>
      <c r="AC67" s="1971"/>
      <c r="AD67" s="1971"/>
      <c r="AK67" s="1783"/>
      <c r="AL67" s="1783"/>
      <c r="AM67" s="1783"/>
      <c r="AN67" s="1783"/>
      <c r="AO67" s="1783"/>
      <c r="AP67" s="1783"/>
      <c r="AQ67" s="1783"/>
      <c r="AR67" s="916"/>
      <c r="AS67" s="916"/>
      <c r="AT67" s="916"/>
      <c r="AU67" s="916"/>
      <c r="AV67" s="916"/>
      <c r="AW67" s="916"/>
      <c r="AX67" s="916"/>
      <c r="AY67" s="916"/>
      <c r="AZ67" s="916"/>
      <c r="BA67" s="916"/>
      <c r="BB67" s="916"/>
      <c r="BC67" s="916"/>
      <c r="BD67" s="916"/>
    </row>
    <row r="68" spans="1:56" s="2022" customFormat="1" ht="15.75">
      <c r="A68" s="560">
        <v>42</v>
      </c>
      <c r="B68" s="153" t="s">
        <v>184</v>
      </c>
      <c r="C68" s="561" t="s">
        <v>99</v>
      </c>
      <c r="D68" s="563" t="s">
        <v>25</v>
      </c>
      <c r="E68" s="586" t="s">
        <v>872</v>
      </c>
      <c r="F68" s="562" t="s">
        <v>27</v>
      </c>
      <c r="G68" s="547">
        <v>1</v>
      </c>
      <c r="H68" s="563" t="s">
        <v>102</v>
      </c>
      <c r="I68" s="563" t="s">
        <v>103</v>
      </c>
      <c r="J68" s="581">
        <v>1</v>
      </c>
      <c r="K68" s="552">
        <v>17697</v>
      </c>
      <c r="L68" s="565">
        <v>32</v>
      </c>
      <c r="M68" s="554">
        <f t="shared" si="7"/>
        <v>1.7777777777777777</v>
      </c>
      <c r="N68" s="574" t="s">
        <v>152</v>
      </c>
      <c r="O68" s="1014">
        <v>4.75</v>
      </c>
      <c r="P68" s="556">
        <f t="shared" si="8"/>
        <v>149441.33333333334</v>
      </c>
      <c r="Q68" s="556">
        <f t="shared" si="9"/>
        <v>74720.666666666672</v>
      </c>
      <c r="R68" s="568"/>
      <c r="S68" s="554"/>
      <c r="T68" s="554">
        <v>0.1</v>
      </c>
      <c r="U68" s="556">
        <f t="shared" si="10"/>
        <v>22416.2</v>
      </c>
      <c r="V68" s="569"/>
      <c r="W68" s="554"/>
      <c r="X68" s="559">
        <f t="shared" si="15"/>
        <v>246578.2</v>
      </c>
      <c r="Y68" s="2025"/>
      <c r="Z68" s="2025"/>
      <c r="AA68" s="1970">
        <f t="shared" si="3"/>
        <v>2958938.4000000004</v>
      </c>
      <c r="AB68" s="1971">
        <f t="shared" si="12"/>
        <v>470793.69928400969</v>
      </c>
      <c r="AC68" s="1971">
        <f t="shared" si="13"/>
        <v>3698673.0000000005</v>
      </c>
      <c r="AD68" s="1971">
        <f t="shared" si="14"/>
        <v>588492.12410501204</v>
      </c>
      <c r="AK68" s="1783"/>
      <c r="AL68" s="1783"/>
      <c r="AM68" s="1783"/>
      <c r="AN68" s="1783"/>
      <c r="AO68" s="1783"/>
      <c r="AP68" s="1783"/>
      <c r="AQ68" s="1783"/>
      <c r="AR68" s="916"/>
      <c r="AS68" s="916"/>
      <c r="AT68" s="916"/>
      <c r="AU68" s="916"/>
      <c r="AV68" s="916"/>
      <c r="AW68" s="916"/>
      <c r="AX68" s="916"/>
      <c r="AY68" s="916"/>
      <c r="AZ68" s="916"/>
      <c r="BA68" s="916"/>
      <c r="BB68" s="916"/>
      <c r="BC68" s="916"/>
      <c r="BD68" s="916"/>
    </row>
    <row r="69" spans="1:56" s="1971" customFormat="1" ht="15.75">
      <c r="A69" s="547">
        <v>43</v>
      </c>
      <c r="B69" s="153" t="s">
        <v>186</v>
      </c>
      <c r="C69" s="561" t="s">
        <v>99</v>
      </c>
      <c r="D69" s="563" t="s">
        <v>25</v>
      </c>
      <c r="E69" s="562" t="s">
        <v>873</v>
      </c>
      <c r="F69" s="562" t="s">
        <v>27</v>
      </c>
      <c r="G69" s="547">
        <v>1</v>
      </c>
      <c r="H69" s="563" t="s">
        <v>102</v>
      </c>
      <c r="I69" s="563" t="s">
        <v>103</v>
      </c>
      <c r="J69" s="581">
        <v>1</v>
      </c>
      <c r="K69" s="552">
        <v>17697</v>
      </c>
      <c r="L69" s="565">
        <v>26</v>
      </c>
      <c r="M69" s="554">
        <f t="shared" si="7"/>
        <v>1.4444444444444444</v>
      </c>
      <c r="N69" s="574" t="s">
        <v>152</v>
      </c>
      <c r="O69" s="1014">
        <v>4.75</v>
      </c>
      <c r="P69" s="556">
        <f t="shared" si="8"/>
        <v>121421.08333333334</v>
      </c>
      <c r="Q69" s="556">
        <f t="shared" si="9"/>
        <v>60710.541666666672</v>
      </c>
      <c r="R69" s="568"/>
      <c r="S69" s="554"/>
      <c r="T69" s="554">
        <v>0.1</v>
      </c>
      <c r="U69" s="556">
        <f t="shared" si="10"/>
        <v>18213.162500000002</v>
      </c>
      <c r="V69" s="569"/>
      <c r="W69" s="554"/>
      <c r="X69" s="559">
        <f t="shared" si="15"/>
        <v>200344.78750000001</v>
      </c>
      <c r="Y69" s="141">
        <f t="shared" si="11"/>
        <v>0</v>
      </c>
      <c r="Z69" s="141">
        <f t="shared" si="11"/>
        <v>0</v>
      </c>
      <c r="AA69" s="1970">
        <f t="shared" si="3"/>
        <v>2404137.4500000002</v>
      </c>
      <c r="AB69" s="1971">
        <f t="shared" si="12"/>
        <v>382519.88066825783</v>
      </c>
      <c r="AC69" s="1971">
        <f t="shared" si="13"/>
        <v>3005171.8125</v>
      </c>
      <c r="AD69" s="1971">
        <f t="shared" si="14"/>
        <v>478149.85083532229</v>
      </c>
      <c r="AK69" s="23"/>
      <c r="AL69" s="23"/>
      <c r="AM69" s="23"/>
      <c r="AN69" s="23"/>
      <c r="AO69" s="23"/>
      <c r="AP69" s="23"/>
      <c r="AQ69" s="23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</row>
    <row r="70" spans="1:56" s="1971" customFormat="1" ht="15.75">
      <c r="A70" s="560">
        <v>44</v>
      </c>
      <c r="B70" s="998" t="s">
        <v>810</v>
      </c>
      <c r="C70" s="873" t="s">
        <v>99</v>
      </c>
      <c r="D70" s="1002" t="s">
        <v>25</v>
      </c>
      <c r="E70" s="1539" t="s">
        <v>874</v>
      </c>
      <c r="F70" s="1539" t="s">
        <v>34</v>
      </c>
      <c r="G70" s="547">
        <v>1</v>
      </c>
      <c r="H70" s="563" t="s">
        <v>102</v>
      </c>
      <c r="I70" s="563" t="s">
        <v>103</v>
      </c>
      <c r="J70" s="581">
        <v>1</v>
      </c>
      <c r="K70" s="552">
        <v>17697</v>
      </c>
      <c r="L70" s="565">
        <v>22</v>
      </c>
      <c r="M70" s="554">
        <f t="shared" si="7"/>
        <v>1.2222222222222223</v>
      </c>
      <c r="N70" s="574" t="s">
        <v>152</v>
      </c>
      <c r="O70" s="1014">
        <v>4.75</v>
      </c>
      <c r="P70" s="556">
        <f t="shared" si="8"/>
        <v>102740.91666666667</v>
      </c>
      <c r="Q70" s="556">
        <f t="shared" si="9"/>
        <v>51370.458333333336</v>
      </c>
      <c r="R70" s="568"/>
      <c r="S70" s="554"/>
      <c r="T70" s="554">
        <v>0.1</v>
      </c>
      <c r="U70" s="556">
        <f t="shared" si="10"/>
        <v>15411.137500000001</v>
      </c>
      <c r="V70" s="569"/>
      <c r="W70" s="554"/>
      <c r="X70" s="559">
        <f t="shared" si="15"/>
        <v>169522.51250000001</v>
      </c>
      <c r="Y70" s="141">
        <f t="shared" si="11"/>
        <v>0</v>
      </c>
      <c r="Z70" s="141">
        <f t="shared" si="11"/>
        <v>0</v>
      </c>
      <c r="AA70" s="1970">
        <f t="shared" si="3"/>
        <v>2034270.1500000001</v>
      </c>
      <c r="AB70" s="1971">
        <f t="shared" si="12"/>
        <v>323670.66825775662</v>
      </c>
      <c r="AC70" s="1971">
        <f t="shared" si="13"/>
        <v>2542837.6875</v>
      </c>
      <c r="AD70" s="1971">
        <f t="shared" si="14"/>
        <v>404588.33532219572</v>
      </c>
      <c r="AK70" s="23"/>
      <c r="AL70" s="23"/>
      <c r="AM70" s="23"/>
      <c r="AN70" s="23"/>
      <c r="AO70" s="23"/>
      <c r="AP70" s="23"/>
      <c r="AQ70" s="23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</row>
    <row r="71" spans="1:56" s="1971" customFormat="1" ht="15.75">
      <c r="A71" s="547">
        <v>45</v>
      </c>
      <c r="B71" s="587" t="s">
        <v>188</v>
      </c>
      <c r="C71" s="588" t="s">
        <v>99</v>
      </c>
      <c r="D71" s="589" t="s">
        <v>25</v>
      </c>
      <c r="E71" s="590" t="s">
        <v>875</v>
      </c>
      <c r="F71" s="591" t="s">
        <v>51</v>
      </c>
      <c r="G71" s="547">
        <v>1</v>
      </c>
      <c r="H71" s="589" t="s">
        <v>102</v>
      </c>
      <c r="I71" s="589" t="s">
        <v>103</v>
      </c>
      <c r="J71" s="581">
        <v>1</v>
      </c>
      <c r="K71" s="552">
        <v>17697</v>
      </c>
      <c r="L71" s="1540">
        <v>34</v>
      </c>
      <c r="M71" s="554">
        <f t="shared" si="7"/>
        <v>1.8888888888888888</v>
      </c>
      <c r="N71" s="698" t="s">
        <v>152</v>
      </c>
      <c r="O71" s="1157">
        <v>4.6900000000000004</v>
      </c>
      <c r="P71" s="556">
        <f t="shared" si="8"/>
        <v>156775.75666666668</v>
      </c>
      <c r="Q71" s="556">
        <f t="shared" si="9"/>
        <v>78387.878333333341</v>
      </c>
      <c r="R71" s="1538"/>
      <c r="S71" s="700"/>
      <c r="T71" s="554">
        <v>0.1</v>
      </c>
      <c r="U71" s="556">
        <f>(P71+Q71)*T71</f>
        <v>23516.363500000003</v>
      </c>
      <c r="V71" s="699"/>
      <c r="W71" s="700"/>
      <c r="X71" s="559">
        <f>P71+Q71+U71</f>
        <v>258679.99850000002</v>
      </c>
      <c r="Y71" s="2012"/>
      <c r="Z71" s="2012"/>
      <c r="AA71" s="1970"/>
      <c r="AK71" s="23"/>
      <c r="AL71" s="23"/>
      <c r="AM71" s="23"/>
      <c r="AN71" s="23"/>
      <c r="AO71" s="23"/>
      <c r="AP71" s="23"/>
      <c r="AQ71" s="23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</row>
    <row r="72" spans="1:56" s="1971" customFormat="1" ht="15.75">
      <c r="A72" s="560">
        <v>46</v>
      </c>
      <c r="B72" s="587" t="s">
        <v>450</v>
      </c>
      <c r="C72" s="588" t="s">
        <v>99</v>
      </c>
      <c r="D72" s="589" t="s">
        <v>25</v>
      </c>
      <c r="E72" s="590" t="s">
        <v>876</v>
      </c>
      <c r="F72" s="591" t="s">
        <v>34</v>
      </c>
      <c r="G72" s="547">
        <v>1</v>
      </c>
      <c r="H72" s="589" t="s">
        <v>102</v>
      </c>
      <c r="I72" s="589" t="s">
        <v>103</v>
      </c>
      <c r="J72" s="564">
        <v>1</v>
      </c>
      <c r="K72" s="552">
        <v>17697</v>
      </c>
      <c r="L72" s="594">
        <v>25</v>
      </c>
      <c r="M72" s="554">
        <f t="shared" si="7"/>
        <v>1.3888888888888888</v>
      </c>
      <c r="N72" s="574" t="s">
        <v>152</v>
      </c>
      <c r="O72" s="1588">
        <v>4.75</v>
      </c>
      <c r="P72" s="556">
        <f t="shared" si="8"/>
        <v>116751.04166666667</v>
      </c>
      <c r="Q72" s="556">
        <f t="shared" si="9"/>
        <v>58375.520833333336</v>
      </c>
      <c r="R72" s="597"/>
      <c r="S72" s="593"/>
      <c r="T72" s="593">
        <v>0.1</v>
      </c>
      <c r="U72" s="556">
        <f t="shared" si="10"/>
        <v>17512.65625</v>
      </c>
      <c r="V72" s="598"/>
      <c r="W72" s="593"/>
      <c r="X72" s="559">
        <f t="shared" si="15"/>
        <v>192639.21875</v>
      </c>
      <c r="Y72" s="141">
        <f t="shared" si="11"/>
        <v>0</v>
      </c>
      <c r="Z72" s="141">
        <f t="shared" si="11"/>
        <v>0</v>
      </c>
      <c r="AA72" s="1970">
        <f t="shared" si="3"/>
        <v>2311670.625</v>
      </c>
      <c r="AB72" s="1971">
        <f t="shared" si="12"/>
        <v>367807.57756563247</v>
      </c>
      <c r="AC72" s="1971">
        <f t="shared" si="13"/>
        <v>2889588.28125</v>
      </c>
      <c r="AD72" s="1971">
        <f t="shared" si="14"/>
        <v>459759.4719570406</v>
      </c>
      <c r="AK72" s="23"/>
      <c r="AL72" s="23"/>
      <c r="AM72" s="23"/>
      <c r="AN72" s="23"/>
      <c r="AO72" s="23"/>
      <c r="AP72" s="23"/>
      <c r="AQ72" s="23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</row>
    <row r="73" spans="1:56" s="2206" customFormat="1" ht="15.75">
      <c r="A73" s="547">
        <v>47</v>
      </c>
      <c r="B73" s="1700" t="s">
        <v>454</v>
      </c>
      <c r="C73" s="1793" t="s">
        <v>834</v>
      </c>
      <c r="D73" s="1709" t="s">
        <v>152</v>
      </c>
      <c r="E73" s="874" t="s">
        <v>877</v>
      </c>
      <c r="F73" s="562" t="s">
        <v>77</v>
      </c>
      <c r="G73" s="547">
        <v>1</v>
      </c>
      <c r="H73" s="563" t="s">
        <v>102</v>
      </c>
      <c r="I73" s="563" t="s">
        <v>103</v>
      </c>
      <c r="J73" s="564">
        <v>3</v>
      </c>
      <c r="K73" s="552">
        <v>17697</v>
      </c>
      <c r="L73" s="2224">
        <v>30</v>
      </c>
      <c r="M73" s="554">
        <f t="shared" si="7"/>
        <v>1.6666666666666667</v>
      </c>
      <c r="N73" s="698" t="s">
        <v>109</v>
      </c>
      <c r="O73" s="1020">
        <v>4</v>
      </c>
      <c r="P73" s="556">
        <f t="shared" si="8"/>
        <v>117980</v>
      </c>
      <c r="Q73" s="556">
        <f t="shared" si="9"/>
        <v>58990</v>
      </c>
      <c r="R73" s="1006"/>
      <c r="S73" s="887"/>
      <c r="T73" s="887">
        <v>0.1</v>
      </c>
      <c r="U73" s="556">
        <f t="shared" si="10"/>
        <v>17697</v>
      </c>
      <c r="V73" s="1007">
        <v>0.3</v>
      </c>
      <c r="W73" s="887">
        <f>(P73+Q73)*V73</f>
        <v>53091</v>
      </c>
      <c r="X73" s="559">
        <f>P73+Q73+U73+W73</f>
        <v>247758</v>
      </c>
      <c r="Y73" s="2207"/>
      <c r="Z73" s="2207"/>
      <c r="AA73" s="2205">
        <f t="shared" si="3"/>
        <v>2973096</v>
      </c>
      <c r="AB73" s="2206">
        <f t="shared" si="12"/>
        <v>473046.30071599048</v>
      </c>
      <c r="AC73" s="2206">
        <f t="shared" si="13"/>
        <v>3716370</v>
      </c>
      <c r="AD73" s="2206">
        <f t="shared" si="14"/>
        <v>591307.87589498819</v>
      </c>
      <c r="AK73" s="23"/>
      <c r="AL73" s="23"/>
      <c r="AM73" s="23"/>
      <c r="AN73" s="23"/>
      <c r="AO73" s="23"/>
      <c r="AP73" s="23"/>
      <c r="AQ73" s="23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</row>
    <row r="74" spans="1:56" s="1971" customFormat="1" ht="15.75">
      <c r="A74" s="560">
        <v>48</v>
      </c>
      <c r="B74" s="153" t="s">
        <v>193</v>
      </c>
      <c r="C74" s="561" t="s">
        <v>99</v>
      </c>
      <c r="D74" s="563" t="s">
        <v>64</v>
      </c>
      <c r="E74" s="210" t="s">
        <v>878</v>
      </c>
      <c r="F74" s="562" t="s">
        <v>403</v>
      </c>
      <c r="G74" s="547">
        <v>1</v>
      </c>
      <c r="H74" s="563" t="s">
        <v>102</v>
      </c>
      <c r="I74" s="563" t="s">
        <v>118</v>
      </c>
      <c r="J74" s="581">
        <v>3</v>
      </c>
      <c r="K74" s="552">
        <v>17697</v>
      </c>
      <c r="L74" s="594">
        <v>35</v>
      </c>
      <c r="M74" s="554">
        <f t="shared" si="7"/>
        <v>1.9444444444444444</v>
      </c>
      <c r="N74" s="1004" t="s">
        <v>152</v>
      </c>
      <c r="O74" s="1020">
        <v>3.97</v>
      </c>
      <c r="P74" s="556">
        <f t="shared" si="8"/>
        <v>136611.00833333333</v>
      </c>
      <c r="Q74" s="556">
        <f t="shared" si="9"/>
        <v>68305.504166666666</v>
      </c>
      <c r="R74" s="1006"/>
      <c r="S74" s="887"/>
      <c r="T74" s="887">
        <v>0.1</v>
      </c>
      <c r="U74" s="556">
        <f t="shared" si="10"/>
        <v>20491.651250000003</v>
      </c>
      <c r="V74" s="1007"/>
      <c r="W74" s="887"/>
      <c r="X74" s="559">
        <f t="shared" si="15"/>
        <v>225408.16375000001</v>
      </c>
      <c r="Y74" s="1998">
        <f t="shared" si="11"/>
        <v>0</v>
      </c>
      <c r="Z74" s="1998">
        <f t="shared" si="11"/>
        <v>0</v>
      </c>
      <c r="AA74" s="1970">
        <f t="shared" si="3"/>
        <v>2704897.9649999999</v>
      </c>
      <c r="AB74" s="1971">
        <f t="shared" si="12"/>
        <v>430373.58233890217</v>
      </c>
      <c r="AC74" s="1971">
        <f t="shared" si="13"/>
        <v>3381122.4562499998</v>
      </c>
      <c r="AD74" s="1971">
        <f t="shared" si="14"/>
        <v>537966.97792362771</v>
      </c>
      <c r="AK74" s="23"/>
      <c r="AL74" s="23"/>
      <c r="AM74" s="23"/>
      <c r="AN74" s="23"/>
      <c r="AO74" s="23"/>
      <c r="AP74" s="23"/>
      <c r="AQ74" s="23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</row>
    <row r="75" spans="1:56" s="1971" customFormat="1" ht="15.75">
      <c r="A75" s="547">
        <v>49</v>
      </c>
      <c r="B75" s="153" t="s">
        <v>197</v>
      </c>
      <c r="C75" s="561" t="s">
        <v>99</v>
      </c>
      <c r="D75" s="563" t="s">
        <v>25</v>
      </c>
      <c r="E75" s="210" t="s">
        <v>880</v>
      </c>
      <c r="F75" s="562" t="s">
        <v>34</v>
      </c>
      <c r="G75" s="547">
        <v>1</v>
      </c>
      <c r="H75" s="563" t="s">
        <v>102</v>
      </c>
      <c r="I75" s="563" t="s">
        <v>103</v>
      </c>
      <c r="J75" s="564">
        <v>1</v>
      </c>
      <c r="K75" s="552">
        <v>17697</v>
      </c>
      <c r="L75" s="565">
        <v>30</v>
      </c>
      <c r="M75" s="554">
        <f t="shared" si="7"/>
        <v>1.6666666666666667</v>
      </c>
      <c r="N75" s="1583" t="s">
        <v>109</v>
      </c>
      <c r="O75" s="1157">
        <v>4.75</v>
      </c>
      <c r="P75" s="556">
        <f t="shared" si="8"/>
        <v>140101.25</v>
      </c>
      <c r="Q75" s="556">
        <f t="shared" si="9"/>
        <v>70050.625</v>
      </c>
      <c r="R75" s="1538"/>
      <c r="S75" s="700"/>
      <c r="T75" s="700">
        <v>0.1</v>
      </c>
      <c r="U75" s="556">
        <f t="shared" si="10"/>
        <v>21015.1875</v>
      </c>
      <c r="V75" s="699"/>
      <c r="W75" s="700"/>
      <c r="X75" s="559">
        <f t="shared" si="15"/>
        <v>231167.0625</v>
      </c>
      <c r="Y75" s="2040"/>
      <c r="Z75" s="2040"/>
      <c r="AA75" s="1970">
        <f t="shared" ref="AA75:AA80" si="16">X75*12</f>
        <v>2774004.75</v>
      </c>
      <c r="AB75" s="1971">
        <f t="shared" si="12"/>
        <v>441369.09307875898</v>
      </c>
      <c r="AC75" s="1971">
        <f t="shared" si="13"/>
        <v>3467505.9375</v>
      </c>
      <c r="AD75" s="1971">
        <f t="shared" si="14"/>
        <v>551711.36634844868</v>
      </c>
      <c r="AK75" s="23"/>
      <c r="AL75" s="23"/>
      <c r="AM75" s="23"/>
      <c r="AN75" s="23"/>
      <c r="AO75" s="23"/>
      <c r="AP75" s="23"/>
      <c r="AQ75" s="23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</row>
    <row r="76" spans="1:56" s="2206" customFormat="1" ht="15.75">
      <c r="A76" s="560">
        <v>50</v>
      </c>
      <c r="B76" s="1008" t="s">
        <v>199</v>
      </c>
      <c r="C76" s="1009" t="s">
        <v>99</v>
      </c>
      <c r="D76" s="563" t="s">
        <v>64</v>
      </c>
      <c r="E76" s="210" t="s">
        <v>879</v>
      </c>
      <c r="F76" s="562" t="s">
        <v>108</v>
      </c>
      <c r="G76" s="547">
        <v>1</v>
      </c>
      <c r="H76" s="563" t="s">
        <v>102</v>
      </c>
      <c r="I76" s="563" t="s">
        <v>118</v>
      </c>
      <c r="J76" s="581">
        <v>3</v>
      </c>
      <c r="K76" s="552">
        <v>17697</v>
      </c>
      <c r="L76" s="565">
        <v>27</v>
      </c>
      <c r="M76" s="554">
        <f t="shared" si="7"/>
        <v>1.5</v>
      </c>
      <c r="N76" s="1004" t="s">
        <v>109</v>
      </c>
      <c r="O76" s="1157">
        <v>3.79</v>
      </c>
      <c r="P76" s="556">
        <f t="shared" si="8"/>
        <v>100607.44500000001</v>
      </c>
      <c r="Q76" s="556">
        <f t="shared" si="9"/>
        <v>50303.722500000003</v>
      </c>
      <c r="R76" s="1538"/>
      <c r="S76" s="700"/>
      <c r="T76" s="700">
        <v>0.1</v>
      </c>
      <c r="U76" s="556">
        <f t="shared" si="10"/>
        <v>15091.116750000001</v>
      </c>
      <c r="V76" s="699">
        <v>0.3</v>
      </c>
      <c r="W76" s="700">
        <f>(P76+Q76)*V76</f>
        <v>45273.350250000003</v>
      </c>
      <c r="X76" s="559">
        <f>P76+Q76+U76+W76</f>
        <v>211275.63450000004</v>
      </c>
      <c r="Y76" s="2209">
        <f t="shared" ref="Y76:Z76" si="17">V76+R76</f>
        <v>0.3</v>
      </c>
      <c r="Z76" s="2209">
        <f t="shared" si="17"/>
        <v>45273.350250000003</v>
      </c>
      <c r="AA76" s="2205">
        <f t="shared" si="16"/>
        <v>2535307.6140000005</v>
      </c>
      <c r="AB76" s="2206">
        <f t="shared" si="12"/>
        <v>403390.23293556098</v>
      </c>
      <c r="AC76" s="2206">
        <f t="shared" si="13"/>
        <v>3169134.5175000005</v>
      </c>
      <c r="AD76" s="2206">
        <f t="shared" si="14"/>
        <v>504237.7911694512</v>
      </c>
      <c r="AK76" s="23"/>
      <c r="AL76" s="23"/>
      <c r="AM76" s="23"/>
      <c r="AN76" s="23"/>
      <c r="AO76" s="23"/>
      <c r="AP76" s="23"/>
      <c r="AQ76" s="23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</row>
    <row r="77" spans="1:56" s="1971" customFormat="1" ht="15.75">
      <c r="A77" s="547">
        <v>51</v>
      </c>
      <c r="B77" s="1008" t="s">
        <v>883</v>
      </c>
      <c r="C77" s="1009" t="s">
        <v>99</v>
      </c>
      <c r="D77" s="1002" t="s">
        <v>25</v>
      </c>
      <c r="E77" s="1589" t="s">
        <v>888</v>
      </c>
      <c r="F77" s="562" t="s">
        <v>366</v>
      </c>
      <c r="G77" s="547">
        <v>1</v>
      </c>
      <c r="H77" s="563" t="s">
        <v>102</v>
      </c>
      <c r="I77" s="563" t="s">
        <v>103</v>
      </c>
      <c r="J77" s="564">
        <v>1</v>
      </c>
      <c r="K77" s="552">
        <v>17697</v>
      </c>
      <c r="L77" s="1010">
        <v>6</v>
      </c>
      <c r="M77" s="554">
        <f t="shared" si="7"/>
        <v>0.33333333333333331</v>
      </c>
      <c r="N77" s="1004" t="s">
        <v>152</v>
      </c>
      <c r="O77" s="1021">
        <v>4.6900000000000004</v>
      </c>
      <c r="P77" s="556">
        <f t="shared" si="8"/>
        <v>27666.310000000005</v>
      </c>
      <c r="Q77" s="556">
        <f t="shared" si="9"/>
        <v>13833.155000000002</v>
      </c>
      <c r="R77" s="1011"/>
      <c r="S77" s="888"/>
      <c r="T77" s="700">
        <v>0.1</v>
      </c>
      <c r="U77" s="556">
        <f t="shared" si="10"/>
        <v>4149.9465000000009</v>
      </c>
      <c r="V77" s="1012"/>
      <c r="W77" s="888"/>
      <c r="X77" s="559">
        <f t="shared" si="15"/>
        <v>45649.411500000009</v>
      </c>
      <c r="Y77" s="2048"/>
      <c r="Z77" s="2048"/>
      <c r="AA77" s="1970">
        <f t="shared" si="16"/>
        <v>547792.93800000008</v>
      </c>
      <c r="AB77" s="1971">
        <f t="shared" si="12"/>
        <v>87158.780906921267</v>
      </c>
      <c r="AC77" s="1971">
        <f t="shared" si="13"/>
        <v>684741.1725000001</v>
      </c>
      <c r="AD77" s="1971">
        <f t="shared" si="14"/>
        <v>108948.47613365157</v>
      </c>
      <c r="AK77" s="23"/>
      <c r="AL77" s="23"/>
      <c r="AM77" s="23"/>
      <c r="AN77" s="23"/>
      <c r="AO77" s="23"/>
      <c r="AP77" s="23"/>
      <c r="AQ77" s="23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</row>
    <row r="78" spans="1:56" s="1971" customFormat="1" ht="15.75">
      <c r="A78" s="560">
        <v>52</v>
      </c>
      <c r="B78" s="1008" t="s">
        <v>836</v>
      </c>
      <c r="C78" s="1009" t="s">
        <v>99</v>
      </c>
      <c r="D78" s="1002" t="s">
        <v>25</v>
      </c>
      <c r="E78" s="874" t="s">
        <v>881</v>
      </c>
      <c r="F78" s="1539" t="s">
        <v>77</v>
      </c>
      <c r="G78" s="547">
        <v>1</v>
      </c>
      <c r="H78" s="563" t="s">
        <v>102</v>
      </c>
      <c r="I78" s="563" t="s">
        <v>103</v>
      </c>
      <c r="J78" s="581">
        <v>3</v>
      </c>
      <c r="K78" s="552">
        <v>17697</v>
      </c>
      <c r="L78" s="1010">
        <v>15</v>
      </c>
      <c r="M78" s="554">
        <f t="shared" si="7"/>
        <v>0.83333333333333337</v>
      </c>
      <c r="N78" s="1004" t="s">
        <v>109</v>
      </c>
      <c r="O78" s="1021">
        <v>4</v>
      </c>
      <c r="P78" s="556">
        <f t="shared" si="8"/>
        <v>58990</v>
      </c>
      <c r="Q78" s="556">
        <f t="shared" si="9"/>
        <v>29495</v>
      </c>
      <c r="R78" s="1011"/>
      <c r="S78" s="888"/>
      <c r="T78" s="700">
        <v>0.1</v>
      </c>
      <c r="U78" s="556">
        <f t="shared" si="10"/>
        <v>8848.5</v>
      </c>
      <c r="V78" s="1012"/>
      <c r="W78" s="888"/>
      <c r="X78" s="559">
        <f t="shared" si="15"/>
        <v>97333.5</v>
      </c>
      <c r="Y78" s="2048"/>
      <c r="Z78" s="2048"/>
      <c r="AA78" s="1970"/>
      <c r="AK78" s="23"/>
      <c r="AL78" s="23"/>
      <c r="AM78" s="23"/>
      <c r="AN78" s="23"/>
      <c r="AO78" s="23"/>
      <c r="AP78" s="23"/>
      <c r="AQ78" s="23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</row>
    <row r="79" spans="1:56" s="1971" customFormat="1" ht="15.75">
      <c r="A79" s="547">
        <v>53</v>
      </c>
      <c r="B79" s="1008" t="s">
        <v>835</v>
      </c>
      <c r="C79" s="1009" t="s">
        <v>99</v>
      </c>
      <c r="D79" s="1002" t="s">
        <v>25</v>
      </c>
      <c r="E79" s="1730" t="s">
        <v>882</v>
      </c>
      <c r="F79" s="591" t="s">
        <v>34</v>
      </c>
      <c r="G79" s="547">
        <v>1</v>
      </c>
      <c r="H79" s="563" t="s">
        <v>102</v>
      </c>
      <c r="I79" s="563" t="s">
        <v>103</v>
      </c>
      <c r="J79" s="581">
        <v>2</v>
      </c>
      <c r="K79" s="552">
        <v>17697</v>
      </c>
      <c r="L79" s="1010">
        <v>18</v>
      </c>
      <c r="M79" s="554">
        <f t="shared" si="7"/>
        <v>1</v>
      </c>
      <c r="N79" s="1004" t="s">
        <v>104</v>
      </c>
      <c r="O79" s="1021">
        <v>4.51</v>
      </c>
      <c r="P79" s="556">
        <f t="shared" si="8"/>
        <v>79813.47</v>
      </c>
      <c r="Q79" s="556">
        <f t="shared" si="9"/>
        <v>39906.735000000001</v>
      </c>
      <c r="R79" s="1011"/>
      <c r="S79" s="888"/>
      <c r="T79" s="700">
        <v>0.1</v>
      </c>
      <c r="U79" s="556">
        <f t="shared" si="10"/>
        <v>11972.020500000001</v>
      </c>
      <c r="V79" s="1012"/>
      <c r="W79" s="888"/>
      <c r="X79" s="559">
        <f t="shared" si="15"/>
        <v>131692.2255</v>
      </c>
      <c r="Y79" s="2048"/>
      <c r="Z79" s="2048"/>
      <c r="AA79" s="1970"/>
      <c r="AK79" s="23"/>
      <c r="AL79" s="23"/>
      <c r="AM79" s="23"/>
      <c r="AN79" s="23"/>
      <c r="AO79" s="23"/>
      <c r="AP79" s="23"/>
      <c r="AQ79" s="23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</row>
    <row r="80" spans="1:56" s="1971" customFormat="1" ht="15.75">
      <c r="A80" s="560">
        <v>54</v>
      </c>
      <c r="B80" s="1008" t="s">
        <v>812</v>
      </c>
      <c r="C80" s="1009" t="s">
        <v>99</v>
      </c>
      <c r="D80" s="1002" t="s">
        <v>25</v>
      </c>
      <c r="E80" s="1589" t="s">
        <v>884</v>
      </c>
      <c r="F80" s="1539" t="s">
        <v>34</v>
      </c>
      <c r="G80" s="547">
        <v>1</v>
      </c>
      <c r="H80" s="1002" t="s">
        <v>102</v>
      </c>
      <c r="I80" s="1002" t="s">
        <v>103</v>
      </c>
      <c r="J80" s="1590">
        <v>2</v>
      </c>
      <c r="K80" s="552">
        <v>17697</v>
      </c>
      <c r="L80" s="1010">
        <v>18</v>
      </c>
      <c r="M80" s="554">
        <f t="shared" si="7"/>
        <v>1</v>
      </c>
      <c r="N80" s="698" t="s">
        <v>104</v>
      </c>
      <c r="O80" s="1021">
        <v>4.51</v>
      </c>
      <c r="P80" s="556">
        <f t="shared" si="8"/>
        <v>79813.47</v>
      </c>
      <c r="Q80" s="556">
        <f t="shared" si="9"/>
        <v>39906.735000000001</v>
      </c>
      <c r="R80" s="1011"/>
      <c r="S80" s="888"/>
      <c r="T80" s="700">
        <v>0.1</v>
      </c>
      <c r="U80" s="556">
        <f t="shared" si="10"/>
        <v>11972.020500000001</v>
      </c>
      <c r="V80" s="1012"/>
      <c r="W80" s="888"/>
      <c r="X80" s="559">
        <f t="shared" si="15"/>
        <v>131692.2255</v>
      </c>
      <c r="Y80" s="2048"/>
      <c r="Z80" s="2048"/>
      <c r="AA80" s="1970">
        <f t="shared" si="16"/>
        <v>1580306.706</v>
      </c>
      <c r="AB80" s="1971">
        <f t="shared" si="12"/>
        <v>251441.00334128883</v>
      </c>
      <c r="AC80" s="1971">
        <f t="shared" si="13"/>
        <v>1975383.3825000001</v>
      </c>
      <c r="AD80" s="1971">
        <f t="shared" si="14"/>
        <v>314301.25417661102</v>
      </c>
      <c r="AK80" s="23"/>
      <c r="AL80" s="23"/>
      <c r="AM80" s="23"/>
      <c r="AN80" s="23"/>
      <c r="AO80" s="23"/>
      <c r="AP80" s="23"/>
      <c r="AQ80" s="23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</row>
    <row r="81" spans="1:69" s="1971" customFormat="1" ht="16.5" thickBot="1">
      <c r="A81" s="547">
        <v>55</v>
      </c>
      <c r="B81" s="1008" t="s">
        <v>202</v>
      </c>
      <c r="C81" s="1009" t="s">
        <v>99</v>
      </c>
      <c r="D81" s="1592" t="s">
        <v>75</v>
      </c>
      <c r="E81" s="1694" t="s">
        <v>885</v>
      </c>
      <c r="F81" s="562" t="s">
        <v>93</v>
      </c>
      <c r="G81" s="547">
        <v>1</v>
      </c>
      <c r="H81" s="1592" t="s">
        <v>102</v>
      </c>
      <c r="I81" s="1592" t="s">
        <v>103</v>
      </c>
      <c r="J81" s="1696">
        <v>2</v>
      </c>
      <c r="K81" s="888">
        <v>17697</v>
      </c>
      <c r="L81" s="1010">
        <v>34</v>
      </c>
      <c r="M81" s="554">
        <f t="shared" si="7"/>
        <v>1.8888888888888888</v>
      </c>
      <c r="N81" s="1594" t="s">
        <v>104</v>
      </c>
      <c r="O81" s="1021">
        <v>4.37</v>
      </c>
      <c r="P81" s="556">
        <f t="shared" si="8"/>
        <v>146078.90333333335</v>
      </c>
      <c r="Q81" s="556">
        <f t="shared" ref="Q81" si="18">P81*50%</f>
        <v>73039.451666666675</v>
      </c>
      <c r="R81" s="1011"/>
      <c r="S81" s="888"/>
      <c r="T81" s="700">
        <v>0.1</v>
      </c>
      <c r="U81" s="556">
        <f t="shared" si="10"/>
        <v>21911.835500000005</v>
      </c>
      <c r="V81" s="1012"/>
      <c r="W81" s="888"/>
      <c r="X81" s="1697">
        <f>P81+Q81+U81</f>
        <v>241030.19050000006</v>
      </c>
      <c r="Y81" s="2048"/>
      <c r="Z81" s="2048"/>
      <c r="AA81" s="1970"/>
      <c r="AK81" s="23"/>
      <c r="AL81" s="23"/>
      <c r="AM81" s="23"/>
      <c r="AN81" s="23"/>
      <c r="AO81" s="23"/>
      <c r="AP81" s="23"/>
      <c r="AQ81" s="23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</row>
    <row r="82" spans="1:69" s="377" customFormat="1" ht="17.25" customHeight="1" thickBot="1">
      <c r="A82" s="1916"/>
      <c r="B82" s="1930" t="s">
        <v>798</v>
      </c>
      <c r="C82" s="1917"/>
      <c r="D82" s="1918"/>
      <c r="E82" s="1919"/>
      <c r="F82" s="1920"/>
      <c r="G82" s="1921"/>
      <c r="H82" s="1918"/>
      <c r="I82" s="1918"/>
      <c r="J82" s="1922"/>
      <c r="K82" s="1923"/>
      <c r="L82" s="1924">
        <f>SUM(L27:L81)</f>
        <v>1217</v>
      </c>
      <c r="M82" s="1923"/>
      <c r="N82" s="1925"/>
      <c r="O82" s="1925"/>
      <c r="P82" s="1926"/>
      <c r="Q82" s="1926"/>
      <c r="R82" s="1927"/>
      <c r="S82" s="1923"/>
      <c r="T82" s="1923"/>
      <c r="U82" s="1926"/>
      <c r="V82" s="1928"/>
      <c r="W82" s="1923"/>
      <c r="X82" s="1929"/>
      <c r="Y82" s="1576"/>
      <c r="Z82" s="437"/>
      <c r="AA82" s="375">
        <f>X82*12</f>
        <v>0</v>
      </c>
      <c r="AB82" s="377">
        <f>AA82/12/29.33*56</f>
        <v>0</v>
      </c>
      <c r="AC82" s="377">
        <f>AA82*1.25</f>
        <v>0</v>
      </c>
      <c r="AD82" s="377">
        <f>AC82/12/29.33*56</f>
        <v>0</v>
      </c>
      <c r="AK82" s="23"/>
      <c r="AL82" s="23"/>
      <c r="AM82" s="23"/>
      <c r="AN82" s="23"/>
      <c r="AO82" s="23"/>
      <c r="AP82" s="23"/>
      <c r="AQ82" s="23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</row>
    <row r="83" spans="1:69" s="377" customFormat="1" ht="17.25" customHeight="1">
      <c r="A83" s="1674"/>
      <c r="B83" s="1675" t="s">
        <v>789</v>
      </c>
      <c r="C83" s="1676"/>
      <c r="D83" s="1677"/>
      <c r="E83" s="1678"/>
      <c r="F83" s="1678"/>
      <c r="G83" s="1679"/>
      <c r="H83" s="1677"/>
      <c r="I83" s="1677"/>
      <c r="J83" s="1680"/>
      <c r="K83" s="1681"/>
      <c r="L83" s="1682"/>
      <c r="M83" s="1681"/>
      <c r="N83" s="1683"/>
      <c r="O83" s="1683"/>
      <c r="P83" s="1684"/>
      <c r="Q83" s="1684"/>
      <c r="R83" s="1685"/>
      <c r="S83" s="1681"/>
      <c r="T83" s="1681"/>
      <c r="U83" s="1684"/>
      <c r="V83" s="1686"/>
      <c r="W83" s="1681"/>
      <c r="X83" s="1687"/>
      <c r="Y83" s="1576"/>
      <c r="Z83" s="1544"/>
      <c r="AA83" s="375"/>
      <c r="AK83" s="23"/>
      <c r="AL83" s="23"/>
      <c r="AM83" s="23"/>
      <c r="AN83" s="23"/>
      <c r="AO83" s="23"/>
      <c r="AP83" s="23"/>
      <c r="AQ83" s="23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</row>
    <row r="84" spans="1:69" s="1154" customFormat="1" ht="17.25" customHeight="1">
      <c r="A84" s="547">
        <v>1</v>
      </c>
      <c r="B84" s="548" t="s">
        <v>215</v>
      </c>
      <c r="C84" s="549" t="s">
        <v>99</v>
      </c>
      <c r="D84" s="577" t="s">
        <v>25</v>
      </c>
      <c r="E84" s="583" t="s">
        <v>843</v>
      </c>
      <c r="F84" s="583" t="s">
        <v>217</v>
      </c>
      <c r="G84" s="1668">
        <v>1</v>
      </c>
      <c r="H84" s="1669" t="s">
        <v>102</v>
      </c>
      <c r="I84" s="1669" t="s">
        <v>103</v>
      </c>
      <c r="J84" s="1670">
        <v>1</v>
      </c>
      <c r="K84" s="552">
        <v>17697</v>
      </c>
      <c r="L84" s="1671">
        <v>20</v>
      </c>
      <c r="M84" s="552">
        <f>L84/18</f>
        <v>1.1111111111111112</v>
      </c>
      <c r="N84" s="1670" t="s">
        <v>152</v>
      </c>
      <c r="O84" s="1672">
        <v>4.6900000000000004</v>
      </c>
      <c r="P84" s="556">
        <f t="shared" ref="P84:P97" si="19">O84*K84/18*L84</f>
        <v>92221.03333333334</v>
      </c>
      <c r="Q84" s="556">
        <f>P84*50%</f>
        <v>46110.51666666667</v>
      </c>
      <c r="R84" s="557"/>
      <c r="S84" s="552"/>
      <c r="T84" s="552">
        <v>0.1</v>
      </c>
      <c r="U84" s="556">
        <f>(P84+Q84)*T84</f>
        <v>13833.155000000002</v>
      </c>
      <c r="V84" s="1673"/>
      <c r="W84" s="552"/>
      <c r="X84" s="559">
        <f>P84+Q84+U84</f>
        <v>152164.70500000002</v>
      </c>
      <c r="Y84" s="2212"/>
      <c r="Z84" s="2212"/>
      <c r="AA84" s="1153" t="e">
        <f>#REF!*12</f>
        <v>#REF!</v>
      </c>
      <c r="AB84" s="1154" t="e">
        <f t="shared" si="12"/>
        <v>#REF!</v>
      </c>
      <c r="AC84" s="1154" t="e">
        <f t="shared" si="13"/>
        <v>#REF!</v>
      </c>
      <c r="AD84" s="1154" t="e">
        <f t="shared" si="14"/>
        <v>#REF!</v>
      </c>
      <c r="AK84" s="906"/>
      <c r="AL84" s="23"/>
      <c r="AM84" s="23"/>
      <c r="AN84" s="23"/>
      <c r="AO84" s="23"/>
      <c r="AP84" s="23"/>
      <c r="AQ84" s="23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</row>
    <row r="85" spans="1:69" s="1154" customFormat="1" ht="18" customHeight="1">
      <c r="A85" s="560">
        <v>2</v>
      </c>
      <c r="B85" s="153" t="s">
        <v>222</v>
      </c>
      <c r="C85" s="561" t="s">
        <v>148</v>
      </c>
      <c r="D85" s="563" t="s">
        <v>25</v>
      </c>
      <c r="E85" s="562" t="s">
        <v>919</v>
      </c>
      <c r="F85" s="562" t="s">
        <v>224</v>
      </c>
      <c r="G85" s="571">
        <v>1</v>
      </c>
      <c r="H85" s="580" t="s">
        <v>102</v>
      </c>
      <c r="I85" s="580" t="s">
        <v>103</v>
      </c>
      <c r="J85" s="574">
        <v>2</v>
      </c>
      <c r="K85" s="554">
        <v>17697</v>
      </c>
      <c r="L85" s="1643">
        <v>34</v>
      </c>
      <c r="M85" s="552">
        <f t="shared" ref="M85:M103" si="20">L85/18</f>
        <v>1.8888888888888888</v>
      </c>
      <c r="N85" s="566" t="s">
        <v>104</v>
      </c>
      <c r="O85" s="1015">
        <v>4.16</v>
      </c>
      <c r="P85" s="567">
        <f t="shared" si="19"/>
        <v>139059.09333333332</v>
      </c>
      <c r="Q85" s="556">
        <f t="shared" ref="Q85:Q103" si="21">P85*50%</f>
        <v>69529.546666666662</v>
      </c>
      <c r="R85" s="568"/>
      <c r="S85" s="554"/>
      <c r="T85" s="552">
        <v>0.1</v>
      </c>
      <c r="U85" s="567">
        <f t="shared" ref="U85:U103" si="22">(P85+Q85)*T85</f>
        <v>20858.864000000001</v>
      </c>
      <c r="V85" s="19"/>
      <c r="W85" s="554"/>
      <c r="X85" s="570">
        <f t="shared" ref="X85:X101" si="23">P85+Q85+U85</f>
        <v>229447.50399999999</v>
      </c>
      <c r="Y85" s="2212">
        <f t="shared" ref="Y85:Z87" si="24">V84+R84</f>
        <v>0</v>
      </c>
      <c r="Z85" s="2212">
        <f t="shared" si="24"/>
        <v>0</v>
      </c>
      <c r="AA85" s="1153">
        <f>X84*12</f>
        <v>1825976.4600000002</v>
      </c>
      <c r="AB85" s="1154">
        <f t="shared" si="12"/>
        <v>290529.26968973753</v>
      </c>
      <c r="AC85" s="1154">
        <f t="shared" si="13"/>
        <v>2282470.5750000002</v>
      </c>
      <c r="AD85" s="1154">
        <f t="shared" si="14"/>
        <v>363161.58711217187</v>
      </c>
      <c r="AK85" s="23"/>
      <c r="AL85" s="23"/>
      <c r="AM85" s="23"/>
      <c r="AN85" s="23"/>
      <c r="AO85" s="23"/>
      <c r="AP85" s="23"/>
      <c r="AQ85" s="23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</row>
    <row r="86" spans="1:69" s="1154" customFormat="1" ht="16.5" customHeight="1">
      <c r="A86" s="547">
        <v>3</v>
      </c>
      <c r="B86" s="153" t="s">
        <v>124</v>
      </c>
      <c r="C86" s="561" t="s">
        <v>125</v>
      </c>
      <c r="D86" s="560" t="s">
        <v>75</v>
      </c>
      <c r="E86" s="582" t="s">
        <v>920</v>
      </c>
      <c r="F86" s="562" t="s">
        <v>108</v>
      </c>
      <c r="G86" s="571">
        <v>1</v>
      </c>
      <c r="H86" s="563" t="s">
        <v>102</v>
      </c>
      <c r="I86" s="563" t="s">
        <v>118</v>
      </c>
      <c r="J86" s="581">
        <v>3</v>
      </c>
      <c r="K86" s="554">
        <v>17697</v>
      </c>
      <c r="L86" s="1014">
        <v>11</v>
      </c>
      <c r="M86" s="552">
        <f t="shared" si="20"/>
        <v>0.61111111111111116</v>
      </c>
      <c r="N86" s="574" t="s">
        <v>109</v>
      </c>
      <c r="O86" s="1014">
        <v>3.85</v>
      </c>
      <c r="P86" s="567">
        <f t="shared" si="19"/>
        <v>41637.10833333333</v>
      </c>
      <c r="Q86" s="556">
        <f t="shared" si="21"/>
        <v>20818.554166666665</v>
      </c>
      <c r="R86" s="568"/>
      <c r="S86" s="554"/>
      <c r="T86" s="552">
        <v>0.1</v>
      </c>
      <c r="U86" s="567">
        <f t="shared" si="22"/>
        <v>6245.5662499999999</v>
      </c>
      <c r="V86" s="19"/>
      <c r="W86" s="554"/>
      <c r="X86" s="570">
        <f t="shared" si="23"/>
        <v>68701.228749999995</v>
      </c>
      <c r="Y86" s="2212">
        <f t="shared" si="24"/>
        <v>0</v>
      </c>
      <c r="Z86" s="2212">
        <f t="shared" si="24"/>
        <v>0</v>
      </c>
      <c r="AA86" s="1153">
        <f>X85*12</f>
        <v>2753370.048</v>
      </c>
      <c r="AB86" s="1154">
        <f t="shared" si="12"/>
        <v>438085.92649164679</v>
      </c>
      <c r="AC86" s="1154">
        <f t="shared" si="13"/>
        <v>3441712.56</v>
      </c>
      <c r="AD86" s="1154">
        <f t="shared" si="14"/>
        <v>547607.40811455855</v>
      </c>
      <c r="AK86" s="23"/>
      <c r="AL86" s="23"/>
      <c r="AM86" s="23"/>
      <c r="AN86" s="23"/>
      <c r="AO86" s="23"/>
      <c r="AP86" s="23"/>
      <c r="AQ86" s="23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</row>
    <row r="87" spans="1:69" s="1154" customFormat="1" ht="17.25" customHeight="1">
      <c r="A87" s="560">
        <v>4</v>
      </c>
      <c r="B87" s="153" t="s">
        <v>618</v>
      </c>
      <c r="C87" s="561" t="s">
        <v>99</v>
      </c>
      <c r="D87" s="560" t="s">
        <v>25</v>
      </c>
      <c r="E87" s="550" t="s">
        <v>921</v>
      </c>
      <c r="F87" s="562" t="s">
        <v>795</v>
      </c>
      <c r="G87" s="571">
        <v>1</v>
      </c>
      <c r="H87" s="580" t="s">
        <v>102</v>
      </c>
      <c r="I87" s="580" t="s">
        <v>103</v>
      </c>
      <c r="J87" s="574">
        <v>3</v>
      </c>
      <c r="K87" s="554">
        <v>17697</v>
      </c>
      <c r="L87" s="1014">
        <v>31</v>
      </c>
      <c r="M87" s="552">
        <f t="shared" si="20"/>
        <v>1.7222222222222223</v>
      </c>
      <c r="N87" s="698" t="s">
        <v>104</v>
      </c>
      <c r="O87" s="1157">
        <v>4.37</v>
      </c>
      <c r="P87" s="567">
        <f t="shared" si="19"/>
        <v>133189.58833333335</v>
      </c>
      <c r="Q87" s="556">
        <f t="shared" si="21"/>
        <v>66594.794166666674</v>
      </c>
      <c r="R87" s="1538"/>
      <c r="S87" s="700"/>
      <c r="T87" s="552">
        <v>0.1</v>
      </c>
      <c r="U87" s="567">
        <f t="shared" si="22"/>
        <v>19978.438250000003</v>
      </c>
      <c r="V87" s="19">
        <v>0.35</v>
      </c>
      <c r="W87" s="554">
        <f>(P87+Q87)*V87</f>
        <v>69924.533874999994</v>
      </c>
      <c r="X87" s="570">
        <f>P87+Q87+U87+W87</f>
        <v>289687.35462500004</v>
      </c>
      <c r="Y87" s="2212">
        <f t="shared" si="24"/>
        <v>0</v>
      </c>
      <c r="Z87" s="2212">
        <f t="shared" si="24"/>
        <v>0</v>
      </c>
      <c r="AA87" s="1153">
        <f>X86*12</f>
        <v>824414.74499999988</v>
      </c>
      <c r="AB87" s="1154">
        <f t="shared" si="12"/>
        <v>131171.79713603819</v>
      </c>
      <c r="AC87" s="1154">
        <f t="shared" si="13"/>
        <v>1030518.4312499999</v>
      </c>
      <c r="AD87" s="1154">
        <f t="shared" si="14"/>
        <v>163964.74642004771</v>
      </c>
      <c r="AK87" s="23"/>
      <c r="AL87" s="906"/>
      <c r="AM87" s="23"/>
      <c r="AN87" s="23"/>
      <c r="AO87" s="23"/>
      <c r="AP87" s="23"/>
      <c r="AQ87" s="23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</row>
    <row r="88" spans="1:69" s="1154" customFormat="1" ht="17.25" customHeight="1">
      <c r="A88" s="547">
        <v>5</v>
      </c>
      <c r="B88" s="153" t="s">
        <v>127</v>
      </c>
      <c r="C88" s="561" t="s">
        <v>99</v>
      </c>
      <c r="D88" s="560" t="s">
        <v>25</v>
      </c>
      <c r="E88" s="562" t="s">
        <v>922</v>
      </c>
      <c r="F88" s="562" t="s">
        <v>34</v>
      </c>
      <c r="G88" s="571">
        <v>1</v>
      </c>
      <c r="H88" s="563" t="s">
        <v>102</v>
      </c>
      <c r="I88" s="563" t="s">
        <v>103</v>
      </c>
      <c r="J88" s="564">
        <v>1</v>
      </c>
      <c r="K88" s="554">
        <v>17697</v>
      </c>
      <c r="L88" s="1014">
        <v>4</v>
      </c>
      <c r="M88" s="552">
        <f t="shared" si="20"/>
        <v>0.22222222222222221</v>
      </c>
      <c r="N88" s="574" t="s">
        <v>152</v>
      </c>
      <c r="O88" s="1014">
        <v>4.75</v>
      </c>
      <c r="P88" s="567">
        <f t="shared" si="19"/>
        <v>18680.166666666668</v>
      </c>
      <c r="Q88" s="556">
        <f t="shared" si="21"/>
        <v>9340.0833333333339</v>
      </c>
      <c r="R88" s="568"/>
      <c r="S88" s="554"/>
      <c r="T88" s="552">
        <v>0.1</v>
      </c>
      <c r="U88" s="567">
        <f t="shared" si="22"/>
        <v>2802.0250000000001</v>
      </c>
      <c r="V88" s="19"/>
      <c r="W88" s="554"/>
      <c r="X88" s="570">
        <f t="shared" si="23"/>
        <v>30822.275000000001</v>
      </c>
      <c r="Y88" s="2214"/>
      <c r="Z88" s="2214"/>
      <c r="AA88" s="1153"/>
      <c r="AK88" s="23"/>
      <c r="AL88" s="23"/>
      <c r="AM88" s="23"/>
      <c r="AN88" s="23"/>
      <c r="AO88" s="23"/>
      <c r="AP88" s="23"/>
      <c r="AQ88" s="23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</row>
    <row r="89" spans="1:69" s="1154" customFormat="1" ht="17.25" customHeight="1">
      <c r="A89" s="560">
        <v>6</v>
      </c>
      <c r="B89" s="998" t="s">
        <v>791</v>
      </c>
      <c r="C89" s="873" t="s">
        <v>99</v>
      </c>
      <c r="D89" s="874" t="s">
        <v>75</v>
      </c>
      <c r="E89" s="583" t="s">
        <v>923</v>
      </c>
      <c r="F89" s="1539" t="s">
        <v>403</v>
      </c>
      <c r="G89" s="571">
        <v>1</v>
      </c>
      <c r="H89" s="580" t="s">
        <v>102</v>
      </c>
      <c r="I89" s="580" t="s">
        <v>118</v>
      </c>
      <c r="J89" s="574">
        <v>2</v>
      </c>
      <c r="K89" s="554">
        <v>17697</v>
      </c>
      <c r="L89" s="1157">
        <v>22</v>
      </c>
      <c r="M89" s="552">
        <f t="shared" si="20"/>
        <v>1.2222222222222223</v>
      </c>
      <c r="N89" s="698" t="s">
        <v>109</v>
      </c>
      <c r="O89" s="1157">
        <v>4.04</v>
      </c>
      <c r="P89" s="567">
        <f t="shared" si="19"/>
        <v>87383.853333333347</v>
      </c>
      <c r="Q89" s="556">
        <f t="shared" si="21"/>
        <v>43691.926666666674</v>
      </c>
      <c r="R89" s="1538"/>
      <c r="S89" s="700"/>
      <c r="T89" s="552">
        <v>0.1</v>
      </c>
      <c r="U89" s="567">
        <f t="shared" si="22"/>
        <v>13107.578000000003</v>
      </c>
      <c r="V89" s="1541">
        <v>0.35</v>
      </c>
      <c r="W89" s="700">
        <f>(P89+Q89)*V89</f>
        <v>45876.523000000008</v>
      </c>
      <c r="X89" s="570">
        <f>P89+Q89+U89+W89</f>
        <v>190059.88100000005</v>
      </c>
      <c r="Y89" s="2212">
        <f>V88+R88</f>
        <v>0</v>
      </c>
      <c r="Z89" s="2212">
        <f>W88+S88</f>
        <v>0</v>
      </c>
      <c r="AA89" s="1153">
        <f>X88*12</f>
        <v>369867.30000000005</v>
      </c>
      <c r="AB89" s="1154">
        <f>AA89/12/29.33*56</f>
        <v>58849.212410501212</v>
      </c>
      <c r="AC89" s="1154">
        <f>AA89*1.25</f>
        <v>462334.12500000006</v>
      </c>
      <c r="AD89" s="1154">
        <f>AC89/12/29.33*56</f>
        <v>73561.515513126506</v>
      </c>
      <c r="AK89" s="906"/>
      <c r="AL89" s="23"/>
      <c r="AM89" s="23"/>
      <c r="AN89" s="23"/>
      <c r="AO89" s="23"/>
      <c r="AP89" s="23"/>
      <c r="AQ89" s="23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</row>
    <row r="90" spans="1:69" s="1154" customFormat="1" ht="17.25" customHeight="1">
      <c r="A90" s="547">
        <v>7</v>
      </c>
      <c r="B90" s="153" t="s">
        <v>227</v>
      </c>
      <c r="C90" s="561" t="s">
        <v>99</v>
      </c>
      <c r="D90" s="560" t="s">
        <v>25</v>
      </c>
      <c r="E90" s="562" t="s">
        <v>924</v>
      </c>
      <c r="F90" s="562" t="s">
        <v>669</v>
      </c>
      <c r="G90" s="571">
        <v>1</v>
      </c>
      <c r="H90" s="580" t="s">
        <v>102</v>
      </c>
      <c r="I90" s="580" t="s">
        <v>103</v>
      </c>
      <c r="J90" s="574">
        <v>2</v>
      </c>
      <c r="K90" s="554">
        <v>17697</v>
      </c>
      <c r="L90" s="1643">
        <v>17</v>
      </c>
      <c r="M90" s="552">
        <f t="shared" si="20"/>
        <v>0.94444444444444442</v>
      </c>
      <c r="N90" s="566" t="s">
        <v>104</v>
      </c>
      <c r="O90" s="1015">
        <v>4.09</v>
      </c>
      <c r="P90" s="567">
        <f t="shared" si="19"/>
        <v>68359.578333333338</v>
      </c>
      <c r="Q90" s="556">
        <f t="shared" si="21"/>
        <v>34179.789166666669</v>
      </c>
      <c r="R90" s="568"/>
      <c r="S90" s="554"/>
      <c r="T90" s="552">
        <v>0.1</v>
      </c>
      <c r="U90" s="567">
        <f t="shared" si="22"/>
        <v>10253.936750000001</v>
      </c>
      <c r="V90" s="19"/>
      <c r="W90" s="554"/>
      <c r="X90" s="570">
        <f t="shared" si="23"/>
        <v>112793.30425000002</v>
      </c>
      <c r="Y90" s="2214"/>
      <c r="Z90" s="2214"/>
      <c r="AA90" s="1153"/>
      <c r="AK90" s="23"/>
      <c r="AL90" s="23"/>
      <c r="AM90" s="23"/>
      <c r="AN90" s="23"/>
      <c r="AO90" s="23"/>
      <c r="AP90" s="23"/>
      <c r="AQ90" s="23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</row>
    <row r="91" spans="1:69" s="1154" customFormat="1" ht="17.25" customHeight="1">
      <c r="A91" s="560">
        <v>8</v>
      </c>
      <c r="B91" s="153" t="s">
        <v>230</v>
      </c>
      <c r="C91" s="561" t="s">
        <v>99</v>
      </c>
      <c r="D91" s="560" t="s">
        <v>25</v>
      </c>
      <c r="E91" s="582" t="s">
        <v>925</v>
      </c>
      <c r="F91" s="562" t="s">
        <v>217</v>
      </c>
      <c r="G91" s="571">
        <v>1</v>
      </c>
      <c r="H91" s="580" t="s">
        <v>232</v>
      </c>
      <c r="I91" s="580" t="s">
        <v>233</v>
      </c>
      <c r="J91" s="574">
        <v>1</v>
      </c>
      <c r="K91" s="554">
        <v>17697</v>
      </c>
      <c r="L91" s="1643">
        <v>36</v>
      </c>
      <c r="M91" s="552">
        <f t="shared" si="20"/>
        <v>2</v>
      </c>
      <c r="N91" s="574" t="s">
        <v>152</v>
      </c>
      <c r="O91" s="1014">
        <v>4.75</v>
      </c>
      <c r="P91" s="567">
        <f t="shared" si="19"/>
        <v>168121.5</v>
      </c>
      <c r="Q91" s="556">
        <f t="shared" si="21"/>
        <v>84060.75</v>
      </c>
      <c r="R91" s="568"/>
      <c r="S91" s="554"/>
      <c r="T91" s="552">
        <v>0.1</v>
      </c>
      <c r="U91" s="567">
        <f t="shared" si="22"/>
        <v>25218.225000000002</v>
      </c>
      <c r="V91" s="19"/>
      <c r="W91" s="554"/>
      <c r="X91" s="570">
        <f t="shared" si="23"/>
        <v>277400.47499999998</v>
      </c>
      <c r="Y91" s="2212">
        <f>V90+R90</f>
        <v>0</v>
      </c>
      <c r="Z91" s="2212">
        <f>W90+S90</f>
        <v>0</v>
      </c>
      <c r="AA91" s="1153">
        <f>X90*12</f>
        <v>1353519.6510000001</v>
      </c>
      <c r="AB91" s="1154">
        <f>AA91/12/29.33*56</f>
        <v>215357.14415274464</v>
      </c>
      <c r="AC91" s="1154">
        <f>AA91*1.25</f>
        <v>1691899.5637500002</v>
      </c>
      <c r="AD91" s="1154">
        <f>AC91/12/29.33*56</f>
        <v>269196.43019093084</v>
      </c>
      <c r="AK91" s="23"/>
      <c r="AL91" s="23"/>
      <c r="AM91" s="23"/>
      <c r="AN91" s="23"/>
      <c r="AO91" s="23"/>
      <c r="AP91" s="23"/>
      <c r="AQ91" s="23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</row>
    <row r="92" spans="1:69" s="1971" customFormat="1" ht="17.25" customHeight="1">
      <c r="A92" s="547">
        <v>9</v>
      </c>
      <c r="B92" s="153" t="s">
        <v>360</v>
      </c>
      <c r="C92" s="561" t="s">
        <v>99</v>
      </c>
      <c r="D92" s="563" t="s">
        <v>25</v>
      </c>
      <c r="E92" s="562" t="s">
        <v>926</v>
      </c>
      <c r="F92" s="562" t="s">
        <v>362</v>
      </c>
      <c r="G92" s="571">
        <v>1</v>
      </c>
      <c r="H92" s="580" t="s">
        <v>102</v>
      </c>
      <c r="I92" s="580" t="s">
        <v>103</v>
      </c>
      <c r="J92" s="574">
        <v>1</v>
      </c>
      <c r="K92" s="554">
        <v>17697</v>
      </c>
      <c r="L92" s="1643">
        <v>24</v>
      </c>
      <c r="M92" s="552">
        <f t="shared" si="20"/>
        <v>1.3333333333333333</v>
      </c>
      <c r="N92" s="566" t="s">
        <v>152</v>
      </c>
      <c r="O92" s="1015">
        <v>4.55</v>
      </c>
      <c r="P92" s="567">
        <f t="shared" si="19"/>
        <v>107361.79999999999</v>
      </c>
      <c r="Q92" s="556">
        <f t="shared" si="21"/>
        <v>53680.899999999994</v>
      </c>
      <c r="R92" s="568"/>
      <c r="S92" s="554"/>
      <c r="T92" s="552">
        <v>0.1</v>
      </c>
      <c r="U92" s="567">
        <f t="shared" si="22"/>
        <v>16104.269999999999</v>
      </c>
      <c r="V92" s="19"/>
      <c r="W92" s="554"/>
      <c r="X92" s="570">
        <f t="shared" si="23"/>
        <v>177146.96999999997</v>
      </c>
      <c r="Y92" s="141">
        <f>V91+R91</f>
        <v>0</v>
      </c>
      <c r="Z92" s="141">
        <f>W91+S91</f>
        <v>0</v>
      </c>
      <c r="AA92" s="1970">
        <f>X91*12</f>
        <v>3328805.6999999997</v>
      </c>
      <c r="AB92" s="1971">
        <f>AA92/12/29.33*56</f>
        <v>529642.91169451072</v>
      </c>
      <c r="AC92" s="1971">
        <f>AA92*1.25</f>
        <v>4161007.1249999995</v>
      </c>
      <c r="AD92" s="1971">
        <f>AC92/12/29.33*56</f>
        <v>662053.63961813832</v>
      </c>
      <c r="AK92" s="23"/>
      <c r="AL92" s="23"/>
      <c r="AM92" s="23"/>
      <c r="AN92" s="23"/>
      <c r="AO92" s="23"/>
      <c r="AP92" s="23"/>
      <c r="AQ92" s="23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</row>
    <row r="93" spans="1:69" s="1971" customFormat="1" ht="15.75">
      <c r="A93" s="560">
        <v>10</v>
      </c>
      <c r="B93" s="153" t="s">
        <v>743</v>
      </c>
      <c r="C93" s="561" t="s">
        <v>744</v>
      </c>
      <c r="D93" s="628" t="s">
        <v>25</v>
      </c>
      <c r="E93" s="586" t="s">
        <v>927</v>
      </c>
      <c r="F93" s="562" t="s">
        <v>403</v>
      </c>
      <c r="G93" s="571">
        <v>1</v>
      </c>
      <c r="H93" s="563" t="s">
        <v>102</v>
      </c>
      <c r="I93" s="563" t="s">
        <v>103</v>
      </c>
      <c r="J93" s="629">
        <v>3</v>
      </c>
      <c r="K93" s="554">
        <v>17697</v>
      </c>
      <c r="L93" s="1643">
        <v>24</v>
      </c>
      <c r="M93" s="552">
        <f t="shared" si="20"/>
        <v>1.3333333333333333</v>
      </c>
      <c r="N93" s="574" t="s">
        <v>109</v>
      </c>
      <c r="O93" s="1015">
        <v>4.1399999999999997</v>
      </c>
      <c r="P93" s="567">
        <f t="shared" si="19"/>
        <v>97687.439999999988</v>
      </c>
      <c r="Q93" s="556">
        <f t="shared" si="21"/>
        <v>48843.719999999994</v>
      </c>
      <c r="R93" s="568"/>
      <c r="S93" s="554"/>
      <c r="T93" s="552">
        <v>0.1</v>
      </c>
      <c r="U93" s="567">
        <f t="shared" si="22"/>
        <v>14653.115999999998</v>
      </c>
      <c r="V93" s="19"/>
      <c r="W93" s="554"/>
      <c r="X93" s="570">
        <f t="shared" si="23"/>
        <v>161184.27599999998</v>
      </c>
      <c r="Y93" s="141"/>
      <c r="Z93" s="141"/>
      <c r="AA93" s="1970">
        <f>X92*12</f>
        <v>2125763.6399999997</v>
      </c>
      <c r="AB93" s="1971">
        <f>AA93/12/29.33*56</f>
        <v>338228.10501193313</v>
      </c>
      <c r="AC93" s="1971">
        <f>AA93*1.25</f>
        <v>2657204.5499999998</v>
      </c>
      <c r="AD93" s="1971">
        <f>AC93/12/29.33*56</f>
        <v>422785.1312649165</v>
      </c>
      <c r="AK93" s="23"/>
      <c r="AL93" s="23"/>
      <c r="AM93" s="23"/>
      <c r="AN93" s="23"/>
      <c r="AO93" s="23"/>
      <c r="AP93" s="23"/>
      <c r="AQ93" s="23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</row>
    <row r="94" spans="1:69" s="1971" customFormat="1" ht="17.25" customHeight="1">
      <c r="A94" s="547">
        <v>11</v>
      </c>
      <c r="B94" s="998" t="s">
        <v>678</v>
      </c>
      <c r="C94" s="873" t="s">
        <v>99</v>
      </c>
      <c r="D94" s="1002" t="s">
        <v>75</v>
      </c>
      <c r="E94" s="583" t="s">
        <v>290</v>
      </c>
      <c r="F94" s="1539" t="s">
        <v>602</v>
      </c>
      <c r="G94" s="571">
        <v>1</v>
      </c>
      <c r="H94" s="580" t="s">
        <v>102</v>
      </c>
      <c r="I94" s="580" t="s">
        <v>118</v>
      </c>
      <c r="J94" s="574">
        <v>4</v>
      </c>
      <c r="K94" s="554">
        <v>17697</v>
      </c>
      <c r="L94" s="1648">
        <v>11</v>
      </c>
      <c r="M94" s="552">
        <f t="shared" si="20"/>
        <v>0.61111111111111116</v>
      </c>
      <c r="N94" s="1583" t="s">
        <v>112</v>
      </c>
      <c r="O94" s="1591">
        <v>3.36</v>
      </c>
      <c r="P94" s="567">
        <f t="shared" si="19"/>
        <v>36337.840000000004</v>
      </c>
      <c r="Q94" s="556">
        <f t="shared" si="21"/>
        <v>18168.920000000002</v>
      </c>
      <c r="R94" s="1538"/>
      <c r="S94" s="700"/>
      <c r="T94" s="552">
        <v>0.1</v>
      </c>
      <c r="U94" s="567">
        <f t="shared" si="22"/>
        <v>5450.6760000000013</v>
      </c>
      <c r="V94" s="1541"/>
      <c r="W94" s="700"/>
      <c r="X94" s="570">
        <f t="shared" si="23"/>
        <v>59957.436000000009</v>
      </c>
      <c r="Y94" s="141"/>
      <c r="Z94" s="141"/>
      <c r="AA94" s="1970"/>
      <c r="AK94" s="23"/>
      <c r="AL94" s="23"/>
      <c r="AM94" s="23"/>
      <c r="AN94" s="23"/>
      <c r="AO94" s="23"/>
      <c r="AP94" s="23"/>
      <c r="AQ94" s="23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</row>
    <row r="95" spans="1:69" s="1971" customFormat="1" ht="15.75">
      <c r="A95" s="560">
        <v>12</v>
      </c>
      <c r="B95" s="998" t="s">
        <v>207</v>
      </c>
      <c r="C95" s="873" t="s">
        <v>817</v>
      </c>
      <c r="D95" s="1002" t="s">
        <v>25</v>
      </c>
      <c r="E95" s="1539" t="s">
        <v>928</v>
      </c>
      <c r="F95" s="1539" t="s">
        <v>362</v>
      </c>
      <c r="G95" s="1689">
        <v>1</v>
      </c>
      <c r="H95" s="874" t="s">
        <v>102</v>
      </c>
      <c r="I95" s="874" t="s">
        <v>103</v>
      </c>
      <c r="J95" s="1647">
        <v>1</v>
      </c>
      <c r="K95" s="700">
        <v>17697</v>
      </c>
      <c r="L95" s="1157">
        <v>27</v>
      </c>
      <c r="M95" s="552">
        <f t="shared" si="20"/>
        <v>1.5</v>
      </c>
      <c r="N95" s="1583" t="s">
        <v>152</v>
      </c>
      <c r="O95" s="1591">
        <v>4.55</v>
      </c>
      <c r="P95" s="697">
        <f t="shared" si="19"/>
        <v>120782.02499999999</v>
      </c>
      <c r="Q95" s="556">
        <f t="shared" si="21"/>
        <v>60391.012499999997</v>
      </c>
      <c r="R95" s="1538"/>
      <c r="S95" s="700"/>
      <c r="T95" s="552">
        <v>0.1</v>
      </c>
      <c r="U95" s="567">
        <f t="shared" si="22"/>
        <v>18117.303749999999</v>
      </c>
      <c r="V95" s="1541"/>
      <c r="W95" s="700"/>
      <c r="X95" s="570">
        <f t="shared" si="23"/>
        <v>199290.34124999997</v>
      </c>
      <c r="Y95" s="2012"/>
      <c r="Z95" s="2012"/>
      <c r="AA95" s="1970"/>
      <c r="AK95" s="23"/>
      <c r="AL95" s="23"/>
      <c r="AM95" s="23"/>
      <c r="AN95" s="23"/>
      <c r="AO95" s="23"/>
      <c r="AP95" s="23"/>
      <c r="AQ95" s="23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</row>
    <row r="96" spans="1:69" s="1971" customFormat="1" ht="15.75">
      <c r="A96" s="547">
        <v>13</v>
      </c>
      <c r="B96" s="153" t="s">
        <v>281</v>
      </c>
      <c r="C96" s="561" t="s">
        <v>99</v>
      </c>
      <c r="D96" s="628" t="s">
        <v>25</v>
      </c>
      <c r="E96" s="586" t="s">
        <v>929</v>
      </c>
      <c r="F96" s="562" t="s">
        <v>40</v>
      </c>
      <c r="G96" s="571">
        <v>1</v>
      </c>
      <c r="H96" s="563" t="s">
        <v>102</v>
      </c>
      <c r="I96" s="563" t="s">
        <v>103</v>
      </c>
      <c r="J96" s="629">
        <v>1</v>
      </c>
      <c r="K96" s="554">
        <v>17697</v>
      </c>
      <c r="L96" s="1643">
        <v>6</v>
      </c>
      <c r="M96" s="552">
        <f t="shared" si="20"/>
        <v>0.33333333333333331</v>
      </c>
      <c r="N96" s="574" t="s">
        <v>152</v>
      </c>
      <c r="O96" s="1015">
        <v>4.75</v>
      </c>
      <c r="P96" s="567">
        <f t="shared" si="19"/>
        <v>28020.25</v>
      </c>
      <c r="Q96" s="556">
        <f t="shared" si="21"/>
        <v>14010.125</v>
      </c>
      <c r="R96" s="568"/>
      <c r="S96" s="554"/>
      <c r="T96" s="552">
        <v>0.1</v>
      </c>
      <c r="U96" s="567">
        <f t="shared" si="22"/>
        <v>4203.0375000000004</v>
      </c>
      <c r="V96" s="19"/>
      <c r="W96" s="554"/>
      <c r="X96" s="570">
        <f t="shared" si="23"/>
        <v>46233.412499999999</v>
      </c>
      <c r="Y96" s="2012"/>
      <c r="Z96" s="2012"/>
      <c r="AA96" s="1970"/>
      <c r="AK96" s="23"/>
      <c r="AL96" s="23"/>
      <c r="AM96" s="23"/>
      <c r="AN96" s="23"/>
      <c r="AO96" s="23"/>
      <c r="AP96" s="23"/>
      <c r="AQ96" s="23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</row>
    <row r="97" spans="1:69" s="2206" customFormat="1" ht="17.25" customHeight="1">
      <c r="A97" s="560">
        <v>14</v>
      </c>
      <c r="B97" s="153" t="s">
        <v>243</v>
      </c>
      <c r="C97" s="561" t="s">
        <v>99</v>
      </c>
      <c r="D97" s="563" t="s">
        <v>25</v>
      </c>
      <c r="E97" s="562" t="s">
        <v>930</v>
      </c>
      <c r="F97" s="562" t="s">
        <v>239</v>
      </c>
      <c r="G97" s="571">
        <v>1</v>
      </c>
      <c r="H97" s="580" t="s">
        <v>102</v>
      </c>
      <c r="I97" s="580" t="s">
        <v>103</v>
      </c>
      <c r="J97" s="574">
        <v>1</v>
      </c>
      <c r="K97" s="554">
        <v>17697</v>
      </c>
      <c r="L97" s="1643">
        <v>36</v>
      </c>
      <c r="M97" s="552">
        <f t="shared" si="20"/>
        <v>2</v>
      </c>
      <c r="N97" s="566" t="s">
        <v>596</v>
      </c>
      <c r="O97" s="1015">
        <v>4.49</v>
      </c>
      <c r="P97" s="567">
        <f t="shared" si="19"/>
        <v>158919.06</v>
      </c>
      <c r="Q97" s="556">
        <f t="shared" si="21"/>
        <v>79459.53</v>
      </c>
      <c r="R97" s="568"/>
      <c r="S97" s="554"/>
      <c r="T97" s="552">
        <v>0.1</v>
      </c>
      <c r="U97" s="567">
        <f t="shared" si="22"/>
        <v>23837.859</v>
      </c>
      <c r="V97" s="19">
        <v>0.4</v>
      </c>
      <c r="W97" s="554">
        <f>(P97+Q97)*V97</f>
        <v>95351.436000000002</v>
      </c>
      <c r="X97" s="570">
        <f>P97+Q97+U97+W97</f>
        <v>357567.88500000001</v>
      </c>
      <c r="Y97" s="2204">
        <f>V96+R96</f>
        <v>0</v>
      </c>
      <c r="Z97" s="2204">
        <f>W96+S96</f>
        <v>0</v>
      </c>
      <c r="AA97" s="2205">
        <f>X96*12</f>
        <v>554800.94999999995</v>
      </c>
      <c r="AB97" s="2206">
        <f t="shared" ref="AB97:AB99" si="25">AA97/12/29.33*56</f>
        <v>88273.818615751792</v>
      </c>
      <c r="AC97" s="2206">
        <f t="shared" ref="AC97:AC99" si="26">AA97*1.25</f>
        <v>693501.1875</v>
      </c>
      <c r="AD97" s="2206">
        <f t="shared" ref="AD97:AD99" si="27">AC97/12/29.33*56</f>
        <v>110342.27326968974</v>
      </c>
      <c r="AK97" s="23"/>
      <c r="AL97" s="23"/>
      <c r="AM97" s="23"/>
      <c r="AN97" s="23"/>
      <c r="AO97" s="23"/>
      <c r="AP97" s="23"/>
      <c r="AQ97" s="23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</row>
    <row r="98" spans="1:69" s="1971" customFormat="1" ht="17.25" customHeight="1">
      <c r="A98" s="547">
        <v>15</v>
      </c>
      <c r="B98" s="153" t="s">
        <v>245</v>
      </c>
      <c r="C98" s="561" t="s">
        <v>99</v>
      </c>
      <c r="D98" s="563" t="s">
        <v>25</v>
      </c>
      <c r="E98" s="562" t="s">
        <v>931</v>
      </c>
      <c r="F98" s="1586" t="s">
        <v>40</v>
      </c>
      <c r="G98" s="571">
        <v>1</v>
      </c>
      <c r="H98" s="580" t="s">
        <v>102</v>
      </c>
      <c r="I98" s="580" t="s">
        <v>103</v>
      </c>
      <c r="J98" s="574">
        <v>1</v>
      </c>
      <c r="K98" s="554">
        <v>17697</v>
      </c>
      <c r="L98" s="1643">
        <v>36</v>
      </c>
      <c r="M98" s="552">
        <f t="shared" si="20"/>
        <v>2</v>
      </c>
      <c r="N98" s="574" t="s">
        <v>152</v>
      </c>
      <c r="O98" s="1591">
        <v>4.75</v>
      </c>
      <c r="P98" s="567">
        <f t="shared" ref="P98:P103" si="28">O98*K98/18*L98</f>
        <v>168121.5</v>
      </c>
      <c r="Q98" s="556">
        <f t="shared" si="21"/>
        <v>84060.75</v>
      </c>
      <c r="R98" s="1538"/>
      <c r="S98" s="700"/>
      <c r="T98" s="552">
        <v>0.1</v>
      </c>
      <c r="U98" s="567">
        <f t="shared" si="22"/>
        <v>25218.225000000002</v>
      </c>
      <c r="V98" s="19"/>
      <c r="W98" s="554"/>
      <c r="X98" s="570">
        <f t="shared" si="23"/>
        <v>277400.47499999998</v>
      </c>
      <c r="Y98" s="141">
        <f>V97+R97</f>
        <v>0.4</v>
      </c>
      <c r="Z98" s="141">
        <f>W97+S97</f>
        <v>95351.436000000002</v>
      </c>
      <c r="AA98" s="1970">
        <f>X97*12</f>
        <v>4290814.62</v>
      </c>
      <c r="AB98" s="1971">
        <f t="shared" si="25"/>
        <v>682707.17899761337</v>
      </c>
      <c r="AC98" s="1971">
        <f t="shared" si="26"/>
        <v>5363518.2750000004</v>
      </c>
      <c r="AD98" s="1971">
        <f t="shared" si="27"/>
        <v>853383.97374701686</v>
      </c>
      <c r="AK98" s="23"/>
      <c r="AL98" s="23"/>
      <c r="AM98" s="23"/>
      <c r="AN98" s="23"/>
      <c r="AO98" s="23"/>
      <c r="AP98" s="23"/>
      <c r="AQ98" s="23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</row>
    <row r="99" spans="1:69" s="1971" customFormat="1" ht="17.25" customHeight="1">
      <c r="A99" s="560">
        <v>16</v>
      </c>
      <c r="B99" s="153" t="s">
        <v>586</v>
      </c>
      <c r="C99" s="561" t="s">
        <v>99</v>
      </c>
      <c r="D99" s="563" t="s">
        <v>25</v>
      </c>
      <c r="E99" s="712" t="s">
        <v>932</v>
      </c>
      <c r="F99" s="562" t="s">
        <v>259</v>
      </c>
      <c r="G99" s="571">
        <v>1</v>
      </c>
      <c r="H99" s="580" t="s">
        <v>102</v>
      </c>
      <c r="I99" s="580" t="s">
        <v>103</v>
      </c>
      <c r="J99" s="574">
        <v>3</v>
      </c>
      <c r="K99" s="554">
        <v>17697</v>
      </c>
      <c r="L99" s="1643">
        <v>27</v>
      </c>
      <c r="M99" s="552">
        <f t="shared" si="20"/>
        <v>1.5</v>
      </c>
      <c r="N99" s="566" t="s">
        <v>109</v>
      </c>
      <c r="O99" s="1015">
        <v>4.1399999999999997</v>
      </c>
      <c r="P99" s="567">
        <f t="shared" si="28"/>
        <v>109898.36999999998</v>
      </c>
      <c r="Q99" s="556">
        <f t="shared" si="21"/>
        <v>54949.18499999999</v>
      </c>
      <c r="R99" s="568"/>
      <c r="S99" s="554"/>
      <c r="T99" s="552">
        <v>0.1</v>
      </c>
      <c r="U99" s="567">
        <f t="shared" si="22"/>
        <v>16484.755499999996</v>
      </c>
      <c r="V99" s="19"/>
      <c r="W99" s="554"/>
      <c r="X99" s="570">
        <f t="shared" si="23"/>
        <v>181332.31049999996</v>
      </c>
      <c r="Y99" s="2012"/>
      <c r="Z99" s="2012"/>
      <c r="AA99" s="1970">
        <f>X98*12</f>
        <v>3328805.6999999997</v>
      </c>
      <c r="AB99" s="1971">
        <f t="shared" si="25"/>
        <v>529642.91169451072</v>
      </c>
      <c r="AC99" s="1971">
        <f t="shared" si="26"/>
        <v>4161007.1249999995</v>
      </c>
      <c r="AD99" s="1971">
        <f t="shared" si="27"/>
        <v>662053.63961813832</v>
      </c>
      <c r="AK99" s="23"/>
      <c r="AL99" s="23"/>
      <c r="AM99" s="23"/>
      <c r="AN99" s="23"/>
      <c r="AO99" s="23"/>
      <c r="AP99" s="23"/>
      <c r="AQ99" s="23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</row>
    <row r="100" spans="1:69" s="1971" customFormat="1" ht="17.25" customHeight="1">
      <c r="A100" s="547">
        <v>17</v>
      </c>
      <c r="B100" s="998" t="s">
        <v>253</v>
      </c>
      <c r="C100" s="873" t="s">
        <v>148</v>
      </c>
      <c r="D100" s="1002" t="s">
        <v>25</v>
      </c>
      <c r="E100" s="1539" t="s">
        <v>933</v>
      </c>
      <c r="F100" s="1539" t="s">
        <v>712</v>
      </c>
      <c r="G100" s="1689">
        <v>1</v>
      </c>
      <c r="H100" s="563" t="s">
        <v>102</v>
      </c>
      <c r="I100" s="563" t="s">
        <v>103</v>
      </c>
      <c r="J100" s="629">
        <v>1</v>
      </c>
      <c r="K100" s="554">
        <v>17697</v>
      </c>
      <c r="L100" s="1648">
        <v>36</v>
      </c>
      <c r="M100" s="552">
        <f t="shared" si="20"/>
        <v>2</v>
      </c>
      <c r="N100" s="1583" t="s">
        <v>152</v>
      </c>
      <c r="O100" s="1591">
        <v>4.75</v>
      </c>
      <c r="P100" s="697">
        <f t="shared" si="28"/>
        <v>168121.5</v>
      </c>
      <c r="Q100" s="556">
        <f t="shared" si="21"/>
        <v>84060.75</v>
      </c>
      <c r="R100" s="1538"/>
      <c r="S100" s="700"/>
      <c r="T100" s="552">
        <v>0.1</v>
      </c>
      <c r="U100" s="567">
        <f t="shared" si="22"/>
        <v>25218.225000000002</v>
      </c>
      <c r="V100" s="1541"/>
      <c r="W100" s="700"/>
      <c r="X100" s="570">
        <f t="shared" si="23"/>
        <v>277400.47499999998</v>
      </c>
      <c r="Y100" s="2012"/>
      <c r="Z100" s="2012"/>
      <c r="AA100" s="1970"/>
      <c r="AK100" s="23"/>
      <c r="AL100" s="23"/>
      <c r="AM100" s="23"/>
      <c r="AN100" s="23"/>
      <c r="AO100" s="23"/>
      <c r="AP100" s="23"/>
      <c r="AQ100" s="23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</row>
    <row r="101" spans="1:69" s="1971" customFormat="1" ht="17.25" customHeight="1">
      <c r="A101" s="560">
        <v>18</v>
      </c>
      <c r="B101" s="1008" t="s">
        <v>255</v>
      </c>
      <c r="C101" s="1009" t="s">
        <v>99</v>
      </c>
      <c r="D101" s="1592" t="s">
        <v>25</v>
      </c>
      <c r="E101" s="1586" t="s">
        <v>934</v>
      </c>
      <c r="F101" s="1586" t="s">
        <v>40</v>
      </c>
      <c r="G101" s="571">
        <v>1</v>
      </c>
      <c r="H101" s="1593" t="s">
        <v>102</v>
      </c>
      <c r="I101" s="1593" t="s">
        <v>103</v>
      </c>
      <c r="J101" s="1594">
        <v>1</v>
      </c>
      <c r="K101" s="554">
        <v>17697</v>
      </c>
      <c r="L101" s="1649">
        <v>32</v>
      </c>
      <c r="M101" s="552">
        <f t="shared" si="20"/>
        <v>1.7777777777777777</v>
      </c>
      <c r="N101" s="574" t="s">
        <v>152</v>
      </c>
      <c r="O101" s="1016">
        <v>4.75</v>
      </c>
      <c r="P101" s="567">
        <f t="shared" si="28"/>
        <v>149441.33333333334</v>
      </c>
      <c r="Q101" s="556">
        <f t="shared" si="21"/>
        <v>74720.666666666672</v>
      </c>
      <c r="R101" s="608"/>
      <c r="S101" s="605"/>
      <c r="T101" s="552">
        <v>0.1</v>
      </c>
      <c r="U101" s="567">
        <f t="shared" si="22"/>
        <v>22416.2</v>
      </c>
      <c r="V101" s="19"/>
      <c r="W101" s="554"/>
      <c r="X101" s="570">
        <f t="shared" si="23"/>
        <v>246578.2</v>
      </c>
      <c r="Y101" s="2012"/>
      <c r="Z101" s="2012"/>
      <c r="AA101" s="1970"/>
      <c r="AK101" s="23"/>
      <c r="AL101" s="23"/>
      <c r="AM101" s="23"/>
      <c r="AN101" s="23"/>
      <c r="AO101" s="23"/>
      <c r="AP101" s="23"/>
      <c r="AQ101" s="23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</row>
    <row r="102" spans="1:69" s="1971" customFormat="1" ht="16.5" customHeight="1">
      <c r="A102" s="547">
        <v>19</v>
      </c>
      <c r="B102" s="153" t="s">
        <v>257</v>
      </c>
      <c r="C102" s="561" t="s">
        <v>99</v>
      </c>
      <c r="D102" s="563" t="s">
        <v>25</v>
      </c>
      <c r="E102" s="562" t="s">
        <v>935</v>
      </c>
      <c r="F102" s="562" t="s">
        <v>239</v>
      </c>
      <c r="G102" s="571">
        <v>1</v>
      </c>
      <c r="H102" s="580" t="s">
        <v>102</v>
      </c>
      <c r="I102" s="580" t="s">
        <v>103</v>
      </c>
      <c r="J102" s="574">
        <v>2</v>
      </c>
      <c r="K102" s="888">
        <v>17697</v>
      </c>
      <c r="L102" s="1649">
        <v>34</v>
      </c>
      <c r="M102" s="552">
        <f t="shared" si="20"/>
        <v>1.8888888888888888</v>
      </c>
      <c r="N102" s="1583" t="s">
        <v>104</v>
      </c>
      <c r="O102" s="1595">
        <v>4.2300000000000004</v>
      </c>
      <c r="P102" s="567">
        <f t="shared" si="28"/>
        <v>141399.03000000003</v>
      </c>
      <c r="Q102" s="556">
        <f t="shared" si="21"/>
        <v>70699.515000000014</v>
      </c>
      <c r="R102" s="1011"/>
      <c r="S102" s="888"/>
      <c r="T102" s="552">
        <v>0.1</v>
      </c>
      <c r="U102" s="567">
        <f t="shared" si="22"/>
        <v>21209.854500000005</v>
      </c>
      <c r="V102" s="19"/>
      <c r="W102" s="554"/>
      <c r="X102" s="570">
        <f t="shared" ref="X102:X103" si="29">P102+Q102+U102</f>
        <v>233308.39950000006</v>
      </c>
      <c r="Y102" s="2040">
        <f>V101+R101</f>
        <v>0</v>
      </c>
      <c r="Z102" s="2040">
        <f>W101+S101</f>
        <v>0</v>
      </c>
      <c r="AA102" s="1970">
        <f>X101*12</f>
        <v>2958938.4000000004</v>
      </c>
      <c r="AB102" s="1971">
        <f>AA102/12/29.33*56</f>
        <v>470793.69928400969</v>
      </c>
      <c r="AC102" s="1971">
        <f>AA102*1.25</f>
        <v>3698673.0000000005</v>
      </c>
      <c r="AD102" s="1971">
        <f>AC102/12/29.33*56</f>
        <v>588492.12410501204</v>
      </c>
      <c r="AK102" s="23"/>
      <c r="AL102" s="23"/>
      <c r="AM102" s="23"/>
      <c r="AN102" s="23"/>
      <c r="AO102" s="23"/>
      <c r="AP102" s="23"/>
      <c r="AQ102" s="23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</row>
    <row r="103" spans="1:69" s="1971" customFormat="1" ht="16.5" customHeight="1">
      <c r="A103" s="560">
        <v>20</v>
      </c>
      <c r="B103" s="153" t="s">
        <v>388</v>
      </c>
      <c r="C103" s="561" t="s">
        <v>99</v>
      </c>
      <c r="D103" s="563" t="s">
        <v>189</v>
      </c>
      <c r="E103" s="562" t="s">
        <v>936</v>
      </c>
      <c r="F103" s="562" t="s">
        <v>34</v>
      </c>
      <c r="G103" s="571">
        <v>1</v>
      </c>
      <c r="H103" s="580" t="s">
        <v>102</v>
      </c>
      <c r="I103" s="580" t="s">
        <v>103</v>
      </c>
      <c r="J103" s="574">
        <v>1</v>
      </c>
      <c r="K103" s="554">
        <v>17697</v>
      </c>
      <c r="L103" s="1643">
        <v>9</v>
      </c>
      <c r="M103" s="552">
        <f t="shared" si="20"/>
        <v>0.5</v>
      </c>
      <c r="N103" s="574" t="s">
        <v>152</v>
      </c>
      <c r="O103" s="1015">
        <v>4.75</v>
      </c>
      <c r="P103" s="567">
        <f t="shared" si="28"/>
        <v>42030.375</v>
      </c>
      <c r="Q103" s="556">
        <f t="shared" si="21"/>
        <v>21015.1875</v>
      </c>
      <c r="R103" s="568"/>
      <c r="S103" s="554"/>
      <c r="T103" s="552">
        <v>0.1</v>
      </c>
      <c r="U103" s="567">
        <f t="shared" si="22"/>
        <v>6304.5562500000005</v>
      </c>
      <c r="V103" s="19"/>
      <c r="W103" s="554"/>
      <c r="X103" s="570">
        <f t="shared" si="29"/>
        <v>69350.118749999994</v>
      </c>
      <c r="Y103" s="2128"/>
      <c r="Z103" s="2128"/>
      <c r="AA103" s="1970">
        <f>X102*12</f>
        <v>2799700.7940000007</v>
      </c>
      <c r="AB103" s="1971">
        <f>AA103/12/29.33*56</f>
        <v>445457.56467780448</v>
      </c>
      <c r="AC103" s="1971">
        <f>AA103*1.25</f>
        <v>3499625.9925000006</v>
      </c>
      <c r="AD103" s="1971">
        <f>AC103/12/29.33*56</f>
        <v>556821.95584725554</v>
      </c>
      <c r="AK103" s="23"/>
      <c r="AL103" s="23"/>
      <c r="AM103" s="23"/>
      <c r="AN103" s="23"/>
      <c r="AO103" s="23"/>
      <c r="AP103" s="23"/>
      <c r="AQ103" s="23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</row>
    <row r="104" spans="1:69" s="486" customFormat="1" ht="17.25" customHeight="1">
      <c r="A104" s="1885"/>
      <c r="B104" s="1930" t="s">
        <v>798</v>
      </c>
      <c r="C104" s="1909"/>
      <c r="D104" s="1885"/>
      <c r="E104" s="1910"/>
      <c r="F104" s="1911"/>
      <c r="G104" s="1885"/>
      <c r="H104" s="1912"/>
      <c r="I104" s="1912"/>
      <c r="J104" s="1913"/>
      <c r="K104" s="1887"/>
      <c r="L104" s="1914">
        <f>SUM(L84:L103)</f>
        <v>477</v>
      </c>
      <c r="M104" s="1887"/>
      <c r="N104" s="1913"/>
      <c r="O104" s="1914"/>
      <c r="P104" s="1905"/>
      <c r="Q104" s="1905"/>
      <c r="R104" s="1893"/>
      <c r="S104" s="1887"/>
      <c r="T104" s="1887"/>
      <c r="U104" s="1905"/>
      <c r="V104" s="1894"/>
      <c r="W104" s="1887"/>
      <c r="X104" s="1915"/>
      <c r="Y104" s="406">
        <f>V103+R103</f>
        <v>0</v>
      </c>
      <c r="Z104" s="1545">
        <f>W103+S103</f>
        <v>0</v>
      </c>
      <c r="AA104" s="375">
        <f>X103*12</f>
        <v>832201.42499999993</v>
      </c>
      <c r="AB104" s="377">
        <f>AA104/12/29.33*56</f>
        <v>132410.72792362768</v>
      </c>
      <c r="AC104" s="377">
        <f>AA104*1.25</f>
        <v>1040251.7812499999</v>
      </c>
      <c r="AD104" s="377">
        <f>AC104/12/29.33*56</f>
        <v>165513.40990453458</v>
      </c>
      <c r="AE104" s="375"/>
      <c r="AF104" s="375"/>
      <c r="AG104" s="375"/>
      <c r="AH104" s="375"/>
      <c r="AI104" s="375"/>
      <c r="AJ104" s="375"/>
      <c r="AK104" s="23"/>
      <c r="AL104" s="23"/>
      <c r="AM104" s="23"/>
      <c r="AN104" s="23"/>
      <c r="AO104" s="23"/>
      <c r="AP104" s="23"/>
      <c r="AQ104" s="23"/>
      <c r="AR104" s="1867"/>
      <c r="AS104" s="917"/>
      <c r="AT104" s="917"/>
      <c r="AU104" s="917"/>
      <c r="AV104" s="917"/>
      <c r="AW104" s="917"/>
      <c r="AX104" s="917"/>
      <c r="AY104" s="917"/>
      <c r="AZ104" s="917"/>
      <c r="BA104" s="917"/>
      <c r="BB104" s="917"/>
      <c r="BC104" s="917"/>
      <c r="BD104" s="917"/>
      <c r="BE104" s="917"/>
      <c r="BF104" s="917"/>
      <c r="BG104" s="917"/>
      <c r="BH104" s="917"/>
      <c r="BI104" s="917"/>
      <c r="BJ104" s="917"/>
      <c r="BK104" s="917"/>
      <c r="BL104" s="917"/>
      <c r="BM104" s="917"/>
      <c r="BN104" s="917"/>
      <c r="BO104" s="917"/>
      <c r="BP104" s="917"/>
      <c r="BQ104" s="917"/>
    </row>
    <row r="105" spans="1:69" s="24" customFormat="1" ht="17.25" customHeight="1">
      <c r="A105" s="966"/>
      <c r="B105" s="1516" t="s">
        <v>788</v>
      </c>
      <c r="C105" s="968"/>
      <c r="D105" s="969"/>
      <c r="E105" s="970"/>
      <c r="F105" s="970"/>
      <c r="G105" s="971"/>
      <c r="H105" s="972"/>
      <c r="I105" s="972"/>
      <c r="J105" s="973"/>
      <c r="K105" s="974"/>
      <c r="L105" s="975"/>
      <c r="M105" s="974"/>
      <c r="N105" s="973"/>
      <c r="O105" s="976"/>
      <c r="P105" s="977"/>
      <c r="Q105" s="1031"/>
      <c r="R105" s="977"/>
      <c r="S105" s="977"/>
      <c r="T105" s="977"/>
      <c r="U105" s="977"/>
      <c r="V105" s="977"/>
      <c r="W105" s="977"/>
      <c r="X105" s="977"/>
      <c r="Y105" s="1547"/>
      <c r="Z105" s="1547"/>
      <c r="AA105" s="23"/>
      <c r="AK105" s="23"/>
      <c r="AL105" s="23"/>
      <c r="AM105" s="23"/>
      <c r="AN105" s="23"/>
      <c r="AO105" s="23"/>
      <c r="AP105" s="23"/>
      <c r="AQ105" s="23"/>
    </row>
    <row r="106" spans="1:69" s="1154" customFormat="1" ht="17.25" customHeight="1">
      <c r="A106" s="547">
        <v>1</v>
      </c>
      <c r="B106" s="640" t="s">
        <v>36</v>
      </c>
      <c r="C106" s="641" t="s">
        <v>99</v>
      </c>
      <c r="D106" s="642" t="s">
        <v>25</v>
      </c>
      <c r="E106" s="643" t="s">
        <v>889</v>
      </c>
      <c r="F106" s="583" t="s">
        <v>40</v>
      </c>
      <c r="G106" s="547">
        <v>1</v>
      </c>
      <c r="H106" s="577" t="s">
        <v>102</v>
      </c>
      <c r="I106" s="577" t="s">
        <v>103</v>
      </c>
      <c r="J106" s="644">
        <v>1</v>
      </c>
      <c r="K106" s="552">
        <v>17697</v>
      </c>
      <c r="L106" s="645">
        <v>9</v>
      </c>
      <c r="M106" s="552">
        <f>L106/18</f>
        <v>0.5</v>
      </c>
      <c r="N106" s="574" t="s">
        <v>152</v>
      </c>
      <c r="O106" s="1597">
        <v>4.75</v>
      </c>
      <c r="P106" s="556">
        <f t="shared" ref="P106:P124" si="30">O106*K106/18*L106</f>
        <v>42030.375</v>
      </c>
      <c r="Q106" s="556">
        <f>P106*50%</f>
        <v>21015.1875</v>
      </c>
      <c r="R106" s="557"/>
      <c r="S106" s="552"/>
      <c r="T106" s="552">
        <v>0.1</v>
      </c>
      <c r="U106" s="556">
        <f>(P106+Q106)*T106</f>
        <v>6304.5562500000005</v>
      </c>
      <c r="V106" s="19"/>
      <c r="W106" s="552"/>
      <c r="X106" s="559">
        <f>P106+Q106+U106</f>
        <v>69350.118749999994</v>
      </c>
      <c r="Y106" s="2212"/>
      <c r="Z106" s="2212"/>
      <c r="AA106" s="1153">
        <f>X105*12</f>
        <v>0</v>
      </c>
      <c r="AB106" s="1154">
        <f t="shared" ref="AB106:AB125" si="31">AA106/12/29.33*56</f>
        <v>0</v>
      </c>
      <c r="AC106" s="1154">
        <f t="shared" ref="AC106:AC125" si="32">AA106*1.25</f>
        <v>0</v>
      </c>
      <c r="AD106" s="1154">
        <f t="shared" ref="AD106:AD125" si="33">AC106/12/29.33*56</f>
        <v>0</v>
      </c>
      <c r="AK106" s="23"/>
      <c r="AL106" s="23"/>
      <c r="AM106" s="23"/>
      <c r="AN106" s="23"/>
      <c r="AO106" s="23"/>
      <c r="AP106" s="23"/>
      <c r="AQ106" s="23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</row>
    <row r="107" spans="1:69" s="1154" customFormat="1" ht="17.25" customHeight="1">
      <c r="A107" s="547">
        <v>2</v>
      </c>
      <c r="B107" s="646" t="s">
        <v>261</v>
      </c>
      <c r="C107" s="647" t="s">
        <v>99</v>
      </c>
      <c r="D107" s="628" t="s">
        <v>25</v>
      </c>
      <c r="E107" s="586" t="s">
        <v>890</v>
      </c>
      <c r="F107" s="562" t="s">
        <v>614</v>
      </c>
      <c r="G107" s="560">
        <v>1</v>
      </c>
      <c r="H107" s="563" t="s">
        <v>102</v>
      </c>
      <c r="I107" s="563" t="s">
        <v>103</v>
      </c>
      <c r="J107" s="629">
        <v>1</v>
      </c>
      <c r="K107" s="554">
        <v>17697</v>
      </c>
      <c r="L107" s="645">
        <v>31</v>
      </c>
      <c r="M107" s="552">
        <f t="shared" ref="M107:M125" si="34">L107/18</f>
        <v>1.7222222222222223</v>
      </c>
      <c r="N107" s="574" t="s">
        <v>152</v>
      </c>
      <c r="O107" s="1598">
        <v>4.55</v>
      </c>
      <c r="P107" s="556">
        <f t="shared" si="30"/>
        <v>138675.65833333333</v>
      </c>
      <c r="Q107" s="556">
        <f t="shared" ref="Q107:Q124" si="35">P107*50%</f>
        <v>69337.829166666663</v>
      </c>
      <c r="R107" s="568"/>
      <c r="S107" s="554"/>
      <c r="T107" s="554">
        <v>0.1</v>
      </c>
      <c r="U107" s="556">
        <f t="shared" ref="U107:U124" si="36">(P107+Q107)*T107</f>
        <v>20801.348750000001</v>
      </c>
      <c r="V107" s="19"/>
      <c r="W107" s="552"/>
      <c r="X107" s="559">
        <f t="shared" ref="X107:X124" si="37">P107+Q107+U107</f>
        <v>228814.83624999999</v>
      </c>
      <c r="Y107" s="2211">
        <f>V106+R106</f>
        <v>0</v>
      </c>
      <c r="Z107" s="2211">
        <f>W106+S106</f>
        <v>0</v>
      </c>
      <c r="AA107" s="1153">
        <f>X106*12</f>
        <v>832201.42499999993</v>
      </c>
      <c r="AB107" s="1154">
        <f t="shared" si="31"/>
        <v>132410.72792362768</v>
      </c>
      <c r="AC107" s="1154">
        <f t="shared" si="32"/>
        <v>1040251.7812499999</v>
      </c>
      <c r="AD107" s="1154">
        <f t="shared" si="33"/>
        <v>165513.40990453458</v>
      </c>
      <c r="AK107" s="23"/>
      <c r="AL107" s="23"/>
      <c r="AM107" s="23"/>
      <c r="AN107" s="23"/>
      <c r="AO107" s="23"/>
      <c r="AP107" s="23"/>
      <c r="AQ107" s="23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</row>
    <row r="108" spans="1:69" s="1154" customFormat="1" ht="17.25" customHeight="1">
      <c r="A108" s="547">
        <v>3</v>
      </c>
      <c r="B108" s="872" t="s">
        <v>760</v>
      </c>
      <c r="C108" s="692" t="s">
        <v>99</v>
      </c>
      <c r="D108" s="875" t="s">
        <v>25</v>
      </c>
      <c r="E108" s="1599" t="s">
        <v>891</v>
      </c>
      <c r="F108" s="1539" t="s">
        <v>403</v>
      </c>
      <c r="G108" s="560">
        <v>1</v>
      </c>
      <c r="H108" s="563" t="s">
        <v>102</v>
      </c>
      <c r="I108" s="563" t="s">
        <v>103</v>
      </c>
      <c r="J108" s="629">
        <v>3</v>
      </c>
      <c r="K108" s="554">
        <v>17697</v>
      </c>
      <c r="L108" s="645">
        <v>33</v>
      </c>
      <c r="M108" s="552">
        <f t="shared" si="34"/>
        <v>1.8333333333333333</v>
      </c>
      <c r="N108" s="698" t="s">
        <v>109</v>
      </c>
      <c r="O108" s="1600">
        <v>4.1399999999999997</v>
      </c>
      <c r="P108" s="556">
        <f t="shared" si="30"/>
        <v>134320.22999999998</v>
      </c>
      <c r="Q108" s="556">
        <f t="shared" si="35"/>
        <v>67160.114999999991</v>
      </c>
      <c r="R108" s="1538"/>
      <c r="S108" s="700"/>
      <c r="T108" s="554">
        <v>0.1</v>
      </c>
      <c r="U108" s="556">
        <f t="shared" si="36"/>
        <v>20148.034499999998</v>
      </c>
      <c r="V108" s="1541"/>
      <c r="W108" s="552"/>
      <c r="X108" s="559">
        <f t="shared" si="37"/>
        <v>221628.37949999998</v>
      </c>
      <c r="Y108" s="2212">
        <f>V107+R107</f>
        <v>0</v>
      </c>
      <c r="Z108" s="2212">
        <f>W107+S107</f>
        <v>0</v>
      </c>
      <c r="AA108" s="1153">
        <f>X107*12</f>
        <v>2745778.0350000001</v>
      </c>
      <c r="AB108" s="1154">
        <f t="shared" si="31"/>
        <v>436877.96897374705</v>
      </c>
      <c r="AC108" s="1154">
        <f t="shared" si="32"/>
        <v>3432222.5437500002</v>
      </c>
      <c r="AD108" s="1154">
        <f t="shared" si="33"/>
        <v>546097.46121718385</v>
      </c>
      <c r="AK108" s="23"/>
      <c r="AL108" s="23"/>
      <c r="AM108" s="23"/>
      <c r="AN108" s="23"/>
      <c r="AO108" s="23"/>
      <c r="AP108" s="23"/>
      <c r="AQ108" s="23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</row>
    <row r="109" spans="1:69" s="1154" customFormat="1" ht="17.25" customHeight="1">
      <c r="A109" s="547">
        <v>4</v>
      </c>
      <c r="B109" s="872" t="s">
        <v>263</v>
      </c>
      <c r="C109" s="692" t="s">
        <v>99</v>
      </c>
      <c r="D109" s="875" t="s">
        <v>25</v>
      </c>
      <c r="E109" s="1599" t="s">
        <v>892</v>
      </c>
      <c r="F109" s="582" t="s">
        <v>271</v>
      </c>
      <c r="G109" s="874">
        <v>1</v>
      </c>
      <c r="H109" s="563" t="s">
        <v>102</v>
      </c>
      <c r="I109" s="563" t="s">
        <v>103</v>
      </c>
      <c r="J109" s="629">
        <v>2</v>
      </c>
      <c r="K109" s="554">
        <v>17697</v>
      </c>
      <c r="L109" s="645">
        <v>18</v>
      </c>
      <c r="M109" s="552">
        <f t="shared" si="34"/>
        <v>1</v>
      </c>
      <c r="N109" s="698" t="s">
        <v>104</v>
      </c>
      <c r="O109" s="1600">
        <v>4.37</v>
      </c>
      <c r="P109" s="556">
        <f>O109*K109/18*L109</f>
        <v>77335.89</v>
      </c>
      <c r="Q109" s="556">
        <f t="shared" si="35"/>
        <v>38667.945</v>
      </c>
      <c r="R109" s="1538"/>
      <c r="S109" s="700"/>
      <c r="T109" s="554">
        <v>0.1</v>
      </c>
      <c r="U109" s="556">
        <f>(P109+Q109)*T109</f>
        <v>11600.3835</v>
      </c>
      <c r="V109" s="1541"/>
      <c r="W109" s="552"/>
      <c r="X109" s="559">
        <f t="shared" si="37"/>
        <v>127604.21849999999</v>
      </c>
      <c r="Y109" s="2214"/>
      <c r="Z109" s="2214"/>
      <c r="AA109" s="1153"/>
      <c r="AK109" s="23"/>
      <c r="AL109" s="23"/>
      <c r="AM109" s="23"/>
      <c r="AN109" s="23"/>
      <c r="AO109" s="23"/>
      <c r="AP109" s="23"/>
      <c r="AQ109" s="23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</row>
    <row r="110" spans="1:69" s="1154" customFormat="1" ht="17.25" customHeight="1">
      <c r="A110" s="547">
        <v>5</v>
      </c>
      <c r="B110" s="647" t="s">
        <v>264</v>
      </c>
      <c r="C110" s="647" t="s">
        <v>99</v>
      </c>
      <c r="D110" s="628" t="s">
        <v>25</v>
      </c>
      <c r="E110" s="586" t="s">
        <v>893</v>
      </c>
      <c r="F110" s="562" t="s">
        <v>40</v>
      </c>
      <c r="G110" s="560">
        <v>1</v>
      </c>
      <c r="H110" s="563" t="s">
        <v>102</v>
      </c>
      <c r="I110" s="563" t="s">
        <v>103</v>
      </c>
      <c r="J110" s="629">
        <v>1</v>
      </c>
      <c r="K110" s="554">
        <v>17697</v>
      </c>
      <c r="L110" s="645">
        <v>32</v>
      </c>
      <c r="M110" s="552">
        <f t="shared" si="34"/>
        <v>1.7777777777777777</v>
      </c>
      <c r="N110" s="574" t="s">
        <v>152</v>
      </c>
      <c r="O110" s="1598">
        <v>4.75</v>
      </c>
      <c r="P110" s="556">
        <f t="shared" si="30"/>
        <v>149441.33333333334</v>
      </c>
      <c r="Q110" s="556">
        <f t="shared" si="35"/>
        <v>74720.666666666672</v>
      </c>
      <c r="R110" s="568"/>
      <c r="S110" s="554"/>
      <c r="T110" s="554">
        <v>0.1</v>
      </c>
      <c r="U110" s="556">
        <f t="shared" si="36"/>
        <v>22416.2</v>
      </c>
      <c r="V110" s="19"/>
      <c r="W110" s="552"/>
      <c r="X110" s="559">
        <f t="shared" si="37"/>
        <v>246578.2</v>
      </c>
      <c r="Y110" s="2214"/>
      <c r="Z110" s="2214"/>
      <c r="AA110" s="1153"/>
      <c r="AK110" s="23"/>
      <c r="AL110" s="23"/>
      <c r="AM110" s="23"/>
      <c r="AN110" s="23"/>
      <c r="AO110" s="23"/>
      <c r="AP110" s="23"/>
      <c r="AQ110" s="23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</row>
    <row r="111" spans="1:69" s="1154" customFormat="1" ht="16.5" customHeight="1">
      <c r="A111" s="547">
        <v>6</v>
      </c>
      <c r="B111" s="647" t="s">
        <v>268</v>
      </c>
      <c r="C111" s="647" t="s">
        <v>99</v>
      </c>
      <c r="D111" s="628" t="s">
        <v>25</v>
      </c>
      <c r="E111" s="586" t="s">
        <v>894</v>
      </c>
      <c r="F111" s="562" t="s">
        <v>40</v>
      </c>
      <c r="G111" s="560">
        <v>1</v>
      </c>
      <c r="H111" s="563" t="s">
        <v>102</v>
      </c>
      <c r="I111" s="563" t="s">
        <v>103</v>
      </c>
      <c r="J111" s="629">
        <v>1</v>
      </c>
      <c r="K111" s="554">
        <v>17697</v>
      </c>
      <c r="L111" s="645">
        <v>33</v>
      </c>
      <c r="M111" s="552">
        <f t="shared" si="34"/>
        <v>1.8333333333333333</v>
      </c>
      <c r="N111" s="574" t="s">
        <v>152</v>
      </c>
      <c r="O111" s="1598">
        <v>4.75</v>
      </c>
      <c r="P111" s="556">
        <f t="shared" si="30"/>
        <v>154111.375</v>
      </c>
      <c r="Q111" s="556">
        <f t="shared" si="35"/>
        <v>77055.6875</v>
      </c>
      <c r="R111" s="568"/>
      <c r="S111" s="554"/>
      <c r="T111" s="554">
        <v>0.1</v>
      </c>
      <c r="U111" s="556">
        <f t="shared" si="36"/>
        <v>23116.706250000003</v>
      </c>
      <c r="V111" s="19"/>
      <c r="W111" s="552"/>
      <c r="X111" s="559">
        <f t="shared" si="37"/>
        <v>254283.76874999999</v>
      </c>
      <c r="Y111" s="2214"/>
      <c r="Z111" s="2214"/>
      <c r="AA111" s="1153"/>
      <c r="AK111" s="23"/>
      <c r="AL111" s="23"/>
      <c r="AM111" s="23"/>
      <c r="AN111" s="23"/>
      <c r="AO111" s="23"/>
      <c r="AP111" s="23"/>
      <c r="AQ111" s="23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</row>
    <row r="112" spans="1:69" s="1154" customFormat="1" ht="17.25" customHeight="1">
      <c r="A112" s="547">
        <v>7</v>
      </c>
      <c r="B112" s="647" t="s">
        <v>269</v>
      </c>
      <c r="C112" s="647" t="s">
        <v>99</v>
      </c>
      <c r="D112" s="628" t="s">
        <v>25</v>
      </c>
      <c r="E112" s="586" t="s">
        <v>895</v>
      </c>
      <c r="F112" s="582" t="s">
        <v>271</v>
      </c>
      <c r="G112" s="560">
        <v>1</v>
      </c>
      <c r="H112" s="563" t="s">
        <v>102</v>
      </c>
      <c r="I112" s="563" t="s">
        <v>103</v>
      </c>
      <c r="J112" s="629">
        <v>1</v>
      </c>
      <c r="K112" s="554">
        <v>17697</v>
      </c>
      <c r="L112" s="645">
        <v>35</v>
      </c>
      <c r="M112" s="552">
        <f t="shared" si="34"/>
        <v>1.9444444444444444</v>
      </c>
      <c r="N112" s="574" t="s">
        <v>152</v>
      </c>
      <c r="O112" s="1598">
        <v>4.62</v>
      </c>
      <c r="P112" s="556">
        <f t="shared" si="30"/>
        <v>158978.04999999999</v>
      </c>
      <c r="Q112" s="556">
        <f t="shared" si="35"/>
        <v>79489.024999999994</v>
      </c>
      <c r="R112" s="568"/>
      <c r="S112" s="554"/>
      <c r="T112" s="554">
        <v>0.1</v>
      </c>
      <c r="U112" s="556">
        <f t="shared" si="36"/>
        <v>23846.7075</v>
      </c>
      <c r="V112" s="19"/>
      <c r="W112" s="552"/>
      <c r="X112" s="559">
        <f t="shared" si="37"/>
        <v>262313.78249999997</v>
      </c>
      <c r="Y112" s="2212">
        <f>V111+R111</f>
        <v>0</v>
      </c>
      <c r="Z112" s="2212">
        <f>W111+S111</f>
        <v>0</v>
      </c>
      <c r="AA112" s="1153">
        <f>X111*12</f>
        <v>3051405.2249999996</v>
      </c>
      <c r="AB112" s="1154">
        <f t="shared" si="31"/>
        <v>485506.00238663476</v>
      </c>
      <c r="AC112" s="1154">
        <f t="shared" si="32"/>
        <v>3814256.5312499995</v>
      </c>
      <c r="AD112" s="1154">
        <f t="shared" si="33"/>
        <v>606882.5029832935</v>
      </c>
      <c r="AK112" s="23"/>
      <c r="AL112" s="23"/>
      <c r="AM112" s="23"/>
      <c r="AN112" s="23"/>
      <c r="AO112" s="23"/>
      <c r="AP112" s="23"/>
      <c r="AQ112" s="23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</row>
    <row r="113" spans="1:69" s="1154" customFormat="1" ht="16.5" customHeight="1">
      <c r="A113" s="547">
        <v>8</v>
      </c>
      <c r="B113" s="647" t="s">
        <v>391</v>
      </c>
      <c r="C113" s="647" t="s">
        <v>99</v>
      </c>
      <c r="D113" s="563" t="s">
        <v>25</v>
      </c>
      <c r="E113" s="586" t="s">
        <v>896</v>
      </c>
      <c r="F113" s="582" t="s">
        <v>77</v>
      </c>
      <c r="G113" s="560">
        <v>1</v>
      </c>
      <c r="H113" s="563" t="s">
        <v>102</v>
      </c>
      <c r="I113" s="563" t="s">
        <v>103</v>
      </c>
      <c r="J113" s="629">
        <v>3</v>
      </c>
      <c r="K113" s="554">
        <v>17697</v>
      </c>
      <c r="L113" s="645">
        <v>24</v>
      </c>
      <c r="M113" s="552">
        <f t="shared" si="34"/>
        <v>1.3333333333333333</v>
      </c>
      <c r="N113" s="1601" t="s">
        <v>109</v>
      </c>
      <c r="O113" s="1602">
        <v>4</v>
      </c>
      <c r="P113" s="556">
        <f t="shared" ref="P113:P116" si="38">O113*K113/18*L113</f>
        <v>94384</v>
      </c>
      <c r="Q113" s="556">
        <f t="shared" si="35"/>
        <v>47192</v>
      </c>
      <c r="R113" s="568"/>
      <c r="S113" s="554"/>
      <c r="T113" s="554">
        <v>0.1</v>
      </c>
      <c r="U113" s="556">
        <f t="shared" si="36"/>
        <v>14157.6</v>
      </c>
      <c r="V113" s="19">
        <v>0.3</v>
      </c>
      <c r="W113" s="552">
        <f>(P113+Q113)*V113</f>
        <v>42472.799999999996</v>
      </c>
      <c r="X113" s="559">
        <f>P113+Q113+U113+W113</f>
        <v>198206.4</v>
      </c>
      <c r="Y113" s="2212">
        <f>V112+R112</f>
        <v>0</v>
      </c>
      <c r="Z113" s="2212">
        <f>W112+S112</f>
        <v>0</v>
      </c>
      <c r="AA113" s="1153">
        <f>X112*12</f>
        <v>3147765.3899999997</v>
      </c>
      <c r="AB113" s="1154">
        <f t="shared" si="31"/>
        <v>500837.77088305488</v>
      </c>
      <c r="AC113" s="1154">
        <f t="shared" si="32"/>
        <v>3934706.7374999998</v>
      </c>
      <c r="AD113" s="1154">
        <f t="shared" si="33"/>
        <v>626047.21360381856</v>
      </c>
      <c r="AK113" s="23"/>
      <c r="AL113" s="23"/>
      <c r="AM113" s="23"/>
      <c r="AN113" s="23"/>
      <c r="AO113" s="23"/>
      <c r="AP113" s="23"/>
      <c r="AQ113" s="23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</row>
    <row r="114" spans="1:69" s="1154" customFormat="1" ht="16.5" customHeight="1">
      <c r="A114" s="547">
        <v>9</v>
      </c>
      <c r="B114" s="998" t="s">
        <v>803</v>
      </c>
      <c r="C114" s="873" t="s">
        <v>99</v>
      </c>
      <c r="D114" s="1002" t="s">
        <v>25</v>
      </c>
      <c r="E114" s="1586" t="s">
        <v>897</v>
      </c>
      <c r="F114" s="1586" t="s">
        <v>34</v>
      </c>
      <c r="G114" s="547">
        <v>1</v>
      </c>
      <c r="H114" s="563" t="s">
        <v>102</v>
      </c>
      <c r="I114" s="563" t="s">
        <v>103</v>
      </c>
      <c r="J114" s="581">
        <v>1</v>
      </c>
      <c r="K114" s="554">
        <v>17697</v>
      </c>
      <c r="L114" s="1540">
        <v>4</v>
      </c>
      <c r="M114" s="552">
        <f t="shared" si="34"/>
        <v>0.22222222222222221</v>
      </c>
      <c r="N114" s="698" t="s">
        <v>152</v>
      </c>
      <c r="O114" s="1157">
        <v>4.75</v>
      </c>
      <c r="P114" s="556">
        <f t="shared" si="38"/>
        <v>18680.166666666668</v>
      </c>
      <c r="Q114" s="556">
        <f t="shared" si="35"/>
        <v>9340.0833333333339</v>
      </c>
      <c r="R114" s="1538"/>
      <c r="S114" s="700"/>
      <c r="T114" s="554">
        <v>0.1</v>
      </c>
      <c r="U114" s="556">
        <f t="shared" si="36"/>
        <v>2802.0250000000001</v>
      </c>
      <c r="V114" s="1541"/>
      <c r="W114" s="552"/>
      <c r="X114" s="559">
        <f t="shared" si="37"/>
        <v>30822.275000000001</v>
      </c>
      <c r="Y114" s="2214"/>
      <c r="Z114" s="2214"/>
      <c r="AA114" s="1153"/>
      <c r="AK114" s="23"/>
      <c r="AL114" s="23"/>
      <c r="AM114" s="23"/>
      <c r="AN114" s="23"/>
      <c r="AO114" s="23"/>
      <c r="AP114" s="23"/>
      <c r="AQ114" s="23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</row>
    <row r="115" spans="1:69" s="1971" customFormat="1" ht="17.25" customHeight="1">
      <c r="A115" s="547">
        <v>10</v>
      </c>
      <c r="B115" s="647" t="s">
        <v>272</v>
      </c>
      <c r="C115" s="647" t="s">
        <v>617</v>
      </c>
      <c r="D115" s="628" t="s">
        <v>25</v>
      </c>
      <c r="E115" s="586" t="s">
        <v>898</v>
      </c>
      <c r="F115" s="582" t="s">
        <v>434</v>
      </c>
      <c r="G115" s="560">
        <v>1</v>
      </c>
      <c r="H115" s="563" t="s">
        <v>102</v>
      </c>
      <c r="I115" s="563" t="s">
        <v>103</v>
      </c>
      <c r="J115" s="629">
        <v>1</v>
      </c>
      <c r="K115" s="554">
        <v>17697</v>
      </c>
      <c r="L115" s="645">
        <v>36</v>
      </c>
      <c r="M115" s="552">
        <f t="shared" si="34"/>
        <v>2</v>
      </c>
      <c r="N115" s="574" t="s">
        <v>152</v>
      </c>
      <c r="O115" s="1598">
        <v>4.6900000000000004</v>
      </c>
      <c r="P115" s="556">
        <f t="shared" si="38"/>
        <v>165997.86000000002</v>
      </c>
      <c r="Q115" s="556">
        <f t="shared" si="35"/>
        <v>82998.930000000008</v>
      </c>
      <c r="R115" s="568"/>
      <c r="S115" s="554"/>
      <c r="T115" s="554">
        <v>0.1</v>
      </c>
      <c r="U115" s="556">
        <f t="shared" si="36"/>
        <v>24899.679000000004</v>
      </c>
      <c r="V115" s="19"/>
      <c r="W115" s="552"/>
      <c r="X115" s="559">
        <f t="shared" si="37"/>
        <v>273896.46900000004</v>
      </c>
      <c r="Y115" s="141">
        <f>V113+R113</f>
        <v>0.3</v>
      </c>
      <c r="Z115" s="141">
        <f>W113+S113</f>
        <v>42472.799999999996</v>
      </c>
      <c r="AA115" s="1970">
        <f>X113*12</f>
        <v>2378476.7999999998</v>
      </c>
      <c r="AB115" s="1971">
        <f>AA115/12/29.33*56</f>
        <v>378437.04057279241</v>
      </c>
      <c r="AC115" s="1971">
        <f>AA115*1.25</f>
        <v>2973096</v>
      </c>
      <c r="AD115" s="1971">
        <f>AC115/12/29.33*56</f>
        <v>473046.30071599048</v>
      </c>
      <c r="AK115" s="23"/>
      <c r="AL115" s="23"/>
      <c r="AM115" s="23"/>
      <c r="AN115" s="23"/>
      <c r="AO115" s="23"/>
      <c r="AP115" s="23"/>
      <c r="AQ115" s="23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</row>
    <row r="116" spans="1:69" s="2206" customFormat="1" ht="15.75">
      <c r="A116" s="547">
        <v>11</v>
      </c>
      <c r="B116" s="646" t="s">
        <v>274</v>
      </c>
      <c r="C116" s="647" t="s">
        <v>99</v>
      </c>
      <c r="D116" s="628" t="s">
        <v>25</v>
      </c>
      <c r="E116" s="586" t="s">
        <v>899</v>
      </c>
      <c r="F116" s="562" t="s">
        <v>239</v>
      </c>
      <c r="G116" s="560">
        <v>1</v>
      </c>
      <c r="H116" s="563" t="s">
        <v>102</v>
      </c>
      <c r="I116" s="563" t="s">
        <v>103</v>
      </c>
      <c r="J116" s="629">
        <v>1</v>
      </c>
      <c r="K116" s="554">
        <v>17697</v>
      </c>
      <c r="L116" s="645">
        <v>23</v>
      </c>
      <c r="M116" s="552">
        <f t="shared" si="34"/>
        <v>1.2777777777777777</v>
      </c>
      <c r="N116" s="698" t="s">
        <v>152</v>
      </c>
      <c r="O116" s="1598">
        <v>4.49</v>
      </c>
      <c r="P116" s="556">
        <f t="shared" si="38"/>
        <v>101531.62166666666</v>
      </c>
      <c r="Q116" s="556">
        <f t="shared" si="35"/>
        <v>50765.810833333329</v>
      </c>
      <c r="R116" s="568"/>
      <c r="S116" s="554"/>
      <c r="T116" s="554">
        <v>0.1</v>
      </c>
      <c r="U116" s="556">
        <f t="shared" si="36"/>
        <v>15229.74325</v>
      </c>
      <c r="V116" s="19">
        <v>0.4</v>
      </c>
      <c r="W116" s="552">
        <f>(P116+Q116)*V116</f>
        <v>60918.972999999998</v>
      </c>
      <c r="X116" s="559">
        <f>P116+Q116+U116+W116</f>
        <v>228446.14874999999</v>
      </c>
      <c r="Y116" s="2204"/>
      <c r="Z116" s="2204"/>
      <c r="AA116" s="2205">
        <f>X115*12</f>
        <v>3286757.6280000005</v>
      </c>
      <c r="AB116" s="2206">
        <f t="shared" si="31"/>
        <v>522952.68544152763</v>
      </c>
      <c r="AC116" s="2206">
        <f t="shared" si="32"/>
        <v>4108447.0350000006</v>
      </c>
      <c r="AD116" s="2206">
        <f t="shared" si="33"/>
        <v>653690.85680190939</v>
      </c>
      <c r="AK116" s="23"/>
      <c r="AL116" s="23"/>
      <c r="AM116" s="23"/>
      <c r="AN116" s="23"/>
      <c r="AO116" s="23"/>
      <c r="AP116" s="23"/>
      <c r="AQ116" s="23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</row>
    <row r="117" spans="1:69" s="1971" customFormat="1" ht="17.25" customHeight="1">
      <c r="A117" s="547">
        <v>12</v>
      </c>
      <c r="B117" s="646" t="s">
        <v>420</v>
      </c>
      <c r="C117" s="647" t="s">
        <v>99</v>
      </c>
      <c r="D117" s="628" t="s">
        <v>25</v>
      </c>
      <c r="E117" s="586" t="s">
        <v>900</v>
      </c>
      <c r="F117" s="562" t="s">
        <v>239</v>
      </c>
      <c r="G117" s="560">
        <v>1</v>
      </c>
      <c r="H117" s="563" t="s">
        <v>102</v>
      </c>
      <c r="I117" s="563" t="s">
        <v>103</v>
      </c>
      <c r="J117" s="629">
        <v>3</v>
      </c>
      <c r="K117" s="554">
        <v>17697</v>
      </c>
      <c r="L117" s="645">
        <v>24</v>
      </c>
      <c r="M117" s="552">
        <f t="shared" si="34"/>
        <v>1.3333333333333333</v>
      </c>
      <c r="N117" s="1601" t="s">
        <v>109</v>
      </c>
      <c r="O117" s="1598">
        <v>4.21</v>
      </c>
      <c r="P117" s="556">
        <f t="shared" ref="P117" si="39">O117*K117/18*L117</f>
        <v>99339.159999999989</v>
      </c>
      <c r="Q117" s="556">
        <f t="shared" si="35"/>
        <v>49669.579999999994</v>
      </c>
      <c r="R117" s="568"/>
      <c r="S117" s="554"/>
      <c r="T117" s="554">
        <v>0.1</v>
      </c>
      <c r="U117" s="556">
        <f t="shared" si="36"/>
        <v>14900.874</v>
      </c>
      <c r="V117" s="19"/>
      <c r="W117" s="552"/>
      <c r="X117" s="559">
        <f t="shared" si="37"/>
        <v>163909.614</v>
      </c>
      <c r="Y117" s="141">
        <f t="shared" ref="Y117:Z117" si="40">V116+R116</f>
        <v>0.4</v>
      </c>
      <c r="Z117" s="141">
        <f t="shared" si="40"/>
        <v>60918.972999999998</v>
      </c>
      <c r="AA117" s="1970">
        <f>X116*12</f>
        <v>2741353.7850000001</v>
      </c>
      <c r="AB117" s="1971">
        <f>AA117/12/29.33*56</f>
        <v>436174.03102625307</v>
      </c>
      <c r="AC117" s="1971">
        <f>AA117*1.25</f>
        <v>3426692.2312500002</v>
      </c>
      <c r="AD117" s="1971">
        <f>AC117/12/29.33*56</f>
        <v>545217.53878281638</v>
      </c>
      <c r="AK117" s="23"/>
      <c r="AL117" s="23"/>
      <c r="AM117" s="23"/>
      <c r="AN117" s="23"/>
      <c r="AO117" s="23"/>
      <c r="AP117" s="23"/>
      <c r="AQ117" s="23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</row>
    <row r="118" spans="1:69" s="1971" customFormat="1" ht="17.25" customHeight="1">
      <c r="A118" s="547">
        <v>13</v>
      </c>
      <c r="B118" s="647" t="s">
        <v>281</v>
      </c>
      <c r="C118" s="647" t="s">
        <v>99</v>
      </c>
      <c r="D118" s="628" t="s">
        <v>25</v>
      </c>
      <c r="E118" s="586" t="s">
        <v>694</v>
      </c>
      <c r="F118" s="562" t="s">
        <v>40</v>
      </c>
      <c r="G118" s="560">
        <v>1</v>
      </c>
      <c r="H118" s="563" t="s">
        <v>102</v>
      </c>
      <c r="I118" s="563" t="s">
        <v>103</v>
      </c>
      <c r="J118" s="1603">
        <v>1</v>
      </c>
      <c r="K118" s="554">
        <v>17697</v>
      </c>
      <c r="L118" s="645">
        <v>12</v>
      </c>
      <c r="M118" s="552">
        <f t="shared" si="34"/>
        <v>0.66666666666666663</v>
      </c>
      <c r="N118" s="574" t="s">
        <v>152</v>
      </c>
      <c r="O118" s="1598">
        <v>4.75</v>
      </c>
      <c r="P118" s="556">
        <f t="shared" si="30"/>
        <v>56040.5</v>
      </c>
      <c r="Q118" s="556">
        <f t="shared" si="35"/>
        <v>28020.25</v>
      </c>
      <c r="R118" s="568"/>
      <c r="S118" s="554"/>
      <c r="T118" s="554">
        <v>0.1</v>
      </c>
      <c r="U118" s="556">
        <f t="shared" si="36"/>
        <v>8406.0750000000007</v>
      </c>
      <c r="V118" s="19"/>
      <c r="W118" s="552"/>
      <c r="X118" s="559">
        <f t="shared" si="37"/>
        <v>92466.824999999997</v>
      </c>
      <c r="Y118" s="1998" t="e">
        <f>#REF!+#REF!</f>
        <v>#REF!</v>
      </c>
      <c r="Z118" s="1998" t="e">
        <f>#REF!+#REF!</f>
        <v>#REF!</v>
      </c>
      <c r="AA118" s="1970" t="e">
        <f>#REF!*12</f>
        <v>#REF!</v>
      </c>
      <c r="AB118" s="1971" t="e">
        <f t="shared" si="31"/>
        <v>#REF!</v>
      </c>
      <c r="AC118" s="1971" t="e">
        <f t="shared" si="32"/>
        <v>#REF!</v>
      </c>
      <c r="AD118" s="1971" t="e">
        <f t="shared" si="33"/>
        <v>#REF!</v>
      </c>
      <c r="AK118" s="23"/>
      <c r="AL118" s="23"/>
      <c r="AM118" s="23"/>
      <c r="AN118" s="23"/>
      <c r="AO118" s="23"/>
      <c r="AP118" s="23"/>
      <c r="AQ118" s="23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</row>
    <row r="119" spans="1:69" s="1971" customFormat="1" ht="17.25" customHeight="1">
      <c r="A119" s="547">
        <v>14</v>
      </c>
      <c r="B119" s="647" t="s">
        <v>282</v>
      </c>
      <c r="C119" s="647" t="s">
        <v>617</v>
      </c>
      <c r="D119" s="628" t="s">
        <v>25</v>
      </c>
      <c r="E119" s="586" t="s">
        <v>901</v>
      </c>
      <c r="F119" s="562" t="s">
        <v>40</v>
      </c>
      <c r="G119" s="560">
        <v>1</v>
      </c>
      <c r="H119" s="563" t="s">
        <v>102</v>
      </c>
      <c r="I119" s="563" t="s">
        <v>103</v>
      </c>
      <c r="J119" s="1603">
        <v>1</v>
      </c>
      <c r="K119" s="554">
        <v>17697</v>
      </c>
      <c r="L119" s="645">
        <v>36</v>
      </c>
      <c r="M119" s="552">
        <f t="shared" si="34"/>
        <v>2</v>
      </c>
      <c r="N119" s="574" t="s">
        <v>152</v>
      </c>
      <c r="O119" s="1598">
        <v>4.75</v>
      </c>
      <c r="P119" s="556">
        <f t="shared" si="30"/>
        <v>168121.5</v>
      </c>
      <c r="Q119" s="556">
        <f t="shared" si="35"/>
        <v>84060.75</v>
      </c>
      <c r="R119" s="568"/>
      <c r="S119" s="554"/>
      <c r="T119" s="554">
        <v>0.1</v>
      </c>
      <c r="U119" s="556">
        <f t="shared" si="36"/>
        <v>25218.225000000002</v>
      </c>
      <c r="V119" s="19"/>
      <c r="W119" s="552"/>
      <c r="X119" s="559">
        <f t="shared" si="37"/>
        <v>277400.47499999998</v>
      </c>
      <c r="Y119" s="2012"/>
      <c r="Z119" s="2012"/>
      <c r="AA119" s="1970"/>
      <c r="AK119" s="23"/>
      <c r="AL119" s="23"/>
      <c r="AM119" s="23"/>
      <c r="AN119" s="23"/>
      <c r="AO119" s="23"/>
      <c r="AP119" s="23"/>
      <c r="AQ119" s="23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</row>
    <row r="120" spans="1:69" s="1971" customFormat="1" ht="16.5" customHeight="1">
      <c r="A120" s="547">
        <v>15</v>
      </c>
      <c r="B120" s="647" t="s">
        <v>392</v>
      </c>
      <c r="C120" s="647" t="s">
        <v>99</v>
      </c>
      <c r="D120" s="628" t="s">
        <v>25</v>
      </c>
      <c r="E120" s="586" t="s">
        <v>902</v>
      </c>
      <c r="F120" s="582" t="s">
        <v>434</v>
      </c>
      <c r="G120" s="560">
        <v>1</v>
      </c>
      <c r="H120" s="563" t="s">
        <v>102</v>
      </c>
      <c r="I120" s="563" t="s">
        <v>103</v>
      </c>
      <c r="J120" s="1584">
        <v>2</v>
      </c>
      <c r="K120" s="554">
        <v>17697</v>
      </c>
      <c r="L120" s="645">
        <v>22</v>
      </c>
      <c r="M120" s="552">
        <f t="shared" si="34"/>
        <v>1.2222222222222223</v>
      </c>
      <c r="N120" s="698" t="s">
        <v>104</v>
      </c>
      <c r="O120" s="1602">
        <v>4.4400000000000004</v>
      </c>
      <c r="P120" s="556">
        <f t="shared" ref="P120" si="41">O120*K120/18*L120</f>
        <v>96035.72</v>
      </c>
      <c r="Q120" s="556">
        <f t="shared" si="35"/>
        <v>48017.86</v>
      </c>
      <c r="R120" s="568"/>
      <c r="S120" s="554"/>
      <c r="T120" s="554">
        <v>0.1</v>
      </c>
      <c r="U120" s="556">
        <f t="shared" ref="U120" si="42">(P120+Q120)*T120</f>
        <v>14405.358000000002</v>
      </c>
      <c r="V120" s="19"/>
      <c r="W120" s="552"/>
      <c r="X120" s="559">
        <f t="shared" si="37"/>
        <v>158458.93800000002</v>
      </c>
      <c r="Y120" s="1998">
        <f>V119+R119</f>
        <v>0</v>
      </c>
      <c r="Z120" s="1998">
        <f>W119+S119</f>
        <v>0</v>
      </c>
      <c r="AA120" s="1970">
        <f>X119*12</f>
        <v>3328805.6999999997</v>
      </c>
      <c r="AB120" s="1971">
        <f t="shared" si="31"/>
        <v>529642.91169451072</v>
      </c>
      <c r="AC120" s="1971">
        <f t="shared" si="32"/>
        <v>4161007.1249999995</v>
      </c>
      <c r="AD120" s="1971">
        <f t="shared" si="33"/>
        <v>662053.63961813832</v>
      </c>
      <c r="AK120" s="23"/>
      <c r="AL120" s="23"/>
      <c r="AM120" s="23"/>
      <c r="AN120" s="23"/>
      <c r="AO120" s="23"/>
      <c r="AP120" s="23"/>
      <c r="AQ120" s="23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</row>
    <row r="121" spans="1:69" s="1971" customFormat="1" ht="15.75">
      <c r="A121" s="547">
        <v>16</v>
      </c>
      <c r="B121" s="647" t="s">
        <v>184</v>
      </c>
      <c r="C121" s="647" t="s">
        <v>99</v>
      </c>
      <c r="D121" s="628" t="s">
        <v>25</v>
      </c>
      <c r="E121" s="586" t="s">
        <v>903</v>
      </c>
      <c r="F121" s="562" t="s">
        <v>40</v>
      </c>
      <c r="G121" s="560">
        <v>1</v>
      </c>
      <c r="H121" s="563" t="s">
        <v>102</v>
      </c>
      <c r="I121" s="563" t="s">
        <v>103</v>
      </c>
      <c r="J121" s="629">
        <v>1</v>
      </c>
      <c r="K121" s="554">
        <v>17697</v>
      </c>
      <c r="L121" s="645">
        <v>4</v>
      </c>
      <c r="M121" s="552">
        <f t="shared" si="34"/>
        <v>0.22222222222222221</v>
      </c>
      <c r="N121" s="574" t="s">
        <v>152</v>
      </c>
      <c r="O121" s="1600">
        <v>4.75</v>
      </c>
      <c r="P121" s="556">
        <f t="shared" si="30"/>
        <v>18680.166666666668</v>
      </c>
      <c r="Q121" s="556">
        <f t="shared" si="35"/>
        <v>9340.0833333333339</v>
      </c>
      <c r="R121" s="1538"/>
      <c r="S121" s="700"/>
      <c r="T121" s="700">
        <v>0.1</v>
      </c>
      <c r="U121" s="556">
        <f t="shared" si="36"/>
        <v>2802.0250000000001</v>
      </c>
      <c r="V121" s="1541"/>
      <c r="W121" s="552"/>
      <c r="X121" s="559">
        <f t="shared" si="37"/>
        <v>30822.275000000001</v>
      </c>
      <c r="Y121" s="1998">
        <f>V120+R120</f>
        <v>0</v>
      </c>
      <c r="Z121" s="1998">
        <f>W120+S120</f>
        <v>0</v>
      </c>
      <c r="AA121" s="1970">
        <f>X120*12</f>
        <v>1901507.2560000003</v>
      </c>
      <c r="AB121" s="1971">
        <f>AA121/12/29.33*56</f>
        <v>302546.8983293557</v>
      </c>
      <c r="AC121" s="1971">
        <f>AA121*1.25</f>
        <v>2376884.0700000003</v>
      </c>
      <c r="AD121" s="1971">
        <f>AC121/12/29.33*56</f>
        <v>378183.62291169458</v>
      </c>
      <c r="AK121" s="23"/>
      <c r="AL121" s="23"/>
      <c r="AM121" s="23"/>
      <c r="AN121" s="23"/>
      <c r="AO121" s="23"/>
      <c r="AP121" s="23"/>
      <c r="AQ121" s="23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</row>
    <row r="122" spans="1:69" s="2206" customFormat="1" ht="17.25" customHeight="1">
      <c r="A122" s="547">
        <v>17</v>
      </c>
      <c r="B122" s="692" t="s">
        <v>706</v>
      </c>
      <c r="C122" s="692" t="s">
        <v>99</v>
      </c>
      <c r="D122" s="1002" t="s">
        <v>75</v>
      </c>
      <c r="E122" s="1599" t="s">
        <v>601</v>
      </c>
      <c r="F122" s="1539" t="s">
        <v>159</v>
      </c>
      <c r="G122" s="874">
        <v>1</v>
      </c>
      <c r="H122" s="1002" t="s">
        <v>102</v>
      </c>
      <c r="I122" s="563" t="s">
        <v>118</v>
      </c>
      <c r="J122" s="1603">
        <v>3</v>
      </c>
      <c r="K122" s="554">
        <v>17697</v>
      </c>
      <c r="L122" s="645">
        <v>15</v>
      </c>
      <c r="M122" s="552">
        <f t="shared" si="34"/>
        <v>0.83333333333333337</v>
      </c>
      <c r="N122" s="1601" t="s">
        <v>112</v>
      </c>
      <c r="O122" s="1605">
        <v>3.67</v>
      </c>
      <c r="P122" s="556">
        <f>O122*K122/18*L122</f>
        <v>54123.324999999997</v>
      </c>
      <c r="Q122" s="556">
        <f t="shared" si="35"/>
        <v>27061.662499999999</v>
      </c>
      <c r="R122" s="1538"/>
      <c r="S122" s="700"/>
      <c r="T122" s="554">
        <v>0.1</v>
      </c>
      <c r="U122" s="556">
        <f>(P122+Q122)*T122</f>
        <v>8118.4987499999988</v>
      </c>
      <c r="V122" s="1541">
        <v>0.3</v>
      </c>
      <c r="W122" s="552">
        <f>(P122+Q122)*30%</f>
        <v>24355.496249999997</v>
      </c>
      <c r="X122" s="559">
        <f>P122+Q122+U122+W122</f>
        <v>113658.98249999998</v>
      </c>
      <c r="Y122" s="2210"/>
      <c r="Z122" s="2210"/>
      <c r="AA122" s="2205">
        <f>X121*12</f>
        <v>369867.30000000005</v>
      </c>
      <c r="AB122" s="2206">
        <f t="shared" si="31"/>
        <v>58849.212410501212</v>
      </c>
      <c r="AC122" s="2206">
        <f t="shared" si="32"/>
        <v>462334.12500000006</v>
      </c>
      <c r="AD122" s="2206">
        <f t="shared" si="33"/>
        <v>73561.515513126506</v>
      </c>
      <c r="AK122" s="23"/>
      <c r="AL122" s="23"/>
      <c r="AM122" s="23"/>
      <c r="AN122" s="23"/>
      <c r="AO122" s="23"/>
      <c r="AP122" s="23"/>
      <c r="AQ122" s="23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</row>
    <row r="123" spans="1:69" s="1971" customFormat="1" ht="17.25" customHeight="1">
      <c r="A123" s="547">
        <v>18</v>
      </c>
      <c r="B123" s="692" t="s">
        <v>762</v>
      </c>
      <c r="C123" s="692" t="s">
        <v>763</v>
      </c>
      <c r="D123" s="1002" t="s">
        <v>152</v>
      </c>
      <c r="E123" s="1599" t="s">
        <v>904</v>
      </c>
      <c r="F123" s="1539" t="s">
        <v>367</v>
      </c>
      <c r="G123" s="874"/>
      <c r="H123" s="563" t="s">
        <v>102</v>
      </c>
      <c r="I123" s="563" t="s">
        <v>103</v>
      </c>
      <c r="J123" s="1603">
        <v>3</v>
      </c>
      <c r="K123" s="554">
        <v>17697</v>
      </c>
      <c r="L123" s="645">
        <v>32</v>
      </c>
      <c r="M123" s="552">
        <f t="shared" si="34"/>
        <v>1.7777777777777777</v>
      </c>
      <c r="N123" s="1604" t="s">
        <v>109</v>
      </c>
      <c r="O123" s="1605">
        <v>4.3600000000000003</v>
      </c>
      <c r="P123" s="556">
        <f>O123*K123/18*L123</f>
        <v>137171.41333333336</v>
      </c>
      <c r="Q123" s="556">
        <f t="shared" si="35"/>
        <v>68585.70666666668</v>
      </c>
      <c r="R123" s="1538"/>
      <c r="S123" s="700"/>
      <c r="T123" s="554">
        <v>0.1</v>
      </c>
      <c r="U123" s="556">
        <f>(P123+Q123)*T123</f>
        <v>20575.712000000007</v>
      </c>
      <c r="V123" s="1541"/>
      <c r="W123" s="552"/>
      <c r="X123" s="559">
        <f>P123+Q123+U123</f>
        <v>226332.83200000005</v>
      </c>
      <c r="Y123" s="1998"/>
      <c r="Z123" s="1998"/>
      <c r="AA123" s="1970">
        <f>X118*12</f>
        <v>1109601.8999999999</v>
      </c>
      <c r="AB123" s="1971">
        <f>AA123/12/29.33*56</f>
        <v>176547.63723150358</v>
      </c>
      <c r="AC123" s="1971">
        <f>AA123*1.25</f>
        <v>1387002.375</v>
      </c>
      <c r="AD123" s="1971">
        <f>AC123/12/29.33*56</f>
        <v>220684.54653937949</v>
      </c>
      <c r="AK123" s="23"/>
      <c r="AL123" s="23"/>
      <c r="AM123" s="23"/>
      <c r="AN123" s="23"/>
      <c r="AO123" s="23"/>
      <c r="AP123" s="23"/>
      <c r="AQ123" s="23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</row>
    <row r="124" spans="1:69" s="1971" customFormat="1" ht="17.25" customHeight="1">
      <c r="A124" s="547">
        <v>19</v>
      </c>
      <c r="B124" s="647" t="s">
        <v>287</v>
      </c>
      <c r="C124" s="647" t="s">
        <v>99</v>
      </c>
      <c r="D124" s="628" t="s">
        <v>25</v>
      </c>
      <c r="E124" s="586" t="s">
        <v>905</v>
      </c>
      <c r="F124" s="562" t="s">
        <v>40</v>
      </c>
      <c r="G124" s="560">
        <v>1</v>
      </c>
      <c r="H124" s="563" t="s">
        <v>102</v>
      </c>
      <c r="I124" s="563" t="s">
        <v>103</v>
      </c>
      <c r="J124" s="1603">
        <v>1</v>
      </c>
      <c r="K124" s="554">
        <v>17697</v>
      </c>
      <c r="L124" s="645">
        <v>26</v>
      </c>
      <c r="M124" s="552">
        <f t="shared" si="34"/>
        <v>1.4444444444444444</v>
      </c>
      <c r="N124" s="574" t="s">
        <v>152</v>
      </c>
      <c r="O124" s="1598">
        <v>4.75</v>
      </c>
      <c r="P124" s="556">
        <f t="shared" si="30"/>
        <v>121421.08333333334</v>
      </c>
      <c r="Q124" s="556">
        <f t="shared" si="35"/>
        <v>60710.541666666672</v>
      </c>
      <c r="R124" s="568"/>
      <c r="S124" s="554"/>
      <c r="T124" s="554">
        <v>0.1</v>
      </c>
      <c r="U124" s="556">
        <f t="shared" si="36"/>
        <v>18213.162500000002</v>
      </c>
      <c r="V124" s="19"/>
      <c r="W124" s="552"/>
      <c r="X124" s="559">
        <f t="shared" si="37"/>
        <v>200344.78750000001</v>
      </c>
      <c r="Y124" s="2012"/>
      <c r="Z124" s="2012"/>
      <c r="AA124" s="1970"/>
      <c r="AK124" s="23"/>
      <c r="AL124" s="23"/>
      <c r="AM124" s="23"/>
      <c r="AN124" s="23"/>
      <c r="AO124" s="23"/>
      <c r="AP124" s="23"/>
      <c r="AQ124" s="23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</row>
    <row r="125" spans="1:69" s="1971" customFormat="1" ht="17.25" customHeight="1">
      <c r="A125" s="547">
        <v>20</v>
      </c>
      <c r="B125" s="647" t="s">
        <v>289</v>
      </c>
      <c r="C125" s="647" t="s">
        <v>99</v>
      </c>
      <c r="D125" s="563" t="s">
        <v>64</v>
      </c>
      <c r="E125" s="586" t="s">
        <v>906</v>
      </c>
      <c r="F125" s="582" t="s">
        <v>77</v>
      </c>
      <c r="G125" s="560">
        <v>1</v>
      </c>
      <c r="H125" s="563" t="s">
        <v>102</v>
      </c>
      <c r="I125" s="563" t="s">
        <v>118</v>
      </c>
      <c r="J125" s="1603">
        <v>4</v>
      </c>
      <c r="K125" s="554">
        <v>17697</v>
      </c>
      <c r="L125" s="645">
        <v>13</v>
      </c>
      <c r="M125" s="552">
        <f t="shared" si="34"/>
        <v>0.72222222222222221</v>
      </c>
      <c r="N125" s="1601" t="s">
        <v>112</v>
      </c>
      <c r="O125" s="1602">
        <v>3.45</v>
      </c>
      <c r="P125" s="556">
        <f t="shared" ref="P125" si="43">O125*K125/18*L125</f>
        <v>44095.025000000001</v>
      </c>
      <c r="Q125" s="556">
        <f>P125*50%</f>
        <v>22047.512500000001</v>
      </c>
      <c r="R125" s="568"/>
      <c r="S125" s="554"/>
      <c r="T125" s="554">
        <v>0.1</v>
      </c>
      <c r="U125" s="556">
        <f t="shared" ref="U125" si="44">(P125+Q125)*T125</f>
        <v>6614.2537500000008</v>
      </c>
      <c r="V125" s="19"/>
      <c r="W125" s="552"/>
      <c r="X125" s="559">
        <f>P125+Q125+U125</f>
        <v>72756.791250000009</v>
      </c>
      <c r="Y125" s="1998">
        <f>V124+R124</f>
        <v>0</v>
      </c>
      <c r="Z125" s="1998">
        <f>W124+S124</f>
        <v>0</v>
      </c>
      <c r="AA125" s="1970">
        <f>X124*12</f>
        <v>2404137.4500000002</v>
      </c>
      <c r="AB125" s="1971">
        <f t="shared" si="31"/>
        <v>382519.88066825783</v>
      </c>
      <c r="AC125" s="1971">
        <f t="shared" si="32"/>
        <v>3005171.8125</v>
      </c>
      <c r="AD125" s="1971">
        <f t="shared" si="33"/>
        <v>478149.85083532229</v>
      </c>
      <c r="AK125" s="23"/>
      <c r="AL125" s="23"/>
      <c r="AM125" s="23"/>
      <c r="AN125" s="23"/>
      <c r="AO125" s="23"/>
      <c r="AP125" s="23"/>
      <c r="AQ125" s="23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</row>
    <row r="126" spans="1:69" s="377" customFormat="1" ht="17.25" customHeight="1">
      <c r="A126" s="1880"/>
      <c r="B126" s="1930" t="s">
        <v>798</v>
      </c>
      <c r="C126" s="1881"/>
      <c r="D126" s="1882"/>
      <c r="E126" s="1883"/>
      <c r="F126" s="1884"/>
      <c r="G126" s="1885"/>
      <c r="H126" s="1882"/>
      <c r="I126" s="1882"/>
      <c r="J126" s="1886"/>
      <c r="K126" s="1887"/>
      <c r="L126" s="1888">
        <f>SUM(L106:L125)</f>
        <v>462</v>
      </c>
      <c r="M126" s="1889"/>
      <c r="N126" s="1890"/>
      <c r="O126" s="1891"/>
      <c r="P126" s="1892"/>
      <c r="Q126" s="1892"/>
      <c r="R126" s="1893"/>
      <c r="S126" s="1887" t="s">
        <v>838</v>
      </c>
      <c r="T126" s="1887"/>
      <c r="U126" s="1892"/>
      <c r="V126" s="1894"/>
      <c r="W126" s="1889"/>
      <c r="X126" s="1895"/>
      <c r="Y126" s="359">
        <f>V125+R125</f>
        <v>0</v>
      </c>
      <c r="Z126" s="359">
        <f>W125+S125</f>
        <v>0</v>
      </c>
      <c r="AA126" s="375">
        <f>X125*12</f>
        <v>873081.49500000011</v>
      </c>
      <c r="AB126" s="377">
        <f>AA126/12/29.33*56</f>
        <v>138915.11455847256</v>
      </c>
      <c r="AC126" s="377">
        <f>AA126*1.25</f>
        <v>1091351.8687500001</v>
      </c>
      <c r="AD126" s="377">
        <f>AC126/12/29.33*56</f>
        <v>173643.89319809072</v>
      </c>
      <c r="AK126" s="23"/>
      <c r="AL126" s="23"/>
      <c r="AM126" s="23"/>
      <c r="AN126" s="23"/>
      <c r="AO126" s="23"/>
      <c r="AP126" s="23"/>
      <c r="AQ126" s="23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</row>
    <row r="127" spans="1:69" s="1154" customFormat="1" ht="15.75">
      <c r="A127" s="560">
        <v>1</v>
      </c>
      <c r="B127" s="661" t="s">
        <v>516</v>
      </c>
      <c r="C127" s="647" t="s">
        <v>99</v>
      </c>
      <c r="D127" s="663" t="s">
        <v>25</v>
      </c>
      <c r="E127" s="664" t="s">
        <v>908</v>
      </c>
      <c r="F127" s="664" t="s">
        <v>40</v>
      </c>
      <c r="G127" s="177">
        <v>1</v>
      </c>
      <c r="H127" s="177" t="s">
        <v>102</v>
      </c>
      <c r="I127" s="177" t="s">
        <v>103</v>
      </c>
      <c r="J127" s="178">
        <v>1</v>
      </c>
      <c r="K127" s="554">
        <v>17697</v>
      </c>
      <c r="L127" s="665">
        <v>17</v>
      </c>
      <c r="M127" s="567">
        <f>L127/18</f>
        <v>0.94444444444444442</v>
      </c>
      <c r="N127" s="574" t="s">
        <v>152</v>
      </c>
      <c r="O127" s="1608">
        <v>4.75</v>
      </c>
      <c r="P127" s="567">
        <f>K127*O127/18*L127</f>
        <v>79390.708333333343</v>
      </c>
      <c r="Q127" s="697">
        <f>P127*50%</f>
        <v>39695.354166666672</v>
      </c>
      <c r="R127" s="666">
        <v>0.25</v>
      </c>
      <c r="S127" s="554">
        <f>(P127+Q127)*R127</f>
        <v>29771.515625000004</v>
      </c>
      <c r="T127" s="554">
        <v>0.1</v>
      </c>
      <c r="U127" s="567">
        <f>(P127+Q127+S127)*T127</f>
        <v>14885.757812500004</v>
      </c>
      <c r="V127" s="19"/>
      <c r="W127" s="554"/>
      <c r="X127" s="570">
        <f>P127+Q127+S127+U127+W127</f>
        <v>163743.33593750003</v>
      </c>
      <c r="Y127" s="1156"/>
      <c r="Z127" s="1156"/>
      <c r="AA127" s="1153"/>
      <c r="AK127" s="906"/>
      <c r="AL127" s="23"/>
      <c r="AM127" s="23"/>
      <c r="AN127" s="23"/>
      <c r="AO127" s="23"/>
      <c r="AP127" s="23"/>
      <c r="AQ127" s="23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</row>
    <row r="128" spans="1:69" s="1154" customFormat="1" ht="17.25" customHeight="1">
      <c r="A128" s="560">
        <v>2</v>
      </c>
      <c r="B128" s="661" t="s">
        <v>38</v>
      </c>
      <c r="C128" s="647" t="s">
        <v>99</v>
      </c>
      <c r="D128" s="663" t="s">
        <v>25</v>
      </c>
      <c r="E128" s="664" t="s">
        <v>907</v>
      </c>
      <c r="F128" s="664" t="s">
        <v>40</v>
      </c>
      <c r="G128" s="177">
        <v>1</v>
      </c>
      <c r="H128" s="177" t="s">
        <v>102</v>
      </c>
      <c r="I128" s="177" t="s">
        <v>103</v>
      </c>
      <c r="J128" s="178">
        <v>1</v>
      </c>
      <c r="K128" s="554">
        <v>17697</v>
      </c>
      <c r="L128" s="665">
        <v>9</v>
      </c>
      <c r="M128" s="567">
        <f t="shared" ref="M128:M142" si="45">L128/18</f>
        <v>0.5</v>
      </c>
      <c r="N128" s="997" t="s">
        <v>152</v>
      </c>
      <c r="O128" s="1608">
        <v>4.75</v>
      </c>
      <c r="P128" s="567">
        <f t="shared" ref="P128:P142" si="46">K128*O128/18*L128</f>
        <v>42030.375</v>
      </c>
      <c r="Q128" s="697">
        <f t="shared" ref="Q128:Q142" si="47">P128*50%</f>
        <v>21015.1875</v>
      </c>
      <c r="R128" s="666">
        <v>0.25</v>
      </c>
      <c r="S128" s="554">
        <f t="shared" ref="S128:S142" si="48">(P128+Q128)*R128</f>
        <v>15761.390625</v>
      </c>
      <c r="T128" s="554">
        <v>0.1</v>
      </c>
      <c r="U128" s="567">
        <f t="shared" ref="U128:U142" si="49">(P128+Q128+S128)*T128</f>
        <v>7880.6953125</v>
      </c>
      <c r="V128" s="19"/>
      <c r="W128" s="554"/>
      <c r="X128" s="570">
        <f t="shared" ref="X128:X142" si="50">P128+Q128+S128+U128+W128</f>
        <v>86687.6484375</v>
      </c>
      <c r="Y128" s="2212"/>
      <c r="Z128" s="2212"/>
      <c r="AA128" s="1153">
        <f t="shared" ref="AA128:AA135" si="51">X127*12</f>
        <v>1964920.0312500005</v>
      </c>
      <c r="AB128" s="1154">
        <f>AA128/12/29.33*56</f>
        <v>312636.44093078765</v>
      </c>
      <c r="AC128" s="1154">
        <f>AA128*1.25</f>
        <v>2456150.0390625005</v>
      </c>
      <c r="AD128" s="1154">
        <f>AC128/12/29.33*56</f>
        <v>390795.55116348458</v>
      </c>
      <c r="AK128" s="906"/>
      <c r="AL128" s="23"/>
      <c r="AM128" s="23"/>
      <c r="AN128" s="23"/>
      <c r="AO128" s="23"/>
      <c r="AP128" s="23"/>
      <c r="AQ128" s="23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</row>
    <row r="129" spans="1:69" s="1154" customFormat="1" ht="15.75">
      <c r="A129" s="560">
        <v>3</v>
      </c>
      <c r="B129" s="669" t="s">
        <v>306</v>
      </c>
      <c r="C129" s="647" t="s">
        <v>99</v>
      </c>
      <c r="D129" s="663" t="s">
        <v>25</v>
      </c>
      <c r="E129" s="1609" t="s">
        <v>126</v>
      </c>
      <c r="F129" s="670" t="s">
        <v>68</v>
      </c>
      <c r="G129" s="177">
        <v>1</v>
      </c>
      <c r="H129" s="177" t="s">
        <v>102</v>
      </c>
      <c r="I129" s="177" t="s">
        <v>103</v>
      </c>
      <c r="J129" s="182">
        <v>4</v>
      </c>
      <c r="K129" s="554">
        <v>17697</v>
      </c>
      <c r="L129" s="665">
        <v>31</v>
      </c>
      <c r="M129" s="567">
        <f t="shared" si="45"/>
        <v>1.7222222222222223</v>
      </c>
      <c r="N129" s="997" t="s">
        <v>112</v>
      </c>
      <c r="O129" s="1610">
        <v>3.64</v>
      </c>
      <c r="P129" s="567">
        <f t="shared" si="46"/>
        <v>110940.52666666667</v>
      </c>
      <c r="Q129" s="697">
        <f t="shared" si="47"/>
        <v>55470.263333333336</v>
      </c>
      <c r="R129" s="666">
        <v>0.25</v>
      </c>
      <c r="S129" s="554">
        <f t="shared" si="48"/>
        <v>41602.697500000002</v>
      </c>
      <c r="T129" s="554">
        <v>0.1</v>
      </c>
      <c r="U129" s="567">
        <f t="shared" si="49"/>
        <v>20801.348750000005</v>
      </c>
      <c r="V129" s="19"/>
      <c r="W129" s="554"/>
      <c r="X129" s="570">
        <f t="shared" si="50"/>
        <v>228814.83625000002</v>
      </c>
      <c r="Y129" s="2212">
        <f>V128+T128+R128</f>
        <v>0.35</v>
      </c>
      <c r="Z129" s="2212">
        <f>W128+U128+S128</f>
        <v>23642.0859375</v>
      </c>
      <c r="AA129" s="1153">
        <f t="shared" si="51"/>
        <v>1040251.78125</v>
      </c>
      <c r="AB129" s="1154">
        <f>AA129/12/29.33*56</f>
        <v>165513.40990453464</v>
      </c>
      <c r="AC129" s="1154">
        <f>AA129*1.25</f>
        <v>1300314.7265625</v>
      </c>
      <c r="AD129" s="1154">
        <f>AC129/12/29.33*56</f>
        <v>206891.76238066825</v>
      </c>
      <c r="AK129" s="906"/>
      <c r="AL129" s="23"/>
      <c r="AM129" s="23"/>
      <c r="AN129" s="23"/>
      <c r="AO129" s="23"/>
      <c r="AP129" s="23"/>
      <c r="AQ129" s="23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</row>
    <row r="130" spans="1:69" s="1154" customFormat="1" ht="17.25" customHeight="1">
      <c r="A130" s="560">
        <v>4</v>
      </c>
      <c r="B130" s="661" t="s">
        <v>309</v>
      </c>
      <c r="C130" s="647" t="s">
        <v>99</v>
      </c>
      <c r="D130" s="663" t="s">
        <v>25</v>
      </c>
      <c r="E130" s="664" t="s">
        <v>909</v>
      </c>
      <c r="F130" s="664" t="s">
        <v>40</v>
      </c>
      <c r="G130" s="177">
        <v>1</v>
      </c>
      <c r="H130" s="177" t="s">
        <v>102</v>
      </c>
      <c r="I130" s="177" t="s">
        <v>103</v>
      </c>
      <c r="J130" s="178">
        <v>1</v>
      </c>
      <c r="K130" s="554">
        <v>17697</v>
      </c>
      <c r="L130" s="665">
        <v>24</v>
      </c>
      <c r="M130" s="567">
        <f t="shared" si="45"/>
        <v>1.3333333333333333</v>
      </c>
      <c r="N130" s="997" t="s">
        <v>152</v>
      </c>
      <c r="O130" s="1608">
        <v>4.75</v>
      </c>
      <c r="P130" s="567">
        <f t="shared" si="46"/>
        <v>112081</v>
      </c>
      <c r="Q130" s="697">
        <f t="shared" si="47"/>
        <v>56040.5</v>
      </c>
      <c r="R130" s="666">
        <v>0.25</v>
      </c>
      <c r="S130" s="554">
        <f t="shared" si="48"/>
        <v>42030.375</v>
      </c>
      <c r="T130" s="554">
        <v>0.1</v>
      </c>
      <c r="U130" s="567">
        <f t="shared" si="49"/>
        <v>21015.1875</v>
      </c>
      <c r="V130" s="19"/>
      <c r="W130" s="554"/>
      <c r="X130" s="570">
        <f t="shared" si="50"/>
        <v>231167.0625</v>
      </c>
      <c r="Y130" s="2212">
        <f>V129+R129</f>
        <v>0.25</v>
      </c>
      <c r="Z130" s="2212">
        <f>W129+S129</f>
        <v>41602.697500000002</v>
      </c>
      <c r="AA130" s="1153">
        <f t="shared" si="51"/>
        <v>2745778.0350000001</v>
      </c>
      <c r="AB130" s="1154">
        <f>AA130/12/29.33*56</f>
        <v>436877.96897374705</v>
      </c>
      <c r="AC130" s="1154">
        <f>AA130*1.25</f>
        <v>3432222.5437500002</v>
      </c>
      <c r="AD130" s="1154">
        <f>AC130/12/29.33*56</f>
        <v>546097.46121718385</v>
      </c>
      <c r="AK130" s="906"/>
      <c r="AL130" s="23"/>
      <c r="AM130" s="23"/>
      <c r="AN130" s="23"/>
      <c r="AO130" s="23"/>
      <c r="AP130" s="23"/>
      <c r="AQ130" s="23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</row>
    <row r="131" spans="1:69" s="1154" customFormat="1" ht="15.75">
      <c r="A131" s="560">
        <v>5</v>
      </c>
      <c r="B131" s="153" t="s">
        <v>145</v>
      </c>
      <c r="C131" s="561" t="s">
        <v>99</v>
      </c>
      <c r="D131" s="663" t="s">
        <v>25</v>
      </c>
      <c r="E131" s="562" t="s">
        <v>910</v>
      </c>
      <c r="F131" s="562" t="s">
        <v>476</v>
      </c>
      <c r="G131" s="547">
        <v>1</v>
      </c>
      <c r="H131" s="563" t="s">
        <v>102</v>
      </c>
      <c r="I131" s="563" t="s">
        <v>103</v>
      </c>
      <c r="J131" s="581">
        <v>2</v>
      </c>
      <c r="K131" s="554">
        <v>17697</v>
      </c>
      <c r="L131" s="665">
        <v>12</v>
      </c>
      <c r="M131" s="567">
        <f t="shared" si="45"/>
        <v>0.66666666666666663</v>
      </c>
      <c r="N131" s="574" t="s">
        <v>385</v>
      </c>
      <c r="O131" s="1608">
        <v>4.16</v>
      </c>
      <c r="P131" s="567">
        <f t="shared" si="46"/>
        <v>49079.68</v>
      </c>
      <c r="Q131" s="697">
        <f t="shared" si="47"/>
        <v>24539.84</v>
      </c>
      <c r="R131" s="666">
        <v>0.25</v>
      </c>
      <c r="S131" s="554">
        <f t="shared" si="48"/>
        <v>18404.88</v>
      </c>
      <c r="T131" s="554">
        <v>0.1</v>
      </c>
      <c r="U131" s="567">
        <f t="shared" si="49"/>
        <v>9202.44</v>
      </c>
      <c r="V131" s="19"/>
      <c r="W131" s="554"/>
      <c r="X131" s="570">
        <f t="shared" si="50"/>
        <v>101226.84000000001</v>
      </c>
      <c r="Y131" s="1155">
        <f t="shared" ref="Y131:Z133" si="52">V130+T130+R130</f>
        <v>0.35</v>
      </c>
      <c r="Z131" s="1155">
        <f t="shared" si="52"/>
        <v>63045.5625</v>
      </c>
      <c r="AA131" s="1153">
        <f t="shared" si="51"/>
        <v>2774004.75</v>
      </c>
      <c r="AB131" s="1154">
        <f t="shared" ref="AB131" si="53">AA131/12/29.33*56</f>
        <v>441369.09307875898</v>
      </c>
      <c r="AC131" s="1154">
        <f t="shared" ref="AC131" si="54">AA131*1.25</f>
        <v>3467505.9375</v>
      </c>
      <c r="AD131" s="1154">
        <f t="shared" ref="AD131" si="55">AC131/12/29.33*56</f>
        <v>551711.36634844868</v>
      </c>
      <c r="AK131" s="906"/>
      <c r="AL131" s="23"/>
      <c r="AM131" s="23"/>
      <c r="AN131" s="23"/>
      <c r="AO131" s="23"/>
      <c r="AP131" s="23"/>
      <c r="AQ131" s="23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</row>
    <row r="132" spans="1:69" s="1154" customFormat="1" ht="17.25" customHeight="1">
      <c r="A132" s="560">
        <v>6</v>
      </c>
      <c r="B132" s="491" t="s">
        <v>447</v>
      </c>
      <c r="C132" s="647" t="s">
        <v>99</v>
      </c>
      <c r="D132" s="663" t="s">
        <v>300</v>
      </c>
      <c r="E132" s="664" t="s">
        <v>290</v>
      </c>
      <c r="F132" s="664" t="s">
        <v>602</v>
      </c>
      <c r="G132" s="177">
        <v>1</v>
      </c>
      <c r="H132" s="177" t="s">
        <v>102</v>
      </c>
      <c r="I132" s="177" t="s">
        <v>118</v>
      </c>
      <c r="J132" s="178">
        <v>4</v>
      </c>
      <c r="K132" s="554">
        <v>17697</v>
      </c>
      <c r="L132" s="665">
        <v>10</v>
      </c>
      <c r="M132" s="567">
        <f t="shared" si="45"/>
        <v>0.55555555555555558</v>
      </c>
      <c r="N132" s="997" t="s">
        <v>112</v>
      </c>
      <c r="O132" s="1608">
        <v>3.36</v>
      </c>
      <c r="P132" s="567">
        <f t="shared" si="46"/>
        <v>33034.400000000001</v>
      </c>
      <c r="Q132" s="697">
        <f t="shared" si="47"/>
        <v>16517.2</v>
      </c>
      <c r="R132" s="666">
        <v>0.25</v>
      </c>
      <c r="S132" s="554">
        <f t="shared" si="48"/>
        <v>12387.900000000001</v>
      </c>
      <c r="T132" s="554">
        <v>0.1</v>
      </c>
      <c r="U132" s="567">
        <f t="shared" si="49"/>
        <v>6193.9500000000007</v>
      </c>
      <c r="V132" s="19"/>
      <c r="W132" s="554"/>
      <c r="X132" s="570">
        <f t="shared" si="50"/>
        <v>68133.450000000012</v>
      </c>
      <c r="Y132" s="1155">
        <f t="shared" si="52"/>
        <v>0.35</v>
      </c>
      <c r="Z132" s="1155">
        <f t="shared" si="52"/>
        <v>27607.32</v>
      </c>
      <c r="AA132" s="1153">
        <f t="shared" si="51"/>
        <v>1214722.08</v>
      </c>
      <c r="AB132" s="1154">
        <f>AA132/12/29.33*56</f>
        <v>193273.20286396187</v>
      </c>
      <c r="AC132" s="1154">
        <f>AA132*1.25</f>
        <v>1518402.6</v>
      </c>
      <c r="AD132" s="1154">
        <f>AC132/12/29.33*56</f>
        <v>241591.50357995229</v>
      </c>
      <c r="AK132" s="906"/>
      <c r="AL132" s="23"/>
      <c r="AM132" s="23"/>
      <c r="AN132" s="23"/>
      <c r="AO132" s="23"/>
      <c r="AP132" s="23"/>
      <c r="AQ132" s="23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</row>
    <row r="133" spans="1:69" s="377" customFormat="1" ht="17.25" customHeight="1">
      <c r="A133" s="560">
        <v>7</v>
      </c>
      <c r="B133" s="662" t="s">
        <v>319</v>
      </c>
      <c r="C133" s="647" t="s">
        <v>99</v>
      </c>
      <c r="D133" s="663" t="s">
        <v>25</v>
      </c>
      <c r="E133" s="664" t="s">
        <v>244</v>
      </c>
      <c r="F133" s="664" t="s">
        <v>239</v>
      </c>
      <c r="G133" s="177">
        <v>1</v>
      </c>
      <c r="H133" s="177" t="s">
        <v>232</v>
      </c>
      <c r="I133" s="177" t="s">
        <v>233</v>
      </c>
      <c r="J133" s="178">
        <v>3</v>
      </c>
      <c r="K133" s="554">
        <v>17697</v>
      </c>
      <c r="L133" s="665">
        <v>21</v>
      </c>
      <c r="M133" s="567">
        <f t="shared" si="45"/>
        <v>1.1666666666666667</v>
      </c>
      <c r="N133" s="1583" t="s">
        <v>109</v>
      </c>
      <c r="O133" s="1611">
        <v>4.21</v>
      </c>
      <c r="P133" s="567">
        <f t="shared" si="46"/>
        <v>86921.764999999985</v>
      </c>
      <c r="Q133" s="697">
        <f t="shared" si="47"/>
        <v>43460.882499999992</v>
      </c>
      <c r="R133" s="666">
        <v>0.25</v>
      </c>
      <c r="S133" s="554">
        <f t="shared" si="48"/>
        <v>32595.661874999994</v>
      </c>
      <c r="T133" s="554">
        <v>0.1</v>
      </c>
      <c r="U133" s="567">
        <f t="shared" si="49"/>
        <v>16297.830937499999</v>
      </c>
      <c r="V133" s="19"/>
      <c r="W133" s="554"/>
      <c r="X133" s="570">
        <f t="shared" si="50"/>
        <v>179276.14031249998</v>
      </c>
      <c r="Y133" s="359">
        <f t="shared" si="52"/>
        <v>0.35</v>
      </c>
      <c r="Z133" s="359">
        <f t="shared" si="52"/>
        <v>18581.850000000002</v>
      </c>
      <c r="AA133" s="375">
        <f t="shared" si="51"/>
        <v>817601.40000000014</v>
      </c>
      <c r="AB133" s="377">
        <f t="shared" ref="AB133" si="56">AA133/12/29.33*56</f>
        <v>130087.73269689739</v>
      </c>
      <c r="AC133" s="377">
        <f t="shared" ref="AC133" si="57">AA133*1.25</f>
        <v>1022001.7500000002</v>
      </c>
      <c r="AD133" s="377">
        <f t="shared" ref="AD133" si="58">AC133/12/29.33*56</f>
        <v>162609.66587112178</v>
      </c>
      <c r="AK133" s="906"/>
      <c r="AL133" s="23"/>
      <c r="AM133" s="23"/>
      <c r="AN133" s="23"/>
      <c r="AO133" s="23"/>
      <c r="AP133" s="23"/>
      <c r="AQ133" s="23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</row>
    <row r="134" spans="1:69" s="2206" customFormat="1" ht="17.25" customHeight="1">
      <c r="A134" s="560">
        <v>8</v>
      </c>
      <c r="B134" s="153" t="s">
        <v>274</v>
      </c>
      <c r="C134" s="647" t="s">
        <v>99</v>
      </c>
      <c r="D134" s="663" t="s">
        <v>25</v>
      </c>
      <c r="E134" s="586" t="s">
        <v>899</v>
      </c>
      <c r="F134" s="562" t="s">
        <v>239</v>
      </c>
      <c r="G134" s="177">
        <v>1</v>
      </c>
      <c r="H134" s="177" t="s">
        <v>102</v>
      </c>
      <c r="I134" s="177" t="s">
        <v>103</v>
      </c>
      <c r="J134" s="178">
        <v>1</v>
      </c>
      <c r="K134" s="554">
        <v>17697</v>
      </c>
      <c r="L134" s="665">
        <v>12</v>
      </c>
      <c r="M134" s="567">
        <f t="shared" si="45"/>
        <v>0.66666666666666663</v>
      </c>
      <c r="N134" s="698" t="s">
        <v>152</v>
      </c>
      <c r="O134" s="1612">
        <v>4.49</v>
      </c>
      <c r="P134" s="567">
        <f t="shared" si="46"/>
        <v>52973.02</v>
      </c>
      <c r="Q134" s="697">
        <f t="shared" si="47"/>
        <v>26486.51</v>
      </c>
      <c r="R134" s="666">
        <v>0.25</v>
      </c>
      <c r="S134" s="554">
        <f t="shared" si="48"/>
        <v>19864.8825</v>
      </c>
      <c r="T134" s="554">
        <v>0.1</v>
      </c>
      <c r="U134" s="567">
        <f>(P134+Q134+S134)*T134</f>
        <v>9932.4412500000017</v>
      </c>
      <c r="V134" s="19">
        <v>0.4</v>
      </c>
      <c r="W134" s="554">
        <f>(P134+Q134+S134)*V134</f>
        <v>39729.765000000007</v>
      </c>
      <c r="X134" s="570">
        <f t="shared" si="50"/>
        <v>148986.61875000002</v>
      </c>
      <c r="Y134" s="2207"/>
      <c r="Z134" s="2207"/>
      <c r="AA134" s="2205">
        <f t="shared" si="51"/>
        <v>2151313.6837499999</v>
      </c>
      <c r="AB134" s="2206">
        <f>AA134/12/29.33*56</f>
        <v>342293.34665871121</v>
      </c>
      <c r="AC134" s="2206">
        <f>AA134*1.25</f>
        <v>2689142.1046874998</v>
      </c>
      <c r="AD134" s="2206">
        <f>AC134/12/29.33*56</f>
        <v>427866.68332338904</v>
      </c>
      <c r="AK134" s="906"/>
      <c r="AL134" s="23"/>
      <c r="AM134" s="23"/>
      <c r="AN134" s="23"/>
      <c r="AO134" s="23"/>
      <c r="AP134" s="23"/>
      <c r="AQ134" s="23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</row>
    <row r="135" spans="1:69" s="377" customFormat="1" ht="17.25" customHeight="1">
      <c r="A135" s="560">
        <v>9</v>
      </c>
      <c r="B135" s="662" t="s">
        <v>739</v>
      </c>
      <c r="C135" s="647" t="s">
        <v>99</v>
      </c>
      <c r="D135" s="663" t="s">
        <v>25</v>
      </c>
      <c r="E135" s="664" t="s">
        <v>194</v>
      </c>
      <c r="F135" s="664" t="s">
        <v>77</v>
      </c>
      <c r="G135" s="177">
        <v>1</v>
      </c>
      <c r="H135" s="177" t="s">
        <v>102</v>
      </c>
      <c r="I135" s="177" t="s">
        <v>103</v>
      </c>
      <c r="J135" s="182">
        <v>4</v>
      </c>
      <c r="K135" s="554">
        <v>17697</v>
      </c>
      <c r="L135" s="665">
        <v>10</v>
      </c>
      <c r="M135" s="567">
        <f t="shared" si="45"/>
        <v>0.55555555555555558</v>
      </c>
      <c r="N135" s="997" t="s">
        <v>112</v>
      </c>
      <c r="O135" s="1610">
        <v>3.71</v>
      </c>
      <c r="P135" s="567">
        <f t="shared" si="46"/>
        <v>36475.48333333333</v>
      </c>
      <c r="Q135" s="697">
        <f t="shared" si="47"/>
        <v>18237.741666666665</v>
      </c>
      <c r="R135" s="666">
        <v>0.25</v>
      </c>
      <c r="S135" s="554">
        <f t="shared" si="48"/>
        <v>13678.306249999998</v>
      </c>
      <c r="T135" s="554">
        <v>0.1</v>
      </c>
      <c r="U135" s="567">
        <f t="shared" si="49"/>
        <v>6839.1531249999989</v>
      </c>
      <c r="V135" s="19"/>
      <c r="W135" s="554"/>
      <c r="X135" s="570">
        <f t="shared" si="50"/>
        <v>75230.684374999983</v>
      </c>
      <c r="Y135" s="919"/>
      <c r="Z135" s="919"/>
      <c r="AA135" s="375">
        <f t="shared" si="51"/>
        <v>1787839.4250000003</v>
      </c>
      <c r="AB135" s="377">
        <f>AA135/12/29.33*56</f>
        <v>284461.32458233897</v>
      </c>
      <c r="AC135" s="377">
        <f>AA135*1.25</f>
        <v>2234799.2812500005</v>
      </c>
      <c r="AD135" s="377">
        <f>AC135/12/29.33*56</f>
        <v>355576.65572792373</v>
      </c>
      <c r="AK135" s="906"/>
      <c r="AL135" s="23"/>
      <c r="AM135" s="23"/>
      <c r="AN135" s="23"/>
      <c r="AO135" s="23"/>
      <c r="AP135" s="23"/>
      <c r="AQ135" s="23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</row>
    <row r="136" spans="1:69" s="377" customFormat="1" ht="17.25" customHeight="1">
      <c r="A136" s="560">
        <v>10</v>
      </c>
      <c r="B136" s="1790" t="s">
        <v>937</v>
      </c>
      <c r="C136" s="692" t="s">
        <v>99</v>
      </c>
      <c r="D136" s="693" t="s">
        <v>25</v>
      </c>
      <c r="E136" s="694" t="s">
        <v>939</v>
      </c>
      <c r="F136" s="664" t="s">
        <v>34</v>
      </c>
      <c r="G136" s="177">
        <v>1</v>
      </c>
      <c r="H136" s="177" t="s">
        <v>102</v>
      </c>
      <c r="I136" s="177" t="s">
        <v>103</v>
      </c>
      <c r="J136" s="178">
        <v>1</v>
      </c>
      <c r="K136" s="554">
        <v>17697</v>
      </c>
      <c r="L136" s="1607">
        <v>17</v>
      </c>
      <c r="M136" s="567">
        <f t="shared" si="45"/>
        <v>0.94444444444444442</v>
      </c>
      <c r="N136" s="1004" t="s">
        <v>152</v>
      </c>
      <c r="O136" s="1611">
        <v>4.75</v>
      </c>
      <c r="P136" s="567">
        <f t="shared" si="46"/>
        <v>79390.708333333343</v>
      </c>
      <c r="Q136" s="697">
        <f t="shared" si="47"/>
        <v>39695.354166666672</v>
      </c>
      <c r="R136" s="1752">
        <v>0.25</v>
      </c>
      <c r="S136" s="554">
        <f t="shared" si="48"/>
        <v>29771.515625000004</v>
      </c>
      <c r="T136" s="700">
        <v>0.1</v>
      </c>
      <c r="U136" s="567">
        <f t="shared" si="49"/>
        <v>14885.757812500004</v>
      </c>
      <c r="V136" s="1541"/>
      <c r="W136" s="552"/>
      <c r="X136" s="570">
        <f t="shared" si="50"/>
        <v>163743.33593750003</v>
      </c>
      <c r="Y136" s="919"/>
      <c r="Z136" s="919"/>
      <c r="AA136" s="375"/>
      <c r="AK136" s="906"/>
      <c r="AL136" s="23"/>
      <c r="AM136" s="23"/>
      <c r="AN136" s="23"/>
      <c r="AO136" s="23"/>
      <c r="AP136" s="23"/>
      <c r="AQ136" s="23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</row>
    <row r="137" spans="1:69" s="2206" customFormat="1" ht="17.25" customHeight="1">
      <c r="A137" s="560">
        <v>11</v>
      </c>
      <c r="B137" s="701" t="s">
        <v>758</v>
      </c>
      <c r="C137" s="647" t="s">
        <v>99</v>
      </c>
      <c r="D137" s="693" t="s">
        <v>25</v>
      </c>
      <c r="E137" s="694" t="s">
        <v>911</v>
      </c>
      <c r="F137" s="664" t="s">
        <v>366</v>
      </c>
      <c r="G137" s="177">
        <v>1</v>
      </c>
      <c r="H137" s="563" t="s">
        <v>102</v>
      </c>
      <c r="I137" s="563" t="s">
        <v>103</v>
      </c>
      <c r="J137" s="581">
        <v>3</v>
      </c>
      <c r="K137" s="554">
        <v>17697</v>
      </c>
      <c r="L137" s="1607">
        <v>14</v>
      </c>
      <c r="M137" s="567">
        <f t="shared" si="45"/>
        <v>0.77777777777777779</v>
      </c>
      <c r="N137" s="1004" t="s">
        <v>109</v>
      </c>
      <c r="O137" s="1612">
        <v>4.12</v>
      </c>
      <c r="P137" s="567">
        <f t="shared" si="46"/>
        <v>56709.05333333333</v>
      </c>
      <c r="Q137" s="697">
        <f t="shared" si="47"/>
        <v>28354.526666666665</v>
      </c>
      <c r="R137" s="666">
        <v>0.25</v>
      </c>
      <c r="S137" s="554">
        <f t="shared" si="48"/>
        <v>21265.894999999997</v>
      </c>
      <c r="T137" s="554">
        <v>0.1</v>
      </c>
      <c r="U137" s="567">
        <f t="shared" si="49"/>
        <v>10632.947499999998</v>
      </c>
      <c r="V137" s="1541"/>
      <c r="W137" s="552"/>
      <c r="X137" s="570">
        <f t="shared" si="50"/>
        <v>116962.42249999997</v>
      </c>
      <c r="Y137" s="2204"/>
      <c r="Z137" s="2204"/>
      <c r="AA137" s="2205"/>
      <c r="AK137" s="906"/>
      <c r="AL137" s="23"/>
      <c r="AM137" s="23"/>
      <c r="AN137" s="23"/>
      <c r="AO137" s="23"/>
      <c r="AP137" s="23"/>
      <c r="AQ137" s="23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</row>
    <row r="138" spans="1:69" s="377" customFormat="1" ht="17.25" customHeight="1">
      <c r="A138" s="560">
        <v>12</v>
      </c>
      <c r="B138" s="1018" t="s">
        <v>519</v>
      </c>
      <c r="C138" s="647" t="s">
        <v>99</v>
      </c>
      <c r="D138" s="663" t="s">
        <v>25</v>
      </c>
      <c r="E138" s="664" t="s">
        <v>912</v>
      </c>
      <c r="F138" s="664" t="s">
        <v>34</v>
      </c>
      <c r="G138" s="177">
        <v>1</v>
      </c>
      <c r="H138" s="177" t="s">
        <v>102</v>
      </c>
      <c r="I138" s="177" t="s">
        <v>103</v>
      </c>
      <c r="J138" s="178">
        <v>1</v>
      </c>
      <c r="K138" s="554">
        <v>17697</v>
      </c>
      <c r="L138" s="665">
        <v>17</v>
      </c>
      <c r="M138" s="567">
        <f t="shared" si="45"/>
        <v>0.94444444444444442</v>
      </c>
      <c r="N138" s="698" t="s">
        <v>152</v>
      </c>
      <c r="O138" s="1612">
        <v>4.75</v>
      </c>
      <c r="P138" s="567">
        <f t="shared" si="46"/>
        <v>79390.708333333343</v>
      </c>
      <c r="Q138" s="697">
        <f t="shared" si="47"/>
        <v>39695.354166666672</v>
      </c>
      <c r="R138" s="666">
        <v>0.25</v>
      </c>
      <c r="S138" s="554">
        <f t="shared" si="48"/>
        <v>29771.515625000004</v>
      </c>
      <c r="T138" s="554">
        <v>0.1</v>
      </c>
      <c r="U138" s="567">
        <f t="shared" si="49"/>
        <v>14885.757812500004</v>
      </c>
      <c r="V138" s="19"/>
      <c r="W138" s="554"/>
      <c r="X138" s="570">
        <f t="shared" si="50"/>
        <v>163743.33593750003</v>
      </c>
      <c r="Y138" s="1175"/>
      <c r="Z138" s="1175"/>
      <c r="AA138" s="375"/>
      <c r="AK138" s="906"/>
      <c r="AL138" s="23"/>
      <c r="AM138" s="23"/>
      <c r="AN138" s="23"/>
      <c r="AO138" s="23"/>
      <c r="AP138" s="23"/>
      <c r="AQ138" s="23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</row>
    <row r="139" spans="1:69" s="2206" customFormat="1" ht="15.75">
      <c r="A139" s="560">
        <v>13</v>
      </c>
      <c r="B139" s="1606" t="s">
        <v>706</v>
      </c>
      <c r="C139" s="647" t="s">
        <v>99</v>
      </c>
      <c r="D139" s="693" t="s">
        <v>75</v>
      </c>
      <c r="E139" s="694" t="s">
        <v>601</v>
      </c>
      <c r="F139" s="694" t="s">
        <v>159</v>
      </c>
      <c r="G139" s="177">
        <v>1</v>
      </c>
      <c r="H139" s="1002" t="s">
        <v>102</v>
      </c>
      <c r="I139" s="563" t="s">
        <v>118</v>
      </c>
      <c r="J139" s="1603">
        <v>3</v>
      </c>
      <c r="K139" s="554">
        <v>17697</v>
      </c>
      <c r="L139" s="1607">
        <v>8</v>
      </c>
      <c r="M139" s="567">
        <f t="shared" si="45"/>
        <v>0.44444444444444442</v>
      </c>
      <c r="N139" s="698" t="s">
        <v>112</v>
      </c>
      <c r="O139" s="1612">
        <v>3.67</v>
      </c>
      <c r="P139" s="567">
        <f t="shared" si="46"/>
        <v>28865.773333333331</v>
      </c>
      <c r="Q139" s="697">
        <f t="shared" si="47"/>
        <v>14432.886666666665</v>
      </c>
      <c r="R139" s="666">
        <v>0.25</v>
      </c>
      <c r="S139" s="554">
        <f t="shared" si="48"/>
        <v>10824.664999999999</v>
      </c>
      <c r="T139" s="554">
        <v>0.1</v>
      </c>
      <c r="U139" s="567">
        <f t="shared" si="49"/>
        <v>5412.3325000000004</v>
      </c>
      <c r="V139" s="1541">
        <v>0.3</v>
      </c>
      <c r="W139" s="552">
        <f>(P139+Q139+S139)*30%</f>
        <v>16236.997499999998</v>
      </c>
      <c r="X139" s="570">
        <f t="shared" si="50"/>
        <v>75772.654999999999</v>
      </c>
      <c r="Y139" s="2210"/>
      <c r="Z139" s="2210"/>
      <c r="AA139" s="2205">
        <f>X138*12</f>
        <v>1964920.0312500005</v>
      </c>
      <c r="AB139" s="2206">
        <f>AA139/12/29.33*56</f>
        <v>312636.44093078765</v>
      </c>
      <c r="AC139" s="2206">
        <f>AA139*1.25</f>
        <v>2456150.0390625005</v>
      </c>
      <c r="AD139" s="2206">
        <f>AC139/12/29.33*56</f>
        <v>390795.55116348458</v>
      </c>
      <c r="AK139" s="906"/>
      <c r="AL139" s="23"/>
      <c r="AM139" s="23"/>
      <c r="AN139" s="23"/>
      <c r="AO139" s="23"/>
      <c r="AP139" s="23"/>
      <c r="AQ139" s="23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</row>
    <row r="140" spans="1:69" s="986" customFormat="1" ht="17.25" customHeight="1">
      <c r="A140" s="560">
        <v>14</v>
      </c>
      <c r="B140" s="1606" t="s">
        <v>938</v>
      </c>
      <c r="C140" s="692" t="s">
        <v>99</v>
      </c>
      <c r="D140" s="693" t="s">
        <v>75</v>
      </c>
      <c r="E140" s="694" t="s">
        <v>940</v>
      </c>
      <c r="F140" s="694" t="s">
        <v>602</v>
      </c>
      <c r="G140" s="695">
        <v>1</v>
      </c>
      <c r="H140" s="1002" t="s">
        <v>102</v>
      </c>
      <c r="I140" s="563" t="s">
        <v>118</v>
      </c>
      <c r="J140" s="1603">
        <v>4</v>
      </c>
      <c r="K140" s="554">
        <v>17697</v>
      </c>
      <c r="L140" s="1607">
        <v>9</v>
      </c>
      <c r="M140" s="567">
        <f t="shared" si="45"/>
        <v>0.5</v>
      </c>
      <c r="N140" s="698" t="s">
        <v>112</v>
      </c>
      <c r="O140" s="1612">
        <v>3.36</v>
      </c>
      <c r="P140" s="567">
        <f t="shared" si="46"/>
        <v>29730.959999999999</v>
      </c>
      <c r="Q140" s="697">
        <f t="shared" si="47"/>
        <v>14865.48</v>
      </c>
      <c r="R140" s="1752">
        <v>0.25</v>
      </c>
      <c r="S140" s="554">
        <f t="shared" si="48"/>
        <v>11149.11</v>
      </c>
      <c r="T140" s="700">
        <v>0.1</v>
      </c>
      <c r="U140" s="567">
        <f t="shared" si="49"/>
        <v>5574.5550000000003</v>
      </c>
      <c r="V140" s="1541"/>
      <c r="W140" s="552"/>
      <c r="X140" s="570">
        <f t="shared" si="50"/>
        <v>61320.105000000003</v>
      </c>
      <c r="Y140" s="988"/>
      <c r="Z140" s="988"/>
      <c r="AA140" s="81"/>
      <c r="AB140" s="80"/>
      <c r="AC140" s="80"/>
      <c r="AD140" s="80"/>
      <c r="AK140" s="906"/>
      <c r="AL140" s="23"/>
      <c r="AM140" s="23"/>
      <c r="AN140" s="23"/>
      <c r="AO140" s="23"/>
      <c r="AP140" s="23"/>
      <c r="AQ140" s="23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</row>
    <row r="141" spans="1:69" s="986" customFormat="1" ht="17.25" customHeight="1">
      <c r="A141" s="560">
        <v>15</v>
      </c>
      <c r="B141" s="662" t="s">
        <v>524</v>
      </c>
      <c r="C141" s="647" t="s">
        <v>99</v>
      </c>
      <c r="D141" s="663" t="s">
        <v>25</v>
      </c>
      <c r="E141" s="664" t="s">
        <v>913</v>
      </c>
      <c r="F141" s="664" t="s">
        <v>366</v>
      </c>
      <c r="G141" s="177">
        <v>1</v>
      </c>
      <c r="H141" s="177" t="s">
        <v>102</v>
      </c>
      <c r="I141" s="177" t="s">
        <v>103</v>
      </c>
      <c r="J141" s="178">
        <v>1</v>
      </c>
      <c r="K141" s="554">
        <v>17697</v>
      </c>
      <c r="L141" s="665">
        <v>17</v>
      </c>
      <c r="M141" s="567">
        <f t="shared" si="45"/>
        <v>0.94444444444444442</v>
      </c>
      <c r="N141" s="997" t="s">
        <v>152</v>
      </c>
      <c r="O141" s="1608">
        <v>4.6900000000000004</v>
      </c>
      <c r="P141" s="567">
        <f t="shared" si="46"/>
        <v>78387.878333333341</v>
      </c>
      <c r="Q141" s="697">
        <f t="shared" si="47"/>
        <v>39193.939166666671</v>
      </c>
      <c r="R141" s="666">
        <v>0.25</v>
      </c>
      <c r="S141" s="554">
        <f t="shared" si="48"/>
        <v>29395.454375000001</v>
      </c>
      <c r="T141" s="554">
        <v>0.1</v>
      </c>
      <c r="U141" s="567">
        <f t="shared" si="49"/>
        <v>14697.727187500001</v>
      </c>
      <c r="V141" s="19"/>
      <c r="W141" s="554"/>
      <c r="X141" s="570">
        <f t="shared" si="50"/>
        <v>161674.99906250002</v>
      </c>
      <c r="Y141" s="988"/>
      <c r="Z141" s="988"/>
      <c r="AA141" s="81"/>
      <c r="AB141" s="80"/>
      <c r="AC141" s="80"/>
      <c r="AD141" s="80"/>
      <c r="AK141" s="906"/>
      <c r="AL141" s="23"/>
      <c r="AM141" s="23"/>
      <c r="AN141" s="23"/>
      <c r="AO141" s="23"/>
      <c r="AP141" s="23"/>
      <c r="AQ141" s="23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</row>
    <row r="142" spans="1:69" s="986" customFormat="1" ht="17.25" customHeight="1">
      <c r="A142" s="560">
        <v>16</v>
      </c>
      <c r="B142" s="1613" t="s">
        <v>329</v>
      </c>
      <c r="C142" s="647" t="s">
        <v>99</v>
      </c>
      <c r="D142" s="693" t="s">
        <v>75</v>
      </c>
      <c r="E142" s="694" t="s">
        <v>244</v>
      </c>
      <c r="F142" s="694" t="s">
        <v>239</v>
      </c>
      <c r="G142" s="177">
        <v>1</v>
      </c>
      <c r="H142" s="563" t="s">
        <v>102</v>
      </c>
      <c r="I142" s="563" t="s">
        <v>118</v>
      </c>
      <c r="J142" s="564">
        <v>3</v>
      </c>
      <c r="K142" s="554">
        <v>17697</v>
      </c>
      <c r="L142" s="696">
        <v>18</v>
      </c>
      <c r="M142" s="567">
        <f t="shared" si="45"/>
        <v>1</v>
      </c>
      <c r="N142" s="698" t="s">
        <v>109</v>
      </c>
      <c r="O142" s="1612">
        <v>4.03</v>
      </c>
      <c r="P142" s="567">
        <f t="shared" si="46"/>
        <v>71318.91</v>
      </c>
      <c r="Q142" s="697">
        <f t="shared" si="47"/>
        <v>35659.455000000002</v>
      </c>
      <c r="R142" s="666">
        <v>0.25</v>
      </c>
      <c r="S142" s="554">
        <f t="shared" si="48"/>
        <v>26744.591250000001</v>
      </c>
      <c r="T142" s="554">
        <v>0.1</v>
      </c>
      <c r="U142" s="567">
        <f t="shared" si="49"/>
        <v>13372.295625000002</v>
      </c>
      <c r="V142" s="1541"/>
      <c r="W142" s="700"/>
      <c r="X142" s="570">
        <f t="shared" si="50"/>
        <v>147095.25187500002</v>
      </c>
      <c r="Y142" s="985">
        <f>V141+T141+R141</f>
        <v>0.35</v>
      </c>
      <c r="Z142" s="985">
        <f>W141+U141+S141</f>
        <v>44093.181562500002</v>
      </c>
      <c r="AA142" s="81">
        <f>X141*12</f>
        <v>1940099.9887500003</v>
      </c>
      <c r="AB142" s="80">
        <f>AA142/12/29.33*56</f>
        <v>308687.34904534614</v>
      </c>
      <c r="AC142" s="80">
        <f>AA142*1.25</f>
        <v>2425124.9859375004</v>
      </c>
      <c r="AD142" s="80">
        <f>AC142/12/29.33*56</f>
        <v>385859.18630668265</v>
      </c>
      <c r="AK142" s="906"/>
      <c r="AL142" s="23"/>
      <c r="AM142" s="23"/>
      <c r="AN142" s="23"/>
      <c r="AO142" s="23"/>
      <c r="AP142" s="23"/>
      <c r="AQ142" s="23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</row>
    <row r="143" spans="1:69" s="377" customFormat="1" ht="15.75">
      <c r="A143" s="1896"/>
      <c r="B143" s="1930" t="s">
        <v>798</v>
      </c>
      <c r="C143" s="1897"/>
      <c r="D143" s="1898"/>
      <c r="E143" s="1898"/>
      <c r="F143" s="1897"/>
      <c r="G143" s="1899"/>
      <c r="H143" s="1899"/>
      <c r="I143" s="1899"/>
      <c r="J143" s="1900"/>
      <c r="K143" s="1901"/>
      <c r="L143" s="1902">
        <f>SUM(L127:L142)</f>
        <v>246</v>
      </c>
      <c r="M143" s="1903"/>
      <c r="N143" s="1904"/>
      <c r="O143" s="1898"/>
      <c r="P143" s="1903"/>
      <c r="Q143" s="1905"/>
      <c r="R143" s="1906"/>
      <c r="S143" s="1901"/>
      <c r="T143" s="1901"/>
      <c r="U143" s="1903"/>
      <c r="V143" s="1907"/>
      <c r="W143" s="1901"/>
      <c r="X143" s="1908"/>
      <c r="Y143" s="1175"/>
      <c r="Z143" s="1175"/>
      <c r="AA143" s="375"/>
      <c r="AK143" s="906"/>
      <c r="AL143" s="23"/>
      <c r="AM143" s="23"/>
      <c r="AN143" s="23"/>
      <c r="AO143" s="23"/>
      <c r="AP143" s="23"/>
      <c r="AQ143" s="23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</row>
    <row r="144" spans="1:69" s="1971" customFormat="1" ht="17.25" customHeight="1">
      <c r="A144" s="703">
        <v>130</v>
      </c>
      <c r="B144" s="548" t="s">
        <v>917</v>
      </c>
      <c r="C144" s="647" t="s">
        <v>338</v>
      </c>
      <c r="D144" s="547" t="s">
        <v>64</v>
      </c>
      <c r="E144" s="704"/>
      <c r="F144" s="705"/>
      <c r="G144" s="1019">
        <v>1.5</v>
      </c>
      <c r="H144" s="577"/>
      <c r="I144" s="707"/>
      <c r="J144" s="577">
        <v>5</v>
      </c>
      <c r="K144" s="552">
        <v>17697</v>
      </c>
      <c r="L144" s="552"/>
      <c r="M144" s="556">
        <v>1.5</v>
      </c>
      <c r="N144" s="552"/>
      <c r="O144" s="552">
        <v>2.92</v>
      </c>
      <c r="P144" s="567">
        <f>K144*O144*M144</f>
        <v>77512.86</v>
      </c>
      <c r="Q144" s="556"/>
      <c r="R144" s="552">
        <f>K144*P145*N144</f>
        <v>0</v>
      </c>
      <c r="S144" s="557"/>
      <c r="T144" s="708">
        <v>0.1</v>
      </c>
      <c r="U144" s="552">
        <f t="shared" ref="U144:U169" si="59">T144*P144</f>
        <v>7751.2860000000001</v>
      </c>
      <c r="V144" s="552"/>
      <c r="W144" s="558"/>
      <c r="X144" s="559">
        <f>P144+U144+W144</f>
        <v>85264.146000000008</v>
      </c>
      <c r="Y144" s="141"/>
      <c r="Z144" s="141"/>
      <c r="AA144" s="1970" t="e">
        <f>SUM(AA27:AA143)</f>
        <v>#REF!</v>
      </c>
      <c r="AC144" s="1971" t="e">
        <f>SUM(AC27:AC143)</f>
        <v>#REF!</v>
      </c>
      <c r="AD144" s="1971" t="e">
        <f>SUM(AD27:AD143)</f>
        <v>#REF!</v>
      </c>
      <c r="AK144" s="906"/>
      <c r="AL144" s="23"/>
      <c r="AM144" s="23"/>
      <c r="AN144" s="23"/>
      <c r="AO144" s="23"/>
      <c r="AP144" s="23"/>
      <c r="AQ144" s="23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</row>
    <row r="145" spans="1:56" s="2095" customFormat="1" ht="18" customHeight="1">
      <c r="A145" s="709">
        <v>131</v>
      </c>
      <c r="B145" s="153" t="s">
        <v>332</v>
      </c>
      <c r="C145" s="647" t="s">
        <v>338</v>
      </c>
      <c r="D145" s="560" t="s">
        <v>64</v>
      </c>
      <c r="E145" s="710"/>
      <c r="F145" s="711"/>
      <c r="G145" s="717">
        <v>0.5</v>
      </c>
      <c r="H145" s="563"/>
      <c r="I145" s="689"/>
      <c r="J145" s="563">
        <v>2</v>
      </c>
      <c r="K145" s="554">
        <v>17697</v>
      </c>
      <c r="L145" s="554"/>
      <c r="M145" s="552">
        <v>0.5</v>
      </c>
      <c r="N145" s="554"/>
      <c r="O145" s="552">
        <v>2.81</v>
      </c>
      <c r="P145" s="567">
        <f t="shared" ref="P145:P156" si="60">K145*O145*M145</f>
        <v>24864.285</v>
      </c>
      <c r="Q145" s="556"/>
      <c r="R145" s="552">
        <f>K145*P146*N145</f>
        <v>0</v>
      </c>
      <c r="S145" s="568"/>
      <c r="T145" s="708">
        <v>0.1</v>
      </c>
      <c r="U145" s="552">
        <f t="shared" si="59"/>
        <v>2486.4285</v>
      </c>
      <c r="V145" s="554"/>
      <c r="W145" s="554"/>
      <c r="X145" s="559">
        <f t="shared" ref="X145:X169" si="61">P145+U145+W145</f>
        <v>27350.713499999998</v>
      </c>
      <c r="Y145" s="1969">
        <f t="shared" ref="Y145:Y170" si="62">R144+V144+X144</f>
        <v>85264.146000000008</v>
      </c>
      <c r="Z145" s="1969">
        <f t="shared" ref="Z145:Z170" si="63">S144+W144+Y145</f>
        <v>85264.146000000008</v>
      </c>
      <c r="AA145" s="1970">
        <f t="shared" ref="AA145:AA170" si="64">X144*12</f>
        <v>1023169.7520000001</v>
      </c>
      <c r="AB145" s="2094">
        <f>AA145/12/29.33*24</f>
        <v>69769.502352540076</v>
      </c>
      <c r="AC145" s="2094"/>
      <c r="AD145" s="2094"/>
      <c r="AE145" s="2094"/>
      <c r="AF145" s="2094"/>
      <c r="AG145" s="2094"/>
      <c r="AH145" s="2094"/>
      <c r="AI145" s="2094"/>
      <c r="AJ145" s="2094"/>
      <c r="AK145" s="914"/>
      <c r="AL145" s="914"/>
      <c r="AM145" s="914"/>
      <c r="AN145" s="914"/>
      <c r="AO145" s="914"/>
      <c r="AP145" s="914"/>
      <c r="AQ145" s="914"/>
      <c r="AR145" s="915"/>
      <c r="AS145" s="915"/>
      <c r="AT145" s="915"/>
      <c r="AU145" s="915"/>
      <c r="AV145" s="915"/>
      <c r="AW145" s="915"/>
      <c r="AX145" s="915"/>
      <c r="AY145" s="915"/>
      <c r="AZ145" s="915"/>
      <c r="BA145" s="915"/>
      <c r="BB145" s="915"/>
      <c r="BC145" s="915"/>
      <c r="BD145" s="915"/>
    </row>
    <row r="146" spans="1:56" s="2095" customFormat="1" ht="15.75" customHeight="1">
      <c r="A146" s="703">
        <v>132</v>
      </c>
      <c r="B146" s="153" t="s">
        <v>735</v>
      </c>
      <c r="C146" s="647" t="s">
        <v>338</v>
      </c>
      <c r="D146" s="560" t="s">
        <v>64</v>
      </c>
      <c r="E146" s="710"/>
      <c r="F146" s="560"/>
      <c r="G146" s="717">
        <v>0.5</v>
      </c>
      <c r="H146" s="563"/>
      <c r="I146" s="689"/>
      <c r="J146" s="563">
        <v>2</v>
      </c>
      <c r="K146" s="554">
        <v>17697</v>
      </c>
      <c r="L146" s="554"/>
      <c r="M146" s="554">
        <v>0.5</v>
      </c>
      <c r="N146" s="554"/>
      <c r="O146" s="554">
        <v>2.81</v>
      </c>
      <c r="P146" s="567">
        <f t="shared" si="60"/>
        <v>24864.285</v>
      </c>
      <c r="Q146" s="556"/>
      <c r="R146" s="552">
        <f>K146*P147*N146</f>
        <v>0</v>
      </c>
      <c r="S146" s="554"/>
      <c r="T146" s="708">
        <v>0.1</v>
      </c>
      <c r="U146" s="552">
        <f t="shared" si="59"/>
        <v>2486.4285</v>
      </c>
      <c r="V146" s="554"/>
      <c r="W146" s="554"/>
      <c r="X146" s="559">
        <f t="shared" si="61"/>
        <v>27350.713499999998</v>
      </c>
      <c r="Y146" s="1969">
        <f t="shared" si="62"/>
        <v>27350.713499999998</v>
      </c>
      <c r="Z146" s="1969">
        <f t="shared" si="63"/>
        <v>27350.713499999998</v>
      </c>
      <c r="AA146" s="1970">
        <f t="shared" si="64"/>
        <v>328208.56199999998</v>
      </c>
      <c r="AB146" s="2094">
        <f t="shared" ref="AB146:AB170" si="65">AA146/12/29.33*24</f>
        <v>22380.399727241733</v>
      </c>
      <c r="AC146" s="2094"/>
      <c r="AD146" s="2094"/>
      <c r="AE146" s="2094"/>
      <c r="AF146" s="2094"/>
      <c r="AG146" s="2094"/>
      <c r="AH146" s="2094"/>
      <c r="AI146" s="2094"/>
      <c r="AJ146" s="2094"/>
      <c r="AK146" s="1787"/>
      <c r="AL146" s="914"/>
      <c r="AM146" s="914"/>
      <c r="AN146" s="914"/>
      <c r="AO146" s="914"/>
      <c r="AP146" s="914"/>
      <c r="AQ146" s="914"/>
      <c r="AR146" s="915"/>
      <c r="AS146" s="915"/>
      <c r="AT146" s="915"/>
      <c r="AU146" s="915"/>
      <c r="AV146" s="915"/>
      <c r="AW146" s="915"/>
      <c r="AX146" s="915"/>
      <c r="AY146" s="915"/>
      <c r="AZ146" s="915"/>
      <c r="BA146" s="915"/>
      <c r="BB146" s="915"/>
      <c r="BC146" s="915"/>
      <c r="BD146" s="915"/>
    </row>
    <row r="147" spans="1:56" s="1971" customFormat="1" ht="15.75">
      <c r="A147" s="709">
        <v>133</v>
      </c>
      <c r="B147" s="153" t="s">
        <v>335</v>
      </c>
      <c r="C147" s="561" t="s">
        <v>336</v>
      </c>
      <c r="D147" s="560" t="s">
        <v>64</v>
      </c>
      <c r="E147" s="710"/>
      <c r="F147" s="560"/>
      <c r="G147" s="717">
        <v>1.5</v>
      </c>
      <c r="H147" s="563"/>
      <c r="I147" s="689"/>
      <c r="J147" s="563">
        <v>4</v>
      </c>
      <c r="K147" s="554">
        <v>17697</v>
      </c>
      <c r="L147" s="554"/>
      <c r="M147" s="554">
        <v>1.5</v>
      </c>
      <c r="N147" s="554"/>
      <c r="O147" s="554">
        <v>2.89</v>
      </c>
      <c r="P147" s="567">
        <f t="shared" si="60"/>
        <v>76716.494999999995</v>
      </c>
      <c r="Q147" s="556"/>
      <c r="R147" s="552">
        <f>K147*P148*N147</f>
        <v>0</v>
      </c>
      <c r="S147" s="554"/>
      <c r="T147" s="708">
        <v>0.1</v>
      </c>
      <c r="U147" s="552">
        <f t="shared" si="59"/>
        <v>7671.6494999999995</v>
      </c>
      <c r="V147" s="554"/>
      <c r="W147" s="554"/>
      <c r="X147" s="559">
        <f t="shared" si="61"/>
        <v>84388.144499999995</v>
      </c>
      <c r="Y147" s="1969">
        <f t="shared" si="62"/>
        <v>27350.713499999998</v>
      </c>
      <c r="Z147" s="1969">
        <f t="shared" si="63"/>
        <v>27350.713499999998</v>
      </c>
      <c r="AA147" s="1970">
        <f t="shared" si="64"/>
        <v>328208.56199999998</v>
      </c>
      <c r="AB147" s="2094">
        <f t="shared" si="65"/>
        <v>22380.399727241733</v>
      </c>
      <c r="AK147" s="906"/>
      <c r="AL147" s="23"/>
      <c r="AM147" s="23"/>
      <c r="AN147" s="23"/>
      <c r="AO147" s="23"/>
      <c r="AP147" s="23"/>
      <c r="AQ147" s="23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</row>
    <row r="148" spans="1:56" s="1971" customFormat="1" ht="19.5" customHeight="1">
      <c r="A148" s="703">
        <v>134</v>
      </c>
      <c r="B148" s="646" t="s">
        <v>337</v>
      </c>
      <c r="C148" s="647" t="s">
        <v>338</v>
      </c>
      <c r="D148" s="628" t="s">
        <v>64</v>
      </c>
      <c r="E148" s="713"/>
      <c r="F148" s="628"/>
      <c r="G148" s="628">
        <v>0.5</v>
      </c>
      <c r="H148" s="714"/>
      <c r="I148" s="715"/>
      <c r="J148" s="628">
        <v>2</v>
      </c>
      <c r="K148" s="715">
        <v>17697</v>
      </c>
      <c r="L148" s="715"/>
      <c r="M148" s="554">
        <v>0.5</v>
      </c>
      <c r="N148" s="554"/>
      <c r="O148" s="552">
        <v>2.81</v>
      </c>
      <c r="P148" s="567">
        <f t="shared" si="60"/>
        <v>24864.285</v>
      </c>
      <c r="Q148" s="556"/>
      <c r="R148" s="552">
        <f>K148*P149*N148</f>
        <v>0</v>
      </c>
      <c r="S148" s="554"/>
      <c r="T148" s="708">
        <v>0.1</v>
      </c>
      <c r="U148" s="552">
        <f t="shared" si="59"/>
        <v>2486.4285</v>
      </c>
      <c r="V148" s="554"/>
      <c r="W148" s="554"/>
      <c r="X148" s="559">
        <f t="shared" si="61"/>
        <v>27350.713499999998</v>
      </c>
      <c r="Y148" s="1969">
        <f t="shared" si="62"/>
        <v>84388.144499999995</v>
      </c>
      <c r="Z148" s="1969">
        <f t="shared" si="63"/>
        <v>84388.144499999995</v>
      </c>
      <c r="AA148" s="1970">
        <f t="shared" si="64"/>
        <v>1012657.7339999999</v>
      </c>
      <c r="AB148" s="2094">
        <f t="shared" si="65"/>
        <v>69052.692396863276</v>
      </c>
      <c r="AK148" s="906"/>
      <c r="AL148" s="906"/>
      <c r="AM148" s="906"/>
      <c r="AN148" s="23"/>
      <c r="AO148" s="23"/>
      <c r="AP148" s="23"/>
      <c r="AQ148" s="23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</row>
    <row r="149" spans="1:56" s="2099" customFormat="1" ht="15.75">
      <c r="A149" s="709">
        <v>135</v>
      </c>
      <c r="B149" s="646" t="s">
        <v>382</v>
      </c>
      <c r="C149" s="647" t="s">
        <v>338</v>
      </c>
      <c r="D149" s="560" t="s">
        <v>64</v>
      </c>
      <c r="E149" s="713"/>
      <c r="F149" s="646"/>
      <c r="G149" s="628">
        <v>0.5</v>
      </c>
      <c r="H149" s="714"/>
      <c r="I149" s="715"/>
      <c r="J149" s="628">
        <v>2</v>
      </c>
      <c r="K149" s="715">
        <v>17697</v>
      </c>
      <c r="L149" s="715"/>
      <c r="M149" s="554">
        <v>0.5</v>
      </c>
      <c r="N149" s="554"/>
      <c r="O149" s="552">
        <v>2.81</v>
      </c>
      <c r="P149" s="567">
        <f t="shared" si="60"/>
        <v>24864.285</v>
      </c>
      <c r="Q149" s="556"/>
      <c r="R149" s="552">
        <f>K149*P151*N149</f>
        <v>0</v>
      </c>
      <c r="S149" s="554"/>
      <c r="T149" s="708">
        <v>0.1</v>
      </c>
      <c r="U149" s="552">
        <f t="shared" si="59"/>
        <v>2486.4285</v>
      </c>
      <c r="V149" s="554"/>
      <c r="W149" s="554"/>
      <c r="X149" s="559">
        <f t="shared" si="61"/>
        <v>27350.713499999998</v>
      </c>
      <c r="Y149" s="1969">
        <f t="shared" si="62"/>
        <v>27350.713499999998</v>
      </c>
      <c r="Z149" s="1969">
        <f t="shared" si="63"/>
        <v>27350.713499999998</v>
      </c>
      <c r="AA149" s="1970">
        <f t="shared" si="64"/>
        <v>328208.56199999998</v>
      </c>
      <c r="AB149" s="2094">
        <f t="shared" si="65"/>
        <v>22380.399727241733</v>
      </c>
      <c r="AK149" s="1778"/>
      <c r="AL149" s="1778"/>
      <c r="AM149" s="1778"/>
      <c r="AN149" s="1778"/>
      <c r="AO149" s="1778"/>
      <c r="AP149" s="1778"/>
      <c r="AQ149" s="1778"/>
      <c r="AR149" s="908"/>
      <c r="AS149" s="908"/>
      <c r="AT149" s="908"/>
      <c r="AU149" s="908"/>
      <c r="AV149" s="908"/>
      <c r="AW149" s="908"/>
      <c r="AX149" s="908"/>
      <c r="AY149" s="908"/>
      <c r="AZ149" s="908"/>
      <c r="BA149" s="908"/>
      <c r="BB149" s="908"/>
      <c r="BC149" s="908"/>
      <c r="BD149" s="908"/>
    </row>
    <row r="150" spans="1:56" s="2099" customFormat="1" ht="15.75">
      <c r="A150" s="703">
        <v>136</v>
      </c>
      <c r="B150" s="646" t="s">
        <v>383</v>
      </c>
      <c r="C150" s="647" t="s">
        <v>338</v>
      </c>
      <c r="D150" s="560" t="s">
        <v>75</v>
      </c>
      <c r="E150" s="713"/>
      <c r="F150" s="716"/>
      <c r="G150" s="628">
        <v>1</v>
      </c>
      <c r="H150" s="714"/>
      <c r="I150" s="715"/>
      <c r="J150" s="628">
        <v>2</v>
      </c>
      <c r="K150" s="715">
        <v>17697</v>
      </c>
      <c r="L150" s="715"/>
      <c r="M150" s="554">
        <v>1</v>
      </c>
      <c r="N150" s="554"/>
      <c r="O150" s="552">
        <v>2.81</v>
      </c>
      <c r="P150" s="567">
        <f t="shared" si="60"/>
        <v>49728.57</v>
      </c>
      <c r="Q150" s="556"/>
      <c r="R150" s="552">
        <f>K150*P152*N150</f>
        <v>0</v>
      </c>
      <c r="S150" s="554"/>
      <c r="T150" s="708">
        <v>0.1</v>
      </c>
      <c r="U150" s="552">
        <f t="shared" si="59"/>
        <v>4972.857</v>
      </c>
      <c r="V150" s="554"/>
      <c r="W150" s="554"/>
      <c r="X150" s="559">
        <f t="shared" si="61"/>
        <v>54701.426999999996</v>
      </c>
      <c r="Y150" s="1969">
        <f t="shared" si="62"/>
        <v>27350.713499999998</v>
      </c>
      <c r="Z150" s="1969">
        <f t="shared" si="63"/>
        <v>27350.713499999998</v>
      </c>
      <c r="AA150" s="1970">
        <f t="shared" si="64"/>
        <v>328208.56199999998</v>
      </c>
      <c r="AB150" s="2094">
        <f t="shared" si="65"/>
        <v>22380.399727241733</v>
      </c>
      <c r="AK150" s="1778"/>
      <c r="AL150" s="1778"/>
      <c r="AM150" s="1778"/>
      <c r="AN150" s="1778"/>
      <c r="AO150" s="1778"/>
      <c r="AP150" s="1778"/>
      <c r="AQ150" s="1778"/>
      <c r="AR150" s="908"/>
      <c r="AS150" s="908"/>
      <c r="AT150" s="908"/>
      <c r="AU150" s="908"/>
      <c r="AV150" s="908"/>
      <c r="AW150" s="908"/>
      <c r="AX150" s="908"/>
      <c r="AY150" s="908"/>
      <c r="AZ150" s="908"/>
      <c r="BA150" s="908"/>
      <c r="BB150" s="908"/>
      <c r="BC150" s="908"/>
      <c r="BD150" s="908"/>
    </row>
    <row r="151" spans="1:56" s="2099" customFormat="1" ht="15.75">
      <c r="A151" s="709">
        <v>137</v>
      </c>
      <c r="B151" s="153" t="s">
        <v>339</v>
      </c>
      <c r="C151" s="647" t="s">
        <v>340</v>
      </c>
      <c r="D151" s="560" t="s">
        <v>64</v>
      </c>
      <c r="E151" s="563"/>
      <c r="F151" s="711"/>
      <c r="G151" s="712">
        <v>1</v>
      </c>
      <c r="H151" s="563"/>
      <c r="I151" s="689"/>
      <c r="J151" s="563">
        <v>2</v>
      </c>
      <c r="K151" s="554">
        <v>17697</v>
      </c>
      <c r="L151" s="554"/>
      <c r="M151" s="554">
        <v>1</v>
      </c>
      <c r="N151" s="554"/>
      <c r="O151" s="552">
        <v>2.81</v>
      </c>
      <c r="P151" s="567">
        <f>K151*O151*M151</f>
        <v>49728.57</v>
      </c>
      <c r="Q151" s="556"/>
      <c r="R151" s="552">
        <f t="shared" ref="R151:R169" si="66">K151*P152*N151</f>
        <v>0</v>
      </c>
      <c r="S151" s="568"/>
      <c r="T151" s="708">
        <v>0.1</v>
      </c>
      <c r="U151" s="552">
        <f t="shared" si="59"/>
        <v>4972.857</v>
      </c>
      <c r="V151" s="569">
        <v>0.3</v>
      </c>
      <c r="W151" s="554">
        <f>V151*K151</f>
        <v>5309.0999999999995</v>
      </c>
      <c r="X151" s="559">
        <f t="shared" si="61"/>
        <v>60010.526999999995</v>
      </c>
      <c r="Y151" s="1969">
        <f t="shared" si="62"/>
        <v>54701.426999999996</v>
      </c>
      <c r="Z151" s="1969">
        <f t="shared" si="63"/>
        <v>54701.426999999996</v>
      </c>
      <c r="AA151" s="1970">
        <f t="shared" si="64"/>
        <v>656417.12399999995</v>
      </c>
      <c r="AB151" s="2094">
        <f t="shared" si="65"/>
        <v>44760.799454483466</v>
      </c>
      <c r="AK151" s="1778"/>
      <c r="AL151" s="1778"/>
      <c r="AM151" s="1778"/>
      <c r="AN151" s="1778"/>
      <c r="AO151" s="1778"/>
      <c r="AP151" s="1778"/>
      <c r="AQ151" s="1778"/>
      <c r="AR151" s="908"/>
      <c r="AS151" s="908"/>
      <c r="AT151" s="908"/>
      <c r="AU151" s="908"/>
      <c r="AV151" s="908"/>
      <c r="AW151" s="908"/>
      <c r="AX151" s="908"/>
      <c r="AY151" s="908"/>
      <c r="AZ151" s="908"/>
      <c r="BA151" s="908"/>
      <c r="BB151" s="908"/>
      <c r="BC151" s="908"/>
      <c r="BD151" s="908"/>
    </row>
    <row r="152" spans="1:56" s="2095" customFormat="1" ht="15.75">
      <c r="A152" s="703">
        <v>138</v>
      </c>
      <c r="B152" s="153" t="s">
        <v>341</v>
      </c>
      <c r="C152" s="647" t="s">
        <v>340</v>
      </c>
      <c r="D152" s="560" t="s">
        <v>64</v>
      </c>
      <c r="E152" s="563"/>
      <c r="F152" s="711"/>
      <c r="G152" s="712">
        <v>1</v>
      </c>
      <c r="H152" s="563"/>
      <c r="I152" s="689"/>
      <c r="J152" s="563">
        <v>2</v>
      </c>
      <c r="K152" s="554">
        <v>17697</v>
      </c>
      <c r="L152" s="554"/>
      <c r="M152" s="554">
        <v>1</v>
      </c>
      <c r="N152" s="554"/>
      <c r="O152" s="552">
        <v>2.81</v>
      </c>
      <c r="P152" s="567">
        <f t="shared" si="60"/>
        <v>49728.57</v>
      </c>
      <c r="Q152" s="556"/>
      <c r="R152" s="552">
        <f t="shared" si="66"/>
        <v>0</v>
      </c>
      <c r="S152" s="568"/>
      <c r="T152" s="708">
        <v>0.1</v>
      </c>
      <c r="U152" s="552">
        <f t="shared" si="59"/>
        <v>4972.857</v>
      </c>
      <c r="V152" s="569">
        <v>0.3</v>
      </c>
      <c r="W152" s="554">
        <f>V152*K152</f>
        <v>5309.0999999999995</v>
      </c>
      <c r="X152" s="559">
        <f t="shared" si="61"/>
        <v>60010.526999999995</v>
      </c>
      <c r="Y152" s="1969">
        <f t="shared" si="62"/>
        <v>60010.826999999997</v>
      </c>
      <c r="Z152" s="1969">
        <f t="shared" si="63"/>
        <v>65319.926999999996</v>
      </c>
      <c r="AA152" s="1970">
        <f t="shared" si="64"/>
        <v>720126.32399999991</v>
      </c>
      <c r="AB152" s="2094">
        <f t="shared" si="65"/>
        <v>49105.102216160922</v>
      </c>
      <c r="AC152" s="2094"/>
      <c r="AD152" s="2094"/>
      <c r="AE152" s="2094"/>
      <c r="AF152" s="2094"/>
      <c r="AG152" s="2094"/>
      <c r="AH152" s="2094"/>
      <c r="AI152" s="2094"/>
      <c r="AJ152" s="2094"/>
      <c r="AK152" s="1787"/>
      <c r="AL152" s="914"/>
      <c r="AM152" s="914"/>
      <c r="AN152" s="914"/>
      <c r="AO152" s="914"/>
      <c r="AP152" s="914"/>
      <c r="AQ152" s="914"/>
      <c r="AR152" s="915"/>
      <c r="AS152" s="915"/>
      <c r="AT152" s="915"/>
      <c r="AU152" s="915"/>
      <c r="AV152" s="915"/>
      <c r="AW152" s="915"/>
      <c r="AX152" s="915"/>
      <c r="AY152" s="915"/>
      <c r="AZ152" s="915"/>
      <c r="BA152" s="915"/>
      <c r="BB152" s="915"/>
      <c r="BC152" s="915"/>
      <c r="BD152" s="915"/>
    </row>
    <row r="153" spans="1:56" s="2095" customFormat="1" ht="15.75">
      <c r="A153" s="709">
        <v>139</v>
      </c>
      <c r="B153" s="153" t="s">
        <v>378</v>
      </c>
      <c r="C153" s="647" t="s">
        <v>340</v>
      </c>
      <c r="D153" s="560" t="s">
        <v>64</v>
      </c>
      <c r="E153" s="563"/>
      <c r="F153" s="711"/>
      <c r="G153" s="712">
        <v>1</v>
      </c>
      <c r="H153" s="563"/>
      <c r="I153" s="689"/>
      <c r="J153" s="563">
        <v>2</v>
      </c>
      <c r="K153" s="554">
        <v>17697</v>
      </c>
      <c r="L153" s="554"/>
      <c r="M153" s="554">
        <v>1</v>
      </c>
      <c r="N153" s="554"/>
      <c r="O153" s="552">
        <v>2.81</v>
      </c>
      <c r="P153" s="567">
        <f t="shared" si="60"/>
        <v>49728.57</v>
      </c>
      <c r="Q153" s="556"/>
      <c r="R153" s="552">
        <f t="shared" si="66"/>
        <v>0</v>
      </c>
      <c r="S153" s="568"/>
      <c r="T153" s="708">
        <v>0.1</v>
      </c>
      <c r="U153" s="552">
        <f t="shared" si="59"/>
        <v>4972.857</v>
      </c>
      <c r="V153" s="569">
        <v>0.3</v>
      </c>
      <c r="W153" s="554">
        <f>V153*K153</f>
        <v>5309.0999999999995</v>
      </c>
      <c r="X153" s="559">
        <f t="shared" si="61"/>
        <v>60010.526999999995</v>
      </c>
      <c r="Y153" s="1969">
        <f t="shared" si="62"/>
        <v>60010.826999999997</v>
      </c>
      <c r="Z153" s="1969">
        <f t="shared" si="63"/>
        <v>65319.926999999996</v>
      </c>
      <c r="AA153" s="1970">
        <f t="shared" si="64"/>
        <v>720126.32399999991</v>
      </c>
      <c r="AB153" s="2094">
        <f t="shared" si="65"/>
        <v>49105.102216160922</v>
      </c>
      <c r="AC153" s="2094"/>
      <c r="AD153" s="2094"/>
      <c r="AE153" s="2094"/>
      <c r="AF153" s="2094"/>
      <c r="AG153" s="2094"/>
      <c r="AH153" s="2094"/>
      <c r="AI153" s="2094"/>
      <c r="AJ153" s="2094"/>
      <c r="AK153" s="914"/>
      <c r="AL153" s="914"/>
      <c r="AM153" s="914"/>
      <c r="AN153" s="914"/>
      <c r="AO153" s="914"/>
      <c r="AP153" s="914"/>
      <c r="AQ153" s="914"/>
      <c r="AR153" s="915"/>
      <c r="AS153" s="915"/>
      <c r="AT153" s="915"/>
      <c r="AU153" s="915"/>
      <c r="AV153" s="915"/>
      <c r="AW153" s="915"/>
      <c r="AX153" s="915"/>
      <c r="AY153" s="915"/>
      <c r="AZ153" s="915"/>
      <c r="BA153" s="915"/>
      <c r="BB153" s="915"/>
      <c r="BC153" s="915"/>
      <c r="BD153" s="915"/>
    </row>
    <row r="154" spans="1:56" s="2095" customFormat="1" ht="15.75">
      <c r="A154" s="703">
        <v>140</v>
      </c>
      <c r="B154" s="153" t="s">
        <v>343</v>
      </c>
      <c r="C154" s="647" t="s">
        <v>340</v>
      </c>
      <c r="D154" s="560" t="s">
        <v>64</v>
      </c>
      <c r="E154" s="563"/>
      <c r="F154" s="711"/>
      <c r="G154" s="712">
        <v>1</v>
      </c>
      <c r="H154" s="563"/>
      <c r="I154" s="689"/>
      <c r="J154" s="563">
        <v>2</v>
      </c>
      <c r="K154" s="554">
        <v>17697</v>
      </c>
      <c r="L154" s="554"/>
      <c r="M154" s="554">
        <v>1</v>
      </c>
      <c r="N154" s="554"/>
      <c r="O154" s="552">
        <v>2.81</v>
      </c>
      <c r="P154" s="567">
        <f t="shared" si="60"/>
        <v>49728.57</v>
      </c>
      <c r="Q154" s="556"/>
      <c r="R154" s="552">
        <f t="shared" si="66"/>
        <v>0</v>
      </c>
      <c r="S154" s="568"/>
      <c r="T154" s="708">
        <v>0.1</v>
      </c>
      <c r="U154" s="552">
        <f t="shared" si="59"/>
        <v>4972.857</v>
      </c>
      <c r="V154" s="569">
        <v>0.3</v>
      </c>
      <c r="W154" s="554">
        <f>V154*K154</f>
        <v>5309.0999999999995</v>
      </c>
      <c r="X154" s="559">
        <f t="shared" si="61"/>
        <v>60010.526999999995</v>
      </c>
      <c r="Y154" s="1969">
        <f t="shared" si="62"/>
        <v>60010.826999999997</v>
      </c>
      <c r="Z154" s="1969">
        <f t="shared" si="63"/>
        <v>65319.926999999996</v>
      </c>
      <c r="AA154" s="1970">
        <f t="shared" si="64"/>
        <v>720126.32399999991</v>
      </c>
      <c r="AB154" s="2094">
        <f t="shared" si="65"/>
        <v>49105.102216160922</v>
      </c>
      <c r="AC154" s="2094"/>
      <c r="AD154" s="2094"/>
      <c r="AE154" s="2094"/>
      <c r="AF154" s="2094"/>
      <c r="AG154" s="2094"/>
      <c r="AH154" s="2094"/>
      <c r="AI154" s="2094"/>
      <c r="AJ154" s="2094"/>
      <c r="AK154" s="914"/>
      <c r="AL154" s="914"/>
      <c r="AM154" s="914"/>
      <c r="AN154" s="914"/>
      <c r="AO154" s="914"/>
      <c r="AP154" s="914"/>
      <c r="AQ154" s="914"/>
      <c r="AR154" s="915"/>
      <c r="AS154" s="915"/>
      <c r="AT154" s="915"/>
      <c r="AU154" s="915"/>
      <c r="AV154" s="915"/>
      <c r="AW154" s="915"/>
      <c r="AX154" s="915"/>
      <c r="AY154" s="915"/>
      <c r="AZ154" s="915"/>
      <c r="BA154" s="915"/>
      <c r="BB154" s="915"/>
      <c r="BC154" s="915"/>
      <c r="BD154" s="915"/>
    </row>
    <row r="155" spans="1:56" s="2095" customFormat="1" ht="15.75">
      <c r="A155" s="709">
        <v>141</v>
      </c>
      <c r="B155" s="153" t="s">
        <v>734</v>
      </c>
      <c r="C155" s="647" t="s">
        <v>340</v>
      </c>
      <c r="D155" s="560" t="s">
        <v>64</v>
      </c>
      <c r="E155" s="563"/>
      <c r="F155" s="717"/>
      <c r="G155" s="712" t="s">
        <v>409</v>
      </c>
      <c r="H155" s="563"/>
      <c r="I155" s="689"/>
      <c r="J155" s="563">
        <v>2</v>
      </c>
      <c r="K155" s="554">
        <v>17697</v>
      </c>
      <c r="L155" s="554"/>
      <c r="M155" s="554">
        <v>1.5</v>
      </c>
      <c r="N155" s="554"/>
      <c r="O155" s="552">
        <v>2.81</v>
      </c>
      <c r="P155" s="567">
        <f t="shared" si="60"/>
        <v>74592.854999999996</v>
      </c>
      <c r="Q155" s="556"/>
      <c r="R155" s="552">
        <f t="shared" si="66"/>
        <v>0</v>
      </c>
      <c r="S155" s="554"/>
      <c r="T155" s="708">
        <v>0.1</v>
      </c>
      <c r="U155" s="552">
        <f t="shared" si="59"/>
        <v>7459.2855</v>
      </c>
      <c r="V155" s="569">
        <v>0.3</v>
      </c>
      <c r="W155" s="554">
        <f>V155*K155*1.5</f>
        <v>7963.65</v>
      </c>
      <c r="X155" s="559">
        <f t="shared" si="61"/>
        <v>90015.790499999988</v>
      </c>
      <c r="Y155" s="1969">
        <f t="shared" si="62"/>
        <v>60010.826999999997</v>
      </c>
      <c r="Z155" s="1969">
        <f t="shared" si="63"/>
        <v>65319.926999999996</v>
      </c>
      <c r="AA155" s="1970">
        <f t="shared" si="64"/>
        <v>720126.32399999991</v>
      </c>
      <c r="AB155" s="2094">
        <f t="shared" si="65"/>
        <v>49105.102216160922</v>
      </c>
      <c r="AC155" s="2094"/>
      <c r="AD155" s="2094"/>
      <c r="AE155" s="2094"/>
      <c r="AF155" s="2094"/>
      <c r="AG155" s="2094"/>
      <c r="AH155" s="2094"/>
      <c r="AI155" s="2094"/>
      <c r="AJ155" s="2094"/>
      <c r="AK155" s="914"/>
      <c r="AL155" s="914"/>
      <c r="AM155" s="914"/>
      <c r="AN155" s="914"/>
      <c r="AO155" s="914"/>
      <c r="AP155" s="914"/>
      <c r="AQ155" s="914"/>
      <c r="AR155" s="915"/>
      <c r="AS155" s="915"/>
      <c r="AT155" s="915"/>
      <c r="AU155" s="915"/>
      <c r="AV155" s="915"/>
      <c r="AW155" s="915"/>
      <c r="AX155" s="915"/>
      <c r="AY155" s="915"/>
      <c r="AZ155" s="915"/>
      <c r="BA155" s="915"/>
      <c r="BB155" s="915"/>
      <c r="BC155" s="915"/>
      <c r="BD155" s="915"/>
    </row>
    <row r="156" spans="1:56" s="1971" customFormat="1" ht="15.75">
      <c r="A156" s="709">
        <v>143</v>
      </c>
      <c r="B156" s="153" t="s">
        <v>506</v>
      </c>
      <c r="C156" s="647" t="s">
        <v>340</v>
      </c>
      <c r="D156" s="560" t="s">
        <v>64</v>
      </c>
      <c r="E156" s="563"/>
      <c r="F156" s="711"/>
      <c r="G156" s="712" t="s">
        <v>409</v>
      </c>
      <c r="H156" s="563"/>
      <c r="I156" s="689"/>
      <c r="J156" s="563">
        <v>2</v>
      </c>
      <c r="K156" s="554">
        <v>17697</v>
      </c>
      <c r="L156" s="554"/>
      <c r="M156" s="554">
        <v>1.5</v>
      </c>
      <c r="N156" s="554"/>
      <c r="O156" s="552">
        <v>2.81</v>
      </c>
      <c r="P156" s="567">
        <f t="shared" si="60"/>
        <v>74592.854999999996</v>
      </c>
      <c r="Q156" s="556"/>
      <c r="R156" s="552">
        <f t="shared" si="66"/>
        <v>0</v>
      </c>
      <c r="S156" s="554"/>
      <c r="T156" s="708">
        <v>0.1</v>
      </c>
      <c r="U156" s="552">
        <f t="shared" si="59"/>
        <v>7459.2855</v>
      </c>
      <c r="V156" s="569">
        <v>0.3</v>
      </c>
      <c r="W156" s="554">
        <f>V156*K156*1.5</f>
        <v>7963.65</v>
      </c>
      <c r="X156" s="559">
        <f t="shared" si="61"/>
        <v>90015.790499999988</v>
      </c>
      <c r="Y156" s="1969">
        <f t="shared" si="62"/>
        <v>90016.090499999991</v>
      </c>
      <c r="Z156" s="1969">
        <f t="shared" si="63"/>
        <v>97979.740499999985</v>
      </c>
      <c r="AA156" s="1970">
        <f t="shared" si="64"/>
        <v>1080189.4859999998</v>
      </c>
      <c r="AB156" s="2094">
        <f t="shared" si="65"/>
        <v>73657.653324241386</v>
      </c>
      <c r="AK156" s="23"/>
      <c r="AL156" s="23"/>
      <c r="AM156" s="23"/>
      <c r="AN156" s="23"/>
      <c r="AO156" s="23"/>
      <c r="AP156" s="23"/>
      <c r="AQ156" s="23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</row>
    <row r="157" spans="1:56" s="1971" customFormat="1" ht="15.75">
      <c r="A157" s="703">
        <v>144</v>
      </c>
      <c r="B157" s="646" t="s">
        <v>507</v>
      </c>
      <c r="C157" s="647" t="s">
        <v>340</v>
      </c>
      <c r="D157" s="560" t="s">
        <v>64</v>
      </c>
      <c r="E157" s="713"/>
      <c r="F157" s="628"/>
      <c r="G157" s="712" t="s">
        <v>563</v>
      </c>
      <c r="H157" s="714"/>
      <c r="I157" s="715"/>
      <c r="J157" s="563">
        <v>2</v>
      </c>
      <c r="K157" s="715">
        <v>17697</v>
      </c>
      <c r="L157" s="715"/>
      <c r="M157" s="554">
        <v>1.3</v>
      </c>
      <c r="N157" s="554"/>
      <c r="O157" s="552">
        <v>2.81</v>
      </c>
      <c r="P157" s="567">
        <f t="shared" ref="P157:P169" si="67">K157*O157*M157</f>
        <v>64647.141000000003</v>
      </c>
      <c r="Q157" s="556"/>
      <c r="R157" s="552">
        <f t="shared" si="66"/>
        <v>0</v>
      </c>
      <c r="S157" s="554"/>
      <c r="T157" s="708">
        <v>0.1</v>
      </c>
      <c r="U157" s="552">
        <f t="shared" si="59"/>
        <v>6464.7141000000011</v>
      </c>
      <c r="V157" s="569">
        <v>0.3</v>
      </c>
      <c r="W157" s="554">
        <f>V157*K157/1*1.3</f>
        <v>6901.83</v>
      </c>
      <c r="X157" s="559">
        <f t="shared" si="61"/>
        <v>78013.685100000002</v>
      </c>
      <c r="Y157" s="1969">
        <f t="shared" si="62"/>
        <v>90016.090499999991</v>
      </c>
      <c r="Z157" s="1969">
        <f t="shared" si="63"/>
        <v>97979.740499999985</v>
      </c>
      <c r="AA157" s="1970">
        <f t="shared" si="64"/>
        <v>1080189.4859999998</v>
      </c>
      <c r="AB157" s="2094">
        <f t="shared" si="65"/>
        <v>73657.653324241386</v>
      </c>
      <c r="AK157" s="23"/>
      <c r="AL157" s="23"/>
      <c r="AM157" s="23"/>
      <c r="AN157" s="23"/>
      <c r="AO157" s="23"/>
      <c r="AP157" s="23"/>
      <c r="AQ157" s="23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</row>
    <row r="158" spans="1:56" s="2099" customFormat="1" ht="15.75">
      <c r="A158" s="709">
        <v>145</v>
      </c>
      <c r="B158" s="718" t="s">
        <v>508</v>
      </c>
      <c r="C158" s="719" t="s">
        <v>340</v>
      </c>
      <c r="D158" s="720" t="s">
        <v>75</v>
      </c>
      <c r="E158" s="720"/>
      <c r="F158" s="721"/>
      <c r="G158" s="720">
        <v>1</v>
      </c>
      <c r="H158" s="722"/>
      <c r="I158" s="722"/>
      <c r="J158" s="601">
        <v>2</v>
      </c>
      <c r="K158" s="723">
        <v>17697</v>
      </c>
      <c r="L158" s="723"/>
      <c r="M158" s="554">
        <v>1</v>
      </c>
      <c r="N158" s="723"/>
      <c r="O158" s="552">
        <v>2.81</v>
      </c>
      <c r="P158" s="567">
        <f t="shared" si="67"/>
        <v>49728.57</v>
      </c>
      <c r="Q158" s="556"/>
      <c r="R158" s="552">
        <f t="shared" si="66"/>
        <v>0</v>
      </c>
      <c r="S158" s="723"/>
      <c r="T158" s="708">
        <v>0.1</v>
      </c>
      <c r="U158" s="552">
        <f t="shared" si="59"/>
        <v>4972.857</v>
      </c>
      <c r="V158" s="609">
        <v>0.3</v>
      </c>
      <c r="W158" s="605">
        <f>V158*K158</f>
        <v>5309.0999999999995</v>
      </c>
      <c r="X158" s="559">
        <f t="shared" si="61"/>
        <v>60010.526999999995</v>
      </c>
      <c r="Y158" s="1969">
        <f t="shared" si="62"/>
        <v>78013.985100000005</v>
      </c>
      <c r="Z158" s="1969">
        <f t="shared" si="63"/>
        <v>84915.815100000007</v>
      </c>
      <c r="AA158" s="1970">
        <f t="shared" si="64"/>
        <v>936164.22120000003</v>
      </c>
      <c r="AB158" s="2094">
        <f t="shared" si="65"/>
        <v>63836.632881009216</v>
      </c>
      <c r="AK158" s="1778"/>
      <c r="AL158" s="1778"/>
      <c r="AM158" s="1778"/>
      <c r="AN158" s="1778"/>
      <c r="AO158" s="1778"/>
      <c r="AP158" s="1778"/>
      <c r="AQ158" s="1778"/>
      <c r="AR158" s="908"/>
      <c r="AS158" s="908"/>
      <c r="AT158" s="908"/>
      <c r="AU158" s="908"/>
      <c r="AV158" s="908"/>
      <c r="AW158" s="908"/>
      <c r="AX158" s="908"/>
      <c r="AY158" s="908"/>
      <c r="AZ158" s="908"/>
      <c r="BA158" s="908"/>
      <c r="BB158" s="908"/>
      <c r="BC158" s="908"/>
      <c r="BD158" s="908"/>
    </row>
    <row r="159" spans="1:56" s="1971" customFormat="1" ht="15.75">
      <c r="A159" s="2239">
        <v>146</v>
      </c>
      <c r="B159" s="1991" t="s">
        <v>345</v>
      </c>
      <c r="C159" s="1984" t="s">
        <v>784</v>
      </c>
      <c r="D159" s="1972" t="s">
        <v>64</v>
      </c>
      <c r="E159" s="1992"/>
      <c r="F159" s="2089"/>
      <c r="G159" s="2102">
        <v>1</v>
      </c>
      <c r="H159" s="1992"/>
      <c r="I159" s="2091"/>
      <c r="J159" s="1992">
        <v>1</v>
      </c>
      <c r="K159" s="1965">
        <v>17697</v>
      </c>
      <c r="L159" s="1965"/>
      <c r="M159" s="2240">
        <v>1</v>
      </c>
      <c r="N159" s="1965"/>
      <c r="O159" s="1965">
        <v>2.77</v>
      </c>
      <c r="P159" s="2092">
        <f t="shared" si="67"/>
        <v>49020.69</v>
      </c>
      <c r="Q159" s="1966"/>
      <c r="R159" s="1963">
        <f t="shared" si="66"/>
        <v>0</v>
      </c>
      <c r="S159" s="1981"/>
      <c r="T159" s="2093">
        <v>0.1</v>
      </c>
      <c r="U159" s="1963">
        <f t="shared" si="59"/>
        <v>4902.0690000000004</v>
      </c>
      <c r="V159" s="2106">
        <v>0.5</v>
      </c>
      <c r="W159" s="2032">
        <v>12439.34</v>
      </c>
      <c r="X159" s="940">
        <f t="shared" si="61"/>
        <v>66362.099000000002</v>
      </c>
      <c r="Y159" s="1969">
        <f t="shared" si="62"/>
        <v>60010.826999999997</v>
      </c>
      <c r="Z159" s="1969">
        <f t="shared" si="63"/>
        <v>65319.926999999996</v>
      </c>
      <c r="AA159" s="1970">
        <f t="shared" si="64"/>
        <v>720126.32399999991</v>
      </c>
      <c r="AB159" s="2094">
        <f t="shared" si="65"/>
        <v>49105.102216160922</v>
      </c>
      <c r="AC159" s="1970"/>
      <c r="AD159" s="1970"/>
      <c r="AE159" s="2107"/>
      <c r="AF159" s="2098"/>
      <c r="AG159" s="1970"/>
      <c r="AK159" s="1970"/>
      <c r="AL159" s="1970"/>
      <c r="AM159" s="1970"/>
      <c r="AN159" s="1970"/>
      <c r="AO159" s="1970"/>
      <c r="AP159" s="1970"/>
      <c r="AQ159" s="1970"/>
    </row>
    <row r="160" spans="1:56" s="2095" customFormat="1" ht="15.75">
      <c r="A160" s="2241">
        <v>147</v>
      </c>
      <c r="B160" s="1991" t="s">
        <v>347</v>
      </c>
      <c r="C160" s="1984" t="s">
        <v>784</v>
      </c>
      <c r="D160" s="1972" t="s">
        <v>25</v>
      </c>
      <c r="E160" s="1992"/>
      <c r="F160" s="1972"/>
      <c r="G160" s="2102">
        <v>1</v>
      </c>
      <c r="H160" s="1992"/>
      <c r="I160" s="2091"/>
      <c r="J160" s="1992">
        <v>1</v>
      </c>
      <c r="K160" s="1965">
        <v>17697</v>
      </c>
      <c r="L160" s="1965"/>
      <c r="M160" s="1965">
        <v>1</v>
      </c>
      <c r="N160" s="1965"/>
      <c r="O160" s="1965">
        <v>2.77</v>
      </c>
      <c r="P160" s="2092">
        <f t="shared" si="67"/>
        <v>49020.69</v>
      </c>
      <c r="Q160" s="1966"/>
      <c r="R160" s="1963">
        <f t="shared" si="66"/>
        <v>0</v>
      </c>
      <c r="S160" s="1981"/>
      <c r="T160" s="2093">
        <v>0.1</v>
      </c>
      <c r="U160" s="1963">
        <f t="shared" si="59"/>
        <v>4902.0690000000004</v>
      </c>
      <c r="V160" s="2106">
        <v>0.5</v>
      </c>
      <c r="W160" s="2032">
        <v>12439.34</v>
      </c>
      <c r="X160" s="940">
        <f t="shared" si="61"/>
        <v>66362.099000000002</v>
      </c>
      <c r="Y160" s="1969">
        <f t="shared" si="62"/>
        <v>66362.599000000002</v>
      </c>
      <c r="Z160" s="1969">
        <f t="shared" si="63"/>
        <v>78801.938999999998</v>
      </c>
      <c r="AA160" s="1970">
        <f t="shared" si="64"/>
        <v>796345.18800000008</v>
      </c>
      <c r="AB160" s="2094">
        <f t="shared" si="65"/>
        <v>54302.433549266971</v>
      </c>
      <c r="AC160" s="2094"/>
      <c r="AD160" s="2094"/>
      <c r="AE160" s="2094"/>
      <c r="AF160" s="2094"/>
      <c r="AG160" s="2094"/>
      <c r="AH160" s="2094"/>
      <c r="AI160" s="2094"/>
      <c r="AJ160" s="2094"/>
      <c r="AK160" s="2094"/>
      <c r="AL160" s="2094"/>
      <c r="AM160" s="2094"/>
      <c r="AN160" s="2094"/>
      <c r="AO160" s="2094"/>
      <c r="AP160" s="2094"/>
      <c r="AQ160" s="2094"/>
    </row>
    <row r="161" spans="1:69" s="2095" customFormat="1" ht="15.75">
      <c r="A161" s="2239">
        <v>148</v>
      </c>
      <c r="B161" s="1991" t="s">
        <v>606</v>
      </c>
      <c r="C161" s="1984" t="s">
        <v>784</v>
      </c>
      <c r="D161" s="1972" t="s">
        <v>64</v>
      </c>
      <c r="E161" s="1992"/>
      <c r="F161" s="1972"/>
      <c r="G161" s="2102">
        <v>1</v>
      </c>
      <c r="H161" s="1992"/>
      <c r="I161" s="2091"/>
      <c r="J161" s="1992">
        <v>1</v>
      </c>
      <c r="K161" s="1965">
        <v>17697</v>
      </c>
      <c r="L161" s="1965"/>
      <c r="M161" s="1965">
        <v>1</v>
      </c>
      <c r="N161" s="1965"/>
      <c r="O161" s="1965">
        <v>2.77</v>
      </c>
      <c r="P161" s="2092">
        <f t="shared" si="67"/>
        <v>49020.69</v>
      </c>
      <c r="Q161" s="1966"/>
      <c r="R161" s="1963">
        <f t="shared" si="66"/>
        <v>0</v>
      </c>
      <c r="S161" s="1981"/>
      <c r="T161" s="2093">
        <v>0.1</v>
      </c>
      <c r="U161" s="1963">
        <f t="shared" si="59"/>
        <v>4902.0690000000004</v>
      </c>
      <c r="V161" s="2106">
        <v>0.5</v>
      </c>
      <c r="W161" s="2032">
        <v>12439.34</v>
      </c>
      <c r="X161" s="940">
        <f t="shared" si="61"/>
        <v>66362.099000000002</v>
      </c>
      <c r="Y161" s="1969">
        <f t="shared" si="62"/>
        <v>66362.599000000002</v>
      </c>
      <c r="Z161" s="1969">
        <f t="shared" si="63"/>
        <v>78801.938999999998</v>
      </c>
      <c r="AA161" s="1970">
        <f t="shared" si="64"/>
        <v>796345.18800000008</v>
      </c>
      <c r="AB161" s="2094">
        <f t="shared" si="65"/>
        <v>54302.433549266971</v>
      </c>
      <c r="AC161" s="2094"/>
      <c r="AD161" s="2094"/>
      <c r="AE161" s="2094"/>
      <c r="AF161" s="2094"/>
      <c r="AG161" s="2094"/>
      <c r="AH161" s="2094"/>
      <c r="AI161" s="2094"/>
      <c r="AJ161" s="2094"/>
      <c r="AK161" s="2094"/>
      <c r="AL161" s="2094"/>
      <c r="AM161" s="2094"/>
      <c r="AN161" s="2094"/>
      <c r="AO161" s="2094"/>
      <c r="AP161" s="2094"/>
      <c r="AQ161" s="2094"/>
    </row>
    <row r="162" spans="1:69" s="2095" customFormat="1" ht="15.75">
      <c r="A162" s="2241">
        <v>149</v>
      </c>
      <c r="B162" s="1991" t="s">
        <v>735</v>
      </c>
      <c r="C162" s="2108" t="s">
        <v>785</v>
      </c>
      <c r="D162" s="1972" t="s">
        <v>64</v>
      </c>
      <c r="E162" s="1992"/>
      <c r="F162" s="1972"/>
      <c r="G162" s="2102">
        <v>1</v>
      </c>
      <c r="H162" s="1992"/>
      <c r="I162" s="2091"/>
      <c r="J162" s="1992">
        <v>1</v>
      </c>
      <c r="K162" s="1965">
        <v>17697</v>
      </c>
      <c r="L162" s="1965"/>
      <c r="M162" s="1965">
        <v>1</v>
      </c>
      <c r="N162" s="1965"/>
      <c r="O162" s="1965">
        <v>2.77</v>
      </c>
      <c r="P162" s="2092">
        <f t="shared" si="67"/>
        <v>49020.69</v>
      </c>
      <c r="Q162" s="1966"/>
      <c r="R162" s="1963">
        <f t="shared" si="66"/>
        <v>0</v>
      </c>
      <c r="S162" s="1965"/>
      <c r="T162" s="2093">
        <v>0.1</v>
      </c>
      <c r="U162" s="1963">
        <f t="shared" si="59"/>
        <v>4902.0690000000004</v>
      </c>
      <c r="V162" s="2106">
        <v>0.5</v>
      </c>
      <c r="W162" s="2032">
        <v>12439.34</v>
      </c>
      <c r="X162" s="940">
        <f t="shared" si="61"/>
        <v>66362.099000000002</v>
      </c>
      <c r="Y162" s="1969">
        <f t="shared" si="62"/>
        <v>66362.599000000002</v>
      </c>
      <c r="Z162" s="1969">
        <f t="shared" si="63"/>
        <v>78801.938999999998</v>
      </c>
      <c r="AA162" s="1970">
        <f t="shared" si="64"/>
        <v>796345.18800000008</v>
      </c>
      <c r="AB162" s="2094">
        <f t="shared" si="65"/>
        <v>54302.433549266971</v>
      </c>
      <c r="AC162" s="2094"/>
      <c r="AD162" s="2094"/>
      <c r="AE162" s="2094"/>
      <c r="AF162" s="2094"/>
      <c r="AG162" s="2094"/>
      <c r="AH162" s="2094"/>
      <c r="AI162" s="2094"/>
      <c r="AJ162" s="2094"/>
      <c r="AK162" s="2094"/>
      <c r="AL162" s="2103"/>
      <c r="AM162" s="2094"/>
      <c r="AN162" s="2094"/>
      <c r="AO162" s="2094"/>
      <c r="AP162" s="2094"/>
      <c r="AQ162" s="2094"/>
    </row>
    <row r="163" spans="1:69" s="1971" customFormat="1" ht="15.75">
      <c r="A163" s="2239">
        <v>150</v>
      </c>
      <c r="B163" s="1991" t="s">
        <v>333</v>
      </c>
      <c r="C163" s="2108" t="s">
        <v>785</v>
      </c>
      <c r="D163" s="1972" t="s">
        <v>64</v>
      </c>
      <c r="E163" s="1992"/>
      <c r="F163" s="1972"/>
      <c r="G163" s="2102">
        <v>1</v>
      </c>
      <c r="H163" s="1992"/>
      <c r="I163" s="2091"/>
      <c r="J163" s="1992">
        <v>1</v>
      </c>
      <c r="K163" s="1965">
        <v>17697</v>
      </c>
      <c r="L163" s="1965"/>
      <c r="M163" s="1965">
        <v>1</v>
      </c>
      <c r="N163" s="1965"/>
      <c r="O163" s="1965">
        <v>2.77</v>
      </c>
      <c r="P163" s="2092">
        <f t="shared" si="67"/>
        <v>49020.69</v>
      </c>
      <c r="Q163" s="1966"/>
      <c r="R163" s="1963">
        <f t="shared" si="66"/>
        <v>0</v>
      </c>
      <c r="S163" s="1965"/>
      <c r="T163" s="2093">
        <v>0.1</v>
      </c>
      <c r="U163" s="1963">
        <f t="shared" si="59"/>
        <v>4902.0690000000004</v>
      </c>
      <c r="V163" s="2106">
        <v>0.5</v>
      </c>
      <c r="W163" s="2032">
        <v>12439.34</v>
      </c>
      <c r="X163" s="940">
        <f t="shared" si="61"/>
        <v>66362.099000000002</v>
      </c>
      <c r="Y163" s="1969">
        <f t="shared" si="62"/>
        <v>66362.599000000002</v>
      </c>
      <c r="Z163" s="1969">
        <f t="shared" si="63"/>
        <v>78801.938999999998</v>
      </c>
      <c r="AA163" s="1970">
        <f t="shared" si="64"/>
        <v>796345.18800000008</v>
      </c>
      <c r="AB163" s="2094">
        <f t="shared" si="65"/>
        <v>54302.433549266971</v>
      </c>
      <c r="AK163" s="1970"/>
      <c r="AL163" s="1970"/>
      <c r="AM163" s="1970"/>
      <c r="AN163" s="1970"/>
      <c r="AO163" s="1970"/>
      <c r="AP163" s="1970"/>
      <c r="AQ163" s="1970"/>
    </row>
    <row r="164" spans="1:69" s="1971" customFormat="1" ht="20.25">
      <c r="A164" s="2241">
        <v>151</v>
      </c>
      <c r="B164" s="1991" t="s">
        <v>350</v>
      </c>
      <c r="C164" s="2108" t="s">
        <v>785</v>
      </c>
      <c r="D164" s="1972" t="s">
        <v>64</v>
      </c>
      <c r="E164" s="1992"/>
      <c r="F164" s="1972"/>
      <c r="G164" s="2102">
        <v>1</v>
      </c>
      <c r="H164" s="1992"/>
      <c r="I164" s="2091"/>
      <c r="J164" s="1992">
        <v>1</v>
      </c>
      <c r="K164" s="1965">
        <v>17697</v>
      </c>
      <c r="L164" s="1965"/>
      <c r="M164" s="1965">
        <v>1</v>
      </c>
      <c r="N164" s="1965"/>
      <c r="O164" s="1965">
        <v>2.77</v>
      </c>
      <c r="P164" s="2092">
        <f t="shared" si="67"/>
        <v>49020.69</v>
      </c>
      <c r="Q164" s="1966"/>
      <c r="R164" s="1963">
        <f t="shared" si="66"/>
        <v>0</v>
      </c>
      <c r="S164" s="1965"/>
      <c r="T164" s="2093">
        <v>0.1</v>
      </c>
      <c r="U164" s="1963">
        <f t="shared" si="59"/>
        <v>4902.0690000000004</v>
      </c>
      <c r="V164" s="2106">
        <v>0.5</v>
      </c>
      <c r="W164" s="2032">
        <v>12439.34</v>
      </c>
      <c r="X164" s="940">
        <f t="shared" si="61"/>
        <v>66362.099000000002</v>
      </c>
      <c r="Y164" s="1969">
        <f t="shared" si="62"/>
        <v>66362.599000000002</v>
      </c>
      <c r="Z164" s="1969">
        <f t="shared" si="63"/>
        <v>78801.938999999998</v>
      </c>
      <c r="AA164" s="1970">
        <f t="shared" si="64"/>
        <v>796345.18800000008</v>
      </c>
      <c r="AB164" s="2094">
        <f t="shared" si="65"/>
        <v>54302.433549266971</v>
      </c>
      <c r="AK164" s="1970"/>
      <c r="AL164" s="2242"/>
      <c r="AM164" s="2098"/>
      <c r="AN164" s="2098"/>
      <c r="AO164" s="1970"/>
      <c r="AP164" s="1970"/>
      <c r="AQ164" s="1970"/>
    </row>
    <row r="165" spans="1:69" s="1971" customFormat="1" ht="15.75">
      <c r="A165" s="2239">
        <v>152</v>
      </c>
      <c r="B165" s="2109" t="s">
        <v>351</v>
      </c>
      <c r="C165" s="2079" t="s">
        <v>786</v>
      </c>
      <c r="D165" s="2074" t="s">
        <v>75</v>
      </c>
      <c r="E165" s="2074"/>
      <c r="F165" s="2110"/>
      <c r="G165" s="2074">
        <v>1</v>
      </c>
      <c r="H165" s="2111"/>
      <c r="I165" s="2111"/>
      <c r="J165" s="2074">
        <v>1</v>
      </c>
      <c r="K165" s="2092">
        <v>17697</v>
      </c>
      <c r="L165" s="2092"/>
      <c r="M165" s="1965">
        <v>1</v>
      </c>
      <c r="N165" s="2092"/>
      <c r="O165" s="1965">
        <v>2.77</v>
      </c>
      <c r="P165" s="2092">
        <f t="shared" si="67"/>
        <v>49020.69</v>
      </c>
      <c r="Q165" s="1966"/>
      <c r="R165" s="1963">
        <f t="shared" si="66"/>
        <v>0</v>
      </c>
      <c r="S165" s="2092"/>
      <c r="T165" s="2093">
        <v>0.1</v>
      </c>
      <c r="U165" s="1963">
        <f t="shared" si="59"/>
        <v>4902.0690000000004</v>
      </c>
      <c r="V165" s="2092">
        <v>0</v>
      </c>
      <c r="W165" s="2032">
        <v>12439.34</v>
      </c>
      <c r="X165" s="940">
        <f t="shared" si="61"/>
        <v>66362.099000000002</v>
      </c>
      <c r="Y165" s="1969">
        <f t="shared" si="62"/>
        <v>66362.599000000002</v>
      </c>
      <c r="Z165" s="1969">
        <f t="shared" si="63"/>
        <v>78801.938999999998</v>
      </c>
      <c r="AA165" s="1970">
        <f t="shared" si="64"/>
        <v>796345.18800000008</v>
      </c>
      <c r="AB165" s="2094">
        <f t="shared" si="65"/>
        <v>54302.433549266971</v>
      </c>
      <c r="AK165" s="1970"/>
      <c r="AL165" s="2098"/>
      <c r="AM165" s="2098"/>
      <c r="AN165" s="1970"/>
      <c r="AO165" s="1970"/>
      <c r="AP165" s="1970"/>
      <c r="AQ165" s="1970"/>
    </row>
    <row r="166" spans="1:69" s="1971" customFormat="1" ht="15.75">
      <c r="A166" s="2241">
        <v>153</v>
      </c>
      <c r="B166" s="2109" t="s">
        <v>607</v>
      </c>
      <c r="C166" s="2079" t="s">
        <v>786</v>
      </c>
      <c r="D166" s="2074" t="s">
        <v>75</v>
      </c>
      <c r="E166" s="2074"/>
      <c r="F166" s="2110"/>
      <c r="G166" s="2074">
        <v>1</v>
      </c>
      <c r="H166" s="2111"/>
      <c r="I166" s="2111"/>
      <c r="J166" s="2074">
        <v>1</v>
      </c>
      <c r="K166" s="2092">
        <v>17697</v>
      </c>
      <c r="L166" s="2092"/>
      <c r="M166" s="1965">
        <v>1</v>
      </c>
      <c r="N166" s="2092"/>
      <c r="O166" s="1965">
        <v>2.77</v>
      </c>
      <c r="P166" s="2092">
        <f t="shared" si="67"/>
        <v>49020.69</v>
      </c>
      <c r="Q166" s="1966"/>
      <c r="R166" s="1963">
        <f t="shared" si="66"/>
        <v>0</v>
      </c>
      <c r="S166" s="2092"/>
      <c r="T166" s="2093">
        <v>0.1</v>
      </c>
      <c r="U166" s="1963">
        <f t="shared" si="59"/>
        <v>4902.0690000000004</v>
      </c>
      <c r="V166" s="2092">
        <v>0</v>
      </c>
      <c r="W166" s="2032">
        <v>12439.34</v>
      </c>
      <c r="X166" s="940">
        <f t="shared" si="61"/>
        <v>66362.099000000002</v>
      </c>
      <c r="Y166" s="1969">
        <f t="shared" si="62"/>
        <v>66362.099000000002</v>
      </c>
      <c r="Z166" s="1969">
        <f t="shared" si="63"/>
        <v>78801.438999999998</v>
      </c>
      <c r="AA166" s="1970">
        <f t="shared" si="64"/>
        <v>796345.18800000008</v>
      </c>
      <c r="AB166" s="2094">
        <f t="shared" si="65"/>
        <v>54302.433549266971</v>
      </c>
      <c r="AC166" s="1970"/>
      <c r="AD166" s="1970"/>
      <c r="AE166" s="2107"/>
      <c r="AF166" s="2098"/>
      <c r="AG166" s="1970"/>
      <c r="AK166" s="1970"/>
      <c r="AL166" s="2098"/>
      <c r="AM166" s="2098"/>
      <c r="AN166" s="1970"/>
      <c r="AO166" s="1970"/>
      <c r="AP166" s="1970"/>
      <c r="AQ166" s="1970"/>
    </row>
    <row r="167" spans="1:69" s="1971" customFormat="1" ht="15.75">
      <c r="A167" s="2239">
        <v>154</v>
      </c>
      <c r="B167" s="2243" t="s">
        <v>354</v>
      </c>
      <c r="C167" s="2079" t="s">
        <v>786</v>
      </c>
      <c r="D167" s="2074" t="s">
        <v>75</v>
      </c>
      <c r="E167" s="2074"/>
      <c r="F167" s="2110"/>
      <c r="G167" s="2074">
        <v>1</v>
      </c>
      <c r="H167" s="2111"/>
      <c r="I167" s="2111"/>
      <c r="J167" s="2074">
        <v>1</v>
      </c>
      <c r="K167" s="2092">
        <v>17697</v>
      </c>
      <c r="L167" s="2092"/>
      <c r="M167" s="1965">
        <v>1</v>
      </c>
      <c r="N167" s="2092"/>
      <c r="O167" s="1965">
        <v>2.77</v>
      </c>
      <c r="P167" s="2092">
        <f t="shared" si="67"/>
        <v>49020.69</v>
      </c>
      <c r="Q167" s="1966"/>
      <c r="R167" s="1963">
        <f t="shared" si="66"/>
        <v>0</v>
      </c>
      <c r="S167" s="2092"/>
      <c r="T167" s="2093">
        <v>0.1</v>
      </c>
      <c r="U167" s="1963">
        <f t="shared" si="59"/>
        <v>4902.0690000000004</v>
      </c>
      <c r="V167" s="2092">
        <v>0</v>
      </c>
      <c r="W167" s="2032">
        <v>12439.34</v>
      </c>
      <c r="X167" s="940">
        <f t="shared" si="61"/>
        <v>66362.099000000002</v>
      </c>
      <c r="Y167" s="1969">
        <f t="shared" si="62"/>
        <v>66362.099000000002</v>
      </c>
      <c r="Z167" s="1969">
        <f t="shared" si="63"/>
        <v>78801.438999999998</v>
      </c>
      <c r="AA167" s="1970">
        <f t="shared" si="64"/>
        <v>796345.18800000008</v>
      </c>
      <c r="AB167" s="2094">
        <f t="shared" si="65"/>
        <v>54302.433549266971</v>
      </c>
      <c r="AC167" s="1970"/>
      <c r="AD167" s="1970"/>
      <c r="AE167" s="2107"/>
      <c r="AF167" s="2098"/>
      <c r="AG167" s="1970"/>
      <c r="AK167" s="1970"/>
      <c r="AL167" s="2098"/>
      <c r="AM167" s="1970"/>
      <c r="AN167" s="1970"/>
      <c r="AO167" s="1970"/>
      <c r="AP167" s="1970"/>
      <c r="AQ167" s="1970"/>
    </row>
    <row r="168" spans="1:69" s="1971" customFormat="1" ht="18.75">
      <c r="A168" s="709">
        <v>155</v>
      </c>
      <c r="B168" s="646" t="s">
        <v>355</v>
      </c>
      <c r="C168" s="647" t="s">
        <v>356</v>
      </c>
      <c r="D168" s="663" t="s">
        <v>75</v>
      </c>
      <c r="E168" s="646"/>
      <c r="F168" s="646"/>
      <c r="G168" s="628">
        <v>1</v>
      </c>
      <c r="H168" s="714"/>
      <c r="I168" s="715"/>
      <c r="J168" s="628">
        <v>1</v>
      </c>
      <c r="K168" s="715">
        <v>17697</v>
      </c>
      <c r="L168" s="715"/>
      <c r="M168" s="554">
        <v>1</v>
      </c>
      <c r="N168" s="554"/>
      <c r="O168" s="554">
        <v>2.77</v>
      </c>
      <c r="P168" s="567">
        <f t="shared" si="67"/>
        <v>49020.69</v>
      </c>
      <c r="Q168" s="556"/>
      <c r="R168" s="552">
        <f t="shared" si="66"/>
        <v>0</v>
      </c>
      <c r="S168" s="554"/>
      <c r="T168" s="708">
        <v>0.1</v>
      </c>
      <c r="U168" s="552">
        <f t="shared" si="59"/>
        <v>4902.0690000000004</v>
      </c>
      <c r="V168" s="567">
        <v>0</v>
      </c>
      <c r="W168" s="567">
        <v>0</v>
      </c>
      <c r="X168" s="559">
        <f t="shared" si="61"/>
        <v>53922.759000000005</v>
      </c>
      <c r="Y168" s="1969">
        <f t="shared" si="62"/>
        <v>66362.099000000002</v>
      </c>
      <c r="Z168" s="1969">
        <f t="shared" si="63"/>
        <v>78801.438999999998</v>
      </c>
      <c r="AA168" s="1970">
        <f t="shared" si="64"/>
        <v>796345.18800000008</v>
      </c>
      <c r="AB168" s="2094">
        <f t="shared" si="65"/>
        <v>54302.433549266971</v>
      </c>
      <c r="AC168" s="1970"/>
      <c r="AD168" s="1970"/>
      <c r="AE168" s="2107"/>
      <c r="AF168" s="2098"/>
      <c r="AG168" s="1970"/>
      <c r="AK168" s="2225"/>
      <c r="AL168" s="23"/>
      <c r="AM168" s="23"/>
      <c r="AN168" s="23"/>
      <c r="AO168" s="23"/>
      <c r="AP168" s="23"/>
      <c r="AQ168" s="23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</row>
    <row r="169" spans="1:69" s="2099" customFormat="1" ht="15.75">
      <c r="A169" s="703">
        <v>156</v>
      </c>
      <c r="B169" s="646" t="s">
        <v>357</v>
      </c>
      <c r="C169" s="561" t="s">
        <v>358</v>
      </c>
      <c r="D169" s="560" t="s">
        <v>64</v>
      </c>
      <c r="E169" s="646"/>
      <c r="F169" s="646"/>
      <c r="G169" s="628">
        <v>1</v>
      </c>
      <c r="H169" s="714"/>
      <c r="I169" s="715"/>
      <c r="J169" s="628">
        <v>1</v>
      </c>
      <c r="K169" s="715">
        <v>17697</v>
      </c>
      <c r="L169" s="715"/>
      <c r="M169" s="554">
        <v>1</v>
      </c>
      <c r="N169" s="554"/>
      <c r="O169" s="554">
        <v>2.77</v>
      </c>
      <c r="P169" s="567">
        <f t="shared" si="67"/>
        <v>49020.69</v>
      </c>
      <c r="Q169" s="556"/>
      <c r="R169" s="552">
        <f t="shared" si="66"/>
        <v>0</v>
      </c>
      <c r="S169" s="554"/>
      <c r="T169" s="708">
        <v>0.1</v>
      </c>
      <c r="U169" s="552">
        <f t="shared" si="59"/>
        <v>4902.0690000000004</v>
      </c>
      <c r="V169" s="567">
        <v>0</v>
      </c>
      <c r="W169" s="567">
        <v>0</v>
      </c>
      <c r="X169" s="559">
        <f t="shared" si="61"/>
        <v>53922.759000000005</v>
      </c>
      <c r="Y169" s="1969">
        <f t="shared" si="62"/>
        <v>53922.759000000005</v>
      </c>
      <c r="Z169" s="1969">
        <f t="shared" si="63"/>
        <v>53922.759000000005</v>
      </c>
      <c r="AA169" s="1970">
        <f t="shared" si="64"/>
        <v>647073.10800000001</v>
      </c>
      <c r="AB169" s="2094">
        <f t="shared" si="65"/>
        <v>44123.635049437435</v>
      </c>
      <c r="AC169" s="2112">
        <f>SUM(X144:X169)</f>
        <v>1596958.8815999997</v>
      </c>
      <c r="AK169" s="1778"/>
      <c r="AL169" s="1778"/>
      <c r="AM169" s="1778"/>
      <c r="AN169" s="1778"/>
      <c r="AO169" s="1778"/>
      <c r="AP169" s="1778"/>
      <c r="AQ169" s="1778"/>
      <c r="AR169" s="908"/>
      <c r="AS169" s="908"/>
      <c r="AT169" s="908"/>
      <c r="AU169" s="908"/>
      <c r="AV169" s="908"/>
      <c r="AW169" s="908"/>
      <c r="AX169" s="908"/>
      <c r="AY169" s="908"/>
      <c r="AZ169" s="908"/>
      <c r="BA169" s="908"/>
      <c r="BB169" s="908"/>
      <c r="BC169" s="908"/>
      <c r="BD169" s="908"/>
    </row>
    <row r="170" spans="1:69" s="1469" customFormat="1" ht="15.75">
      <c r="A170" s="2307" t="s">
        <v>359</v>
      </c>
      <c r="B170" s="2307"/>
      <c r="C170" s="2307"/>
      <c r="D170" s="2307"/>
      <c r="E170" s="1152"/>
      <c r="F170" s="1152"/>
      <c r="G170" s="943"/>
      <c r="H170" s="1152"/>
      <c r="I170" s="1152"/>
      <c r="J170" s="1152"/>
      <c r="K170" s="1152"/>
      <c r="L170" s="944">
        <f>L143+L104+L82+L126</f>
        <v>2402</v>
      </c>
      <c r="M170" s="1035">
        <f>SUM(M6:M169)</f>
        <v>177.24444444444447</v>
      </c>
      <c r="N170" s="626"/>
      <c r="O170" s="626"/>
      <c r="P170" s="626">
        <f>SUM(P6:P169)</f>
        <v>13141255.391000001</v>
      </c>
      <c r="Q170" s="626">
        <f>SUM(Q6:Q169)</f>
        <v>5514311.4625000013</v>
      </c>
      <c r="R170" s="626"/>
      <c r="S170" s="626">
        <f>SUM(S6:S169)</f>
        <v>423312.23999999993</v>
      </c>
      <c r="T170" s="626"/>
      <c r="U170" s="626">
        <f>SUM(U6:U169)</f>
        <v>1904058.7209749995</v>
      </c>
      <c r="V170" s="626"/>
      <c r="W170" s="626">
        <f>SUM(W6:W169)</f>
        <v>832817.02162499947</v>
      </c>
      <c r="X170" s="626">
        <f>SUM(X6:X169)+1</f>
        <v>21815755.836099993</v>
      </c>
      <c r="Y170" s="1276">
        <f t="shared" si="62"/>
        <v>53922.759000000005</v>
      </c>
      <c r="Z170" s="1276">
        <f t="shared" si="63"/>
        <v>53922.759000000005</v>
      </c>
      <c r="AA170" s="1277">
        <f t="shared" si="64"/>
        <v>647073.10800000001</v>
      </c>
      <c r="AB170" s="1458">
        <f t="shared" si="65"/>
        <v>44123.635049437435</v>
      </c>
      <c r="AK170" s="1778"/>
      <c r="AL170" s="1784"/>
      <c r="AM170" s="1778"/>
      <c r="AN170" s="1778"/>
      <c r="AO170" s="1778"/>
      <c r="AP170" s="1778"/>
      <c r="AQ170" s="1778"/>
      <c r="AR170" s="908"/>
      <c r="AS170" s="908"/>
      <c r="AT170" s="908"/>
      <c r="AU170" s="908"/>
      <c r="AV170" s="908"/>
      <c r="AW170" s="908"/>
      <c r="AX170" s="908"/>
      <c r="AY170" s="908"/>
      <c r="AZ170" s="908"/>
      <c r="BA170" s="908"/>
      <c r="BB170" s="908"/>
      <c r="BC170" s="908"/>
      <c r="BD170" s="908"/>
      <c r="BE170" s="908"/>
      <c r="BF170" s="908"/>
      <c r="BG170" s="908"/>
      <c r="BH170" s="908"/>
      <c r="BI170" s="908"/>
      <c r="BJ170" s="908"/>
      <c r="BK170" s="908"/>
      <c r="BL170" s="908"/>
      <c r="BM170" s="908"/>
      <c r="BN170" s="908"/>
      <c r="BO170" s="908"/>
      <c r="BP170" s="908"/>
      <c r="BQ170" s="908"/>
    </row>
    <row r="171" spans="1:69" s="84" customFormat="1" ht="22.5" customHeight="1">
      <c r="A171" s="24"/>
      <c r="B171" s="24"/>
      <c r="C171" s="89"/>
      <c r="D171" s="24"/>
      <c r="E171" s="24"/>
      <c r="F171" s="24"/>
      <c r="G171" s="24"/>
      <c r="H171" s="24"/>
      <c r="I171" s="24"/>
      <c r="J171" s="24"/>
      <c r="K171" s="262"/>
      <c r="L171" s="262"/>
      <c r="M171" s="262"/>
      <c r="N171" s="262"/>
      <c r="O171" s="262"/>
      <c r="P171" s="262"/>
      <c r="Q171" s="262"/>
      <c r="R171" s="262"/>
      <c r="S171" s="262"/>
      <c r="T171" s="262"/>
      <c r="U171" s="262"/>
      <c r="V171" s="262"/>
      <c r="W171" s="262"/>
      <c r="X171" s="262"/>
      <c r="Y171" s="141" t="e">
        <f>SUM(Y6:Y170)</f>
        <v>#REF!</v>
      </c>
      <c r="Z171" s="141" t="e">
        <f>SUM(Z6:Z170)</f>
        <v>#REF!</v>
      </c>
      <c r="AA171" s="262"/>
      <c r="AB171" s="1026" t="e">
        <f>SUM(AB6:AB170)</f>
        <v>#REF!</v>
      </c>
      <c r="AC171" s="262"/>
      <c r="AD171" s="262" t="e">
        <f>SUM(AD27:AD170)</f>
        <v>#REF!</v>
      </c>
      <c r="AE171" s="262"/>
      <c r="AF171" s="262"/>
      <c r="AG171" s="262"/>
      <c r="AH171" s="262"/>
      <c r="AI171" s="262"/>
      <c r="AJ171" s="262"/>
      <c r="AK171" s="2244"/>
      <c r="AL171" s="1785"/>
      <c r="AM171" s="1786"/>
      <c r="AN171" s="1786"/>
      <c r="AO171" s="1786"/>
      <c r="AP171" s="1786"/>
      <c r="AQ171" s="1786"/>
      <c r="AR171" s="262"/>
      <c r="AS171" s="262"/>
      <c r="AT171" s="262"/>
      <c r="AU171" s="262"/>
      <c r="AV171" s="262"/>
      <c r="AW171" s="262"/>
      <c r="AX171" s="262"/>
      <c r="AY171" s="262"/>
      <c r="AZ171" s="262"/>
      <c r="BA171" s="262"/>
      <c r="BB171" s="262"/>
      <c r="BC171" s="262"/>
      <c r="BD171" s="262"/>
      <c r="BE171" s="262"/>
      <c r="BF171" s="262"/>
      <c r="BG171" s="262"/>
      <c r="BH171" s="262"/>
      <c r="BI171" s="262"/>
      <c r="BJ171" s="262"/>
      <c r="BK171" s="262"/>
      <c r="BL171" s="262"/>
      <c r="BM171" s="262"/>
      <c r="BN171" s="262"/>
      <c r="BO171" s="262"/>
      <c r="BP171" s="262"/>
      <c r="BQ171" s="262"/>
    </row>
  </sheetData>
  <sheetProtection formatCells="0" formatRows="0" insertRows="0"/>
  <mergeCells count="25">
    <mergeCell ref="A2:X2"/>
    <mergeCell ref="A3:X3"/>
    <mergeCell ref="A4:A5"/>
    <mergeCell ref="B4:B5"/>
    <mergeCell ref="C4:C5"/>
    <mergeCell ref="D4:D5"/>
    <mergeCell ref="E4:E5"/>
    <mergeCell ref="F4:F5"/>
    <mergeCell ref="G4:G5"/>
    <mergeCell ref="H4:H5"/>
    <mergeCell ref="Y4:Y5"/>
    <mergeCell ref="Z4:Z5"/>
    <mergeCell ref="A170:D170"/>
    <mergeCell ref="O4:O5"/>
    <mergeCell ref="P4:P5"/>
    <mergeCell ref="R4:S4"/>
    <mergeCell ref="T4:U4"/>
    <mergeCell ref="V4:W4"/>
    <mergeCell ref="X4:X5"/>
    <mergeCell ref="I4:I5"/>
    <mergeCell ref="J4:J5"/>
    <mergeCell ref="K4:K5"/>
    <mergeCell ref="L4:L5"/>
    <mergeCell ref="M4:M5"/>
    <mergeCell ref="N4:N5"/>
  </mergeCells>
  <pageMargins left="0" right="0" top="0.62992125984251968" bottom="0" header="0.43307086614173229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25</vt:i4>
      </vt:variant>
    </vt:vector>
  </HeadingPairs>
  <TitlesOfParts>
    <vt:vector size="56" baseType="lpstr">
      <vt:lpstr>РАСЧЁТЫ по ДМШ бюджет</vt:lpstr>
      <vt:lpstr>ШТАТЫ по старой МОДЕЛИ (4)</vt:lpstr>
      <vt:lpstr>ШТАТЫ по НОВОЙ МОДЕЛИ </vt:lpstr>
      <vt:lpstr>Лист1</vt:lpstr>
      <vt:lpstr>Лист2</vt:lpstr>
      <vt:lpstr>Лист3</vt:lpstr>
      <vt:lpstr>РАСЧЁТЫ по ДМШ бюджет0106</vt:lpstr>
      <vt:lpstr>расчеты к штатному</vt:lpstr>
      <vt:lpstr>расчеты к штатному </vt:lpstr>
      <vt:lpstr>ШТАТЫ по НОВОЙ МОДЕЛИ (3)</vt:lpstr>
      <vt:lpstr>расчеты к штатному (6)</vt:lpstr>
      <vt:lpstr>ШТАТЫ по РБ</vt:lpstr>
      <vt:lpstr>разница сент  20</vt:lpstr>
      <vt:lpstr>ШТАТЫ по по старому</vt:lpstr>
      <vt:lpstr>по старому расчет</vt:lpstr>
      <vt:lpstr>расчеты к старое</vt:lpstr>
      <vt:lpstr>разница</vt:lpstr>
      <vt:lpstr>ШТАТЫ по республики</vt:lpstr>
      <vt:lpstr>расчеты к штатному (4)</vt:lpstr>
      <vt:lpstr>расчеты к штатному (5)</vt:lpstr>
      <vt:lpstr>расчеты к штатному МБ</vt:lpstr>
      <vt:lpstr>расчеты по старому</vt:lpstr>
      <vt:lpstr>оклад</vt:lpstr>
      <vt:lpstr>1</vt:lpstr>
      <vt:lpstr>по алфавиту</vt:lpstr>
      <vt:lpstr>Лист4</vt:lpstr>
      <vt:lpstr>ШТАТЫ по старой МОДЕЛИ (3)</vt:lpstr>
      <vt:lpstr>расчеты к штатному старое</vt:lpstr>
      <vt:lpstr>ШТАТЫ на разницу</vt:lpstr>
      <vt:lpstr>расчеты к штатному разница</vt:lpstr>
      <vt:lpstr>расчеты к штатному (2)</vt:lpstr>
      <vt:lpstr>'1'!Область_печати</vt:lpstr>
      <vt:lpstr>оклад!Область_печати</vt:lpstr>
      <vt:lpstr>'по алфавиту'!Область_печати</vt:lpstr>
      <vt:lpstr>'по старому расчет'!Область_печати</vt:lpstr>
      <vt:lpstr>разница!Область_печати</vt:lpstr>
      <vt:lpstr>'разница сент  20'!Область_печати</vt:lpstr>
      <vt:lpstr>'расчеты к старое'!Область_печати</vt:lpstr>
      <vt:lpstr>'расчеты к штатному'!Область_печати</vt:lpstr>
      <vt:lpstr>'расчеты к штатному '!Область_печати</vt:lpstr>
      <vt:lpstr>'расчеты к штатному (2)'!Область_печати</vt:lpstr>
      <vt:lpstr>'расчеты к штатному (4)'!Область_печати</vt:lpstr>
      <vt:lpstr>'расчеты к штатному (5)'!Область_печати</vt:lpstr>
      <vt:lpstr>'расчеты к штатному (6)'!Область_печати</vt:lpstr>
      <vt:lpstr>'расчеты к штатному МБ'!Область_печати</vt:lpstr>
      <vt:lpstr>'расчеты к штатному разница'!Область_печати</vt:lpstr>
      <vt:lpstr>'расчеты к штатному старое'!Область_печати</vt:lpstr>
      <vt:lpstr>'РАСЧЁТЫ по ДМШ бюджет'!Область_печати</vt:lpstr>
      <vt:lpstr>'РАСЧЁТЫ по ДМШ бюджет0106'!Область_печати</vt:lpstr>
      <vt:lpstr>'расчеты по старому'!Область_печати</vt:lpstr>
      <vt:lpstr>'ШТАТЫ по НОВОЙ МОДЕЛИ '!Область_печати</vt:lpstr>
      <vt:lpstr>'ШТАТЫ по НОВОЙ МОДЕЛИ (3)'!Область_печати</vt:lpstr>
      <vt:lpstr>'ШТАТЫ по по старому'!Область_печати</vt:lpstr>
      <vt:lpstr>'ШТАТЫ по РБ'!Область_печати</vt:lpstr>
      <vt:lpstr>'ШТАТЫ по республики'!Область_печати</vt:lpstr>
      <vt:lpstr>'ШТАТЫ по старой МОДЕЛИ (3)'!Область_печати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2021-07-02T09:28:53Z</dcterms:modified>
</cp:coreProperties>
</file>